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charts/chart7.xml" ContentType="application/vnd.openxmlformats-officedocument.drawingml.chart+xml"/>
  <Override PartName="/xl/charts/chart8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9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10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harts/chart11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omments3.xml" ContentType="application/vnd.openxmlformats-officedocument.spreadsheetml.comments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  <Override PartName="/xl/threadedComments/threadedComment1.xml" ContentType="application/vnd.ms-excel.threadedcomments+xml"/>
  <Override PartName="/xl/threadedComments/threadedComment2.xml" ContentType="application/vnd.ms-excel.threadedcomments+xml"/>
  <Override PartName="/xl/threadedComments/threadedComment3.xml" ContentType="application/vnd.ms-excel.threadedcomment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227"/>
  <workbookPr hidePivotFieldList="1"/>
  <mc:AlternateContent xmlns:mc="http://schemas.openxmlformats.org/markup-compatibility/2006">
    <mc:Choice Requires="x15">
      <x15ac:absPath xmlns:x15ac="http://schemas.microsoft.com/office/spreadsheetml/2010/11/ac" url="C:\Users\Admin\YandexDisk\1.Активные ПРОЕКТЫ\ПРОЕКТЫ\ИРКУТСК\Альбом\ИРКУТСК_ФИНАЛ_ЗАКАЗЧИКУ 2023_04_12\"/>
    </mc:Choice>
  </mc:AlternateContent>
  <xr:revisionPtr revIDLastSave="0" documentId="13_ncr:1_{2302BB91-07DF-4796-AB03-634306F43843}" xr6:coauthVersionLast="47" xr6:coauthVersionMax="47" xr10:uidLastSave="{00000000-0000-0000-0000-000000000000}"/>
  <bookViews>
    <workbookView xWindow="1065" yWindow="855" windowWidth="27495" windowHeight="14745" tabRatio="852" activeTab="2" xr2:uid="{00000000-000D-0000-FFFF-FFFF00000000}"/>
  </bookViews>
  <sheets>
    <sheet name="Аннотация" sheetId="27" r:id="rId1"/>
    <sheet name="допущения" sheetId="1" r:id="rId2"/>
    <sheet name="СВОД" sheetId="2" r:id="rId3"/>
    <sheet name="объем работ 100% загр" sheetId="4" r:id="rId4"/>
    <sheet name="Себестоимость" sheetId="29" r:id="rId5"/>
    <sheet name="выручка по кв и годам" sheetId="5" r:id="rId6"/>
    <sheet name="Расходы на П, строит-во, ввод" sheetId="3" r:id="rId7"/>
    <sheet name="Расходы на ЗП ОТ" sheetId="6" r:id="rId8"/>
    <sheet name="Расходы на ЗП ТОР" sheetId="7" r:id="rId9"/>
    <sheet name="Налоги без ТОР" sheetId="9" r:id="rId10"/>
    <sheet name="Налоги ТОР" sheetId="8" r:id="rId11"/>
    <sheet name="Расходы ТОР" sheetId="12" r:id="rId12"/>
    <sheet name="Фин результат ТОР" sheetId="13" r:id="rId13"/>
    <sheet name="Расходы по займу" sheetId="10" r:id="rId14"/>
    <sheet name="займ" sheetId="11" r:id="rId15"/>
    <sheet name="NPV, IRR, DPI ТОР" sheetId="14" r:id="rId16"/>
    <sheet name="обоснования" sheetId="30" r:id="rId17"/>
    <sheet name="выручка 2022г 40% загр" sheetId="15" state="hidden" r:id="rId18"/>
    <sheet name="выручка 2023г 50% загр" sheetId="16" state="hidden" r:id="rId19"/>
    <sheet name="выручка 2024г 60% загр" sheetId="17" state="hidden" r:id="rId20"/>
    <sheet name="выручка 2025г 85% загр1" sheetId="18" state="hidden" r:id="rId21"/>
    <sheet name="выручка 2026г 85% загр1" sheetId="19" state="hidden" r:id="rId22"/>
    <sheet name="выручка 2027" sheetId="20" state="hidden" r:id="rId23"/>
    <sheet name="выручка 2028" sheetId="21" state="hidden" r:id="rId24"/>
    <sheet name="выручка 2029" sheetId="22" state="hidden" r:id="rId25"/>
    <sheet name="выручка 2030" sheetId="23" state="hidden" r:id="rId26"/>
    <sheet name="выручка 2031" sheetId="24" state="hidden" r:id="rId27"/>
    <sheet name="выручка 2032" sheetId="25" state="hidden" r:id="rId28"/>
  </sheets>
  <definedNames>
    <definedName name="_ftn1" localSheetId="12">'Фин результат ТОР'!$B$60</definedName>
    <definedName name="_ftnref1" localSheetId="12">'Фин результат ТОР'!$D$56</definedName>
  </definedNames>
  <calcPr calcId="191029"/>
</workbook>
</file>

<file path=xl/calcChain.xml><?xml version="1.0" encoding="utf-8"?>
<calcChain xmlns="http://schemas.openxmlformats.org/spreadsheetml/2006/main">
  <c r="T17" i="3" l="1"/>
  <c r="T16" i="3"/>
  <c r="C79" i="1"/>
  <c r="H98" i="1"/>
  <c r="E59" i="3"/>
  <c r="D58" i="3"/>
  <c r="G70" i="1"/>
  <c r="G69" i="1"/>
  <c r="G3" i="5"/>
  <c r="H3" i="5"/>
  <c r="C11" i="4"/>
  <c r="D24" i="4"/>
  <c r="AU3" i="5"/>
  <c r="AT3" i="5"/>
  <c r="AS3" i="5"/>
  <c r="AR3" i="5"/>
  <c r="AQ3" i="5"/>
  <c r="AP3" i="5"/>
  <c r="AO3" i="5"/>
  <c r="AN3" i="5"/>
  <c r="AM3" i="5"/>
  <c r="AL3" i="5"/>
  <c r="AK3" i="5"/>
  <c r="AJ3" i="5"/>
  <c r="AI3" i="5"/>
  <c r="AH3" i="5"/>
  <c r="AG3" i="5"/>
  <c r="AF3" i="5"/>
  <c r="AE3" i="5"/>
  <c r="AD3" i="5"/>
  <c r="AC3" i="5"/>
  <c r="AB3" i="5"/>
  <c r="AA3" i="5"/>
  <c r="Z3" i="5"/>
  <c r="Y3" i="5"/>
  <c r="X3" i="5"/>
  <c r="W3" i="5"/>
  <c r="V3" i="5"/>
  <c r="U3" i="5"/>
  <c r="S3" i="5"/>
  <c r="T3" i="5" s="1"/>
  <c r="R3" i="5"/>
  <c r="Q3" i="5"/>
  <c r="P3" i="5"/>
  <c r="N3" i="5"/>
  <c r="M3" i="5"/>
  <c r="L3" i="5"/>
  <c r="J3" i="5"/>
  <c r="I3" i="5"/>
  <c r="E4" i="29"/>
  <c r="D3" i="7"/>
  <c r="B3" i="7"/>
  <c r="D59" i="3"/>
  <c r="D60" i="3"/>
  <c r="D61" i="3"/>
  <c r="D62" i="3"/>
  <c r="D63" i="3"/>
  <c r="D64" i="3"/>
  <c r="D65" i="3"/>
  <c r="E4" i="4"/>
  <c r="D4" i="4"/>
  <c r="C4" i="4"/>
  <c r="C10" i="4"/>
  <c r="E3" i="4"/>
  <c r="G78" i="1"/>
  <c r="G82" i="1"/>
  <c r="G85" i="1" s="1"/>
  <c r="H85" i="1" s="1"/>
  <c r="J85" i="1" s="1"/>
  <c r="Y4" i="4" s="1"/>
  <c r="D8" i="29"/>
  <c r="E8" i="29" s="1"/>
  <c r="D5" i="4"/>
  <c r="G86" i="1" l="1"/>
  <c r="H86" i="1" s="1"/>
  <c r="J86" i="1" s="1"/>
  <c r="G87" i="1"/>
  <c r="H87" i="1" s="1"/>
  <c r="J87" i="1" s="1"/>
  <c r="G88" i="1"/>
  <c r="H88" i="1" s="1"/>
  <c r="J88" i="1" s="1"/>
  <c r="C31" i="8"/>
  <c r="Y3" i="4" l="1"/>
  <c r="J89" i="1"/>
  <c r="A37" i="12"/>
  <c r="B64" i="3" l="1"/>
  <c r="C63" i="1"/>
  <c r="W11" i="13" l="1"/>
  <c r="X11" i="13"/>
  <c r="Y11" i="13"/>
  <c r="Z11" i="13"/>
  <c r="AA11" i="13"/>
  <c r="AB11" i="13"/>
  <c r="AC11" i="13"/>
  <c r="AD11" i="13"/>
  <c r="AE11" i="13"/>
  <c r="W7" i="13"/>
  <c r="X7" i="13"/>
  <c r="Y7" i="13"/>
  <c r="Z7" i="13"/>
  <c r="AA7" i="13"/>
  <c r="W6" i="10"/>
  <c r="X6" i="10"/>
  <c r="B3" i="10"/>
  <c r="D30" i="3"/>
  <c r="D28" i="3"/>
  <c r="D13" i="29"/>
  <c r="F18" i="6"/>
  <c r="B61" i="6"/>
  <c r="BH8" i="7"/>
  <c r="BH17" i="7"/>
  <c r="BH25" i="7"/>
  <c r="BH28" i="7"/>
  <c r="BH36" i="7"/>
  <c r="AR57" i="7"/>
  <c r="AS57" i="7"/>
  <c r="AT57" i="7"/>
  <c r="AU57" i="7"/>
  <c r="AR37" i="7"/>
  <c r="AS37" i="7"/>
  <c r="AT37" i="7"/>
  <c r="AU37" i="7"/>
  <c r="AR38" i="7"/>
  <c r="AS38" i="7"/>
  <c r="AT38" i="7"/>
  <c r="AU38" i="7"/>
  <c r="AR39" i="7"/>
  <c r="AS39" i="7"/>
  <c r="AT39" i="7"/>
  <c r="AU39" i="7"/>
  <c r="AR40" i="7"/>
  <c r="AS40" i="7"/>
  <c r="AT40" i="7"/>
  <c r="AU40" i="7"/>
  <c r="AR41" i="7"/>
  <c r="AS41" i="7"/>
  <c r="AT41" i="7"/>
  <c r="AU41" i="7"/>
  <c r="AR42" i="7"/>
  <c r="AS42" i="7"/>
  <c r="AT42" i="7"/>
  <c r="AU42" i="7"/>
  <c r="AR43" i="7"/>
  <c r="AS43" i="7"/>
  <c r="AT43" i="7"/>
  <c r="AU43" i="7"/>
  <c r="AR44" i="7"/>
  <c r="AS44" i="7"/>
  <c r="AT44" i="7"/>
  <c r="AU44" i="7"/>
  <c r="AR45" i="7"/>
  <c r="AS45" i="7"/>
  <c r="AT45" i="7"/>
  <c r="AU45" i="7"/>
  <c r="AR46" i="7"/>
  <c r="AS46" i="7"/>
  <c r="AT46" i="7"/>
  <c r="AU46" i="7"/>
  <c r="AR29" i="7"/>
  <c r="AS29" i="7"/>
  <c r="AT29" i="7"/>
  <c r="AU29" i="7"/>
  <c r="AR30" i="7"/>
  <c r="BH30" i="7" s="1"/>
  <c r="AS30" i="7"/>
  <c r="AT30" i="7"/>
  <c r="AU30" i="7"/>
  <c r="AR31" i="7"/>
  <c r="AS31" i="7"/>
  <c r="AT31" i="7"/>
  <c r="AU31" i="7"/>
  <c r="AR32" i="7"/>
  <c r="AS32" i="7"/>
  <c r="AT32" i="7"/>
  <c r="AU32" i="7"/>
  <c r="AR33" i="7"/>
  <c r="AS33" i="7"/>
  <c r="AT33" i="7"/>
  <c r="AU33" i="7"/>
  <c r="AR18" i="7"/>
  <c r="AS18" i="7"/>
  <c r="AS23" i="7" s="1"/>
  <c r="AU18" i="7"/>
  <c r="AR19" i="7"/>
  <c r="AS19" i="7"/>
  <c r="AT19" i="7"/>
  <c r="AU19" i="7"/>
  <c r="AR20" i="7"/>
  <c r="AS20" i="7"/>
  <c r="AT20" i="7"/>
  <c r="AU20" i="7"/>
  <c r="AR21" i="7"/>
  <c r="AS21" i="7"/>
  <c r="AT21" i="7"/>
  <c r="AU21" i="7"/>
  <c r="AR22" i="7"/>
  <c r="AS22" i="7"/>
  <c r="AT22" i="7"/>
  <c r="AU22" i="7"/>
  <c r="J18" i="6"/>
  <c r="N18" i="6" s="1"/>
  <c r="R18" i="6" s="1"/>
  <c r="V18" i="6" s="1"/>
  <c r="Z18" i="6" s="1"/>
  <c r="AD18" i="6" s="1"/>
  <c r="AH18" i="6" s="1"/>
  <c r="AL18" i="6" s="1"/>
  <c r="AP18" i="6" s="1"/>
  <c r="AT18" i="6" s="1"/>
  <c r="AT18" i="7" s="1"/>
  <c r="BG8" i="6"/>
  <c r="BG17" i="6"/>
  <c r="BG19" i="6"/>
  <c r="BG20" i="6"/>
  <c r="BG21" i="6"/>
  <c r="BG22" i="6"/>
  <c r="BG25" i="6"/>
  <c r="BG28" i="6"/>
  <c r="BG29" i="6"/>
  <c r="BG30" i="6"/>
  <c r="BG31" i="6"/>
  <c r="BG32" i="6"/>
  <c r="BG33" i="6"/>
  <c r="BG36" i="6"/>
  <c r="BG37" i="6"/>
  <c r="BG38" i="6"/>
  <c r="BG39" i="6"/>
  <c r="BG40" i="6"/>
  <c r="BG41" i="6"/>
  <c r="BG42" i="6"/>
  <c r="BG43" i="6"/>
  <c r="BG44" i="6"/>
  <c r="BG45" i="6"/>
  <c r="BG46" i="6"/>
  <c r="BG48" i="6"/>
  <c r="BG57" i="6"/>
  <c r="AR26" i="6"/>
  <c r="AS26" i="6"/>
  <c r="AS26" i="7" s="1"/>
  <c r="AT26" i="6"/>
  <c r="AT26" i="7" s="1"/>
  <c r="AU26" i="6"/>
  <c r="AU26" i="7" s="1"/>
  <c r="AR34" i="6"/>
  <c r="BG34" i="6" s="1"/>
  <c r="AS34" i="6"/>
  <c r="AT34" i="6"/>
  <c r="AU34" i="6"/>
  <c r="AR47" i="6"/>
  <c r="AS47" i="6"/>
  <c r="AT47" i="6"/>
  <c r="AU47" i="6"/>
  <c r="AR23" i="6"/>
  <c r="AS23" i="6"/>
  <c r="AU23" i="6"/>
  <c r="AR1" i="6"/>
  <c r="AR1" i="7" s="1"/>
  <c r="AR60" i="7" s="1"/>
  <c r="AS1" i="6"/>
  <c r="AS1" i="7" s="1"/>
  <c r="AS60" i="7" s="1"/>
  <c r="AT1" i="6"/>
  <c r="AT1" i="7" s="1"/>
  <c r="AT60" i="7" s="1"/>
  <c r="AU1" i="6"/>
  <c r="AU59" i="6" s="1"/>
  <c r="AT23" i="7" l="1"/>
  <c r="BH32" i="7"/>
  <c r="AR34" i="7"/>
  <c r="BH45" i="7"/>
  <c r="BH43" i="7"/>
  <c r="BH41" i="7"/>
  <c r="BH57" i="7"/>
  <c r="BH22" i="7"/>
  <c r="BH21" i="7"/>
  <c r="BH20" i="7"/>
  <c r="BH19" i="7"/>
  <c r="AR59" i="6"/>
  <c r="BG26" i="6"/>
  <c r="BH33" i="7"/>
  <c r="BH31" i="7"/>
  <c r="BH46" i="7"/>
  <c r="BH44" i="7"/>
  <c r="BH42" i="7"/>
  <c r="BH40" i="7"/>
  <c r="BH38" i="7"/>
  <c r="BH37" i="7"/>
  <c r="BG47" i="6"/>
  <c r="AU23" i="7"/>
  <c r="BH18" i="7"/>
  <c r="AT59" i="6"/>
  <c r="AR23" i="7"/>
  <c r="AR26" i="7"/>
  <c r="AR47" i="7"/>
  <c r="AS59" i="6"/>
  <c r="AU34" i="7"/>
  <c r="AS34" i="7"/>
  <c r="AU47" i="7"/>
  <c r="AT47" i="7"/>
  <c r="AT34" i="7"/>
  <c r="AS47" i="7"/>
  <c r="AU1" i="7"/>
  <c r="AU60" i="7" s="1"/>
  <c r="BH29" i="7"/>
  <c r="BH39" i="7"/>
  <c r="AT23" i="6"/>
  <c r="BG18" i="6"/>
  <c r="C85" i="1"/>
  <c r="B65" i="3"/>
  <c r="E64" i="3"/>
  <c r="F64" i="3" s="1"/>
  <c r="E60" i="3"/>
  <c r="E63" i="3"/>
  <c r="F63" i="3" s="1"/>
  <c r="B62" i="3"/>
  <c r="E62" i="3" s="1"/>
  <c r="F62" i="3" s="1"/>
  <c r="E61" i="3"/>
  <c r="E58" i="3"/>
  <c r="F26" i="29"/>
  <c r="E26" i="29"/>
  <c r="C12" i="29"/>
  <c r="F10" i="6"/>
  <c r="G10" i="6"/>
  <c r="F11" i="6"/>
  <c r="G11" i="6"/>
  <c r="F12" i="6"/>
  <c r="G12" i="6"/>
  <c r="F13" i="6"/>
  <c r="G13" i="6"/>
  <c r="F14" i="6"/>
  <c r="G14" i="6"/>
  <c r="G9" i="6"/>
  <c r="F9" i="6"/>
  <c r="E10" i="6"/>
  <c r="E11" i="6"/>
  <c r="E12" i="6"/>
  <c r="E13" i="6"/>
  <c r="E14" i="6"/>
  <c r="E9" i="6"/>
  <c r="G5" i="6"/>
  <c r="F5" i="6"/>
  <c r="E5" i="6"/>
  <c r="D5" i="6"/>
  <c r="G4" i="6"/>
  <c r="F4" i="6"/>
  <c r="E4" i="6"/>
  <c r="D4" i="6"/>
  <c r="F3" i="6"/>
  <c r="G3" i="6"/>
  <c r="E3" i="6"/>
  <c r="G2" i="6"/>
  <c r="F2" i="6"/>
  <c r="E2" i="6"/>
  <c r="D2" i="6"/>
  <c r="H2" i="6"/>
  <c r="C2" i="12"/>
  <c r="D2" i="12"/>
  <c r="E2" i="12"/>
  <c r="F2" i="12"/>
  <c r="G2" i="12"/>
  <c r="H2" i="12"/>
  <c r="I2" i="12"/>
  <c r="J2" i="12"/>
  <c r="K2" i="12"/>
  <c r="L2" i="12"/>
  <c r="M2" i="12"/>
  <c r="N2" i="12"/>
  <c r="O2" i="12"/>
  <c r="P2" i="12"/>
  <c r="Q2" i="12"/>
  <c r="R2" i="12"/>
  <c r="S2" i="12"/>
  <c r="T2" i="12"/>
  <c r="U2" i="12"/>
  <c r="V2" i="12"/>
  <c r="W2" i="12"/>
  <c r="X2" i="12"/>
  <c r="Y2" i="12"/>
  <c r="Z2" i="12"/>
  <c r="AA2" i="12"/>
  <c r="AB2" i="12"/>
  <c r="AC2" i="12"/>
  <c r="AD2" i="12"/>
  <c r="AE2" i="12"/>
  <c r="AF2" i="12"/>
  <c r="AG2" i="12"/>
  <c r="AH2" i="12"/>
  <c r="AI2" i="12"/>
  <c r="AJ2" i="12"/>
  <c r="AK2" i="12"/>
  <c r="AL2" i="12"/>
  <c r="AM2" i="12"/>
  <c r="AN2" i="12"/>
  <c r="AO2" i="12"/>
  <c r="AP2" i="12"/>
  <c r="AQ2" i="12"/>
  <c r="AR2" i="12"/>
  <c r="AS2" i="12"/>
  <c r="B2" i="12"/>
  <c r="A30" i="3"/>
  <c r="E30" i="3"/>
  <c r="F30" i="3"/>
  <c r="G30" i="3" s="1"/>
  <c r="H30" i="3" s="1"/>
  <c r="I30" i="3" s="1"/>
  <c r="J30" i="3" s="1"/>
  <c r="K30" i="3" s="1"/>
  <c r="L30" i="3" s="1"/>
  <c r="M30" i="3" s="1"/>
  <c r="N30" i="3" s="1"/>
  <c r="O30" i="3" s="1"/>
  <c r="P30" i="3" s="1"/>
  <c r="Q30" i="3" s="1"/>
  <c r="R30" i="3" s="1"/>
  <c r="S30" i="3" s="1"/>
  <c r="T30" i="3" s="1"/>
  <c r="U30" i="3" s="1"/>
  <c r="V30" i="3" s="1"/>
  <c r="W30" i="3" s="1"/>
  <c r="X30" i="3" s="1"/>
  <c r="Y30" i="3" s="1"/>
  <c r="Z30" i="3" s="1"/>
  <c r="AA30" i="3" s="1"/>
  <c r="AB30" i="3" s="1"/>
  <c r="AC30" i="3" s="1"/>
  <c r="AD30" i="3" s="1"/>
  <c r="AE30" i="3" s="1"/>
  <c r="AF30" i="3" s="1"/>
  <c r="AG30" i="3" s="1"/>
  <c r="AH30" i="3" s="1"/>
  <c r="AI30" i="3" s="1"/>
  <c r="AJ30" i="3" s="1"/>
  <c r="AK30" i="3" s="1"/>
  <c r="AL30" i="3" s="1"/>
  <c r="AM30" i="3" s="1"/>
  <c r="AN30" i="3" s="1"/>
  <c r="AO30" i="3" s="1"/>
  <c r="AP30" i="3" s="1"/>
  <c r="AQ30" i="3" s="1"/>
  <c r="AR30" i="3" s="1"/>
  <c r="AS30" i="3" s="1"/>
  <c r="E29" i="3"/>
  <c r="E28" i="3"/>
  <c r="E27" i="3"/>
  <c r="F27" i="3"/>
  <c r="D3" i="3"/>
  <c r="C3" i="3"/>
  <c r="D32" i="3" s="1"/>
  <c r="E6" i="4"/>
  <c r="Q3" i="4"/>
  <c r="D10" i="4" s="1"/>
  <c r="G3" i="29" s="1"/>
  <c r="Q4" i="4"/>
  <c r="D11" i="4" s="1"/>
  <c r="E11" i="29" s="1"/>
  <c r="F29" i="3"/>
  <c r="F28" i="3"/>
  <c r="D6" i="6" l="1"/>
  <c r="F3" i="29"/>
  <c r="E33" i="3"/>
  <c r="F33" i="3" s="1"/>
  <c r="BH23" i="7"/>
  <c r="BH34" i="7"/>
  <c r="BH47" i="7"/>
  <c r="BH26" i="7"/>
  <c r="BG23" i="6"/>
  <c r="C23" i="4"/>
  <c r="F60" i="3"/>
  <c r="F61" i="3"/>
  <c r="D67" i="3"/>
  <c r="E65" i="3"/>
  <c r="F65" i="3" s="1"/>
  <c r="F58" i="3"/>
  <c r="F59" i="3"/>
  <c r="G27" i="3"/>
  <c r="C4" i="8"/>
  <c r="H9" i="6"/>
  <c r="M10" i="14"/>
  <c r="H10" i="6"/>
  <c r="H11" i="6"/>
  <c r="H12" i="6"/>
  <c r="H13" i="6"/>
  <c r="H57" i="6" s="1"/>
  <c r="H14" i="6"/>
  <c r="H3" i="6"/>
  <c r="H4" i="6"/>
  <c r="H5" i="6"/>
  <c r="G26" i="29"/>
  <c r="G33" i="3" l="1"/>
  <c r="E67" i="3"/>
  <c r="B3" i="2" s="1"/>
  <c r="AF11" i="13"/>
  <c r="AG11" i="13"/>
  <c r="AH11" i="13"/>
  <c r="AI11" i="13"/>
  <c r="AJ11" i="13"/>
  <c r="AK11" i="13"/>
  <c r="AL11" i="13"/>
  <c r="AM11" i="13"/>
  <c r="AN11" i="13"/>
  <c r="AO11" i="13"/>
  <c r="AP11" i="13"/>
  <c r="AQ11" i="13"/>
  <c r="AR11" i="13"/>
  <c r="AS11" i="13"/>
  <c r="AB7" i="13"/>
  <c r="AC7" i="13"/>
  <c r="AD7" i="13"/>
  <c r="AE7" i="13"/>
  <c r="AF7" i="13"/>
  <c r="AG7" i="13"/>
  <c r="AH7" i="13"/>
  <c r="AI7" i="13"/>
  <c r="AJ7" i="13"/>
  <c r="AK7" i="13"/>
  <c r="AL7" i="13"/>
  <c r="AM7" i="13"/>
  <c r="AN7" i="13"/>
  <c r="AO7" i="13"/>
  <c r="AP7" i="13"/>
  <c r="AQ7" i="13"/>
  <c r="AR7" i="13"/>
  <c r="AS7" i="13"/>
  <c r="Y6" i="10"/>
  <c r="C3" i="10"/>
  <c r="G9" i="7"/>
  <c r="G2" i="7"/>
  <c r="B85" i="6"/>
  <c r="B86" i="6"/>
  <c r="B87" i="6"/>
  <c r="B88" i="6"/>
  <c r="B84" i="6"/>
  <c r="B79" i="6"/>
  <c r="B80" i="6"/>
  <c r="B81" i="6"/>
  <c r="B78" i="6"/>
  <c r="G12" i="7"/>
  <c r="G11" i="7"/>
  <c r="G10" i="7"/>
  <c r="G5" i="7"/>
  <c r="G4" i="7"/>
  <c r="G3" i="7"/>
  <c r="I12" i="6"/>
  <c r="I11" i="6"/>
  <c r="I10" i="6"/>
  <c r="I5" i="6"/>
  <c r="I4" i="6"/>
  <c r="I3" i="6"/>
  <c r="C4" i="3"/>
  <c r="G15" i="29" s="1"/>
  <c r="C5" i="3"/>
  <c r="D6" i="3"/>
  <c r="C7" i="3"/>
  <c r="D8" i="3"/>
  <c r="B8" i="12"/>
  <c r="D3" i="10"/>
  <c r="E3" i="10" s="1"/>
  <c r="F3" i="10" s="1"/>
  <c r="G3" i="10" s="1"/>
  <c r="H3" i="10" s="1"/>
  <c r="I3" i="10" s="1"/>
  <c r="J3" i="10" s="1"/>
  <c r="K3" i="10" s="1"/>
  <c r="L3" i="10" s="1"/>
  <c r="M3" i="10" s="1"/>
  <c r="N3" i="10" s="1"/>
  <c r="O3" i="10" s="1"/>
  <c r="C10" i="12"/>
  <c r="B10" i="12"/>
  <c r="C4" i="12"/>
  <c r="B4" i="12"/>
  <c r="A4" i="12"/>
  <c r="A42" i="29"/>
  <c r="A51" i="29"/>
  <c r="A39" i="29"/>
  <c r="A40" i="29"/>
  <c r="A36" i="29"/>
  <c r="A37" i="29"/>
  <c r="A38" i="29"/>
  <c r="A41" i="29"/>
  <c r="A43" i="29"/>
  <c r="A46" i="29"/>
  <c r="A49" i="29"/>
  <c r="H26" i="29"/>
  <c r="I26" i="29" s="1"/>
  <c r="J26" i="29" s="1"/>
  <c r="K26" i="29" s="1"/>
  <c r="L26" i="29" s="1"/>
  <c r="M26" i="29" s="1"/>
  <c r="N26" i="29" s="1"/>
  <c r="O26" i="29" s="1"/>
  <c r="P26" i="29" s="1"/>
  <c r="Q26" i="29" s="1"/>
  <c r="R26" i="29" s="1"/>
  <c r="S26" i="29" s="1"/>
  <c r="T26" i="29" s="1"/>
  <c r="U26" i="29" s="1"/>
  <c r="V26" i="29" s="1"/>
  <c r="W26" i="29" s="1"/>
  <c r="X26" i="29" s="1"/>
  <c r="Y26" i="29" s="1"/>
  <c r="Z26" i="29" s="1"/>
  <c r="AA26" i="29" s="1"/>
  <c r="AB26" i="29" s="1"/>
  <c r="AC26" i="29" s="1"/>
  <c r="AD26" i="29" s="1"/>
  <c r="AE26" i="29" s="1"/>
  <c r="AF26" i="29" s="1"/>
  <c r="AG26" i="29" s="1"/>
  <c r="AH26" i="29" s="1"/>
  <c r="AI26" i="29" s="1"/>
  <c r="AJ26" i="29" s="1"/>
  <c r="AK26" i="29" s="1"/>
  <c r="AL26" i="29" s="1"/>
  <c r="AM26" i="29" s="1"/>
  <c r="AN26" i="29" s="1"/>
  <c r="AO26" i="29" s="1"/>
  <c r="AP26" i="29" s="1"/>
  <c r="AQ26" i="29" s="1"/>
  <c r="AR26" i="29" s="1"/>
  <c r="AS26" i="29" s="1"/>
  <c r="AT26" i="29" s="1"/>
  <c r="AS10" i="12" s="1"/>
  <c r="A11" i="29"/>
  <c r="C69" i="1"/>
  <c r="D24" i="3" l="1"/>
  <c r="AS14" i="29"/>
  <c r="AR8" i="12" s="1"/>
  <c r="AG14" i="29"/>
  <c r="AF8" i="12" s="1"/>
  <c r="U14" i="29"/>
  <c r="T8" i="12" s="1"/>
  <c r="J14" i="29"/>
  <c r="I8" i="12" s="1"/>
  <c r="AR14" i="29"/>
  <c r="AQ8" i="12" s="1"/>
  <c r="AF14" i="29"/>
  <c r="AE8" i="12" s="1"/>
  <c r="T14" i="29"/>
  <c r="S8" i="12" s="1"/>
  <c r="I14" i="29"/>
  <c r="H8" i="12" s="1"/>
  <c r="AQ14" i="29"/>
  <c r="AP8" i="12" s="1"/>
  <c r="AE14" i="29"/>
  <c r="AD8" i="12" s="1"/>
  <c r="S14" i="29"/>
  <c r="R8" i="12" s="1"/>
  <c r="H14" i="29"/>
  <c r="G8" i="12" s="1"/>
  <c r="AP14" i="29"/>
  <c r="AO8" i="12" s="1"/>
  <c r="R14" i="29"/>
  <c r="Q8" i="12" s="1"/>
  <c r="G14" i="29"/>
  <c r="F8" i="12" s="1"/>
  <c r="AO14" i="29"/>
  <c r="AN8" i="12" s="1"/>
  <c r="AC14" i="29"/>
  <c r="AB8" i="12" s="1"/>
  <c r="Q14" i="29"/>
  <c r="P8" i="12" s="1"/>
  <c r="F14" i="29"/>
  <c r="E8" i="12" s="1"/>
  <c r="AN14" i="29"/>
  <c r="AM8" i="12" s="1"/>
  <c r="AB14" i="29"/>
  <c r="AA8" i="12" s="1"/>
  <c r="P14" i="29"/>
  <c r="O8" i="12" s="1"/>
  <c r="E14" i="29"/>
  <c r="D8" i="12" s="1"/>
  <c r="X14" i="29"/>
  <c r="W8" i="12" s="1"/>
  <c r="AI14" i="29"/>
  <c r="AH8" i="12" s="1"/>
  <c r="AH14" i="29"/>
  <c r="AG8" i="12" s="1"/>
  <c r="AD14" i="29"/>
  <c r="AC8" i="12" s="1"/>
  <c r="K14" i="29"/>
  <c r="J8" i="12" s="1"/>
  <c r="V14" i="29"/>
  <c r="U8" i="12" s="1"/>
  <c r="AM14" i="29"/>
  <c r="AL8" i="12" s="1"/>
  <c r="AA14" i="29"/>
  <c r="Z8" i="12" s="1"/>
  <c r="O14" i="29"/>
  <c r="N8" i="12" s="1"/>
  <c r="AL14" i="29"/>
  <c r="AK8" i="12" s="1"/>
  <c r="Z14" i="29"/>
  <c r="Y8" i="12" s="1"/>
  <c r="N14" i="29"/>
  <c r="M8" i="12" s="1"/>
  <c r="D14" i="29"/>
  <c r="C8" i="12" s="1"/>
  <c r="AK14" i="29"/>
  <c r="AJ8" i="12" s="1"/>
  <c r="Y14" i="29"/>
  <c r="X8" i="12" s="1"/>
  <c r="M14" i="29"/>
  <c r="L8" i="12" s="1"/>
  <c r="AJ14" i="29"/>
  <c r="AI8" i="12" s="1"/>
  <c r="L14" i="29"/>
  <c r="K8" i="12" s="1"/>
  <c r="W14" i="29"/>
  <c r="V8" i="12" s="1"/>
  <c r="AT14" i="29"/>
  <c r="AS8" i="12" s="1"/>
  <c r="C24" i="3"/>
  <c r="D11" i="29"/>
  <c r="C6" i="12" s="1"/>
  <c r="C11" i="29"/>
  <c r="B6" i="12" s="1"/>
  <c r="D12" i="3"/>
  <c r="AK10" i="12"/>
  <c r="AO10" i="12"/>
  <c r="I14" i="6"/>
  <c r="I14" i="7" s="1"/>
  <c r="H14" i="7"/>
  <c r="AG10" i="12"/>
  <c r="I9" i="6"/>
  <c r="AC10" i="12"/>
  <c r="Y10" i="12"/>
  <c r="U10" i="12"/>
  <c r="Q10" i="12"/>
  <c r="M10" i="12"/>
  <c r="I10" i="12"/>
  <c r="E10" i="12"/>
  <c r="I2" i="6"/>
  <c r="E4" i="12"/>
  <c r="AR10" i="12"/>
  <c r="AN10" i="12"/>
  <c r="AJ10" i="12"/>
  <c r="AF10" i="12"/>
  <c r="AB10" i="12"/>
  <c r="X10" i="12"/>
  <c r="T10" i="12"/>
  <c r="P10" i="12"/>
  <c r="L10" i="12"/>
  <c r="H10" i="12"/>
  <c r="D10" i="12"/>
  <c r="D4" i="12"/>
  <c r="AQ10" i="12"/>
  <c r="AM10" i="12"/>
  <c r="AI10" i="12"/>
  <c r="AE10" i="12"/>
  <c r="AA10" i="12"/>
  <c r="W10" i="12"/>
  <c r="S10" i="12"/>
  <c r="O10" i="12"/>
  <c r="K10" i="12"/>
  <c r="G10" i="12"/>
  <c r="AP10" i="12"/>
  <c r="AL10" i="12"/>
  <c r="AH10" i="12"/>
  <c r="AD10" i="12"/>
  <c r="Z10" i="12"/>
  <c r="V10" i="12"/>
  <c r="R10" i="12"/>
  <c r="N10" i="12"/>
  <c r="J10" i="12"/>
  <c r="F10" i="12"/>
  <c r="E35" i="3" l="1"/>
  <c r="B39" i="3" s="1"/>
  <c r="E34" i="3"/>
  <c r="H15" i="29"/>
  <c r="I15" i="29" s="1"/>
  <c r="J15" i="29" s="1"/>
  <c r="K15" i="29" s="1"/>
  <c r="L15" i="29" s="1"/>
  <c r="F4" i="12"/>
  <c r="D6" i="12" l="1"/>
  <c r="K4" i="12"/>
  <c r="M15" i="29"/>
  <c r="N15" i="29" s="1"/>
  <c r="O15" i="29" s="1"/>
  <c r="P15" i="29" s="1"/>
  <c r="Q15" i="29" s="1"/>
  <c r="R15" i="29" s="1"/>
  <c r="S15" i="29" s="1"/>
  <c r="T15" i="29" s="1"/>
  <c r="U15" i="29" s="1"/>
  <c r="V15" i="29" s="1"/>
  <c r="W15" i="29" s="1"/>
  <c r="X15" i="29" s="1"/>
  <c r="Y15" i="29" s="1"/>
  <c r="Z15" i="29" s="1"/>
  <c r="AA15" i="29" s="1"/>
  <c r="AB15" i="29" s="1"/>
  <c r="AC15" i="29" s="1"/>
  <c r="AD15" i="29" s="1"/>
  <c r="AE15" i="29" s="1"/>
  <c r="AF15" i="29" s="1"/>
  <c r="AG15" i="29" s="1"/>
  <c r="AH15" i="29" s="1"/>
  <c r="AI15" i="29" s="1"/>
  <c r="AJ15" i="29" s="1"/>
  <c r="AK15" i="29" s="1"/>
  <c r="AL15" i="29" s="1"/>
  <c r="AM15" i="29" s="1"/>
  <c r="AN15" i="29" s="1"/>
  <c r="AO15" i="29" s="1"/>
  <c r="AP15" i="29" s="1"/>
  <c r="AQ15" i="29" s="1"/>
  <c r="AR15" i="29" s="1"/>
  <c r="AS15" i="29" s="1"/>
  <c r="AT15" i="29" s="1"/>
  <c r="AS4" i="12" s="1"/>
  <c r="F8" i="29"/>
  <c r="G8" i="29" s="1"/>
  <c r="F35" i="3"/>
  <c r="G4" i="12"/>
  <c r="J4" i="12"/>
  <c r="H4" i="12"/>
  <c r="I4" i="12"/>
  <c r="F11" i="29" l="1"/>
  <c r="L4" i="12"/>
  <c r="S4" i="12"/>
  <c r="M4" i="12"/>
  <c r="AJ4" i="12"/>
  <c r="AC4" i="12"/>
  <c r="Y4" i="12"/>
  <c r="AM4" i="12"/>
  <c r="AL4" i="12"/>
  <c r="P4" i="12"/>
  <c r="O4" i="12"/>
  <c r="AB4" i="12"/>
  <c r="W4" i="12"/>
  <c r="U4" i="12"/>
  <c r="AO4" i="12"/>
  <c r="AA4" i="12"/>
  <c r="Q4" i="12"/>
  <c r="N4" i="12"/>
  <c r="V4" i="12"/>
  <c r="AE4" i="12"/>
  <c r="T4" i="12"/>
  <c r="AQ4" i="12"/>
  <c r="AG4" i="12"/>
  <c r="X4" i="12"/>
  <c r="AF4" i="12"/>
  <c r="Z4" i="12"/>
  <c r="AP4" i="12"/>
  <c r="AR4" i="12"/>
  <c r="AH4" i="12"/>
  <c r="AI4" i="12"/>
  <c r="R4" i="12"/>
  <c r="AK4" i="12"/>
  <c r="AD4" i="12"/>
  <c r="AN4" i="12"/>
  <c r="G11" i="29"/>
  <c r="H8" i="29"/>
  <c r="E6" i="12" l="1"/>
  <c r="B34" i="29"/>
  <c r="F6" i="12"/>
  <c r="I8" i="29"/>
  <c r="H11" i="29"/>
  <c r="G6" i="12" s="1"/>
  <c r="J8" i="29" l="1"/>
  <c r="K8" i="29" l="1"/>
  <c r="J11" i="29"/>
  <c r="I6" i="12" s="1"/>
  <c r="L8" i="29" l="1"/>
  <c r="K11" i="29"/>
  <c r="J6" i="12" s="1"/>
  <c r="M8" i="29" l="1"/>
  <c r="L11" i="29"/>
  <c r="K6" i="12" s="1"/>
  <c r="N8" i="29" l="1"/>
  <c r="N11" i="29" l="1"/>
  <c r="M6" i="12" s="1"/>
  <c r="O8" i="29"/>
  <c r="O11" i="29" s="1"/>
  <c r="N6" i="12" s="1"/>
  <c r="P8" i="29" l="1"/>
  <c r="Q8" i="29" l="1"/>
  <c r="P11" i="29"/>
  <c r="O6" i="12" s="1"/>
  <c r="R8" i="29" l="1"/>
  <c r="R11" i="29" l="1"/>
  <c r="Q6" i="12" s="1"/>
  <c r="S8" i="29"/>
  <c r="S11" i="29" l="1"/>
  <c r="R6" i="12" s="1"/>
  <c r="T8" i="29"/>
  <c r="U8" i="29" l="1"/>
  <c r="T11" i="29"/>
  <c r="S6" i="12" s="1"/>
  <c r="V8" i="29" l="1"/>
  <c r="W8" i="29" l="1"/>
  <c r="W11" i="29" s="1"/>
  <c r="V6" i="12" s="1"/>
  <c r="V11" i="29"/>
  <c r="U6" i="12" s="1"/>
  <c r="X8" i="29" l="1"/>
  <c r="Y8" i="29" l="1"/>
  <c r="X11" i="29"/>
  <c r="W6" i="12" s="1"/>
  <c r="Z8" i="29" l="1"/>
  <c r="AA8" i="29" l="1"/>
  <c r="AA11" i="29" s="1"/>
  <c r="Z6" i="12" s="1"/>
  <c r="Z11" i="29"/>
  <c r="Y6" i="12" s="1"/>
  <c r="AB8" i="29" l="1"/>
  <c r="AC8" i="29" l="1"/>
  <c r="AB11" i="29"/>
  <c r="AA6" i="12" s="1"/>
  <c r="AD8" i="29" l="1"/>
  <c r="AD11" i="29" l="1"/>
  <c r="AC6" i="12" s="1"/>
  <c r="AE8" i="29"/>
  <c r="AE11" i="29" s="1"/>
  <c r="AD6" i="12" s="1"/>
  <c r="AF8" i="29" l="1"/>
  <c r="AF11" i="29" s="1"/>
  <c r="AE6" i="12" s="1"/>
  <c r="AG8" i="29" l="1"/>
  <c r="AH8" i="29"/>
  <c r="AH11" i="29" l="1"/>
  <c r="AG6" i="12" s="1"/>
  <c r="AI8" i="29"/>
  <c r="AI11" i="29" s="1"/>
  <c r="AH6" i="12" s="1"/>
  <c r="AJ8" i="29" l="1"/>
  <c r="AK8" i="29" l="1"/>
  <c r="AJ11" i="29"/>
  <c r="AI6" i="12" s="1"/>
  <c r="AL8" i="29" l="1"/>
  <c r="AM8" i="29" l="1"/>
  <c r="AM11" i="29" s="1"/>
  <c r="AL6" i="12" s="1"/>
  <c r="AL11" i="29"/>
  <c r="AK6" i="12" s="1"/>
  <c r="AN8" i="29" l="1"/>
  <c r="AO8" i="29" l="1"/>
  <c r="AN11" i="29"/>
  <c r="AM6" i="12" s="1"/>
  <c r="AP8" i="29" l="1"/>
  <c r="AQ8" i="29" l="1"/>
  <c r="AQ11" i="29" s="1"/>
  <c r="AP6" i="12" s="1"/>
  <c r="AP11" i="29"/>
  <c r="AO6" i="12" s="1"/>
  <c r="AR8" i="29" l="1"/>
  <c r="AR11" i="29" s="1"/>
  <c r="AQ6" i="12" s="1"/>
  <c r="AS8" i="29" l="1"/>
  <c r="AT8" i="29"/>
  <c r="AT11" i="29" s="1"/>
  <c r="AS6" i="12" s="1"/>
  <c r="A15" i="7" l="1"/>
  <c r="A16" i="7"/>
  <c r="A17" i="7"/>
  <c r="A18" i="7"/>
  <c r="C90" i="6"/>
  <c r="D90" i="6" s="1"/>
  <c r="A90" i="6"/>
  <c r="D78" i="6"/>
  <c r="E78" i="6" s="1"/>
  <c r="C85" i="6"/>
  <c r="D85" i="6" s="1"/>
  <c r="E85" i="6" s="1"/>
  <c r="C86" i="6"/>
  <c r="D86" i="6" s="1"/>
  <c r="E86" i="6" s="1"/>
  <c r="C87" i="6"/>
  <c r="D87" i="6" s="1"/>
  <c r="E87" i="6" s="1"/>
  <c r="C88" i="6"/>
  <c r="D88" i="6" s="1"/>
  <c r="E88" i="6" s="1"/>
  <c r="F88" i="6" s="1"/>
  <c r="C84" i="6"/>
  <c r="D84" i="6" s="1"/>
  <c r="E84" i="6" s="1"/>
  <c r="C79" i="6"/>
  <c r="D79" i="6" s="1"/>
  <c r="E79" i="6" s="1"/>
  <c r="C80" i="6"/>
  <c r="D80" i="6" s="1"/>
  <c r="E80" i="6" s="1"/>
  <c r="C81" i="6"/>
  <c r="D81" i="6" s="1"/>
  <c r="E81" i="6" s="1"/>
  <c r="C78" i="6"/>
  <c r="P13" i="6"/>
  <c r="Q13" i="6" s="1"/>
  <c r="R13" i="6" s="1"/>
  <c r="S13" i="6" s="1"/>
  <c r="T13" i="6" s="1"/>
  <c r="J10" i="6"/>
  <c r="K10" i="6" s="1"/>
  <c r="L10" i="6" s="1"/>
  <c r="M10" i="6" s="1"/>
  <c r="N10" i="6" s="1"/>
  <c r="O10" i="6" s="1"/>
  <c r="P10" i="6" s="1"/>
  <c r="Q10" i="6" s="1"/>
  <c r="R10" i="6" s="1"/>
  <c r="S10" i="6" s="1"/>
  <c r="T10" i="6" s="1"/>
  <c r="J11" i="6"/>
  <c r="K11" i="6" s="1"/>
  <c r="L11" i="6" s="1"/>
  <c r="M11" i="6" s="1"/>
  <c r="N11" i="6" s="1"/>
  <c r="O11" i="6" s="1"/>
  <c r="P11" i="6" s="1"/>
  <c r="Q11" i="6" s="1"/>
  <c r="R11" i="6" s="1"/>
  <c r="S11" i="6" s="1"/>
  <c r="T11" i="6" s="1"/>
  <c r="J12" i="6"/>
  <c r="K12" i="6" s="1"/>
  <c r="L12" i="6" s="1"/>
  <c r="M12" i="6" s="1"/>
  <c r="N12" i="6" s="1"/>
  <c r="O12" i="6" s="1"/>
  <c r="P12" i="6" s="1"/>
  <c r="Q12" i="6" s="1"/>
  <c r="R12" i="6" s="1"/>
  <c r="S12" i="6" s="1"/>
  <c r="T12" i="6" s="1"/>
  <c r="J13" i="6"/>
  <c r="K13" i="6" s="1"/>
  <c r="L13" i="6" s="1"/>
  <c r="M13" i="6" s="1"/>
  <c r="J14" i="6"/>
  <c r="K14" i="6" s="1"/>
  <c r="L14" i="6" s="1"/>
  <c r="M14" i="6" s="1"/>
  <c r="N14" i="6" s="1"/>
  <c r="O14" i="6" s="1"/>
  <c r="P14" i="6" s="1"/>
  <c r="Q14" i="6" s="1"/>
  <c r="R14" i="6" s="1"/>
  <c r="S14" i="6" s="1"/>
  <c r="T14" i="6" s="1"/>
  <c r="J9" i="6"/>
  <c r="K9" i="6" s="1"/>
  <c r="L9" i="6" s="1"/>
  <c r="M9" i="6" s="1"/>
  <c r="N9" i="6" s="1"/>
  <c r="O9" i="6" s="1"/>
  <c r="P9" i="6" s="1"/>
  <c r="Q9" i="6" s="1"/>
  <c r="R9" i="6" s="1"/>
  <c r="S9" i="6" s="1"/>
  <c r="T9" i="6" s="1"/>
  <c r="J3" i="6"/>
  <c r="K3" i="6" s="1"/>
  <c r="L3" i="6" s="1"/>
  <c r="M3" i="6" s="1"/>
  <c r="N3" i="6" s="1"/>
  <c r="O3" i="6" s="1"/>
  <c r="P3" i="6" s="1"/>
  <c r="Q3" i="6" s="1"/>
  <c r="R3" i="6" s="1"/>
  <c r="S3" i="6" s="1"/>
  <c r="T3" i="6" s="1"/>
  <c r="J4" i="6"/>
  <c r="K4" i="6" s="1"/>
  <c r="L4" i="6" s="1"/>
  <c r="M4" i="6" s="1"/>
  <c r="N4" i="6" s="1"/>
  <c r="O4" i="6" s="1"/>
  <c r="P4" i="6" s="1"/>
  <c r="Q4" i="6" s="1"/>
  <c r="R4" i="6" s="1"/>
  <c r="S4" i="6" s="1"/>
  <c r="T4" i="6" s="1"/>
  <c r="J5" i="6"/>
  <c r="K5" i="6" s="1"/>
  <c r="L5" i="6" s="1"/>
  <c r="M5" i="6" s="1"/>
  <c r="N5" i="6" s="1"/>
  <c r="O5" i="6" s="1"/>
  <c r="P5" i="6" s="1"/>
  <c r="Q5" i="6" s="1"/>
  <c r="R5" i="6" s="1"/>
  <c r="S5" i="6" s="1"/>
  <c r="T5" i="6" s="1"/>
  <c r="J2" i="6"/>
  <c r="K2" i="6" s="1"/>
  <c r="L2" i="6" s="1"/>
  <c r="M2" i="6" s="1"/>
  <c r="N2" i="6" s="1"/>
  <c r="O2" i="6" s="1"/>
  <c r="P2" i="6" s="1"/>
  <c r="Q2" i="6" s="1"/>
  <c r="R2" i="6" s="1"/>
  <c r="S2" i="6" s="1"/>
  <c r="T2" i="6" s="1"/>
  <c r="B60" i="6"/>
  <c r="E24" i="3"/>
  <c r="W8" i="3"/>
  <c r="V8" i="3"/>
  <c r="E12" i="3"/>
  <c r="R8" i="3"/>
  <c r="C2" i="3"/>
  <c r="C12" i="3" s="1"/>
  <c r="D35" i="4"/>
  <c r="E35" i="4"/>
  <c r="C35" i="4"/>
  <c r="F35" i="4"/>
  <c r="Z3" i="4"/>
  <c r="D23" i="4"/>
  <c r="R3" i="4"/>
  <c r="E10" i="4" s="1"/>
  <c r="S3" i="4"/>
  <c r="F10" i="4" s="1"/>
  <c r="T3" i="4"/>
  <c r="U3" i="4"/>
  <c r="V3" i="4"/>
  <c r="W3" i="4"/>
  <c r="X3" i="4"/>
  <c r="C89" i="6" l="1"/>
  <c r="G2" i="5"/>
  <c r="G29" i="3"/>
  <c r="E90" i="6"/>
  <c r="G10" i="4"/>
  <c r="M35" i="4"/>
  <c r="L35" i="4"/>
  <c r="H35" i="4"/>
  <c r="K35" i="4"/>
  <c r="G35" i="4"/>
  <c r="J35" i="4"/>
  <c r="I35" i="4"/>
  <c r="K10" i="4"/>
  <c r="I10" i="4"/>
  <c r="H10" i="4"/>
  <c r="A16" i="5"/>
  <c r="A3" i="5"/>
  <c r="A17" i="5" s="1"/>
  <c r="L12" i="4"/>
  <c r="AM5" i="29" s="1"/>
  <c r="J10" i="4"/>
  <c r="A17" i="4"/>
  <c r="A18" i="4"/>
  <c r="A19" i="4"/>
  <c r="A26" i="4" s="1"/>
  <c r="A16" i="4"/>
  <c r="A11" i="4"/>
  <c r="A12" i="4"/>
  <c r="A5" i="29" s="1"/>
  <c r="A13" i="4"/>
  <c r="A6" i="29" s="1"/>
  <c r="A10" i="4"/>
  <c r="A3" i="29" s="1"/>
  <c r="A9" i="4"/>
  <c r="E7" i="4"/>
  <c r="F7" i="4" s="1"/>
  <c r="G7" i="4" s="1"/>
  <c r="H7" i="4" s="1"/>
  <c r="I7" i="4" s="1"/>
  <c r="J7" i="4" s="1"/>
  <c r="K7" i="4" s="1"/>
  <c r="L7" i="4" s="1"/>
  <c r="M7" i="4" s="1"/>
  <c r="F3" i="4" l="1"/>
  <c r="H29" i="3"/>
  <c r="I29" i="3" s="1"/>
  <c r="J29" i="3" s="1"/>
  <c r="K29" i="3" s="1"/>
  <c r="L29" i="3" s="1"/>
  <c r="M29" i="3" s="1"/>
  <c r="N29" i="3" s="1"/>
  <c r="O29" i="3" s="1"/>
  <c r="A4" i="5"/>
  <c r="AN5" i="29"/>
  <c r="F90" i="6"/>
  <c r="F23" i="4"/>
  <c r="G3" i="4"/>
  <c r="E23" i="4"/>
  <c r="L13" i="4"/>
  <c r="AM6" i="29" s="1"/>
  <c r="L11" i="4"/>
  <c r="AK4" i="29" s="1"/>
  <c r="AK11" i="29" s="1"/>
  <c r="AJ6" i="12" s="1"/>
  <c r="M10" i="4"/>
  <c r="L10" i="4"/>
  <c r="N10" i="4" s="1"/>
  <c r="L21" i="13"/>
  <c r="L23" i="13"/>
  <c r="L27" i="13"/>
  <c r="L29" i="13"/>
  <c r="L31" i="13"/>
  <c r="K21" i="13"/>
  <c r="K23" i="13"/>
  <c r="K27" i="13"/>
  <c r="K29" i="13"/>
  <c r="K31" i="13"/>
  <c r="J21" i="13"/>
  <c r="J29" i="13"/>
  <c r="J31" i="13"/>
  <c r="I21" i="13"/>
  <c r="I29" i="13"/>
  <c r="I31" i="13"/>
  <c r="H21" i="13"/>
  <c r="H29" i="13"/>
  <c r="H31" i="13"/>
  <c r="G21" i="13"/>
  <c r="F21" i="13"/>
  <c r="F4" i="4" l="1"/>
  <c r="G4" i="4" s="1"/>
  <c r="H4" i="4" s="1"/>
  <c r="I4" i="4" s="1"/>
  <c r="J4" i="4" s="1"/>
  <c r="G35" i="3"/>
  <c r="AN6" i="29"/>
  <c r="AM18" i="29"/>
  <c r="AO5" i="29"/>
  <c r="A18" i="5"/>
  <c r="A5" i="5"/>
  <c r="A19" i="5" s="1"/>
  <c r="G90" i="6"/>
  <c r="L39" i="4"/>
  <c r="G23" i="4"/>
  <c r="H3" i="4"/>
  <c r="H2" i="5"/>
  <c r="I2" i="5" s="1"/>
  <c r="J2" i="5" s="1"/>
  <c r="K2" i="5" s="1"/>
  <c r="L2" i="5"/>
  <c r="D16" i="5"/>
  <c r="F85" i="6"/>
  <c r="G85" i="6" s="1"/>
  <c r="H85" i="6" s="1"/>
  <c r="I85" i="6" s="1"/>
  <c r="J85" i="6" s="1"/>
  <c r="K85" i="6" s="1"/>
  <c r="L85" i="6" s="1"/>
  <c r="F86" i="6"/>
  <c r="G86" i="6" s="1"/>
  <c r="H86" i="6" s="1"/>
  <c r="I86" i="6" s="1"/>
  <c r="J86" i="6" s="1"/>
  <c r="K86" i="6" s="1"/>
  <c r="L86" i="6" s="1"/>
  <c r="F87" i="6"/>
  <c r="G87" i="6" s="1"/>
  <c r="H87" i="6" s="1"/>
  <c r="I87" i="6" s="1"/>
  <c r="J87" i="6" s="1"/>
  <c r="K87" i="6" s="1"/>
  <c r="L87" i="6" s="1"/>
  <c r="G88" i="6"/>
  <c r="H88" i="6" s="1"/>
  <c r="I88" i="6" s="1"/>
  <c r="J88" i="6" s="1"/>
  <c r="K88" i="6" s="1"/>
  <c r="L88" i="6" s="1"/>
  <c r="F84" i="6"/>
  <c r="G84" i="6" s="1"/>
  <c r="H84" i="6" s="1"/>
  <c r="I84" i="6" s="1"/>
  <c r="J84" i="6" s="1"/>
  <c r="K84" i="6" s="1"/>
  <c r="L84" i="6" s="1"/>
  <c r="F79" i="6"/>
  <c r="G79" i="6" s="1"/>
  <c r="H79" i="6" s="1"/>
  <c r="I79" i="6" s="1"/>
  <c r="J79" i="6" s="1"/>
  <c r="K79" i="6" s="1"/>
  <c r="L79" i="6" s="1"/>
  <c r="F80" i="6"/>
  <c r="G80" i="6" s="1"/>
  <c r="H80" i="6" s="1"/>
  <c r="I80" i="6" s="1"/>
  <c r="J80" i="6" s="1"/>
  <c r="K80" i="6" s="1"/>
  <c r="L80" i="6" s="1"/>
  <c r="F81" i="6"/>
  <c r="G81" i="6" s="1"/>
  <c r="H81" i="6" s="1"/>
  <c r="I81" i="6" s="1"/>
  <c r="J81" i="6" s="1"/>
  <c r="K81" i="6" s="1"/>
  <c r="L81" i="6" s="1"/>
  <c r="F78" i="6"/>
  <c r="G78" i="6" s="1"/>
  <c r="H78" i="6" s="1"/>
  <c r="I78" i="6" s="1"/>
  <c r="J78" i="6" s="1"/>
  <c r="K78" i="6" s="1"/>
  <c r="L78" i="6" s="1"/>
  <c r="G28" i="3"/>
  <c r="H28" i="3" s="1"/>
  <c r="I28" i="3" s="1"/>
  <c r="J28" i="3" s="1"/>
  <c r="K28" i="3" s="1"/>
  <c r="L28" i="3" s="1"/>
  <c r="M28" i="3" s="1"/>
  <c r="N28" i="3" s="1"/>
  <c r="O28" i="3" s="1"/>
  <c r="A28" i="3"/>
  <c r="A27" i="3"/>
  <c r="W6" i="3"/>
  <c r="W7" i="3"/>
  <c r="X6" i="3"/>
  <c r="X7" i="3"/>
  <c r="X8" i="3"/>
  <c r="AA8" i="3" s="1"/>
  <c r="X9" i="3"/>
  <c r="X10" i="3"/>
  <c r="X11" i="3"/>
  <c r="Y6" i="3"/>
  <c r="Y7" i="3"/>
  <c r="Z6" i="3"/>
  <c r="Z7" i="3"/>
  <c r="V6" i="3"/>
  <c r="V7" i="3"/>
  <c r="Z5" i="4"/>
  <c r="M12" i="4" s="1"/>
  <c r="AQ5" i="29" s="1"/>
  <c r="Z6" i="4"/>
  <c r="M13" i="4" s="1"/>
  <c r="AQ6" i="29" s="1"/>
  <c r="X5" i="4"/>
  <c r="X6" i="4"/>
  <c r="W5" i="4"/>
  <c r="J12" i="4" s="1"/>
  <c r="AE5" i="29" s="1"/>
  <c r="W6" i="4"/>
  <c r="J13" i="4" s="1"/>
  <c r="AE6" i="29" s="1"/>
  <c r="V5" i="4"/>
  <c r="I12" i="4" s="1"/>
  <c r="AA5" i="29" s="1"/>
  <c r="V6" i="4"/>
  <c r="I13" i="4" s="1"/>
  <c r="AA6" i="29" s="1"/>
  <c r="U5" i="4"/>
  <c r="H12" i="4" s="1"/>
  <c r="W5" i="29" s="1"/>
  <c r="U6" i="4"/>
  <c r="H13" i="4" s="1"/>
  <c r="W6" i="29" s="1"/>
  <c r="T5" i="4"/>
  <c r="G12" i="4" s="1"/>
  <c r="S5" i="29" s="1"/>
  <c r="T6" i="4"/>
  <c r="G13" i="4" s="1"/>
  <c r="S6" i="29" s="1"/>
  <c r="S5" i="4"/>
  <c r="S6" i="4"/>
  <c r="F13" i="4" s="1"/>
  <c r="O6" i="29" s="1"/>
  <c r="R5" i="4"/>
  <c r="E12" i="4" s="1"/>
  <c r="K5" i="29" s="1"/>
  <c r="R6" i="4"/>
  <c r="E13" i="4" s="1"/>
  <c r="K6" i="29" s="1"/>
  <c r="L6" i="29" s="1"/>
  <c r="Q5" i="4"/>
  <c r="D12" i="4" s="1"/>
  <c r="E5" i="29" s="1"/>
  <c r="Q6" i="4"/>
  <c r="D13" i="4" s="1"/>
  <c r="G6" i="29" s="1"/>
  <c r="A25" i="4"/>
  <c r="A24" i="4"/>
  <c r="E5" i="4"/>
  <c r="F6" i="4"/>
  <c r="K4" i="4" l="1"/>
  <c r="L4" i="4" s="1"/>
  <c r="M4" i="4" s="1"/>
  <c r="N4" i="4"/>
  <c r="F5" i="4"/>
  <c r="K13" i="4"/>
  <c r="AI6" i="29" s="1"/>
  <c r="P6" i="4"/>
  <c r="C13" i="4" s="1"/>
  <c r="N13" i="4" s="1"/>
  <c r="K12" i="4"/>
  <c r="AI5" i="29" s="1"/>
  <c r="AJ5" i="29" s="1"/>
  <c r="P5" i="4"/>
  <c r="C12" i="4" s="1"/>
  <c r="F12" i="4"/>
  <c r="O5" i="29" s="1"/>
  <c r="T6" i="29"/>
  <c r="S18" i="29"/>
  <c r="X6" i="29"/>
  <c r="W18" i="29"/>
  <c r="AB6" i="29"/>
  <c r="AA18" i="29"/>
  <c r="AF6" i="29"/>
  <c r="AE18" i="29"/>
  <c r="AR6" i="29"/>
  <c r="AQ18" i="29"/>
  <c r="P6" i="29"/>
  <c r="AJ6" i="29"/>
  <c r="AI18" i="29"/>
  <c r="AO6" i="29"/>
  <c r="AN18" i="29"/>
  <c r="AA7" i="3"/>
  <c r="L5" i="29"/>
  <c r="T5" i="29"/>
  <c r="X5" i="29"/>
  <c r="AP5" i="29"/>
  <c r="AF5" i="29"/>
  <c r="E26" i="4"/>
  <c r="L5" i="5" s="1"/>
  <c r="M5" i="5" s="1"/>
  <c r="N5" i="5" s="1"/>
  <c r="O5" i="5" s="1"/>
  <c r="AR5" i="29"/>
  <c r="AB5" i="29"/>
  <c r="AA6" i="3"/>
  <c r="F26" i="3"/>
  <c r="H90" i="6"/>
  <c r="D26" i="4"/>
  <c r="H5" i="5" s="1"/>
  <c r="I5" i="5" s="1"/>
  <c r="J5" i="5" s="1"/>
  <c r="K5" i="5" s="1"/>
  <c r="F5" i="29"/>
  <c r="G5" i="29"/>
  <c r="H23" i="4"/>
  <c r="I3" i="4"/>
  <c r="G6" i="4"/>
  <c r="H6" i="4" s="1"/>
  <c r="I6" i="4" s="1"/>
  <c r="J6" i="4" s="1"/>
  <c r="K6" i="4" s="1"/>
  <c r="L6" i="4" s="1"/>
  <c r="F26" i="4"/>
  <c r="P5" i="5" s="1"/>
  <c r="Q5" i="5" s="1"/>
  <c r="R5" i="5" s="1"/>
  <c r="S5" i="5" s="1"/>
  <c r="G5" i="4"/>
  <c r="F25" i="4"/>
  <c r="P4" i="5" s="1"/>
  <c r="Q4" i="5" s="1"/>
  <c r="R4" i="5" s="1"/>
  <c r="S4" i="5" s="1"/>
  <c r="E25" i="4"/>
  <c r="L4" i="5" s="1"/>
  <c r="M4" i="5" s="1"/>
  <c r="N4" i="5" s="1"/>
  <c r="O4" i="5" s="1"/>
  <c r="D25" i="4"/>
  <c r="L24" i="4"/>
  <c r="E16" i="5"/>
  <c r="M2" i="5"/>
  <c r="P2" i="5"/>
  <c r="BF8" i="6"/>
  <c r="BF17" i="6"/>
  <c r="BF28" i="6"/>
  <c r="BF36" i="6"/>
  <c r="BF37" i="6"/>
  <c r="BF38" i="6"/>
  <c r="BF39" i="6"/>
  <c r="BF40" i="6"/>
  <c r="BF41" i="6"/>
  <c r="BF42" i="6"/>
  <c r="BF43" i="6"/>
  <c r="BF44" i="6"/>
  <c r="BF45" i="6"/>
  <c r="BF57" i="6"/>
  <c r="BE8" i="6"/>
  <c r="BE17" i="6"/>
  <c r="BE28" i="6"/>
  <c r="BE36" i="6"/>
  <c r="BE37" i="6"/>
  <c r="BE38" i="6"/>
  <c r="BE39" i="6"/>
  <c r="BE40" i="6"/>
  <c r="BE41" i="6"/>
  <c r="BE42" i="6"/>
  <c r="BE43" i="6"/>
  <c r="BE44" i="6"/>
  <c r="BE45" i="6"/>
  <c r="BE57" i="6"/>
  <c r="BD8" i="6"/>
  <c r="BD17" i="6"/>
  <c r="BD28" i="6"/>
  <c r="BD36" i="6"/>
  <c r="BD57" i="6"/>
  <c r="BC8" i="6"/>
  <c r="BC17" i="6"/>
  <c r="BC28" i="6"/>
  <c r="BC36" i="6"/>
  <c r="BC57" i="6"/>
  <c r="BB8" i="6"/>
  <c r="BB17" i="6"/>
  <c r="BB28" i="6"/>
  <c r="BB36" i="6"/>
  <c r="BB57" i="6"/>
  <c r="BA8" i="6"/>
  <c r="BA17" i="6"/>
  <c r="BA28" i="6"/>
  <c r="BA36" i="6"/>
  <c r="BA57" i="6"/>
  <c r="AZ8" i="6"/>
  <c r="AZ13" i="6"/>
  <c r="AZ17" i="6"/>
  <c r="AZ28" i="6"/>
  <c r="AZ36" i="6"/>
  <c r="AY8" i="6"/>
  <c r="AY13" i="6"/>
  <c r="AY17" i="6"/>
  <c r="AY28" i="6"/>
  <c r="AY36" i="6"/>
  <c r="AX8" i="6"/>
  <c r="AX13" i="6"/>
  <c r="AX17" i="6"/>
  <c r="AX28" i="6"/>
  <c r="AX36" i="6"/>
  <c r="AW2" i="6"/>
  <c r="C40" i="12"/>
  <c r="N6" i="4" l="1"/>
  <c r="N12" i="4"/>
  <c r="F6" i="29"/>
  <c r="E6" i="29"/>
  <c r="C26" i="4"/>
  <c r="F5" i="5" s="1"/>
  <c r="G5" i="5" s="1"/>
  <c r="C25" i="4"/>
  <c r="F34" i="3"/>
  <c r="O18" i="29"/>
  <c r="P5" i="29"/>
  <c r="Q6" i="29"/>
  <c r="P18" i="29"/>
  <c r="AS6" i="29"/>
  <c r="AR18" i="29"/>
  <c r="AG6" i="29"/>
  <c r="AF18" i="29"/>
  <c r="AC6" i="29"/>
  <c r="AB18" i="29"/>
  <c r="AP6" i="29"/>
  <c r="AP18" i="29" s="1"/>
  <c r="AO18" i="29"/>
  <c r="Y6" i="29"/>
  <c r="X18" i="29"/>
  <c r="AK6" i="29"/>
  <c r="AJ18" i="29"/>
  <c r="U6" i="29"/>
  <c r="T18" i="29"/>
  <c r="K18" i="29"/>
  <c r="H6" i="29"/>
  <c r="G18" i="29"/>
  <c r="Y5" i="29"/>
  <c r="AS5" i="29"/>
  <c r="U5" i="29"/>
  <c r="AK5" i="29"/>
  <c r="Q5" i="29"/>
  <c r="K26" i="4"/>
  <c r="AJ5" i="5" s="1"/>
  <c r="P6" i="5"/>
  <c r="O17" i="29" s="1"/>
  <c r="M5" i="29"/>
  <c r="N2" i="5"/>
  <c r="AG5" i="29"/>
  <c r="AC5" i="29"/>
  <c r="H27" i="3"/>
  <c r="H33" i="3" s="1"/>
  <c r="G26" i="3"/>
  <c r="L6" i="5"/>
  <c r="K17" i="29" s="1"/>
  <c r="I90" i="6"/>
  <c r="H5" i="29"/>
  <c r="H4" i="5"/>
  <c r="M6" i="4"/>
  <c r="M26" i="4" s="1"/>
  <c r="AR5" i="5" s="1"/>
  <c r="L26" i="4"/>
  <c r="AN5" i="5" s="1"/>
  <c r="H5" i="4"/>
  <c r="G25" i="4"/>
  <c r="T4" i="5" s="1"/>
  <c r="U4" i="5" s="1"/>
  <c r="V4" i="5" s="1"/>
  <c r="W4" i="5" s="1"/>
  <c r="J26" i="4"/>
  <c r="AF5" i="5" s="1"/>
  <c r="G26" i="4"/>
  <c r="T5" i="5" s="1"/>
  <c r="U5" i="5" s="1"/>
  <c r="V5" i="5" s="1"/>
  <c r="W5" i="5" s="1"/>
  <c r="I26" i="4"/>
  <c r="AB5" i="5" s="1"/>
  <c r="AC5" i="5" s="1"/>
  <c r="AD5" i="5" s="1"/>
  <c r="AE5" i="5" s="1"/>
  <c r="H26" i="4"/>
  <c r="X5" i="5" s="1"/>
  <c r="Y5" i="5" s="1"/>
  <c r="Z5" i="5" s="1"/>
  <c r="AA5" i="5" s="1"/>
  <c r="J3" i="4"/>
  <c r="I23" i="4"/>
  <c r="Q2" i="5"/>
  <c r="T2" i="5"/>
  <c r="K33" i="29"/>
  <c r="K43" i="29" s="1"/>
  <c r="L33" i="29"/>
  <c r="L43" i="29" s="1"/>
  <c r="C33" i="29"/>
  <c r="C43" i="29" s="1"/>
  <c r="D33" i="29"/>
  <c r="D43" i="29" s="1"/>
  <c r="E33" i="29"/>
  <c r="E43" i="29" s="1"/>
  <c r="F33" i="29"/>
  <c r="F43" i="29" s="1"/>
  <c r="G33" i="29"/>
  <c r="G43" i="29" s="1"/>
  <c r="H33" i="29"/>
  <c r="H43" i="29" s="1"/>
  <c r="I33" i="29"/>
  <c r="I43" i="29" s="1"/>
  <c r="J33" i="29"/>
  <c r="J43" i="29" s="1"/>
  <c r="B33" i="29"/>
  <c r="B43" i="29" s="1"/>
  <c r="A34" i="29"/>
  <c r="A33" i="29"/>
  <c r="N22" i="12" l="1"/>
  <c r="J22" i="12"/>
  <c r="F4" i="5"/>
  <c r="G4" i="5" s="1"/>
  <c r="H35" i="3"/>
  <c r="G34" i="3"/>
  <c r="AD6" i="29"/>
  <c r="AC18" i="29"/>
  <c r="AH6" i="29"/>
  <c r="AG18" i="29"/>
  <c r="V6" i="29"/>
  <c r="U18" i="29"/>
  <c r="AT6" i="29"/>
  <c r="AS18" i="29"/>
  <c r="Z6" i="29"/>
  <c r="Y18" i="29"/>
  <c r="AL6" i="29"/>
  <c r="AK18" i="29"/>
  <c r="R6" i="29"/>
  <c r="Q18" i="29"/>
  <c r="M6" i="29"/>
  <c r="L18" i="29"/>
  <c r="I6" i="29"/>
  <c r="H18" i="29"/>
  <c r="T6" i="5"/>
  <c r="S17" i="29" s="1"/>
  <c r="AD5" i="29"/>
  <c r="V5" i="29"/>
  <c r="AH5" i="29"/>
  <c r="N5" i="29"/>
  <c r="I27" i="3"/>
  <c r="I33" i="3" s="1"/>
  <c r="H26" i="3"/>
  <c r="R5" i="29"/>
  <c r="R2" i="5"/>
  <c r="AL5" i="29"/>
  <c r="AT5" i="29"/>
  <c r="K13" i="29"/>
  <c r="J7" i="12" s="1"/>
  <c r="K16" i="29"/>
  <c r="O13" i="29"/>
  <c r="N7" i="12" s="1"/>
  <c r="O16" i="29"/>
  <c r="O2" i="5"/>
  <c r="N6" i="5"/>
  <c r="M17" i="29" s="1"/>
  <c r="Z5" i="29"/>
  <c r="J90" i="6"/>
  <c r="I4" i="5"/>
  <c r="H6" i="5"/>
  <c r="G17" i="29" s="1"/>
  <c r="I5" i="29"/>
  <c r="I5" i="4"/>
  <c r="H25" i="4"/>
  <c r="X4" i="5" s="1"/>
  <c r="Y4" i="5" s="1"/>
  <c r="Z4" i="5" s="1"/>
  <c r="AA4" i="5" s="1"/>
  <c r="K3" i="4"/>
  <c r="J23" i="4"/>
  <c r="U2" i="5"/>
  <c r="X2" i="5"/>
  <c r="D24" i="29"/>
  <c r="E24" i="29"/>
  <c r="C24" i="29"/>
  <c r="A24" i="29"/>
  <c r="A44" i="29" s="1"/>
  <c r="F22" i="12" l="1"/>
  <c r="L22" i="12"/>
  <c r="R22" i="12"/>
  <c r="AT18" i="29"/>
  <c r="AL18" i="29"/>
  <c r="Z18" i="29"/>
  <c r="I35" i="3"/>
  <c r="S16" i="29"/>
  <c r="R11" i="12" s="1"/>
  <c r="H34" i="3"/>
  <c r="S13" i="29"/>
  <c r="R7" i="12" s="1"/>
  <c r="V18" i="29"/>
  <c r="AH18" i="29"/>
  <c r="R18" i="29"/>
  <c r="AD18" i="29"/>
  <c r="N6" i="29"/>
  <c r="N18" i="29" s="1"/>
  <c r="M18" i="29"/>
  <c r="J6" i="29"/>
  <c r="I18" i="29"/>
  <c r="J11" i="12"/>
  <c r="J27" i="3"/>
  <c r="J33" i="3" s="1"/>
  <c r="I26" i="3"/>
  <c r="N11" i="12"/>
  <c r="V2" i="5"/>
  <c r="X6" i="5"/>
  <c r="W17" i="29" s="1"/>
  <c r="S2" i="5"/>
  <c r="R6" i="5"/>
  <c r="Q17" i="29" s="1"/>
  <c r="M13" i="29"/>
  <c r="L7" i="12" s="1"/>
  <c r="M16" i="29"/>
  <c r="L11" i="12" s="1"/>
  <c r="F16" i="5"/>
  <c r="K90" i="6"/>
  <c r="J5" i="29"/>
  <c r="G13" i="29"/>
  <c r="F7" i="12" s="1"/>
  <c r="G16" i="29"/>
  <c r="J4" i="5"/>
  <c r="L3" i="4"/>
  <c r="N3" i="4" s="1"/>
  <c r="K23" i="4"/>
  <c r="J5" i="4"/>
  <c r="I25" i="4"/>
  <c r="AB4" i="5" s="1"/>
  <c r="AC4" i="5" s="1"/>
  <c r="AD4" i="5" s="1"/>
  <c r="AE4" i="5" s="1"/>
  <c r="AB2" i="5"/>
  <c r="Y2" i="5"/>
  <c r="D28" i="29"/>
  <c r="E28" i="29"/>
  <c r="F28" i="29"/>
  <c r="G28" i="29"/>
  <c r="H28" i="29"/>
  <c r="I28" i="29"/>
  <c r="J28" i="29"/>
  <c r="C28" i="29"/>
  <c r="A28" i="29"/>
  <c r="A48" i="29" s="1"/>
  <c r="A27" i="29"/>
  <c r="A47" i="29" s="1"/>
  <c r="A25" i="29"/>
  <c r="A45" i="29" s="1"/>
  <c r="V22" i="12" l="1"/>
  <c r="P22" i="12"/>
  <c r="J35" i="3"/>
  <c r="I34" i="3"/>
  <c r="C38" i="3" s="1"/>
  <c r="J18" i="29"/>
  <c r="AB6" i="5"/>
  <c r="AA17" i="29" s="1"/>
  <c r="W2" i="5"/>
  <c r="W6" i="5" s="1"/>
  <c r="V17" i="29" s="1"/>
  <c r="V6" i="5"/>
  <c r="U17" i="29" s="1"/>
  <c r="S6" i="5"/>
  <c r="R17" i="29" s="1"/>
  <c r="G16" i="5"/>
  <c r="K27" i="3"/>
  <c r="K33" i="3" s="1"/>
  <c r="J26" i="3"/>
  <c r="Z2" i="5"/>
  <c r="W13" i="29"/>
  <c r="V7" i="12" s="1"/>
  <c r="W16" i="29"/>
  <c r="Q16" i="29"/>
  <c r="P11" i="12" s="1"/>
  <c r="Q13" i="29"/>
  <c r="P7" i="12" s="1"/>
  <c r="L90" i="6"/>
  <c r="K4" i="5"/>
  <c r="J6" i="5"/>
  <c r="I17" i="29" s="1"/>
  <c r="F11" i="12"/>
  <c r="K5" i="4"/>
  <c r="J25" i="4"/>
  <c r="AF4" i="5" s="1"/>
  <c r="M3" i="4"/>
  <c r="L23" i="4"/>
  <c r="AF2" i="5"/>
  <c r="AC2" i="5"/>
  <c r="B48" i="29"/>
  <c r="C48" i="29"/>
  <c r="B46" i="29"/>
  <c r="A12" i="29"/>
  <c r="A35" i="29" s="1"/>
  <c r="H16" i="5" l="1"/>
  <c r="Z22" i="12"/>
  <c r="Q22" i="12"/>
  <c r="T22" i="12"/>
  <c r="H22" i="12"/>
  <c r="U22" i="12"/>
  <c r="AA13" i="29"/>
  <c r="Z7" i="12" s="1"/>
  <c r="K35" i="3"/>
  <c r="AA16" i="29"/>
  <c r="J34" i="3"/>
  <c r="Z11" i="12"/>
  <c r="AA2" i="5"/>
  <c r="AA6" i="5" s="1"/>
  <c r="Z17" i="29" s="1"/>
  <c r="Z6" i="5"/>
  <c r="Y17" i="29" s="1"/>
  <c r="K26" i="3"/>
  <c r="L27" i="3"/>
  <c r="L33" i="3" s="1"/>
  <c r="V11" i="12"/>
  <c r="AD2" i="5"/>
  <c r="U13" i="29"/>
  <c r="T7" i="12" s="1"/>
  <c r="U16" i="29"/>
  <c r="T11" i="12" s="1"/>
  <c r="AF6" i="5"/>
  <c r="AE17" i="29" s="1"/>
  <c r="R16" i="29"/>
  <c r="Q11" i="12" s="1"/>
  <c r="R13" i="29"/>
  <c r="Q7" i="12" s="1"/>
  <c r="V13" i="29"/>
  <c r="U7" i="12" s="1"/>
  <c r="V16" i="29"/>
  <c r="U11" i="12" s="1"/>
  <c r="I13" i="29"/>
  <c r="H7" i="12" s="1"/>
  <c r="I16" i="29"/>
  <c r="M23" i="4"/>
  <c r="L5" i="4"/>
  <c r="N5" i="4" s="1"/>
  <c r="K25" i="4"/>
  <c r="AJ4" i="5" s="1"/>
  <c r="AJ2" i="5"/>
  <c r="AG2" i="5"/>
  <c r="AG4" i="5"/>
  <c r="AH4" i="5" s="1"/>
  <c r="AI4" i="5" s="1"/>
  <c r="AG5" i="5"/>
  <c r="AH5" i="5" s="1"/>
  <c r="AI5" i="5" s="1"/>
  <c r="B38" i="29"/>
  <c r="V48" i="3"/>
  <c r="P29" i="3"/>
  <c r="Q29" i="3" s="1"/>
  <c r="R29" i="3" s="1"/>
  <c r="S29" i="3" s="1"/>
  <c r="T29" i="3" s="1"/>
  <c r="U29" i="3" s="1"/>
  <c r="V29" i="3" s="1"/>
  <c r="W29" i="3" s="1"/>
  <c r="X29" i="3" s="1"/>
  <c r="Y29" i="3" s="1"/>
  <c r="Z29" i="3" s="1"/>
  <c r="AA29" i="3" s="1"/>
  <c r="AB29" i="3" s="1"/>
  <c r="AC29" i="3" s="1"/>
  <c r="AD29" i="3" s="1"/>
  <c r="AE29" i="3" s="1"/>
  <c r="AF29" i="3" s="1"/>
  <c r="AG29" i="3" s="1"/>
  <c r="AH29" i="3" s="1"/>
  <c r="AI29" i="3" s="1"/>
  <c r="AJ29" i="3" s="1"/>
  <c r="AK29" i="3" s="1"/>
  <c r="AL29" i="3" s="1"/>
  <c r="AM29" i="3" s="1"/>
  <c r="AN29" i="3" s="1"/>
  <c r="AO29" i="3" s="1"/>
  <c r="AP29" i="3" s="1"/>
  <c r="AQ29" i="3" s="1"/>
  <c r="AR29" i="3" s="1"/>
  <c r="AS29" i="3" s="1"/>
  <c r="AT2" i="29"/>
  <c r="AT10" i="29" s="1"/>
  <c r="AT23" i="29" s="1"/>
  <c r="D2" i="29"/>
  <c r="D10" i="29" s="1"/>
  <c r="D23" i="29" s="1"/>
  <c r="E2" i="29"/>
  <c r="E10" i="29" s="1"/>
  <c r="E23" i="29" s="1"/>
  <c r="F2" i="29"/>
  <c r="F10" i="29" s="1"/>
  <c r="F23" i="29" s="1"/>
  <c r="G2" i="29"/>
  <c r="G10" i="29" s="1"/>
  <c r="G23" i="29" s="1"/>
  <c r="H2" i="29"/>
  <c r="H10" i="29" s="1"/>
  <c r="H23" i="29" s="1"/>
  <c r="I2" i="29"/>
  <c r="I10" i="29" s="1"/>
  <c r="I23" i="29" s="1"/>
  <c r="J2" i="29"/>
  <c r="J10" i="29" s="1"/>
  <c r="J23" i="29" s="1"/>
  <c r="K2" i="29"/>
  <c r="K10" i="29" s="1"/>
  <c r="K23" i="29" s="1"/>
  <c r="L2" i="29"/>
  <c r="L10" i="29" s="1"/>
  <c r="L23" i="29" s="1"/>
  <c r="M2" i="29"/>
  <c r="M10" i="29" s="1"/>
  <c r="M23" i="29" s="1"/>
  <c r="N2" i="29"/>
  <c r="N10" i="29" s="1"/>
  <c r="N23" i="29" s="1"/>
  <c r="O2" i="29"/>
  <c r="O10" i="29" s="1"/>
  <c r="O23" i="29" s="1"/>
  <c r="P2" i="29"/>
  <c r="P10" i="29" s="1"/>
  <c r="P23" i="29" s="1"/>
  <c r="Q2" i="29"/>
  <c r="Q10" i="29" s="1"/>
  <c r="Q23" i="29" s="1"/>
  <c r="R2" i="29"/>
  <c r="R10" i="29" s="1"/>
  <c r="R23" i="29" s="1"/>
  <c r="S2" i="29"/>
  <c r="S10" i="29" s="1"/>
  <c r="S23" i="29" s="1"/>
  <c r="T2" i="29"/>
  <c r="T10" i="29" s="1"/>
  <c r="T23" i="29" s="1"/>
  <c r="U2" i="29"/>
  <c r="U10" i="29" s="1"/>
  <c r="U23" i="29" s="1"/>
  <c r="V2" i="29"/>
  <c r="V10" i="29" s="1"/>
  <c r="V23" i="29" s="1"/>
  <c r="W2" i="29"/>
  <c r="W10" i="29" s="1"/>
  <c r="W23" i="29" s="1"/>
  <c r="X2" i="29"/>
  <c r="X10" i="29" s="1"/>
  <c r="X23" i="29" s="1"/>
  <c r="Y2" i="29"/>
  <c r="Y10" i="29" s="1"/>
  <c r="Y23" i="29" s="1"/>
  <c r="Z2" i="29"/>
  <c r="Z10" i="29" s="1"/>
  <c r="Z23" i="29" s="1"/>
  <c r="AA2" i="29"/>
  <c r="AA10" i="29" s="1"/>
  <c r="AA23" i="29" s="1"/>
  <c r="AB2" i="29"/>
  <c r="AB10" i="29" s="1"/>
  <c r="AB23" i="29" s="1"/>
  <c r="AC2" i="29"/>
  <c r="AC10" i="29" s="1"/>
  <c r="AC23" i="29" s="1"/>
  <c r="AD2" i="29"/>
  <c r="AD10" i="29" s="1"/>
  <c r="AD23" i="29" s="1"/>
  <c r="AE2" i="29"/>
  <c r="AE10" i="29" s="1"/>
  <c r="AE23" i="29" s="1"/>
  <c r="AF2" i="29"/>
  <c r="AF10" i="29" s="1"/>
  <c r="AF23" i="29" s="1"/>
  <c r="AG2" i="29"/>
  <c r="AG10" i="29" s="1"/>
  <c r="AG23" i="29" s="1"/>
  <c r="AH2" i="29"/>
  <c r="AH10" i="29" s="1"/>
  <c r="AH23" i="29" s="1"/>
  <c r="AI2" i="29"/>
  <c r="AI10" i="29" s="1"/>
  <c r="AI23" i="29" s="1"/>
  <c r="AJ2" i="29"/>
  <c r="AJ10" i="29" s="1"/>
  <c r="AJ23" i="29" s="1"/>
  <c r="AK2" i="29"/>
  <c r="AK10" i="29" s="1"/>
  <c r="AK23" i="29" s="1"/>
  <c r="AL2" i="29"/>
  <c r="AL10" i="29" s="1"/>
  <c r="AL23" i="29" s="1"/>
  <c r="AM2" i="29"/>
  <c r="AM10" i="29" s="1"/>
  <c r="AM23" i="29" s="1"/>
  <c r="AN2" i="29"/>
  <c r="AN10" i="29" s="1"/>
  <c r="AN23" i="29" s="1"/>
  <c r="AO2" i="29"/>
  <c r="AO10" i="29" s="1"/>
  <c r="AO23" i="29" s="1"/>
  <c r="AP2" i="29"/>
  <c r="AP10" i="29" s="1"/>
  <c r="AP23" i="29" s="1"/>
  <c r="AQ2" i="29"/>
  <c r="AQ10" i="29" s="1"/>
  <c r="AQ23" i="29" s="1"/>
  <c r="AR2" i="29"/>
  <c r="AR10" i="29" s="1"/>
  <c r="AR23" i="29" s="1"/>
  <c r="AS2" i="29"/>
  <c r="AS10" i="29" s="1"/>
  <c r="AS23" i="29" s="1"/>
  <c r="C2" i="29"/>
  <c r="C10" i="29" s="1"/>
  <c r="C23" i="29" s="1"/>
  <c r="D15" i="5"/>
  <c r="AD22" i="12" l="1"/>
  <c r="Y22" i="12"/>
  <c r="X22" i="12"/>
  <c r="L35" i="3"/>
  <c r="K34" i="3"/>
  <c r="AJ6" i="5"/>
  <c r="AH2" i="5"/>
  <c r="M27" i="3"/>
  <c r="M33" i="3" s="1"/>
  <c r="L26" i="3"/>
  <c r="Y13" i="29"/>
  <c r="X7" i="12" s="1"/>
  <c r="Y16" i="29"/>
  <c r="X11" i="12" s="1"/>
  <c r="Z13" i="29"/>
  <c r="Y7" i="12" s="1"/>
  <c r="Z16" i="29"/>
  <c r="Y11" i="12" s="1"/>
  <c r="AE13" i="29"/>
  <c r="AD7" i="12" s="1"/>
  <c r="AE16" i="29"/>
  <c r="AE2" i="5"/>
  <c r="AD6" i="5"/>
  <c r="AC17" i="29" s="1"/>
  <c r="I16" i="5"/>
  <c r="H11" i="12"/>
  <c r="M5" i="4"/>
  <c r="M25" i="4" s="1"/>
  <c r="AR4" i="5" s="1"/>
  <c r="L25" i="4"/>
  <c r="AN4" i="5" s="1"/>
  <c r="AN2" i="5"/>
  <c r="AK2" i="5"/>
  <c r="AK5" i="5"/>
  <c r="AL5" i="5" s="1"/>
  <c r="AM5" i="5" s="1"/>
  <c r="AK4" i="5"/>
  <c r="AL4" i="5" s="1"/>
  <c r="AM4" i="5" s="1"/>
  <c r="P4" i="9"/>
  <c r="P5" i="9"/>
  <c r="P6" i="9"/>
  <c r="P7" i="9"/>
  <c r="P8" i="9"/>
  <c r="P9" i="9"/>
  <c r="P10" i="9"/>
  <c r="P11" i="9"/>
  <c r="P12" i="9"/>
  <c r="P13" i="9"/>
  <c r="P14" i="9"/>
  <c r="P15" i="9"/>
  <c r="P16" i="9"/>
  <c r="P17" i="9"/>
  <c r="P18" i="9"/>
  <c r="P3" i="9"/>
  <c r="D25" i="25"/>
  <c r="C25" i="25"/>
  <c r="D24" i="25"/>
  <c r="C24" i="25"/>
  <c r="D23" i="25"/>
  <c r="C23" i="25"/>
  <c r="D22" i="25"/>
  <c r="C22" i="25"/>
  <c r="D21" i="25"/>
  <c r="C21" i="25"/>
  <c r="D20" i="25"/>
  <c r="C20" i="25"/>
  <c r="D19" i="25"/>
  <c r="C19" i="25"/>
  <c r="D18" i="25"/>
  <c r="C18" i="25"/>
  <c r="E18" i="25" s="1"/>
  <c r="D17" i="25"/>
  <c r="C17" i="25"/>
  <c r="D16" i="25"/>
  <c r="C16" i="25"/>
  <c r="D15" i="25"/>
  <c r="C15" i="25"/>
  <c r="D14" i="25"/>
  <c r="C14" i="25"/>
  <c r="E14" i="25" s="1"/>
  <c r="D13" i="25"/>
  <c r="C13" i="25"/>
  <c r="D12" i="25"/>
  <c r="C12" i="25"/>
  <c r="D11" i="25"/>
  <c r="C11" i="25"/>
  <c r="D10" i="25"/>
  <c r="C10" i="25"/>
  <c r="D9" i="25"/>
  <c r="C9" i="25"/>
  <c r="D8" i="25"/>
  <c r="C8" i="25"/>
  <c r="D7" i="25"/>
  <c r="C7" i="25"/>
  <c r="D6" i="25"/>
  <c r="C6" i="25"/>
  <c r="D5" i="25"/>
  <c r="C5" i="25"/>
  <c r="C4" i="25"/>
  <c r="D25" i="24"/>
  <c r="C25" i="24"/>
  <c r="D24" i="24"/>
  <c r="C24" i="24"/>
  <c r="D23" i="24"/>
  <c r="C23" i="24"/>
  <c r="D22" i="24"/>
  <c r="C22" i="24"/>
  <c r="D21" i="24"/>
  <c r="C21" i="24"/>
  <c r="D20" i="24"/>
  <c r="C20" i="24"/>
  <c r="D19" i="24"/>
  <c r="C19" i="24"/>
  <c r="D18" i="24"/>
  <c r="C18" i="24"/>
  <c r="D17" i="24"/>
  <c r="C17" i="24"/>
  <c r="D16" i="24"/>
  <c r="C16" i="24"/>
  <c r="D15" i="24"/>
  <c r="C15" i="24"/>
  <c r="E15" i="24" s="1"/>
  <c r="D14" i="24"/>
  <c r="C14" i="24"/>
  <c r="D13" i="24"/>
  <c r="C13" i="24"/>
  <c r="E13" i="24" s="1"/>
  <c r="G13" i="24" s="1"/>
  <c r="D12" i="24"/>
  <c r="C12" i="24"/>
  <c r="D11" i="24"/>
  <c r="C11" i="24"/>
  <c r="D10" i="24"/>
  <c r="C10" i="24"/>
  <c r="E10" i="24" s="1"/>
  <c r="G10" i="24" s="1"/>
  <c r="D9" i="24"/>
  <c r="C9" i="24"/>
  <c r="E9" i="24" s="1"/>
  <c r="D8" i="24"/>
  <c r="C8" i="24"/>
  <c r="D7" i="24"/>
  <c r="C7" i="24"/>
  <c r="D6" i="24"/>
  <c r="C6" i="24"/>
  <c r="D5" i="24"/>
  <c r="C5" i="24"/>
  <c r="D25" i="23"/>
  <c r="C25" i="23"/>
  <c r="E25" i="23" s="1"/>
  <c r="G25" i="23" s="1"/>
  <c r="D24" i="23"/>
  <c r="C24" i="23"/>
  <c r="D23" i="23"/>
  <c r="C23" i="23"/>
  <c r="D22" i="23"/>
  <c r="C22" i="23"/>
  <c r="E22" i="23" s="1"/>
  <c r="D21" i="23"/>
  <c r="C21" i="23"/>
  <c r="D20" i="23"/>
  <c r="C20" i="23"/>
  <c r="D19" i="23"/>
  <c r="C19" i="23"/>
  <c r="D18" i="23"/>
  <c r="C18" i="23"/>
  <c r="E18" i="23" s="1"/>
  <c r="G18" i="23" s="1"/>
  <c r="D17" i="23"/>
  <c r="C17" i="23"/>
  <c r="D16" i="23"/>
  <c r="C16" i="23"/>
  <c r="E16" i="23" s="1"/>
  <c r="D15" i="23"/>
  <c r="C15" i="23"/>
  <c r="D14" i="23"/>
  <c r="C14" i="23"/>
  <c r="D13" i="23"/>
  <c r="C13" i="23"/>
  <c r="D12" i="23"/>
  <c r="C12" i="23"/>
  <c r="E12" i="23" s="1"/>
  <c r="F12" i="23" s="1"/>
  <c r="D11" i="23"/>
  <c r="C11" i="23"/>
  <c r="D10" i="23"/>
  <c r="C10" i="23"/>
  <c r="E10" i="23" s="1"/>
  <c r="G10" i="23" s="1"/>
  <c r="D9" i="23"/>
  <c r="C9" i="23"/>
  <c r="D8" i="23"/>
  <c r="C8" i="23"/>
  <c r="D7" i="23"/>
  <c r="C7" i="23"/>
  <c r="D6" i="23"/>
  <c r="C6" i="23"/>
  <c r="D5" i="23"/>
  <c r="C5" i="23"/>
  <c r="D25" i="22"/>
  <c r="C25" i="22"/>
  <c r="E25" i="22" s="1"/>
  <c r="G25" i="22" s="1"/>
  <c r="D24" i="22"/>
  <c r="C24" i="22"/>
  <c r="D23" i="22"/>
  <c r="C23" i="22"/>
  <c r="D22" i="22"/>
  <c r="C22" i="22"/>
  <c r="E22" i="22" s="1"/>
  <c r="G22" i="22" s="1"/>
  <c r="D21" i="22"/>
  <c r="C21" i="22"/>
  <c r="D20" i="22"/>
  <c r="C20" i="22"/>
  <c r="D19" i="22"/>
  <c r="C19" i="22"/>
  <c r="E19" i="22" s="1"/>
  <c r="D18" i="22"/>
  <c r="C18" i="22"/>
  <c r="D17" i="22"/>
  <c r="C17" i="22"/>
  <c r="D16" i="22"/>
  <c r="C16" i="22"/>
  <c r="D15" i="22"/>
  <c r="C15" i="22"/>
  <c r="D14" i="22"/>
  <c r="C14" i="22"/>
  <c r="D13" i="22"/>
  <c r="C13" i="22"/>
  <c r="D12" i="22"/>
  <c r="C12" i="22"/>
  <c r="D11" i="22"/>
  <c r="C11" i="22"/>
  <c r="D10" i="22"/>
  <c r="C10" i="22"/>
  <c r="E10" i="22" s="1"/>
  <c r="D9" i="22"/>
  <c r="C9" i="22"/>
  <c r="D8" i="22"/>
  <c r="C8" i="22"/>
  <c r="D7" i="22"/>
  <c r="C7" i="22"/>
  <c r="D6" i="22"/>
  <c r="C6" i="22"/>
  <c r="D5" i="22"/>
  <c r="C5" i="22"/>
  <c r="D25" i="21"/>
  <c r="C25" i="21"/>
  <c r="E25" i="21" s="1"/>
  <c r="F25" i="21" s="1"/>
  <c r="D24" i="21"/>
  <c r="C24" i="21"/>
  <c r="D23" i="21"/>
  <c r="C23" i="21"/>
  <c r="D22" i="21"/>
  <c r="C22" i="21"/>
  <c r="D21" i="21"/>
  <c r="C21" i="21"/>
  <c r="D20" i="21"/>
  <c r="C20" i="21"/>
  <c r="D19" i="21"/>
  <c r="C19" i="21"/>
  <c r="D18" i="21"/>
  <c r="C18" i="21"/>
  <c r="E18" i="21" s="1"/>
  <c r="G18" i="21" s="1"/>
  <c r="D17" i="21"/>
  <c r="C17" i="21"/>
  <c r="D16" i="21"/>
  <c r="C16" i="21"/>
  <c r="D15" i="21"/>
  <c r="C15" i="21"/>
  <c r="D14" i="21"/>
  <c r="C14" i="21"/>
  <c r="D13" i="21"/>
  <c r="C13" i="21"/>
  <c r="D12" i="21"/>
  <c r="C12" i="21"/>
  <c r="D11" i="21"/>
  <c r="C11" i="21"/>
  <c r="D10" i="21"/>
  <c r="C10" i="21"/>
  <c r="D9" i="21"/>
  <c r="C9" i="21"/>
  <c r="D8" i="21"/>
  <c r="C8" i="21"/>
  <c r="D7" i="21"/>
  <c r="C7" i="21"/>
  <c r="D6" i="21"/>
  <c r="C6" i="21"/>
  <c r="D5" i="21"/>
  <c r="C5" i="21"/>
  <c r="D25" i="20"/>
  <c r="C25" i="20"/>
  <c r="D24" i="20"/>
  <c r="C24" i="20"/>
  <c r="D23" i="20"/>
  <c r="C23" i="20"/>
  <c r="D22" i="20"/>
  <c r="C22" i="20"/>
  <c r="D21" i="20"/>
  <c r="C21" i="20"/>
  <c r="D20" i="20"/>
  <c r="C20" i="20"/>
  <c r="D19" i="20"/>
  <c r="C19" i="20"/>
  <c r="E19" i="20" s="1"/>
  <c r="D18" i="20"/>
  <c r="C18" i="20"/>
  <c r="D17" i="20"/>
  <c r="C17" i="20"/>
  <c r="D16" i="20"/>
  <c r="C16" i="20"/>
  <c r="D15" i="20"/>
  <c r="C15" i="20"/>
  <c r="E15" i="20" s="1"/>
  <c r="D14" i="20"/>
  <c r="C14" i="20"/>
  <c r="D13" i="20"/>
  <c r="C13" i="20"/>
  <c r="E13" i="20" s="1"/>
  <c r="D12" i="20"/>
  <c r="C12" i="20"/>
  <c r="D11" i="20"/>
  <c r="C11" i="20"/>
  <c r="D10" i="20"/>
  <c r="C10" i="20"/>
  <c r="D9" i="20"/>
  <c r="C9" i="20"/>
  <c r="E9" i="20" s="1"/>
  <c r="D8" i="20"/>
  <c r="C8" i="20"/>
  <c r="D7" i="20"/>
  <c r="C7" i="20"/>
  <c r="E7" i="20" s="1"/>
  <c r="D6" i="20"/>
  <c r="C6" i="20"/>
  <c r="D5" i="20"/>
  <c r="C5" i="20"/>
  <c r="D25" i="19"/>
  <c r="C25" i="19"/>
  <c r="E25" i="19" s="1"/>
  <c r="F25" i="19" s="1"/>
  <c r="D24" i="19"/>
  <c r="C24" i="19"/>
  <c r="D23" i="19"/>
  <c r="C23" i="19"/>
  <c r="D22" i="19"/>
  <c r="C22" i="19"/>
  <c r="D21" i="19"/>
  <c r="C21" i="19"/>
  <c r="D20" i="19"/>
  <c r="C20" i="19"/>
  <c r="D19" i="19"/>
  <c r="C19" i="19"/>
  <c r="D18" i="19"/>
  <c r="C18" i="19"/>
  <c r="D17" i="19"/>
  <c r="C17" i="19"/>
  <c r="D16" i="19"/>
  <c r="C16" i="19"/>
  <c r="D15" i="19"/>
  <c r="C15" i="19"/>
  <c r="D14" i="19"/>
  <c r="C14" i="19"/>
  <c r="D13" i="19"/>
  <c r="C13" i="19"/>
  <c r="D12" i="19"/>
  <c r="C12" i="19"/>
  <c r="E12" i="19" s="1"/>
  <c r="D11" i="19"/>
  <c r="C11" i="19"/>
  <c r="D10" i="19"/>
  <c r="C10" i="19"/>
  <c r="D9" i="19"/>
  <c r="C9" i="19"/>
  <c r="D8" i="19"/>
  <c r="C8" i="19"/>
  <c r="D7" i="19"/>
  <c r="C7" i="19"/>
  <c r="D6" i="19"/>
  <c r="C6" i="19"/>
  <c r="D5" i="19"/>
  <c r="C5" i="19"/>
  <c r="D25" i="18"/>
  <c r="C25" i="18"/>
  <c r="D24" i="18"/>
  <c r="C24" i="18"/>
  <c r="D23" i="18"/>
  <c r="C23" i="18"/>
  <c r="D22" i="18"/>
  <c r="C22" i="18"/>
  <c r="D21" i="18"/>
  <c r="C21" i="18"/>
  <c r="D20" i="18"/>
  <c r="C20" i="18"/>
  <c r="D19" i="18"/>
  <c r="C19" i="18"/>
  <c r="D18" i="18"/>
  <c r="C18" i="18"/>
  <c r="D17" i="18"/>
  <c r="C17" i="18"/>
  <c r="D16" i="18"/>
  <c r="C16" i="18"/>
  <c r="D15" i="18"/>
  <c r="C15" i="18"/>
  <c r="D14" i="18"/>
  <c r="C14" i="18"/>
  <c r="D13" i="18"/>
  <c r="C13" i="18"/>
  <c r="D12" i="18"/>
  <c r="C12" i="18"/>
  <c r="D11" i="18"/>
  <c r="C11" i="18"/>
  <c r="D10" i="18"/>
  <c r="C10" i="18"/>
  <c r="D9" i="18"/>
  <c r="C9" i="18"/>
  <c r="D8" i="18"/>
  <c r="C8" i="18"/>
  <c r="D7" i="18"/>
  <c r="C7" i="18"/>
  <c r="D6" i="18"/>
  <c r="C6" i="18"/>
  <c r="D5" i="18"/>
  <c r="C5" i="18"/>
  <c r="D25" i="17"/>
  <c r="C25" i="17"/>
  <c r="D24" i="17"/>
  <c r="C24" i="17"/>
  <c r="D23" i="17"/>
  <c r="C23" i="17"/>
  <c r="D22" i="17"/>
  <c r="C22" i="17"/>
  <c r="D21" i="17"/>
  <c r="C21" i="17"/>
  <c r="D20" i="17"/>
  <c r="C20" i="17"/>
  <c r="E20" i="17" s="1"/>
  <c r="G20" i="17" s="1"/>
  <c r="D19" i="17"/>
  <c r="C19" i="17"/>
  <c r="D18" i="17"/>
  <c r="C18" i="17"/>
  <c r="D17" i="17"/>
  <c r="C17" i="17"/>
  <c r="D16" i="17"/>
  <c r="C16" i="17"/>
  <c r="D15" i="17"/>
  <c r="C15" i="17"/>
  <c r="D14" i="17"/>
  <c r="C14" i="17"/>
  <c r="D13" i="17"/>
  <c r="C13" i="17"/>
  <c r="D12" i="17"/>
  <c r="C12" i="17"/>
  <c r="D11" i="17"/>
  <c r="C11" i="17"/>
  <c r="D10" i="17"/>
  <c r="C10" i="17"/>
  <c r="D9" i="17"/>
  <c r="C9" i="17"/>
  <c r="D8" i="17"/>
  <c r="C8" i="17"/>
  <c r="D7" i="17"/>
  <c r="C7" i="17"/>
  <c r="D6" i="17"/>
  <c r="C6" i="17"/>
  <c r="D5" i="17"/>
  <c r="C5" i="17"/>
  <c r="J26" i="16"/>
  <c r="D25" i="16"/>
  <c r="C25" i="16"/>
  <c r="D24" i="16"/>
  <c r="C24" i="16"/>
  <c r="D23" i="16"/>
  <c r="C23" i="16"/>
  <c r="D22" i="16"/>
  <c r="C22" i="16"/>
  <c r="D21" i="16"/>
  <c r="C21" i="16"/>
  <c r="D20" i="16"/>
  <c r="C20" i="16"/>
  <c r="D19" i="16"/>
  <c r="C19" i="16"/>
  <c r="D18" i="16"/>
  <c r="C18" i="16"/>
  <c r="D17" i="16"/>
  <c r="C17" i="16"/>
  <c r="D16" i="16"/>
  <c r="C16" i="16"/>
  <c r="E16" i="16" s="1"/>
  <c r="D15" i="16"/>
  <c r="C15" i="16"/>
  <c r="D14" i="16"/>
  <c r="C14" i="16"/>
  <c r="D13" i="16"/>
  <c r="C13" i="16"/>
  <c r="D12" i="16"/>
  <c r="C12" i="16"/>
  <c r="D11" i="16"/>
  <c r="C11" i="16"/>
  <c r="D10" i="16"/>
  <c r="C10" i="16"/>
  <c r="E10" i="16" s="1"/>
  <c r="D9" i="16"/>
  <c r="C9" i="16"/>
  <c r="D8" i="16"/>
  <c r="C8" i="16"/>
  <c r="D7" i="16"/>
  <c r="C7" i="16"/>
  <c r="D6" i="16"/>
  <c r="C6" i="16"/>
  <c r="D5" i="16"/>
  <c r="C5" i="16"/>
  <c r="D25" i="15"/>
  <c r="C25" i="15"/>
  <c r="E25" i="15" s="1"/>
  <c r="D24" i="15"/>
  <c r="C24" i="15"/>
  <c r="D23" i="15"/>
  <c r="C23" i="15"/>
  <c r="D22" i="15"/>
  <c r="C22" i="15"/>
  <c r="D21" i="15"/>
  <c r="C21" i="15"/>
  <c r="D20" i="15"/>
  <c r="C20" i="15"/>
  <c r="D19" i="15"/>
  <c r="C19" i="15"/>
  <c r="E19" i="15" s="1"/>
  <c r="D18" i="15"/>
  <c r="C18" i="15"/>
  <c r="D17" i="15"/>
  <c r="C17" i="15"/>
  <c r="D16" i="15"/>
  <c r="C16" i="15"/>
  <c r="D15" i="15"/>
  <c r="C15" i="15"/>
  <c r="D14" i="15"/>
  <c r="C14" i="15"/>
  <c r="D13" i="15"/>
  <c r="C13" i="15"/>
  <c r="D12" i="15"/>
  <c r="C12" i="15"/>
  <c r="D11" i="15"/>
  <c r="C11" i="15"/>
  <c r="D10" i="15"/>
  <c r="C10" i="15"/>
  <c r="D9" i="15"/>
  <c r="C9" i="15"/>
  <c r="D8" i="15"/>
  <c r="C8" i="15"/>
  <c r="D7" i="15"/>
  <c r="C7" i="15"/>
  <c r="E7" i="15" s="1"/>
  <c r="F7" i="15" s="1"/>
  <c r="D6" i="15"/>
  <c r="C6" i="15"/>
  <c r="D5" i="15"/>
  <c r="C5" i="15"/>
  <c r="C4" i="15"/>
  <c r="L9" i="14"/>
  <c r="K9" i="14"/>
  <c r="J9" i="14"/>
  <c r="I9" i="14"/>
  <c r="H9" i="14"/>
  <c r="G9" i="14"/>
  <c r="A9" i="14"/>
  <c r="A8" i="14"/>
  <c r="A7" i="14"/>
  <c r="A6" i="14"/>
  <c r="A5" i="14"/>
  <c r="B4" i="14"/>
  <c r="B33" i="14" s="1"/>
  <c r="B37" i="14" s="1"/>
  <c r="C3" i="14"/>
  <c r="D3" i="14" s="1"/>
  <c r="E3" i="14" s="1"/>
  <c r="F9" i="14"/>
  <c r="L18" i="13"/>
  <c r="L4" i="14" s="1"/>
  <c r="L33" i="14" s="1"/>
  <c r="L37" i="14" s="1"/>
  <c r="K18" i="13"/>
  <c r="K4" i="14" s="1"/>
  <c r="K33" i="14" s="1"/>
  <c r="K37" i="14" s="1"/>
  <c r="J18" i="13"/>
  <c r="J4" i="14" s="1"/>
  <c r="J33" i="14" s="1"/>
  <c r="J37" i="14" s="1"/>
  <c r="I18" i="13"/>
  <c r="I4" i="14" s="1"/>
  <c r="I33" i="14" s="1"/>
  <c r="I37" i="14" s="1"/>
  <c r="H18" i="13"/>
  <c r="H4" i="14" s="1"/>
  <c r="H33" i="14" s="1"/>
  <c r="H37" i="14" s="1"/>
  <c r="G18" i="13"/>
  <c r="G4" i="14" s="1"/>
  <c r="G33" i="14" s="1"/>
  <c r="G37" i="14" s="1"/>
  <c r="F18" i="13"/>
  <c r="F4" i="14" s="1"/>
  <c r="F33" i="14" s="1"/>
  <c r="F37" i="14" s="1"/>
  <c r="E18" i="13"/>
  <c r="E4" i="14" s="1"/>
  <c r="E33" i="14" s="1"/>
  <c r="E37" i="14" s="1"/>
  <c r="D18" i="13"/>
  <c r="D4" i="14" s="1"/>
  <c r="D33" i="14" s="1"/>
  <c r="D37" i="14" s="1"/>
  <c r="C18" i="13"/>
  <c r="C4" i="14" s="1"/>
  <c r="C33" i="14" s="1"/>
  <c r="C37" i="14" s="1"/>
  <c r="B18" i="13"/>
  <c r="AO14" i="13"/>
  <c r="AS14" i="13"/>
  <c r="AR14" i="13"/>
  <c r="AQ14" i="13"/>
  <c r="AP14" i="13"/>
  <c r="AN14" i="13"/>
  <c r="AM14" i="13"/>
  <c r="AL14" i="13"/>
  <c r="AK14" i="13"/>
  <c r="K8" i="14"/>
  <c r="C5" i="13"/>
  <c r="B5" i="13"/>
  <c r="AS2" i="13"/>
  <c r="AR2" i="13"/>
  <c r="AQ2" i="13"/>
  <c r="AP2" i="13"/>
  <c r="A41" i="12"/>
  <c r="B40" i="12"/>
  <c r="A40" i="12"/>
  <c r="A39" i="12"/>
  <c r="A38" i="12"/>
  <c r="B36" i="12"/>
  <c r="A36" i="12"/>
  <c r="A35" i="12"/>
  <c r="A34" i="12"/>
  <c r="B33" i="12"/>
  <c r="A33" i="12"/>
  <c r="A32" i="12"/>
  <c r="A31" i="12"/>
  <c r="A30" i="12"/>
  <c r="A29" i="12"/>
  <c r="A28" i="12"/>
  <c r="B27" i="12"/>
  <c r="A27" i="12"/>
  <c r="A26" i="12"/>
  <c r="A25" i="12"/>
  <c r="D15" i="12"/>
  <c r="C15" i="12"/>
  <c r="B15" i="12"/>
  <c r="AS1" i="12"/>
  <c r="AR1" i="12"/>
  <c r="AQ1" i="12"/>
  <c r="AP1" i="12"/>
  <c r="AO1" i="12"/>
  <c r="AN1" i="12"/>
  <c r="AM1" i="12"/>
  <c r="AL1" i="12"/>
  <c r="AK1" i="12"/>
  <c r="AJ1" i="12"/>
  <c r="AI1" i="12"/>
  <c r="AH1" i="12"/>
  <c r="AG1" i="12"/>
  <c r="AF1" i="12"/>
  <c r="AE1" i="12"/>
  <c r="AD1" i="12"/>
  <c r="AC1" i="12"/>
  <c r="AB1" i="12"/>
  <c r="AA1" i="12"/>
  <c r="Z1" i="12"/>
  <c r="Y1" i="12"/>
  <c r="X1" i="12"/>
  <c r="W1" i="12"/>
  <c r="V1" i="12"/>
  <c r="U1" i="12"/>
  <c r="T1" i="12"/>
  <c r="S1" i="12"/>
  <c r="R1" i="12"/>
  <c r="Q1" i="12"/>
  <c r="P1" i="12"/>
  <c r="O1" i="12"/>
  <c r="N1" i="12"/>
  <c r="M1" i="12"/>
  <c r="L1" i="12"/>
  <c r="K1" i="12"/>
  <c r="J1" i="12"/>
  <c r="I1" i="12"/>
  <c r="H1" i="12"/>
  <c r="G1" i="12"/>
  <c r="F1" i="12"/>
  <c r="E1" i="12"/>
  <c r="D1" i="12"/>
  <c r="C1" i="12"/>
  <c r="B1" i="12"/>
  <c r="G69" i="11"/>
  <c r="A58" i="11"/>
  <c r="A59" i="11" s="1"/>
  <c r="A60" i="11" s="1"/>
  <c r="A61" i="11" s="1"/>
  <c r="A62" i="11" s="1"/>
  <c r="A63" i="11" s="1"/>
  <c r="A64" i="11" s="1"/>
  <c r="A65" i="11" s="1"/>
  <c r="A66" i="11" s="1"/>
  <c r="A67" i="11" s="1"/>
  <c r="A68" i="11" s="1"/>
  <c r="A46" i="11"/>
  <c r="A47" i="11" s="1"/>
  <c r="A48" i="11" s="1"/>
  <c r="A49" i="11" s="1"/>
  <c r="A50" i="11" s="1"/>
  <c r="A51" i="11" s="1"/>
  <c r="A52" i="11" s="1"/>
  <c r="A53" i="11" s="1"/>
  <c r="A54" i="11" s="1"/>
  <c r="A55" i="11" s="1"/>
  <c r="A56" i="11" s="1"/>
  <c r="A34" i="11"/>
  <c r="A35" i="11" s="1"/>
  <c r="A36" i="11" s="1"/>
  <c r="A37" i="11" s="1"/>
  <c r="A38" i="11" s="1"/>
  <c r="A39" i="11" s="1"/>
  <c r="A40" i="11" s="1"/>
  <c r="A41" i="11" s="1"/>
  <c r="A42" i="11" s="1"/>
  <c r="A43" i="11" s="1"/>
  <c r="A44" i="11" s="1"/>
  <c r="A22" i="11"/>
  <c r="A23" i="11" s="1"/>
  <c r="A24" i="11" s="1"/>
  <c r="A25" i="11" s="1"/>
  <c r="A26" i="11" s="1"/>
  <c r="A27" i="11" s="1"/>
  <c r="A28" i="11" s="1"/>
  <c r="A29" i="11" s="1"/>
  <c r="A30" i="11" s="1"/>
  <c r="A31" i="11" s="1"/>
  <c r="A32" i="11" s="1"/>
  <c r="I10" i="11"/>
  <c r="I11" i="11" s="1"/>
  <c r="I12" i="11" s="1"/>
  <c r="I13" i="11" s="1"/>
  <c r="I14" i="11" s="1"/>
  <c r="I15" i="11" s="1"/>
  <c r="A10" i="11"/>
  <c r="A11" i="11" s="1"/>
  <c r="A12" i="11" s="1"/>
  <c r="A13" i="11" s="1"/>
  <c r="A14" i="11" s="1"/>
  <c r="A15" i="11" s="1"/>
  <c r="A16" i="11" s="1"/>
  <c r="A17" i="11" s="1"/>
  <c r="A18" i="11" s="1"/>
  <c r="A19" i="11" s="1"/>
  <c r="A20" i="11" s="1"/>
  <c r="L8" i="11"/>
  <c r="K8" i="11"/>
  <c r="J8" i="11"/>
  <c r="P3" i="10"/>
  <c r="Q3" i="10" s="1"/>
  <c r="R3" i="10" s="1"/>
  <c r="S3" i="10" s="1"/>
  <c r="T3" i="10" s="1"/>
  <c r="U3" i="10" s="1"/>
  <c r="V3" i="10" s="1"/>
  <c r="W3" i="10" s="1"/>
  <c r="X3" i="10" s="1"/>
  <c r="Y3" i="10" s="1"/>
  <c r="Z3" i="10" s="1"/>
  <c r="AA3" i="10" s="1"/>
  <c r="AB3" i="10" s="1"/>
  <c r="AC3" i="10" s="1"/>
  <c r="AD3" i="10" s="1"/>
  <c r="AE3" i="10" s="1"/>
  <c r="AF3" i="10" s="1"/>
  <c r="AG3" i="10" s="1"/>
  <c r="AH3" i="10" s="1"/>
  <c r="AI3" i="10" s="1"/>
  <c r="AJ3" i="10" s="1"/>
  <c r="AK3" i="10" s="1"/>
  <c r="AL3" i="10" s="1"/>
  <c r="AM3" i="10" s="1"/>
  <c r="AN3" i="10" s="1"/>
  <c r="AO3" i="10" s="1"/>
  <c r="AP3" i="10" s="1"/>
  <c r="AQ3" i="10" s="1"/>
  <c r="AR3" i="10" s="1"/>
  <c r="AS3" i="10" s="1"/>
  <c r="AS1" i="10"/>
  <c r="AR1" i="10"/>
  <c r="AQ1" i="10"/>
  <c r="AP1" i="10"/>
  <c r="AO1" i="10"/>
  <c r="AN1" i="10"/>
  <c r="AM1" i="10"/>
  <c r="AL1" i="10"/>
  <c r="AK1" i="10"/>
  <c r="AJ1" i="10"/>
  <c r="AI1" i="10"/>
  <c r="AH1" i="10"/>
  <c r="AG1" i="10"/>
  <c r="AF1" i="10"/>
  <c r="AE1" i="10"/>
  <c r="AD1" i="10"/>
  <c r="AC1" i="10"/>
  <c r="AB1" i="10"/>
  <c r="AA1" i="10"/>
  <c r="Z1" i="10"/>
  <c r="Y1" i="10"/>
  <c r="X1" i="10"/>
  <c r="W1" i="10"/>
  <c r="V1" i="10"/>
  <c r="U1" i="10"/>
  <c r="T1" i="10"/>
  <c r="S1" i="10"/>
  <c r="R1" i="10"/>
  <c r="Q1" i="10"/>
  <c r="P1" i="10"/>
  <c r="O1" i="10"/>
  <c r="N1" i="10"/>
  <c r="M1" i="10"/>
  <c r="L1" i="10"/>
  <c r="K1" i="10"/>
  <c r="J1" i="10"/>
  <c r="I1" i="10"/>
  <c r="H1" i="10"/>
  <c r="G1" i="10"/>
  <c r="F1" i="10"/>
  <c r="E1" i="10"/>
  <c r="D1" i="10"/>
  <c r="C1" i="10"/>
  <c r="B1" i="10"/>
  <c r="A19" i="9"/>
  <c r="Q13" i="9"/>
  <c r="Z8" i="8"/>
  <c r="V8" i="8"/>
  <c r="C30" i="8"/>
  <c r="O23" i="8"/>
  <c r="L23" i="8"/>
  <c r="K23" i="8"/>
  <c r="J23" i="8"/>
  <c r="I23" i="8"/>
  <c r="H23" i="8"/>
  <c r="G23" i="8"/>
  <c r="F23" i="8"/>
  <c r="E23" i="8"/>
  <c r="D23" i="8"/>
  <c r="C23" i="8"/>
  <c r="B23" i="8"/>
  <c r="O22" i="8"/>
  <c r="O21" i="8"/>
  <c r="O20" i="8"/>
  <c r="A19" i="8"/>
  <c r="O19" i="8" s="1"/>
  <c r="O18" i="8"/>
  <c r="O17" i="8"/>
  <c r="O16" i="8"/>
  <c r="O15" i="8"/>
  <c r="O14" i="8"/>
  <c r="Z13" i="8"/>
  <c r="Y13" i="8"/>
  <c r="X13" i="8"/>
  <c r="W13" i="8"/>
  <c r="V13" i="8"/>
  <c r="U13" i="8"/>
  <c r="T13" i="8"/>
  <c r="S13" i="8"/>
  <c r="R13" i="8"/>
  <c r="Q13" i="8"/>
  <c r="P13" i="8"/>
  <c r="O13" i="8"/>
  <c r="O12" i="8"/>
  <c r="O11" i="8"/>
  <c r="O10" i="8"/>
  <c r="Z9" i="8"/>
  <c r="Y9" i="8"/>
  <c r="X9" i="8"/>
  <c r="W9" i="8"/>
  <c r="V9" i="8"/>
  <c r="U9" i="8"/>
  <c r="O9" i="8"/>
  <c r="Y8" i="8"/>
  <c r="X8" i="8"/>
  <c r="W8" i="8"/>
  <c r="U8" i="8"/>
  <c r="O8" i="8"/>
  <c r="O7" i="8"/>
  <c r="O6" i="8"/>
  <c r="O5" i="8"/>
  <c r="C5" i="8"/>
  <c r="D5" i="8" s="1"/>
  <c r="O4" i="8"/>
  <c r="D4" i="8"/>
  <c r="O3" i="8"/>
  <c r="L2" i="8"/>
  <c r="L2" i="9" s="1"/>
  <c r="L27" i="9" s="1"/>
  <c r="K2" i="8"/>
  <c r="K2" i="9" s="1"/>
  <c r="K27" i="9" s="1"/>
  <c r="J2" i="8"/>
  <c r="J25" i="8" s="1"/>
  <c r="I2" i="8"/>
  <c r="I2" i="9" s="1"/>
  <c r="I27" i="9" s="1"/>
  <c r="H2" i="8"/>
  <c r="H2" i="9" s="1"/>
  <c r="H27" i="9" s="1"/>
  <c r="G2" i="8"/>
  <c r="G2" i="9" s="1"/>
  <c r="G27" i="9" s="1"/>
  <c r="F2" i="8"/>
  <c r="F25" i="8" s="1"/>
  <c r="E2" i="8"/>
  <c r="E2" i="9" s="1"/>
  <c r="E27" i="9" s="1"/>
  <c r="D2" i="8"/>
  <c r="D2" i="9" s="1"/>
  <c r="D27" i="9" s="1"/>
  <c r="C2" i="8"/>
  <c r="C2" i="9" s="1"/>
  <c r="C27" i="9" s="1"/>
  <c r="B2" i="8"/>
  <c r="B25" i="8" s="1"/>
  <c r="L71" i="7"/>
  <c r="B62" i="7"/>
  <c r="B61" i="7"/>
  <c r="C58" i="7"/>
  <c r="A58" i="7"/>
  <c r="AW58" i="7" s="1"/>
  <c r="AQ57" i="7"/>
  <c r="AP57" i="7"/>
  <c r="AO57" i="7"/>
  <c r="AN57" i="7"/>
  <c r="AM57" i="7"/>
  <c r="AL57" i="7"/>
  <c r="AK57" i="7"/>
  <c r="AJ57" i="7"/>
  <c r="AI57" i="7"/>
  <c r="AH57" i="7"/>
  <c r="AG57" i="7"/>
  <c r="AF57" i="7"/>
  <c r="AE57" i="7"/>
  <c r="AD57" i="7"/>
  <c r="AC57" i="7"/>
  <c r="AB57" i="7"/>
  <c r="AA57" i="7"/>
  <c r="Z57" i="7"/>
  <c r="Y57" i="7"/>
  <c r="X57" i="7"/>
  <c r="W57" i="7"/>
  <c r="V57" i="7"/>
  <c r="U57" i="7"/>
  <c r="T57" i="7"/>
  <c r="C57" i="7"/>
  <c r="B57" i="7"/>
  <c r="A57" i="7"/>
  <c r="AW57" i="7" s="1"/>
  <c r="C56" i="7"/>
  <c r="B56" i="7"/>
  <c r="A56" i="7"/>
  <c r="AW56" i="7" s="1"/>
  <c r="AW54" i="7"/>
  <c r="AW53" i="7"/>
  <c r="AW52" i="7"/>
  <c r="AW51" i="7"/>
  <c r="AW50" i="7"/>
  <c r="AW49" i="7"/>
  <c r="C46" i="7"/>
  <c r="B46" i="7"/>
  <c r="AQ45" i="7"/>
  <c r="AP45" i="7"/>
  <c r="AO45" i="7"/>
  <c r="AN45" i="7"/>
  <c r="AM45" i="7"/>
  <c r="AL45" i="7"/>
  <c r="AK45" i="7"/>
  <c r="AJ45" i="7"/>
  <c r="C45" i="7"/>
  <c r="B45" i="7"/>
  <c r="AQ44" i="7"/>
  <c r="AP44" i="7"/>
  <c r="AO44" i="7"/>
  <c r="AN44" i="7"/>
  <c r="AM44" i="7"/>
  <c r="AL44" i="7"/>
  <c r="AK44" i="7"/>
  <c r="AJ44" i="7"/>
  <c r="C44" i="7"/>
  <c r="B44" i="7"/>
  <c r="AQ43" i="7"/>
  <c r="AP43" i="7"/>
  <c r="AO43" i="7"/>
  <c r="AN43" i="7"/>
  <c r="AM43" i="7"/>
  <c r="AL43" i="7"/>
  <c r="AK43" i="7"/>
  <c r="AJ43" i="7"/>
  <c r="C43" i="7"/>
  <c r="B43" i="7"/>
  <c r="AQ42" i="7"/>
  <c r="AP42" i="7"/>
  <c r="AO42" i="7"/>
  <c r="AN42" i="7"/>
  <c r="AM42" i="7"/>
  <c r="AL42" i="7"/>
  <c r="AK42" i="7"/>
  <c r="AJ42" i="7"/>
  <c r="C42" i="7"/>
  <c r="B42" i="7"/>
  <c r="AQ41" i="7"/>
  <c r="AP41" i="7"/>
  <c r="AO41" i="7"/>
  <c r="AN41" i="7"/>
  <c r="AM41" i="7"/>
  <c r="AL41" i="7"/>
  <c r="AK41" i="7"/>
  <c r="AJ41" i="7"/>
  <c r="C41" i="7"/>
  <c r="B41" i="7"/>
  <c r="AQ40" i="7"/>
  <c r="AP40" i="7"/>
  <c r="AO40" i="7"/>
  <c r="AN40" i="7"/>
  <c r="AM40" i="7"/>
  <c r="AL40" i="7"/>
  <c r="AK40" i="7"/>
  <c r="AJ40" i="7"/>
  <c r="C40" i="7"/>
  <c r="B40" i="7"/>
  <c r="AQ39" i="7"/>
  <c r="AP39" i="7"/>
  <c r="AO39" i="7"/>
  <c r="AN39" i="7"/>
  <c r="AM39" i="7"/>
  <c r="AL39" i="7"/>
  <c r="AK39" i="7"/>
  <c r="AJ39" i="7"/>
  <c r="C39" i="7"/>
  <c r="B39" i="7"/>
  <c r="AQ38" i="7"/>
  <c r="AP38" i="7"/>
  <c r="AO38" i="7"/>
  <c r="AN38" i="7"/>
  <c r="AM38" i="7"/>
  <c r="AL38" i="7"/>
  <c r="AK38" i="7"/>
  <c r="AJ38" i="7"/>
  <c r="C38" i="7"/>
  <c r="B38" i="7"/>
  <c r="AQ37" i="7"/>
  <c r="AP37" i="7"/>
  <c r="AO37" i="7"/>
  <c r="AN37" i="7"/>
  <c r="AM37" i="7"/>
  <c r="AL37" i="7"/>
  <c r="AK37" i="7"/>
  <c r="AJ37" i="7"/>
  <c r="C37" i="7"/>
  <c r="B37" i="7"/>
  <c r="BG36" i="7"/>
  <c r="BF36" i="7"/>
  <c r="BE36" i="7"/>
  <c r="BD36" i="7"/>
  <c r="BC36" i="7"/>
  <c r="BB36" i="7"/>
  <c r="BA36" i="7"/>
  <c r="AZ36" i="7"/>
  <c r="AY36" i="7"/>
  <c r="AX36" i="7"/>
  <c r="C35" i="7"/>
  <c r="B35" i="7"/>
  <c r="C34" i="7"/>
  <c r="B34" i="7"/>
  <c r="C33" i="7"/>
  <c r="B33" i="7"/>
  <c r="C32" i="7"/>
  <c r="B32" i="7"/>
  <c r="C31" i="7"/>
  <c r="B31" i="7"/>
  <c r="C30" i="7"/>
  <c r="B30" i="7"/>
  <c r="C29" i="7"/>
  <c r="B29" i="7"/>
  <c r="BG28" i="7"/>
  <c r="BF28" i="7"/>
  <c r="BE28" i="7"/>
  <c r="BD28" i="7"/>
  <c r="BC28" i="7"/>
  <c r="BB28" i="7"/>
  <c r="BA28" i="7"/>
  <c r="AZ28" i="7"/>
  <c r="AY28" i="7"/>
  <c r="AX28" i="7"/>
  <c r="C27" i="7"/>
  <c r="B27" i="7"/>
  <c r="C26" i="7"/>
  <c r="B26" i="7"/>
  <c r="BG25" i="7"/>
  <c r="BF25" i="7"/>
  <c r="BE25" i="7"/>
  <c r="BD25" i="7"/>
  <c r="BC25" i="7"/>
  <c r="BB25" i="7"/>
  <c r="BA25" i="7"/>
  <c r="AZ25" i="7"/>
  <c r="AY25" i="7"/>
  <c r="AX25" i="7"/>
  <c r="C24" i="7"/>
  <c r="B24" i="7"/>
  <c r="C23" i="7"/>
  <c r="C22" i="7"/>
  <c r="B22" i="7"/>
  <c r="C21" i="7"/>
  <c r="B21" i="7"/>
  <c r="C20" i="7"/>
  <c r="B20" i="7"/>
  <c r="G19" i="7"/>
  <c r="E19" i="7"/>
  <c r="C19" i="7"/>
  <c r="B19" i="7"/>
  <c r="E18" i="7"/>
  <c r="C18" i="7"/>
  <c r="BG17" i="7"/>
  <c r="BF17" i="7"/>
  <c r="BE17" i="7"/>
  <c r="BD17" i="7"/>
  <c r="BC17" i="7"/>
  <c r="BB17" i="7"/>
  <c r="BA17" i="7"/>
  <c r="AZ17" i="7"/>
  <c r="AY17" i="7"/>
  <c r="AX17" i="7"/>
  <c r="C16" i="7"/>
  <c r="B16" i="7"/>
  <c r="C15" i="7"/>
  <c r="G14" i="7"/>
  <c r="G15" i="7" s="1"/>
  <c r="G16" i="7" s="1"/>
  <c r="F14" i="7"/>
  <c r="E14" i="7"/>
  <c r="D14" i="7"/>
  <c r="C14" i="7"/>
  <c r="B14" i="7"/>
  <c r="A14" i="7"/>
  <c r="S13" i="7"/>
  <c r="R13" i="7"/>
  <c r="Q13" i="7"/>
  <c r="P13" i="7"/>
  <c r="O13" i="7"/>
  <c r="N13" i="7"/>
  <c r="M13" i="7"/>
  <c r="L13" i="7"/>
  <c r="K13" i="7"/>
  <c r="J13" i="7"/>
  <c r="I13" i="7"/>
  <c r="H13" i="7"/>
  <c r="F13" i="7"/>
  <c r="E13" i="7"/>
  <c r="D13" i="7"/>
  <c r="C13" i="7"/>
  <c r="B13" i="7"/>
  <c r="A13" i="7"/>
  <c r="F12" i="7"/>
  <c r="E12" i="7"/>
  <c r="D12" i="7"/>
  <c r="C12" i="7"/>
  <c r="B12" i="7"/>
  <c r="A12" i="7"/>
  <c r="F11" i="7"/>
  <c r="E11" i="7"/>
  <c r="D11" i="7"/>
  <c r="C11" i="7"/>
  <c r="B11" i="7"/>
  <c r="A11" i="7"/>
  <c r="F10" i="7"/>
  <c r="E10" i="7"/>
  <c r="D10" i="7"/>
  <c r="C10" i="7"/>
  <c r="B10" i="7"/>
  <c r="A10" i="7"/>
  <c r="F9" i="7"/>
  <c r="E9" i="7"/>
  <c r="D9" i="7"/>
  <c r="C9" i="7"/>
  <c r="B9" i="7"/>
  <c r="A9" i="7"/>
  <c r="BG8" i="7"/>
  <c r="BF8" i="7"/>
  <c r="BE8" i="7"/>
  <c r="BD8" i="7"/>
  <c r="BC8" i="7"/>
  <c r="BB8" i="7"/>
  <c r="BA8" i="7"/>
  <c r="AZ8" i="7"/>
  <c r="AY8" i="7"/>
  <c r="AX8" i="7"/>
  <c r="C7" i="7"/>
  <c r="B7" i="7"/>
  <c r="G6" i="7"/>
  <c r="C6" i="7"/>
  <c r="F5" i="7"/>
  <c r="E5" i="7"/>
  <c r="D5" i="7"/>
  <c r="C5" i="7"/>
  <c r="B5" i="7"/>
  <c r="A5" i="7"/>
  <c r="F4" i="7"/>
  <c r="E4" i="7"/>
  <c r="D4" i="7"/>
  <c r="C4" i="7"/>
  <c r="B4" i="7"/>
  <c r="A4" i="7"/>
  <c r="F3" i="7"/>
  <c r="E3" i="7"/>
  <c r="C3" i="7"/>
  <c r="A3" i="7"/>
  <c r="F2" i="7"/>
  <c r="E2" i="7"/>
  <c r="D2" i="7"/>
  <c r="C2" i="7"/>
  <c r="B2" i="7"/>
  <c r="A2" i="7"/>
  <c r="A89" i="6"/>
  <c r="A88" i="6"/>
  <c r="A87" i="6"/>
  <c r="A86" i="6"/>
  <c r="A85" i="6"/>
  <c r="A84" i="6"/>
  <c r="A83" i="6"/>
  <c r="A81" i="6"/>
  <c r="A80" i="6"/>
  <c r="A79" i="6"/>
  <c r="A78" i="6"/>
  <c r="A68" i="6"/>
  <c r="L67" i="6"/>
  <c r="K67" i="6"/>
  <c r="J67" i="6"/>
  <c r="I67" i="6"/>
  <c r="H67" i="6"/>
  <c r="G67" i="6"/>
  <c r="F67" i="6"/>
  <c r="E67" i="6"/>
  <c r="D67" i="6"/>
  <c r="C67" i="6"/>
  <c r="B67" i="6"/>
  <c r="S57" i="6"/>
  <c r="S57" i="7" s="1"/>
  <c r="R57" i="6"/>
  <c r="R57" i="7" s="1"/>
  <c r="Q57" i="6"/>
  <c r="Q57" i="7" s="1"/>
  <c r="P57" i="6"/>
  <c r="P57" i="7" s="1"/>
  <c r="O57" i="6"/>
  <c r="O57" i="7" s="1"/>
  <c r="N57" i="6"/>
  <c r="N57" i="7" s="1"/>
  <c r="M57" i="6"/>
  <c r="M57" i="7" s="1"/>
  <c r="L57" i="6"/>
  <c r="K57" i="6"/>
  <c r="J57" i="6"/>
  <c r="J57" i="7" s="1"/>
  <c r="I57" i="6"/>
  <c r="I57" i="7" s="1"/>
  <c r="G57" i="6"/>
  <c r="G57" i="7" s="1"/>
  <c r="F57" i="6"/>
  <c r="F57" i="7" s="1"/>
  <c r="E57" i="6"/>
  <c r="E57" i="7" s="1"/>
  <c r="D57" i="6"/>
  <c r="D57" i="7" s="1"/>
  <c r="C47" i="6"/>
  <c r="C47" i="7" s="1"/>
  <c r="B47" i="6"/>
  <c r="B47" i="7" s="1"/>
  <c r="AQ46" i="6"/>
  <c r="AQ46" i="7" s="1"/>
  <c r="AP46" i="6"/>
  <c r="AP46" i="7" s="1"/>
  <c r="AO46" i="6"/>
  <c r="AN46" i="6"/>
  <c r="AN47" i="6" s="1"/>
  <c r="AM46" i="6"/>
  <c r="AM46" i="7" s="1"/>
  <c r="AL46" i="6"/>
  <c r="AL46" i="7" s="1"/>
  <c r="AK46" i="6"/>
  <c r="AJ46" i="6"/>
  <c r="AI46" i="6"/>
  <c r="AI46" i="7" s="1"/>
  <c r="AH46" i="6"/>
  <c r="AH46" i="7" s="1"/>
  <c r="AG46" i="6"/>
  <c r="AG46" i="7" s="1"/>
  <c r="AF46" i="6"/>
  <c r="AE46" i="6"/>
  <c r="AE46" i="7" s="1"/>
  <c r="AD46" i="6"/>
  <c r="AD46" i="7" s="1"/>
  <c r="AC46" i="6"/>
  <c r="AB46" i="6"/>
  <c r="AA46" i="6"/>
  <c r="AA46" i="7" s="1"/>
  <c r="Z46" i="6"/>
  <c r="Z46" i="7" s="1"/>
  <c r="Y46" i="6"/>
  <c r="Y46" i="7" s="1"/>
  <c r="X46" i="6"/>
  <c r="W46" i="6"/>
  <c r="W46" i="7" s="1"/>
  <c r="V46" i="6"/>
  <c r="V46" i="7" s="1"/>
  <c r="U46" i="6"/>
  <c r="U46" i="7" s="1"/>
  <c r="T46" i="6"/>
  <c r="S46" i="6"/>
  <c r="S46" i="7" s="1"/>
  <c r="R46" i="6"/>
  <c r="R46" i="7" s="1"/>
  <c r="Q46" i="6"/>
  <c r="Q46" i="7" s="1"/>
  <c r="P46" i="6"/>
  <c r="P46" i="7" s="1"/>
  <c r="O46" i="6"/>
  <c r="O46" i="7" s="1"/>
  <c r="N46" i="6"/>
  <c r="N46" i="7" s="1"/>
  <c r="M46" i="6"/>
  <c r="L46" i="6"/>
  <c r="K46" i="6"/>
  <c r="J46" i="6"/>
  <c r="J46" i="7" s="1"/>
  <c r="I46" i="6"/>
  <c r="I46" i="7" s="1"/>
  <c r="H46" i="6"/>
  <c r="G46" i="6"/>
  <c r="G46" i="7" s="1"/>
  <c r="F46" i="6"/>
  <c r="F46" i="7" s="1"/>
  <c r="E46" i="6"/>
  <c r="E46" i="7" s="1"/>
  <c r="D46" i="6"/>
  <c r="D46" i="7" s="1"/>
  <c r="AI45" i="6"/>
  <c r="AI45" i="7" s="1"/>
  <c r="AH45" i="6"/>
  <c r="AH45" i="7" s="1"/>
  <c r="AG45" i="6"/>
  <c r="AG45" i="7" s="1"/>
  <c r="AF45" i="6"/>
  <c r="AE45" i="6"/>
  <c r="AE45" i="7" s="1"/>
  <c r="AD45" i="6"/>
  <c r="AD45" i="7" s="1"/>
  <c r="AC45" i="6"/>
  <c r="AC45" i="7" s="1"/>
  <c r="AB45" i="6"/>
  <c r="AA45" i="6"/>
  <c r="AA45" i="7" s="1"/>
  <c r="Z45" i="6"/>
  <c r="Z45" i="7" s="1"/>
  <c r="Y45" i="6"/>
  <c r="Y45" i="7" s="1"/>
  <c r="X45" i="6"/>
  <c r="W45" i="6"/>
  <c r="W45" i="7" s="1"/>
  <c r="V45" i="6"/>
  <c r="V45" i="7" s="1"/>
  <c r="U45" i="6"/>
  <c r="U45" i="7" s="1"/>
  <c r="T45" i="6"/>
  <c r="S45" i="6"/>
  <c r="S45" i="7" s="1"/>
  <c r="R45" i="6"/>
  <c r="R45" i="7" s="1"/>
  <c r="Q45" i="6"/>
  <c r="Q45" i="7" s="1"/>
  <c r="P45" i="6"/>
  <c r="O45" i="6"/>
  <c r="O45" i="7" s="1"/>
  <c r="N45" i="6"/>
  <c r="N45" i="7" s="1"/>
  <c r="M45" i="6"/>
  <c r="M45" i="7" s="1"/>
  <c r="L45" i="6"/>
  <c r="K45" i="6"/>
  <c r="J45" i="6"/>
  <c r="J45" i="7" s="1"/>
  <c r="I45" i="6"/>
  <c r="I45" i="7" s="1"/>
  <c r="H45" i="6"/>
  <c r="G45" i="6"/>
  <c r="G45" i="7" s="1"/>
  <c r="F45" i="6"/>
  <c r="F45" i="7" s="1"/>
  <c r="E45" i="6"/>
  <c r="E45" i="7" s="1"/>
  <c r="D45" i="6"/>
  <c r="D45" i="7" s="1"/>
  <c r="AI44" i="6"/>
  <c r="AI44" i="7" s="1"/>
  <c r="AH44" i="6"/>
  <c r="AH44" i="7" s="1"/>
  <c r="AG44" i="6"/>
  <c r="AG44" i="7" s="1"/>
  <c r="AF44" i="6"/>
  <c r="AE44" i="6"/>
  <c r="AE44" i="7" s="1"/>
  <c r="AD44" i="6"/>
  <c r="AD44" i="7" s="1"/>
  <c r="AC44" i="6"/>
  <c r="AC44" i="7" s="1"/>
  <c r="AB44" i="6"/>
  <c r="AA44" i="6"/>
  <c r="AA44" i="7" s="1"/>
  <c r="Z44" i="6"/>
  <c r="Z44" i="7" s="1"/>
  <c r="Y44" i="6"/>
  <c r="Y44" i="7" s="1"/>
  <c r="X44" i="6"/>
  <c r="W44" i="6"/>
  <c r="W44" i="7" s="1"/>
  <c r="V44" i="6"/>
  <c r="V44" i="7" s="1"/>
  <c r="U44" i="6"/>
  <c r="U44" i="7" s="1"/>
  <c r="T44" i="6"/>
  <c r="S44" i="6"/>
  <c r="S44" i="7" s="1"/>
  <c r="R44" i="6"/>
  <c r="R44" i="7" s="1"/>
  <c r="Q44" i="6"/>
  <c r="Q44" i="7" s="1"/>
  <c r="P44" i="6"/>
  <c r="P44" i="7" s="1"/>
  <c r="O44" i="6"/>
  <c r="O44" i="7" s="1"/>
  <c r="N44" i="6"/>
  <c r="N44" i="7" s="1"/>
  <c r="M44" i="6"/>
  <c r="M44" i="7" s="1"/>
  <c r="L44" i="6"/>
  <c r="K44" i="6"/>
  <c r="J44" i="6"/>
  <c r="J44" i="7" s="1"/>
  <c r="I44" i="6"/>
  <c r="I44" i="7" s="1"/>
  <c r="H44" i="6"/>
  <c r="G44" i="6"/>
  <c r="G44" i="7" s="1"/>
  <c r="F44" i="6"/>
  <c r="F44" i="7" s="1"/>
  <c r="E44" i="6"/>
  <c r="E44" i="7" s="1"/>
  <c r="D44" i="6"/>
  <c r="D44" i="7" s="1"/>
  <c r="AI43" i="6"/>
  <c r="AI43" i="7" s="1"/>
  <c r="AH43" i="6"/>
  <c r="AG43" i="6"/>
  <c r="AG43" i="7" s="1"/>
  <c r="AF43" i="6"/>
  <c r="AE43" i="6"/>
  <c r="AE43" i="7" s="1"/>
  <c r="AD43" i="6"/>
  <c r="AD43" i="7" s="1"/>
  <c r="AC43" i="6"/>
  <c r="AC43" i="7" s="1"/>
  <c r="AB43" i="6"/>
  <c r="AA43" i="6"/>
  <c r="AA43" i="7" s="1"/>
  <c r="Z43" i="6"/>
  <c r="Z43" i="7" s="1"/>
  <c r="Y43" i="6"/>
  <c r="Y43" i="7" s="1"/>
  <c r="X43" i="6"/>
  <c r="W43" i="6"/>
  <c r="W43" i="7" s="1"/>
  <c r="V43" i="6"/>
  <c r="V43" i="7" s="1"/>
  <c r="U43" i="6"/>
  <c r="U43" i="7" s="1"/>
  <c r="T43" i="6"/>
  <c r="S43" i="6"/>
  <c r="S43" i="7" s="1"/>
  <c r="R43" i="6"/>
  <c r="Q43" i="6"/>
  <c r="Q43" i="7" s="1"/>
  <c r="P43" i="6"/>
  <c r="P43" i="7" s="1"/>
  <c r="O43" i="6"/>
  <c r="O43" i="7" s="1"/>
  <c r="N43" i="6"/>
  <c r="N43" i="7" s="1"/>
  <c r="M43" i="6"/>
  <c r="M43" i="7" s="1"/>
  <c r="L43" i="6"/>
  <c r="K43" i="6"/>
  <c r="J43" i="6"/>
  <c r="J43" i="7" s="1"/>
  <c r="I43" i="6"/>
  <c r="I43" i="7" s="1"/>
  <c r="H43" i="6"/>
  <c r="G43" i="6"/>
  <c r="G43" i="7" s="1"/>
  <c r="F43" i="6"/>
  <c r="F43" i="7" s="1"/>
  <c r="E43" i="6"/>
  <c r="E43" i="7" s="1"/>
  <c r="D43" i="6"/>
  <c r="D43" i="7" s="1"/>
  <c r="AI42" i="6"/>
  <c r="AI42" i="7" s="1"/>
  <c r="AH42" i="6"/>
  <c r="AH42" i="7" s="1"/>
  <c r="AG42" i="6"/>
  <c r="AG42" i="7" s="1"/>
  <c r="AF42" i="6"/>
  <c r="AE42" i="6"/>
  <c r="AE42" i="7" s="1"/>
  <c r="AD42" i="6"/>
  <c r="AD42" i="7" s="1"/>
  <c r="AC42" i="6"/>
  <c r="AB42" i="6"/>
  <c r="AA42" i="6"/>
  <c r="AA42" i="7" s="1"/>
  <c r="Z42" i="6"/>
  <c r="Z42" i="7" s="1"/>
  <c r="Y42" i="6"/>
  <c r="Y42" i="7" s="1"/>
  <c r="X42" i="6"/>
  <c r="W42" i="6"/>
  <c r="W42" i="7" s="1"/>
  <c r="V42" i="6"/>
  <c r="V42" i="7" s="1"/>
  <c r="U42" i="6"/>
  <c r="U42" i="7" s="1"/>
  <c r="T42" i="6"/>
  <c r="S42" i="6"/>
  <c r="S42" i="7" s="1"/>
  <c r="R42" i="6"/>
  <c r="R42" i="7" s="1"/>
  <c r="Q42" i="6"/>
  <c r="Q42" i="7" s="1"/>
  <c r="P42" i="6"/>
  <c r="P42" i="7" s="1"/>
  <c r="O42" i="6"/>
  <c r="O42" i="7" s="1"/>
  <c r="N42" i="6"/>
  <c r="N42" i="7" s="1"/>
  <c r="M42" i="6"/>
  <c r="L42" i="6"/>
  <c r="K42" i="6"/>
  <c r="J42" i="6"/>
  <c r="J42" i="7" s="1"/>
  <c r="I42" i="6"/>
  <c r="I42" i="7" s="1"/>
  <c r="H42" i="6"/>
  <c r="G42" i="6"/>
  <c r="G42" i="7" s="1"/>
  <c r="F42" i="6"/>
  <c r="F42" i="7" s="1"/>
  <c r="E42" i="6"/>
  <c r="E42" i="7" s="1"/>
  <c r="D42" i="6"/>
  <c r="D42" i="7" s="1"/>
  <c r="AI41" i="6"/>
  <c r="AI41" i="7" s="1"/>
  <c r="AH41" i="6"/>
  <c r="AH41" i="7" s="1"/>
  <c r="AG41" i="6"/>
  <c r="AG41" i="7" s="1"/>
  <c r="AF41" i="6"/>
  <c r="AE41" i="6"/>
  <c r="AE41" i="7" s="1"/>
  <c r="AD41" i="6"/>
  <c r="AD41" i="7" s="1"/>
  <c r="AC41" i="6"/>
  <c r="AC41" i="7" s="1"/>
  <c r="AB41" i="6"/>
  <c r="AA41" i="6"/>
  <c r="AA41" i="7" s="1"/>
  <c r="Z41" i="6"/>
  <c r="Z41" i="7" s="1"/>
  <c r="Y41" i="6"/>
  <c r="Y41" i="7" s="1"/>
  <c r="X41" i="6"/>
  <c r="W41" i="6"/>
  <c r="W41" i="7" s="1"/>
  <c r="V41" i="6"/>
  <c r="V41" i="7" s="1"/>
  <c r="U41" i="6"/>
  <c r="U41" i="7" s="1"/>
  <c r="T41" i="6"/>
  <c r="S41" i="6"/>
  <c r="S41" i="7" s="1"/>
  <c r="R41" i="6"/>
  <c r="R41" i="7" s="1"/>
  <c r="Q41" i="6"/>
  <c r="Q41" i="7" s="1"/>
  <c r="P41" i="6"/>
  <c r="O41" i="6"/>
  <c r="O41" i="7" s="1"/>
  <c r="N41" i="6"/>
  <c r="N41" i="7" s="1"/>
  <c r="M41" i="6"/>
  <c r="M41" i="7" s="1"/>
  <c r="L41" i="6"/>
  <c r="K41" i="6"/>
  <c r="J41" i="6"/>
  <c r="J41" i="7" s="1"/>
  <c r="I41" i="6"/>
  <c r="I41" i="7" s="1"/>
  <c r="H41" i="6"/>
  <c r="G41" i="6"/>
  <c r="G41" i="7" s="1"/>
  <c r="F41" i="6"/>
  <c r="F41" i="7" s="1"/>
  <c r="E41" i="6"/>
  <c r="E41" i="7" s="1"/>
  <c r="D41" i="6"/>
  <c r="D41" i="7" s="1"/>
  <c r="AI40" i="6"/>
  <c r="AI40" i="7" s="1"/>
  <c r="AH40" i="6"/>
  <c r="AH40" i="7" s="1"/>
  <c r="AG40" i="6"/>
  <c r="AG40" i="7" s="1"/>
  <c r="AF40" i="6"/>
  <c r="AE40" i="6"/>
  <c r="AE40" i="7" s="1"/>
  <c r="AD40" i="6"/>
  <c r="AD40" i="7" s="1"/>
  <c r="AC40" i="6"/>
  <c r="AC40" i="7" s="1"/>
  <c r="AB40" i="6"/>
  <c r="AA40" i="6"/>
  <c r="AA40" i="7" s="1"/>
  <c r="Z40" i="6"/>
  <c r="Z40" i="7" s="1"/>
  <c r="Y40" i="6"/>
  <c r="Y40" i="7" s="1"/>
  <c r="X40" i="6"/>
  <c r="W40" i="6"/>
  <c r="W40" i="7" s="1"/>
  <c r="V40" i="6"/>
  <c r="V40" i="7" s="1"/>
  <c r="U40" i="6"/>
  <c r="U40" i="7" s="1"/>
  <c r="T40" i="6"/>
  <c r="S40" i="6"/>
  <c r="S40" i="7" s="1"/>
  <c r="R40" i="6"/>
  <c r="R40" i="7" s="1"/>
  <c r="Q40" i="6"/>
  <c r="Q40" i="7" s="1"/>
  <c r="P40" i="6"/>
  <c r="P40" i="7" s="1"/>
  <c r="O40" i="6"/>
  <c r="O40" i="7" s="1"/>
  <c r="N40" i="6"/>
  <c r="N40" i="7" s="1"/>
  <c r="M40" i="6"/>
  <c r="M40" i="7" s="1"/>
  <c r="L40" i="6"/>
  <c r="K40" i="6"/>
  <c r="J40" i="6"/>
  <c r="J40" i="7" s="1"/>
  <c r="I40" i="6"/>
  <c r="I40" i="7" s="1"/>
  <c r="H40" i="6"/>
  <c r="G40" i="6"/>
  <c r="G40" i="7" s="1"/>
  <c r="F40" i="6"/>
  <c r="F40" i="7" s="1"/>
  <c r="E40" i="6"/>
  <c r="E40" i="7" s="1"/>
  <c r="D40" i="6"/>
  <c r="D40" i="7" s="1"/>
  <c r="AI39" i="6"/>
  <c r="AI39" i="7" s="1"/>
  <c r="AH39" i="6"/>
  <c r="AG39" i="6"/>
  <c r="AG39" i="7" s="1"/>
  <c r="AF39" i="6"/>
  <c r="AE39" i="6"/>
  <c r="AE39" i="7" s="1"/>
  <c r="AD39" i="6"/>
  <c r="AD39" i="7" s="1"/>
  <c r="AC39" i="6"/>
  <c r="AC39" i="7" s="1"/>
  <c r="AB39" i="6"/>
  <c r="AA39" i="6"/>
  <c r="AA39" i="7" s="1"/>
  <c r="Z39" i="6"/>
  <c r="Z39" i="7" s="1"/>
  <c r="Y39" i="6"/>
  <c r="Y39" i="7" s="1"/>
  <c r="X39" i="6"/>
  <c r="W39" i="6"/>
  <c r="W39" i="7" s="1"/>
  <c r="V39" i="6"/>
  <c r="V39" i="7" s="1"/>
  <c r="U39" i="6"/>
  <c r="U39" i="7" s="1"/>
  <c r="T39" i="6"/>
  <c r="S39" i="6"/>
  <c r="S39" i="7" s="1"/>
  <c r="R39" i="6"/>
  <c r="Q39" i="6"/>
  <c r="Q39" i="7" s="1"/>
  <c r="P39" i="6"/>
  <c r="P39" i="7" s="1"/>
  <c r="O39" i="6"/>
  <c r="O39" i="7" s="1"/>
  <c r="N39" i="6"/>
  <c r="N39" i="7" s="1"/>
  <c r="M39" i="6"/>
  <c r="M39" i="7" s="1"/>
  <c r="L39" i="6"/>
  <c r="K39" i="6"/>
  <c r="J39" i="6"/>
  <c r="J39" i="7" s="1"/>
  <c r="I39" i="6"/>
  <c r="I39" i="7" s="1"/>
  <c r="H39" i="6"/>
  <c r="G39" i="6"/>
  <c r="G39" i="7" s="1"/>
  <c r="F39" i="6"/>
  <c r="F39" i="7" s="1"/>
  <c r="E39" i="6"/>
  <c r="E39" i="7" s="1"/>
  <c r="D39" i="6"/>
  <c r="D39" i="7" s="1"/>
  <c r="AI38" i="6"/>
  <c r="AI38" i="7" s="1"/>
  <c r="AH38" i="6"/>
  <c r="AH38" i="7" s="1"/>
  <c r="AG38" i="6"/>
  <c r="AG38" i="7" s="1"/>
  <c r="AF38" i="6"/>
  <c r="AE38" i="6"/>
  <c r="AE38" i="7" s="1"/>
  <c r="AD38" i="6"/>
  <c r="AD38" i="7" s="1"/>
  <c r="AC38" i="6"/>
  <c r="AB38" i="6"/>
  <c r="AA38" i="6"/>
  <c r="AA38" i="7" s="1"/>
  <c r="Z38" i="6"/>
  <c r="Z38" i="7" s="1"/>
  <c r="Y38" i="6"/>
  <c r="Y38" i="7" s="1"/>
  <c r="X38" i="6"/>
  <c r="W38" i="6"/>
  <c r="W38" i="7" s="1"/>
  <c r="V38" i="6"/>
  <c r="V38" i="7" s="1"/>
  <c r="U38" i="6"/>
  <c r="U38" i="7" s="1"/>
  <c r="T38" i="6"/>
  <c r="S38" i="6"/>
  <c r="S38" i="7" s="1"/>
  <c r="R38" i="6"/>
  <c r="R38" i="7" s="1"/>
  <c r="Q38" i="6"/>
  <c r="Q38" i="7" s="1"/>
  <c r="P38" i="6"/>
  <c r="P38" i="7" s="1"/>
  <c r="O38" i="6"/>
  <c r="O38" i="7" s="1"/>
  <c r="N38" i="6"/>
  <c r="N38" i="7" s="1"/>
  <c r="M38" i="6"/>
  <c r="L38" i="6"/>
  <c r="K38" i="6"/>
  <c r="J38" i="6"/>
  <c r="J38" i="7" s="1"/>
  <c r="I38" i="6"/>
  <c r="I38" i="7" s="1"/>
  <c r="H38" i="6"/>
  <c r="G38" i="6"/>
  <c r="G38" i="7" s="1"/>
  <c r="F38" i="6"/>
  <c r="F38" i="7" s="1"/>
  <c r="E38" i="6"/>
  <c r="E38" i="7" s="1"/>
  <c r="D38" i="6"/>
  <c r="D38" i="7" s="1"/>
  <c r="AI37" i="6"/>
  <c r="AI37" i="7" s="1"/>
  <c r="AH37" i="6"/>
  <c r="AH37" i="7" s="1"/>
  <c r="AG37" i="6"/>
  <c r="AG37" i="7" s="1"/>
  <c r="AF37" i="6"/>
  <c r="AE37" i="6"/>
  <c r="AE37" i="7" s="1"/>
  <c r="AD37" i="6"/>
  <c r="AD37" i="7" s="1"/>
  <c r="AC37" i="6"/>
  <c r="AC37" i="7" s="1"/>
  <c r="AB37" i="6"/>
  <c r="AA37" i="6"/>
  <c r="AA37" i="7" s="1"/>
  <c r="Z37" i="6"/>
  <c r="Z37" i="7" s="1"/>
  <c r="Y37" i="6"/>
  <c r="Y37" i="7" s="1"/>
  <c r="X37" i="6"/>
  <c r="W37" i="6"/>
  <c r="W37" i="7" s="1"/>
  <c r="V37" i="6"/>
  <c r="V37" i="7" s="1"/>
  <c r="U37" i="6"/>
  <c r="U37" i="7" s="1"/>
  <c r="T37" i="6"/>
  <c r="S37" i="6"/>
  <c r="S37" i="7" s="1"/>
  <c r="R37" i="6"/>
  <c r="R37" i="7" s="1"/>
  <c r="Q37" i="6"/>
  <c r="Q37" i="7" s="1"/>
  <c r="P37" i="6"/>
  <c r="O37" i="6"/>
  <c r="O37" i="7" s="1"/>
  <c r="N37" i="6"/>
  <c r="N37" i="7" s="1"/>
  <c r="M37" i="6"/>
  <c r="M37" i="7" s="1"/>
  <c r="L37" i="6"/>
  <c r="K37" i="6"/>
  <c r="J37" i="6"/>
  <c r="J37" i="7" s="1"/>
  <c r="I37" i="6"/>
  <c r="I37" i="7" s="1"/>
  <c r="H37" i="6"/>
  <c r="G37" i="6"/>
  <c r="G37" i="7" s="1"/>
  <c r="F37" i="6"/>
  <c r="F37" i="7" s="1"/>
  <c r="E37" i="6"/>
  <c r="E37" i="7" s="1"/>
  <c r="D37" i="6"/>
  <c r="D37" i="7" s="1"/>
  <c r="AW36" i="6"/>
  <c r="AQ33" i="6"/>
  <c r="AQ33" i="7" s="1"/>
  <c r="AP33" i="6"/>
  <c r="AP33" i="7" s="1"/>
  <c r="AO33" i="6"/>
  <c r="AO33" i="7" s="1"/>
  <c r="AN33" i="6"/>
  <c r="AM33" i="6"/>
  <c r="AM33" i="7" s="1"/>
  <c r="AL33" i="6"/>
  <c r="AL33" i="7" s="1"/>
  <c r="AK33" i="6"/>
  <c r="AK33" i="7" s="1"/>
  <c r="AJ33" i="6"/>
  <c r="AI33" i="6"/>
  <c r="AI33" i="7" s="1"/>
  <c r="AH33" i="6"/>
  <c r="AH33" i="7" s="1"/>
  <c r="AG33" i="6"/>
  <c r="AG33" i="7" s="1"/>
  <c r="AF33" i="6"/>
  <c r="AE33" i="6"/>
  <c r="AE33" i="7" s="1"/>
  <c r="AD33" i="6"/>
  <c r="AD33" i="7" s="1"/>
  <c r="AC33" i="6"/>
  <c r="AC33" i="7" s="1"/>
  <c r="AB33" i="6"/>
  <c r="AA33" i="6"/>
  <c r="AA33" i="7" s="1"/>
  <c r="Z33" i="6"/>
  <c r="Z33" i="7" s="1"/>
  <c r="Y33" i="6"/>
  <c r="Y33" i="7" s="1"/>
  <c r="X33" i="6"/>
  <c r="W33" i="6"/>
  <c r="W33" i="7" s="1"/>
  <c r="V33" i="6"/>
  <c r="V33" i="7" s="1"/>
  <c r="U33" i="6"/>
  <c r="U33" i="7" s="1"/>
  <c r="T33" i="6"/>
  <c r="S33" i="6"/>
  <c r="S33" i="7" s="1"/>
  <c r="R33" i="6"/>
  <c r="R33" i="7" s="1"/>
  <c r="Q33" i="6"/>
  <c r="Q33" i="7" s="1"/>
  <c r="P33" i="6"/>
  <c r="O33" i="6"/>
  <c r="O33" i="7" s="1"/>
  <c r="N33" i="6"/>
  <c r="N33" i="7" s="1"/>
  <c r="M33" i="6"/>
  <c r="M33" i="7" s="1"/>
  <c r="L33" i="6"/>
  <c r="K33" i="6"/>
  <c r="J33" i="6"/>
  <c r="J33" i="7" s="1"/>
  <c r="I33" i="6"/>
  <c r="I33" i="7" s="1"/>
  <c r="H33" i="6"/>
  <c r="G33" i="6"/>
  <c r="G33" i="7" s="1"/>
  <c r="F33" i="6"/>
  <c r="F33" i="7" s="1"/>
  <c r="E33" i="6"/>
  <c r="E33" i="7" s="1"/>
  <c r="D33" i="6"/>
  <c r="D33" i="7" s="1"/>
  <c r="AQ32" i="6"/>
  <c r="AQ32" i="7" s="1"/>
  <c r="AP32" i="6"/>
  <c r="AP32" i="7" s="1"/>
  <c r="AO32" i="6"/>
  <c r="AO32" i="7" s="1"/>
  <c r="AN32" i="6"/>
  <c r="AM32" i="6"/>
  <c r="AM32" i="7" s="1"/>
  <c r="AL32" i="6"/>
  <c r="AL32" i="7" s="1"/>
  <c r="AK32" i="6"/>
  <c r="AK32" i="7" s="1"/>
  <c r="AJ32" i="6"/>
  <c r="AI32" i="6"/>
  <c r="AI32" i="7" s="1"/>
  <c r="AH32" i="6"/>
  <c r="AH32" i="7" s="1"/>
  <c r="AG32" i="6"/>
  <c r="AG32" i="7" s="1"/>
  <c r="AF32" i="6"/>
  <c r="AE32" i="6"/>
  <c r="AE32" i="7" s="1"/>
  <c r="AD32" i="6"/>
  <c r="AD32" i="7" s="1"/>
  <c r="AC32" i="6"/>
  <c r="AC32" i="7" s="1"/>
  <c r="AB32" i="6"/>
  <c r="AA32" i="6"/>
  <c r="AA32" i="7" s="1"/>
  <c r="Z32" i="6"/>
  <c r="Z32" i="7" s="1"/>
  <c r="Y32" i="6"/>
  <c r="Y32" i="7" s="1"/>
  <c r="X32" i="6"/>
  <c r="W32" i="6"/>
  <c r="W32" i="7" s="1"/>
  <c r="V32" i="6"/>
  <c r="V32" i="7" s="1"/>
  <c r="U32" i="6"/>
  <c r="U32" i="7" s="1"/>
  <c r="T32" i="6"/>
  <c r="S32" i="6"/>
  <c r="S32" i="7" s="1"/>
  <c r="R32" i="6"/>
  <c r="R32" i="7" s="1"/>
  <c r="Q32" i="6"/>
  <c r="Q32" i="7" s="1"/>
  <c r="P32" i="6"/>
  <c r="P32" i="7" s="1"/>
  <c r="O32" i="6"/>
  <c r="O32" i="7" s="1"/>
  <c r="N32" i="6"/>
  <c r="N32" i="7" s="1"/>
  <c r="M32" i="6"/>
  <c r="M32" i="7" s="1"/>
  <c r="L32" i="6"/>
  <c r="K32" i="6"/>
  <c r="J32" i="6"/>
  <c r="J32" i="7" s="1"/>
  <c r="I32" i="6"/>
  <c r="I32" i="7" s="1"/>
  <c r="H32" i="6"/>
  <c r="G32" i="6"/>
  <c r="G32" i="7" s="1"/>
  <c r="F32" i="6"/>
  <c r="F32" i="7" s="1"/>
  <c r="E32" i="6"/>
  <c r="E32" i="7" s="1"/>
  <c r="D32" i="6"/>
  <c r="D32" i="7" s="1"/>
  <c r="AQ31" i="6"/>
  <c r="AQ31" i="7" s="1"/>
  <c r="AP31" i="6"/>
  <c r="AP31" i="7" s="1"/>
  <c r="AO31" i="6"/>
  <c r="AO31" i="7" s="1"/>
  <c r="AN31" i="6"/>
  <c r="AM31" i="6"/>
  <c r="AM31" i="7" s="1"/>
  <c r="AL31" i="6"/>
  <c r="AL31" i="7" s="1"/>
  <c r="AK31" i="6"/>
  <c r="AK31" i="7" s="1"/>
  <c r="AJ31" i="6"/>
  <c r="AI31" i="6"/>
  <c r="AI31" i="7" s="1"/>
  <c r="AH31" i="6"/>
  <c r="AG31" i="6"/>
  <c r="AG31" i="7" s="1"/>
  <c r="AF31" i="6"/>
  <c r="AE31" i="6"/>
  <c r="AE31" i="7" s="1"/>
  <c r="AD31" i="6"/>
  <c r="AD31" i="7" s="1"/>
  <c r="AC31" i="6"/>
  <c r="AC31" i="7" s="1"/>
  <c r="AB31" i="6"/>
  <c r="AA31" i="6"/>
  <c r="AA31" i="7" s="1"/>
  <c r="Z31" i="6"/>
  <c r="Z31" i="7" s="1"/>
  <c r="Y31" i="6"/>
  <c r="Y31" i="7" s="1"/>
  <c r="X31" i="6"/>
  <c r="W31" i="6"/>
  <c r="W31" i="7" s="1"/>
  <c r="V31" i="6"/>
  <c r="V31" i="7" s="1"/>
  <c r="U31" i="6"/>
  <c r="U31" i="7" s="1"/>
  <c r="T31" i="6"/>
  <c r="S31" i="6"/>
  <c r="S31" i="7" s="1"/>
  <c r="R31" i="6"/>
  <c r="Q31" i="6"/>
  <c r="Q31" i="7" s="1"/>
  <c r="P31" i="6"/>
  <c r="P31" i="7" s="1"/>
  <c r="O31" i="6"/>
  <c r="O31" i="7" s="1"/>
  <c r="N31" i="6"/>
  <c r="N31" i="7" s="1"/>
  <c r="M31" i="6"/>
  <c r="M31" i="7" s="1"/>
  <c r="L31" i="6"/>
  <c r="K31" i="6"/>
  <c r="J31" i="6"/>
  <c r="J31" i="7" s="1"/>
  <c r="I31" i="6"/>
  <c r="I31" i="7" s="1"/>
  <c r="H31" i="6"/>
  <c r="G31" i="6"/>
  <c r="G31" i="7" s="1"/>
  <c r="F31" i="6"/>
  <c r="F31" i="7" s="1"/>
  <c r="E31" i="6"/>
  <c r="E31" i="7" s="1"/>
  <c r="D31" i="6"/>
  <c r="D31" i="7" s="1"/>
  <c r="AQ30" i="6"/>
  <c r="AQ30" i="7" s="1"/>
  <c r="AP30" i="6"/>
  <c r="AP30" i="7" s="1"/>
  <c r="AO30" i="6"/>
  <c r="AN30" i="6"/>
  <c r="AM30" i="6"/>
  <c r="AM30" i="7" s="1"/>
  <c r="AL30" i="6"/>
  <c r="AL30" i="7" s="1"/>
  <c r="AK30" i="6"/>
  <c r="AK30" i="7" s="1"/>
  <c r="AJ30" i="6"/>
  <c r="AI30" i="6"/>
  <c r="AI30" i="7" s="1"/>
  <c r="AH30" i="6"/>
  <c r="AH30" i="7" s="1"/>
  <c r="AG30" i="6"/>
  <c r="AG30" i="7" s="1"/>
  <c r="AF30" i="6"/>
  <c r="AE30" i="6"/>
  <c r="AE30" i="7" s="1"/>
  <c r="AD30" i="6"/>
  <c r="AD30" i="7" s="1"/>
  <c r="AC30" i="6"/>
  <c r="AB30" i="6"/>
  <c r="AA30" i="6"/>
  <c r="AA30" i="7" s="1"/>
  <c r="Z30" i="6"/>
  <c r="Z30" i="7" s="1"/>
  <c r="Y30" i="6"/>
  <c r="Y30" i="7" s="1"/>
  <c r="X30" i="6"/>
  <c r="W30" i="6"/>
  <c r="W30" i="7" s="1"/>
  <c r="V30" i="6"/>
  <c r="V30" i="7" s="1"/>
  <c r="U30" i="6"/>
  <c r="U30" i="7" s="1"/>
  <c r="T30" i="6"/>
  <c r="S30" i="6"/>
  <c r="S30" i="7" s="1"/>
  <c r="R30" i="6"/>
  <c r="R30" i="7" s="1"/>
  <c r="Q30" i="6"/>
  <c r="Q30" i="7" s="1"/>
  <c r="P30" i="6"/>
  <c r="P30" i="7" s="1"/>
  <c r="O30" i="6"/>
  <c r="O30" i="7" s="1"/>
  <c r="N30" i="6"/>
  <c r="N30" i="7" s="1"/>
  <c r="M30" i="6"/>
  <c r="L30" i="6"/>
  <c r="K30" i="6"/>
  <c r="J30" i="6"/>
  <c r="J30" i="7" s="1"/>
  <c r="I30" i="6"/>
  <c r="I30" i="7" s="1"/>
  <c r="H30" i="6"/>
  <c r="G30" i="6"/>
  <c r="G30" i="7" s="1"/>
  <c r="F30" i="6"/>
  <c r="F30" i="7" s="1"/>
  <c r="E30" i="6"/>
  <c r="E30" i="7" s="1"/>
  <c r="D30" i="6"/>
  <c r="AQ29" i="6"/>
  <c r="AQ29" i="7" s="1"/>
  <c r="AP29" i="6"/>
  <c r="AP29" i="7" s="1"/>
  <c r="AO29" i="6"/>
  <c r="AO29" i="7" s="1"/>
  <c r="AN29" i="6"/>
  <c r="AM29" i="6"/>
  <c r="AM29" i="7" s="1"/>
  <c r="AL29" i="6"/>
  <c r="AL29" i="7" s="1"/>
  <c r="AK29" i="6"/>
  <c r="AK29" i="7" s="1"/>
  <c r="AJ29" i="6"/>
  <c r="AI29" i="6"/>
  <c r="AI29" i="7" s="1"/>
  <c r="AH29" i="6"/>
  <c r="AH29" i="7" s="1"/>
  <c r="AG29" i="6"/>
  <c r="AG29" i="7" s="1"/>
  <c r="AF29" i="6"/>
  <c r="AE29" i="6"/>
  <c r="AE29" i="7" s="1"/>
  <c r="AD29" i="6"/>
  <c r="AD29" i="7" s="1"/>
  <c r="AC29" i="6"/>
  <c r="AC29" i="7" s="1"/>
  <c r="AB29" i="6"/>
  <c r="AA29" i="6"/>
  <c r="AA29" i="7" s="1"/>
  <c r="Z29" i="6"/>
  <c r="Z29" i="7" s="1"/>
  <c r="Y29" i="6"/>
  <c r="Y29" i="7" s="1"/>
  <c r="X29" i="6"/>
  <c r="W29" i="6"/>
  <c r="W29" i="7" s="1"/>
  <c r="V29" i="6"/>
  <c r="V29" i="7" s="1"/>
  <c r="U29" i="6"/>
  <c r="U29" i="7" s="1"/>
  <c r="T29" i="6"/>
  <c r="S29" i="6"/>
  <c r="S29" i="7" s="1"/>
  <c r="R29" i="6"/>
  <c r="R29" i="7" s="1"/>
  <c r="Q29" i="6"/>
  <c r="Q29" i="7" s="1"/>
  <c r="P29" i="6"/>
  <c r="O29" i="6"/>
  <c r="O29" i="7" s="1"/>
  <c r="N29" i="6"/>
  <c r="N29" i="7" s="1"/>
  <c r="M29" i="6"/>
  <c r="M29" i="7" s="1"/>
  <c r="L29" i="6"/>
  <c r="K29" i="6"/>
  <c r="J29" i="6"/>
  <c r="J29" i="7" s="1"/>
  <c r="I29" i="6"/>
  <c r="I29" i="7" s="1"/>
  <c r="H29" i="6"/>
  <c r="G29" i="6"/>
  <c r="G29" i="7" s="1"/>
  <c r="F29" i="6"/>
  <c r="F29" i="7" s="1"/>
  <c r="E29" i="6"/>
  <c r="E29" i="7" s="1"/>
  <c r="D29" i="6"/>
  <c r="AW28" i="6"/>
  <c r="AQ25" i="6"/>
  <c r="AQ26" i="6" s="1"/>
  <c r="AQ26" i="7" s="1"/>
  <c r="AP25" i="6"/>
  <c r="AP26" i="6" s="1"/>
  <c r="AP26" i="7" s="1"/>
  <c r="AO25" i="6"/>
  <c r="AN25" i="6"/>
  <c r="AM25" i="6"/>
  <c r="AM26" i="6" s="1"/>
  <c r="AM26" i="7" s="1"/>
  <c r="AL25" i="6"/>
  <c r="AL26" i="6" s="1"/>
  <c r="AL26" i="7" s="1"/>
  <c r="AK25" i="6"/>
  <c r="AK26" i="6" s="1"/>
  <c r="AJ25" i="6"/>
  <c r="AI25" i="6"/>
  <c r="AI26" i="6" s="1"/>
  <c r="AI26" i="7" s="1"/>
  <c r="AH25" i="6"/>
  <c r="AH26" i="6" s="1"/>
  <c r="AH26" i="7" s="1"/>
  <c r="AG25" i="6"/>
  <c r="AG26" i="6" s="1"/>
  <c r="AF25" i="6"/>
  <c r="AE25" i="6"/>
  <c r="AE26" i="6" s="1"/>
  <c r="AE26" i="7" s="1"/>
  <c r="AD25" i="6"/>
  <c r="AD26" i="6" s="1"/>
  <c r="AD26" i="7" s="1"/>
  <c r="AC25" i="6"/>
  <c r="AC26" i="6" s="1"/>
  <c r="AB25" i="6"/>
  <c r="AA25" i="6"/>
  <c r="AA26" i="6" s="1"/>
  <c r="AA26" i="7" s="1"/>
  <c r="Z25" i="6"/>
  <c r="Z26" i="6" s="1"/>
  <c r="Z26" i="7" s="1"/>
  <c r="Y25" i="6"/>
  <c r="Y26" i="6" s="1"/>
  <c r="X25" i="6"/>
  <c r="W25" i="6"/>
  <c r="W26" i="6" s="1"/>
  <c r="W26" i="7" s="1"/>
  <c r="V25" i="6"/>
  <c r="V26" i="6" s="1"/>
  <c r="V26" i="7" s="1"/>
  <c r="U25" i="6"/>
  <c r="U26" i="6" s="1"/>
  <c r="T25" i="6"/>
  <c r="S25" i="6"/>
  <c r="S26" i="6" s="1"/>
  <c r="S26" i="7" s="1"/>
  <c r="R25" i="6"/>
  <c r="R26" i="6" s="1"/>
  <c r="R26" i="7" s="1"/>
  <c r="Q25" i="6"/>
  <c r="Q26" i="6" s="1"/>
  <c r="P25" i="6"/>
  <c r="O25" i="6"/>
  <c r="O26" i="6" s="1"/>
  <c r="O26" i="7" s="1"/>
  <c r="N25" i="6"/>
  <c r="N26" i="6" s="1"/>
  <c r="N26" i="7" s="1"/>
  <c r="M25" i="6"/>
  <c r="M26" i="6" s="1"/>
  <c r="L25" i="6"/>
  <c r="K25" i="6"/>
  <c r="J25" i="6"/>
  <c r="J26" i="6" s="1"/>
  <c r="J26" i="7" s="1"/>
  <c r="I25" i="6"/>
  <c r="I26" i="6" s="1"/>
  <c r="H25" i="6"/>
  <c r="G25" i="6"/>
  <c r="G26" i="6" s="1"/>
  <c r="G26" i="7" s="1"/>
  <c r="F25" i="6"/>
  <c r="F26" i="6" s="1"/>
  <c r="F26" i="7" s="1"/>
  <c r="E25" i="6"/>
  <c r="E26" i="6" s="1"/>
  <c r="D25" i="6"/>
  <c r="D26" i="6" s="1"/>
  <c r="B23" i="6"/>
  <c r="B23" i="7" s="1"/>
  <c r="D22" i="6"/>
  <c r="E22" i="6" s="1"/>
  <c r="E22" i="7" s="1"/>
  <c r="D21" i="6"/>
  <c r="D21" i="7" s="1"/>
  <c r="D20" i="6"/>
  <c r="D20" i="7" s="1"/>
  <c r="AQ19" i="6"/>
  <c r="AP19" i="6"/>
  <c r="AP19" i="7" s="1"/>
  <c r="AO19" i="6"/>
  <c r="AO19" i="7" s="1"/>
  <c r="AN19" i="6"/>
  <c r="AM19" i="6"/>
  <c r="AM19" i="7" s="1"/>
  <c r="AL19" i="6"/>
  <c r="AL19" i="7" s="1"/>
  <c r="AK19" i="6"/>
  <c r="AK19" i="7" s="1"/>
  <c r="AJ19" i="6"/>
  <c r="AI19" i="6"/>
  <c r="AI19" i="7" s="1"/>
  <c r="AH19" i="6"/>
  <c r="AH19" i="7" s="1"/>
  <c r="AG19" i="6"/>
  <c r="AG19" i="7" s="1"/>
  <c r="AF19" i="6"/>
  <c r="AE19" i="6"/>
  <c r="AE19" i="7" s="1"/>
  <c r="AD19" i="6"/>
  <c r="AD19" i="7" s="1"/>
  <c r="AC19" i="6"/>
  <c r="AC19" i="7" s="1"/>
  <c r="AB19" i="6"/>
  <c r="AA19" i="6"/>
  <c r="AA19" i="7" s="1"/>
  <c r="Z19" i="6"/>
  <c r="Z19" i="7" s="1"/>
  <c r="Y19" i="6"/>
  <c r="Y19" i="7" s="1"/>
  <c r="X19" i="6"/>
  <c r="W19" i="6"/>
  <c r="W19" i="7" s="1"/>
  <c r="V19" i="6"/>
  <c r="V19" i="7" s="1"/>
  <c r="U19" i="6"/>
  <c r="U19" i="7" s="1"/>
  <c r="T19" i="6"/>
  <c r="S19" i="6"/>
  <c r="S19" i="7" s="1"/>
  <c r="R19" i="6"/>
  <c r="R19" i="7" s="1"/>
  <c r="Q19" i="6"/>
  <c r="Q19" i="7" s="1"/>
  <c r="P19" i="6"/>
  <c r="P19" i="7" s="1"/>
  <c r="O19" i="6"/>
  <c r="O19" i="7" s="1"/>
  <c r="N19" i="6"/>
  <c r="N19" i="7" s="1"/>
  <c r="M19" i="6"/>
  <c r="M19" i="7" s="1"/>
  <c r="L19" i="6"/>
  <c r="K19" i="6"/>
  <c r="J19" i="6"/>
  <c r="J19" i="7" s="1"/>
  <c r="I19" i="6"/>
  <c r="I19" i="7" s="1"/>
  <c r="H19" i="6"/>
  <c r="F19" i="6"/>
  <c r="F19" i="7" s="1"/>
  <c r="D19" i="6"/>
  <c r="D19" i="7" s="1"/>
  <c r="AQ18" i="7"/>
  <c r="AP18" i="7"/>
  <c r="AM18" i="7"/>
  <c r="AL18" i="7"/>
  <c r="AI18" i="7"/>
  <c r="AH18" i="7"/>
  <c r="AE18" i="7"/>
  <c r="AD18" i="7"/>
  <c r="AA18" i="7"/>
  <c r="Z18" i="7"/>
  <c r="W18" i="7"/>
  <c r="V18" i="7"/>
  <c r="S18" i="7"/>
  <c r="R18" i="7"/>
  <c r="O18" i="7"/>
  <c r="N18" i="7"/>
  <c r="J18" i="7"/>
  <c r="G18" i="7"/>
  <c r="F18" i="7"/>
  <c r="AW18" i="6"/>
  <c r="AW17" i="6"/>
  <c r="G15" i="6"/>
  <c r="G16" i="6" s="1"/>
  <c r="F15" i="6"/>
  <c r="F16" i="6" s="1"/>
  <c r="E15" i="6"/>
  <c r="E16" i="6" s="1"/>
  <c r="D15" i="6"/>
  <c r="B15" i="6"/>
  <c r="AW14" i="6"/>
  <c r="AW13" i="6"/>
  <c r="AW57" i="6" s="1"/>
  <c r="AQ13" i="6"/>
  <c r="AR13" i="6" s="1"/>
  <c r="AP13" i="6"/>
  <c r="AO13" i="6"/>
  <c r="AM13" i="6"/>
  <c r="AN13" i="6" s="1"/>
  <c r="AL13" i="6"/>
  <c r="AK13" i="6"/>
  <c r="AI13" i="6"/>
  <c r="AJ13" i="6" s="1"/>
  <c r="AH13" i="6"/>
  <c r="AE13" i="6"/>
  <c r="AF13" i="6" s="1"/>
  <c r="AD13" i="6"/>
  <c r="AC13" i="6"/>
  <c r="AA13" i="6"/>
  <c r="AB13" i="6" s="1"/>
  <c r="Z13" i="6"/>
  <c r="Y13" i="6"/>
  <c r="W13" i="6"/>
  <c r="V13" i="6"/>
  <c r="U13" i="6"/>
  <c r="T13" i="7"/>
  <c r="AW12" i="6"/>
  <c r="AW11" i="6"/>
  <c r="AW10" i="6"/>
  <c r="AW9" i="6"/>
  <c r="AW8" i="6"/>
  <c r="G6" i="6"/>
  <c r="F6" i="6"/>
  <c r="F7" i="6" s="1"/>
  <c r="E6" i="6"/>
  <c r="B6" i="6"/>
  <c r="AW5" i="6"/>
  <c r="AW4" i="6"/>
  <c r="AW3" i="6"/>
  <c r="AX3" i="7" s="1"/>
  <c r="BG1" i="6"/>
  <c r="BH1" i="7" s="1"/>
  <c r="L68" i="7" s="1"/>
  <c r="BF1" i="6"/>
  <c r="BG1" i="7" s="1"/>
  <c r="K68" i="7" s="1"/>
  <c r="BE1" i="6"/>
  <c r="BF1" i="7" s="1"/>
  <c r="J68" i="7" s="1"/>
  <c r="BD1" i="6"/>
  <c r="BE1" i="7" s="1"/>
  <c r="I68" i="7" s="1"/>
  <c r="BC1" i="6"/>
  <c r="BD1" i="7" s="1"/>
  <c r="H68" i="7" s="1"/>
  <c r="BB1" i="6"/>
  <c r="BC1" i="7" s="1"/>
  <c r="G68" i="7" s="1"/>
  <c r="BA1" i="6"/>
  <c r="BB1" i="7" s="1"/>
  <c r="F68" i="7" s="1"/>
  <c r="AZ1" i="6"/>
  <c r="BA1" i="7" s="1"/>
  <c r="E68" i="7" s="1"/>
  <c r="AY1" i="6"/>
  <c r="AX1" i="6"/>
  <c r="AW1" i="6"/>
  <c r="AQ1" i="6"/>
  <c r="AP1" i="6"/>
  <c r="AP1" i="7" s="1"/>
  <c r="AO1" i="6"/>
  <c r="AO59" i="6" s="1"/>
  <c r="AN1" i="6"/>
  <c r="AM1" i="6"/>
  <c r="AL1" i="6"/>
  <c r="AL1" i="7" s="1"/>
  <c r="AK1" i="6"/>
  <c r="AK1" i="7" s="1"/>
  <c r="AJ1" i="6"/>
  <c r="AI1" i="6"/>
  <c r="AH1" i="6"/>
  <c r="AH1" i="7" s="1"/>
  <c r="AG1" i="6"/>
  <c r="AG59" i="6" s="1"/>
  <c r="AF1" i="6"/>
  <c r="AE1" i="6"/>
  <c r="AD1" i="6"/>
  <c r="AD1" i="7" s="1"/>
  <c r="AC1" i="6"/>
  <c r="AC1" i="7" s="1"/>
  <c r="AB1" i="6"/>
  <c r="AA1" i="6"/>
  <c r="Z1" i="6"/>
  <c r="Z1" i="7" s="1"/>
  <c r="Y1" i="6"/>
  <c r="Y59" i="6" s="1"/>
  <c r="X1" i="6"/>
  <c r="W1" i="6"/>
  <c r="V1" i="6"/>
  <c r="V1" i="7" s="1"/>
  <c r="U1" i="6"/>
  <c r="U1" i="7" s="1"/>
  <c r="T1" i="6"/>
  <c r="S1" i="6"/>
  <c r="R1" i="6"/>
  <c r="R1" i="7" s="1"/>
  <c r="Q1" i="6"/>
  <c r="Q59" i="6" s="1"/>
  <c r="P1" i="6"/>
  <c r="O1" i="6"/>
  <c r="N1" i="6"/>
  <c r="N1" i="7" s="1"/>
  <c r="M1" i="6"/>
  <c r="M1" i="7" s="1"/>
  <c r="L1" i="6"/>
  <c r="K1" i="6"/>
  <c r="J1" i="6"/>
  <c r="J1" i="7" s="1"/>
  <c r="I1" i="6"/>
  <c r="I59" i="6" s="1"/>
  <c r="H1" i="6"/>
  <c r="G1" i="6"/>
  <c r="F1" i="6"/>
  <c r="F1" i="7" s="1"/>
  <c r="E1" i="6"/>
  <c r="E1" i="7" s="1"/>
  <c r="D1" i="6"/>
  <c r="B5" i="5"/>
  <c r="B19" i="5" s="1"/>
  <c r="B4" i="5"/>
  <c r="B18" i="5" s="1"/>
  <c r="B3" i="5"/>
  <c r="B17" i="5" s="1"/>
  <c r="I15" i="5"/>
  <c r="G37" i="3" s="1"/>
  <c r="G45" i="3" s="1"/>
  <c r="H15" i="5"/>
  <c r="F37" i="3" s="1"/>
  <c r="F51" i="3" s="1"/>
  <c r="G15" i="5"/>
  <c r="F15" i="5"/>
  <c r="E15" i="5"/>
  <c r="M34" i="4"/>
  <c r="M38" i="4" s="1"/>
  <c r="L34" i="4"/>
  <c r="L38" i="4" s="1"/>
  <c r="K34" i="4"/>
  <c r="K38" i="4" s="1"/>
  <c r="J34" i="4"/>
  <c r="J38" i="4" s="1"/>
  <c r="I34" i="4"/>
  <c r="I38" i="4" s="1"/>
  <c r="H34" i="4"/>
  <c r="H38" i="4" s="1"/>
  <c r="G34" i="4"/>
  <c r="G38" i="4" s="1"/>
  <c r="F34" i="4"/>
  <c r="F38" i="4" s="1"/>
  <c r="E34" i="4"/>
  <c r="E38" i="4" s="1"/>
  <c r="D34" i="4"/>
  <c r="D38" i="4" s="1"/>
  <c r="C34" i="4"/>
  <c r="C38" i="4" s="1"/>
  <c r="M22" i="4"/>
  <c r="L22" i="4"/>
  <c r="M15" i="5" s="1"/>
  <c r="K37" i="3" s="1"/>
  <c r="K45" i="3" s="1"/>
  <c r="K22" i="4"/>
  <c r="J77" i="6" s="1"/>
  <c r="J22" i="4"/>
  <c r="I22" i="4"/>
  <c r="H22" i="4"/>
  <c r="G77" i="6" s="1"/>
  <c r="G22" i="4"/>
  <c r="F77" i="6" s="1"/>
  <c r="F22" i="4"/>
  <c r="E77" i="6" s="1"/>
  <c r="E22" i="4"/>
  <c r="D77" i="6" s="1"/>
  <c r="D22" i="4"/>
  <c r="C77" i="6" s="1"/>
  <c r="C22" i="4"/>
  <c r="B77" i="6" s="1"/>
  <c r="A23" i="4"/>
  <c r="B2" i="5" s="1"/>
  <c r="B16" i="5" s="1"/>
  <c r="AM3" i="29"/>
  <c r="AM7" i="29" s="1"/>
  <c r="AL9" i="12" s="1"/>
  <c r="A2" i="29"/>
  <c r="M9" i="4"/>
  <c r="L9" i="4"/>
  <c r="Y9" i="4" s="1"/>
  <c r="K9" i="4"/>
  <c r="K15" i="4" s="1"/>
  <c r="J9" i="4"/>
  <c r="J15" i="4" s="1"/>
  <c r="I9" i="4"/>
  <c r="H9" i="4"/>
  <c r="H15" i="4" s="1"/>
  <c r="G9" i="4"/>
  <c r="T9" i="4" s="1"/>
  <c r="F9" i="4"/>
  <c r="F15" i="4" s="1"/>
  <c r="E9" i="4"/>
  <c r="D9" i="4"/>
  <c r="D15" i="4" s="1"/>
  <c r="C9" i="4"/>
  <c r="C15" i="4" s="1"/>
  <c r="Z4" i="4"/>
  <c r="M11" i="4" s="1"/>
  <c r="A52" i="3"/>
  <c r="AS50" i="3"/>
  <c r="AR50" i="3"/>
  <c r="AQ50" i="3"/>
  <c r="AP50" i="3"/>
  <c r="AO50" i="3"/>
  <c r="AN50" i="3"/>
  <c r="AM50" i="3"/>
  <c r="AL50" i="3"/>
  <c r="AK50" i="3"/>
  <c r="AJ50" i="3"/>
  <c r="AI50" i="3"/>
  <c r="AH50" i="3"/>
  <c r="AG50" i="3"/>
  <c r="AF50" i="3"/>
  <c r="AE50" i="3"/>
  <c r="AD50" i="3"/>
  <c r="AC50" i="3"/>
  <c r="AB50" i="3"/>
  <c r="AA50" i="3"/>
  <c r="Z50" i="3"/>
  <c r="Y50" i="3"/>
  <c r="X50" i="3"/>
  <c r="W50" i="3"/>
  <c r="V50" i="3"/>
  <c r="U50" i="3"/>
  <c r="T50" i="3"/>
  <c r="S50" i="3"/>
  <c r="R50" i="3"/>
  <c r="Q50" i="3"/>
  <c r="P50" i="3"/>
  <c r="O50" i="3"/>
  <c r="N50" i="3"/>
  <c r="M50" i="3"/>
  <c r="L50" i="3"/>
  <c r="K50" i="3"/>
  <c r="J50" i="3"/>
  <c r="I50" i="3"/>
  <c r="H50" i="3"/>
  <c r="G50" i="3"/>
  <c r="F50" i="3"/>
  <c r="B50" i="3"/>
  <c r="AS48" i="3"/>
  <c r="AS16" i="12" s="1"/>
  <c r="AR48" i="3"/>
  <c r="AR16" i="12" s="1"/>
  <c r="AQ48" i="3"/>
  <c r="AQ16" i="12" s="1"/>
  <c r="AP48" i="3"/>
  <c r="AP16" i="12" s="1"/>
  <c r="AO48" i="3"/>
  <c r="AO16" i="12" s="1"/>
  <c r="AN48" i="3"/>
  <c r="AN16" i="12" s="1"/>
  <c r="AM48" i="3"/>
  <c r="AM16" i="12" s="1"/>
  <c r="AL48" i="3"/>
  <c r="AL16" i="12" s="1"/>
  <c r="AK48" i="3"/>
  <c r="AK16" i="12" s="1"/>
  <c r="AJ48" i="3"/>
  <c r="AJ16" i="12" s="1"/>
  <c r="AI48" i="3"/>
  <c r="AI16" i="12" s="1"/>
  <c r="AH48" i="3"/>
  <c r="AH16" i="12" s="1"/>
  <c r="AG48" i="3"/>
  <c r="AG16" i="12" s="1"/>
  <c r="AF48" i="3"/>
  <c r="AF16" i="12" s="1"/>
  <c r="AE48" i="3"/>
  <c r="AE16" i="12" s="1"/>
  <c r="AD48" i="3"/>
  <c r="AD16" i="12" s="1"/>
  <c r="AC48" i="3"/>
  <c r="AC16" i="12" s="1"/>
  <c r="AB48" i="3"/>
  <c r="AB16" i="12" s="1"/>
  <c r="AA48" i="3"/>
  <c r="AA16" i="12" s="1"/>
  <c r="Z48" i="3"/>
  <c r="Z16" i="12" s="1"/>
  <c r="Y48" i="3"/>
  <c r="Y16" i="12" s="1"/>
  <c r="X48" i="3"/>
  <c r="X16" i="12" s="1"/>
  <c r="W48" i="3"/>
  <c r="W16" i="12" s="1"/>
  <c r="V16" i="12"/>
  <c r="U48" i="3"/>
  <c r="U16" i="12" s="1"/>
  <c r="T48" i="3"/>
  <c r="T16" i="12" s="1"/>
  <c r="S48" i="3"/>
  <c r="S16" i="12" s="1"/>
  <c r="R48" i="3"/>
  <c r="R16" i="12" s="1"/>
  <c r="Q48" i="3"/>
  <c r="Q16" i="12" s="1"/>
  <c r="P48" i="3"/>
  <c r="P16" i="12" s="1"/>
  <c r="O48" i="3"/>
  <c r="O16" i="12" s="1"/>
  <c r="N48" i="3"/>
  <c r="N16" i="12" s="1"/>
  <c r="M48" i="3"/>
  <c r="M16" i="12" s="1"/>
  <c r="L48" i="3"/>
  <c r="L16" i="12" s="1"/>
  <c r="K48" i="3"/>
  <c r="K16" i="12" s="1"/>
  <c r="J48" i="3"/>
  <c r="J16" i="12" s="1"/>
  <c r="I48" i="3"/>
  <c r="I16" i="12" s="1"/>
  <c r="H48" i="3"/>
  <c r="H16" i="12" s="1"/>
  <c r="G48" i="3"/>
  <c r="G16" i="12" s="1"/>
  <c r="F48" i="3"/>
  <c r="F16" i="12" s="1"/>
  <c r="E48" i="3"/>
  <c r="E16" i="12" s="1"/>
  <c r="D48" i="3"/>
  <c r="D16" i="12" s="1"/>
  <c r="C48" i="3"/>
  <c r="C16" i="12" s="1"/>
  <c r="B48" i="3"/>
  <c r="B16" i="12" s="1"/>
  <c r="A48" i="3"/>
  <c r="F46" i="3"/>
  <c r="E46" i="3"/>
  <c r="D46" i="3"/>
  <c r="C46" i="3"/>
  <c r="B46" i="3"/>
  <c r="A39" i="3"/>
  <c r="A38" i="3"/>
  <c r="D26" i="3"/>
  <c r="D12" i="12" s="1"/>
  <c r="E27" i="29" s="1"/>
  <c r="C26" i="3"/>
  <c r="C12" i="12" s="1"/>
  <c r="D27" i="29" s="1"/>
  <c r="B26" i="3"/>
  <c r="B12" i="12" s="1"/>
  <c r="C27" i="29" s="1"/>
  <c r="AS25" i="3"/>
  <c r="AR25" i="3"/>
  <c r="AR31" i="3" s="1"/>
  <c r="AQ25" i="3"/>
  <c r="AQ47" i="3" s="1"/>
  <c r="AQ49" i="3" s="1"/>
  <c r="AP25" i="3"/>
  <c r="AP47" i="3" s="1"/>
  <c r="AP49" i="3" s="1"/>
  <c r="AO25" i="3"/>
  <c r="AN25" i="3"/>
  <c r="AN31" i="3" s="1"/>
  <c r="AM25" i="3"/>
  <c r="AM31" i="3" s="1"/>
  <c r="AL25" i="3"/>
  <c r="AL47" i="3" s="1"/>
  <c r="AL49" i="3" s="1"/>
  <c r="AK25" i="3"/>
  <c r="AJ25" i="3"/>
  <c r="AJ31" i="3" s="1"/>
  <c r="AI25" i="3"/>
  <c r="AI47" i="3" s="1"/>
  <c r="AI49" i="3" s="1"/>
  <c r="AH25" i="3"/>
  <c r="AH47" i="3" s="1"/>
  <c r="AH49" i="3" s="1"/>
  <c r="AG25" i="3"/>
  <c r="AF25" i="3"/>
  <c r="AF31" i="3" s="1"/>
  <c r="AE25" i="3"/>
  <c r="AE31" i="3" s="1"/>
  <c r="AD25" i="3"/>
  <c r="AD47" i="3" s="1"/>
  <c r="AD49" i="3" s="1"/>
  <c r="AC25" i="3"/>
  <c r="AB25" i="3"/>
  <c r="AB31" i="3" s="1"/>
  <c r="AA25" i="3"/>
  <c r="AA47" i="3" s="1"/>
  <c r="AA49" i="3" s="1"/>
  <c r="Z25" i="3"/>
  <c r="Z47" i="3" s="1"/>
  <c r="Z49" i="3" s="1"/>
  <c r="Y25" i="3"/>
  <c r="X25" i="3"/>
  <c r="X31" i="3" s="1"/>
  <c r="W25" i="3"/>
  <c r="W31" i="3" s="1"/>
  <c r="V25" i="3"/>
  <c r="V47" i="3" s="1"/>
  <c r="V49" i="3" s="1"/>
  <c r="U25" i="3"/>
  <c r="T25" i="3"/>
  <c r="T31" i="3" s="1"/>
  <c r="S25" i="3"/>
  <c r="S47" i="3" s="1"/>
  <c r="S49" i="3" s="1"/>
  <c r="R25" i="3"/>
  <c r="R47" i="3" s="1"/>
  <c r="R49" i="3" s="1"/>
  <c r="Q24" i="3"/>
  <c r="P24" i="3"/>
  <c r="O24" i="3"/>
  <c r="M24" i="3"/>
  <c r="L24" i="3"/>
  <c r="K24" i="3"/>
  <c r="J24" i="3"/>
  <c r="I24" i="3"/>
  <c r="H24" i="3"/>
  <c r="G24" i="3"/>
  <c r="F24" i="3"/>
  <c r="B24" i="3"/>
  <c r="Q12" i="3"/>
  <c r="Q5" i="13" s="1"/>
  <c r="P12" i="3"/>
  <c r="P5" i="13" s="1"/>
  <c r="O12" i="3"/>
  <c r="O5" i="13" s="1"/>
  <c r="N12" i="3"/>
  <c r="N5" i="13" s="1"/>
  <c r="M12" i="3"/>
  <c r="M5" i="13" s="1"/>
  <c r="L12" i="3"/>
  <c r="L5" i="13" s="1"/>
  <c r="K12" i="3"/>
  <c r="K5" i="13" s="1"/>
  <c r="J12" i="3"/>
  <c r="J5" i="13" s="1"/>
  <c r="I12" i="3"/>
  <c r="I5" i="13" s="1"/>
  <c r="H12" i="3"/>
  <c r="H5" i="13" s="1"/>
  <c r="G12" i="3"/>
  <c r="G5" i="13" s="1"/>
  <c r="F12" i="3"/>
  <c r="F5" i="13" s="1"/>
  <c r="E5" i="13"/>
  <c r="AA11" i="3"/>
  <c r="R11" i="3"/>
  <c r="AA10" i="3"/>
  <c r="R10" i="3"/>
  <c r="AA9" i="3"/>
  <c r="R9" i="3"/>
  <c r="R7" i="3"/>
  <c r="R6" i="3"/>
  <c r="Z5" i="3"/>
  <c r="Y5" i="3"/>
  <c r="X5" i="3"/>
  <c r="W5" i="3"/>
  <c r="V5" i="3"/>
  <c r="R5" i="3"/>
  <c r="Z4" i="3"/>
  <c r="Y4" i="3"/>
  <c r="X4" i="3"/>
  <c r="W4" i="3"/>
  <c r="V4" i="3"/>
  <c r="R4" i="3"/>
  <c r="Z3" i="3"/>
  <c r="Y3" i="3"/>
  <c r="X3" i="3"/>
  <c r="V3" i="3"/>
  <c r="Z2" i="3"/>
  <c r="Y2" i="3"/>
  <c r="X2" i="3"/>
  <c r="W2" i="3"/>
  <c r="V2" i="3"/>
  <c r="R2" i="3"/>
  <c r="Z1" i="3"/>
  <c r="E37" i="3" s="1"/>
  <c r="Y1" i="3"/>
  <c r="D37" i="3" s="1"/>
  <c r="X1" i="3"/>
  <c r="C37" i="3" s="1"/>
  <c r="C45" i="3" s="1"/>
  <c r="W1" i="3"/>
  <c r="B37" i="3" s="1"/>
  <c r="B51" i="3" s="1"/>
  <c r="Q1" i="3"/>
  <c r="Q23" i="3" s="1"/>
  <c r="P1" i="3"/>
  <c r="P25" i="3" s="1"/>
  <c r="P31" i="3" s="1"/>
  <c r="O1" i="3"/>
  <c r="O25" i="3" s="1"/>
  <c r="N1" i="3"/>
  <c r="N25" i="3" s="1"/>
  <c r="N47" i="3" s="1"/>
  <c r="N49" i="3" s="1"/>
  <c r="M1" i="3"/>
  <c r="M23" i="3" s="1"/>
  <c r="L1" i="3"/>
  <c r="L25" i="3" s="1"/>
  <c r="L31" i="3" s="1"/>
  <c r="K1" i="3"/>
  <c r="K25" i="3" s="1"/>
  <c r="J1" i="3"/>
  <c r="J25" i="3" s="1"/>
  <c r="J47" i="3" s="1"/>
  <c r="J49" i="3" s="1"/>
  <c r="I1" i="3"/>
  <c r="I25" i="3" s="1"/>
  <c r="H1" i="3"/>
  <c r="H25" i="3" s="1"/>
  <c r="H31" i="3" s="1"/>
  <c r="G1" i="3"/>
  <c r="G25" i="3" s="1"/>
  <c r="F1" i="3"/>
  <c r="F23" i="3" s="1"/>
  <c r="E1" i="3"/>
  <c r="E23" i="3" s="1"/>
  <c r="D1" i="3"/>
  <c r="D25" i="3" s="1"/>
  <c r="D31" i="3" s="1"/>
  <c r="C1" i="3"/>
  <c r="C25" i="3" s="1"/>
  <c r="B1" i="3"/>
  <c r="B25" i="3" s="1"/>
  <c r="B47" i="3" s="1"/>
  <c r="B49" i="3" s="1"/>
  <c r="A23" i="2"/>
  <c r="A22" i="2"/>
  <c r="A21" i="2"/>
  <c r="A19" i="2"/>
  <c r="A18" i="2"/>
  <c r="A17" i="2"/>
  <c r="A16" i="2"/>
  <c r="A15" i="2"/>
  <c r="A14" i="2"/>
  <c r="A10" i="2"/>
  <c r="C43" i="1"/>
  <c r="B2" i="14" s="1"/>
  <c r="C14" i="14" s="1"/>
  <c r="AI13" i="29" l="1"/>
  <c r="AH7" i="12" s="1"/>
  <c r="AI17" i="29"/>
  <c r="L27" i="4"/>
  <c r="AI16" i="29"/>
  <c r="F27" i="7"/>
  <c r="N27" i="7"/>
  <c r="R27" i="7"/>
  <c r="Z27" i="7"/>
  <c r="AD27" i="7"/>
  <c r="AH27" i="7"/>
  <c r="AL27" i="7"/>
  <c r="AB22" i="12"/>
  <c r="E20" i="19"/>
  <c r="E18" i="15"/>
  <c r="E24" i="15"/>
  <c r="G24" i="15" s="1"/>
  <c r="E25" i="16"/>
  <c r="G25" i="16" s="1"/>
  <c r="E8" i="18"/>
  <c r="E20" i="18"/>
  <c r="E9" i="25"/>
  <c r="F9" i="25" s="1"/>
  <c r="E21" i="25"/>
  <c r="G21" i="25" s="1"/>
  <c r="AH22" i="12"/>
  <c r="D14" i="14"/>
  <c r="E14" i="14" s="1"/>
  <c r="F14" i="14" s="1"/>
  <c r="G14" i="14" s="1"/>
  <c r="H14" i="14" s="1"/>
  <c r="I14" i="14" s="1"/>
  <c r="J14" i="14" s="1"/>
  <c r="K14" i="14" s="1"/>
  <c r="L14" i="14" s="1"/>
  <c r="I16" i="11"/>
  <c r="I17" i="11" s="1"/>
  <c r="I18" i="11" s="1"/>
  <c r="I20" i="11" s="1"/>
  <c r="I21" i="11" s="1"/>
  <c r="I22" i="11" s="1"/>
  <c r="I23" i="11" s="1"/>
  <c r="I24" i="11" s="1"/>
  <c r="I25" i="11" s="1"/>
  <c r="I26" i="11" s="1"/>
  <c r="I27" i="11" s="1"/>
  <c r="AS27" i="7"/>
  <c r="AR35" i="7"/>
  <c r="AU24" i="7"/>
  <c r="AS24" i="7"/>
  <c r="AT24" i="7"/>
  <c r="AR48" i="7"/>
  <c r="AU27" i="7"/>
  <c r="AT27" i="7"/>
  <c r="AT48" i="7"/>
  <c r="AR27" i="7"/>
  <c r="AS48" i="7"/>
  <c r="AU48" i="7"/>
  <c r="AT35" i="7"/>
  <c r="AR24" i="7"/>
  <c r="AS35" i="7"/>
  <c r="AU35" i="7"/>
  <c r="E8" i="15"/>
  <c r="E11" i="16"/>
  <c r="F11" i="16" s="1"/>
  <c r="E17" i="16"/>
  <c r="G17" i="16" s="1"/>
  <c r="AQ19" i="7"/>
  <c r="E9" i="17"/>
  <c r="G9" i="17" s="1"/>
  <c r="E18" i="18"/>
  <c r="F18" i="18" s="1"/>
  <c r="E24" i="18"/>
  <c r="G24" i="18" s="1"/>
  <c r="E15" i="19"/>
  <c r="E18" i="20"/>
  <c r="G18" i="20" s="1"/>
  <c r="E21" i="21"/>
  <c r="F21" i="21" s="1"/>
  <c r="E18" i="22"/>
  <c r="G18" i="22" s="1"/>
  <c r="E21" i="23"/>
  <c r="F21" i="23" s="1"/>
  <c r="AS24" i="6"/>
  <c r="AR35" i="6"/>
  <c r="AT27" i="6"/>
  <c r="AS35" i="6"/>
  <c r="AR24" i="6"/>
  <c r="AT35" i="6"/>
  <c r="AU35" i="6"/>
  <c r="AU27" i="6"/>
  <c r="AU24" i="6"/>
  <c r="AS27" i="6"/>
  <c r="AR27" i="6"/>
  <c r="AT24" i="6"/>
  <c r="E16" i="15"/>
  <c r="E24" i="17"/>
  <c r="E10" i="25"/>
  <c r="G10" i="25" s="1"/>
  <c r="E22" i="25"/>
  <c r="AS13" i="6"/>
  <c r="AT13" i="6" s="1"/>
  <c r="AU13" i="6" s="1"/>
  <c r="E23" i="19"/>
  <c r="F23" i="19" s="1"/>
  <c r="E14" i="22"/>
  <c r="G14" i="22" s="1"/>
  <c r="E20" i="22"/>
  <c r="F20" i="22" s="1"/>
  <c r="E17" i="23"/>
  <c r="G17" i="23" s="1"/>
  <c r="E14" i="24"/>
  <c r="G14" i="24" s="1"/>
  <c r="AX1" i="7"/>
  <c r="B68" i="7" s="1"/>
  <c r="AY1" i="7"/>
  <c r="C68" i="7" s="1"/>
  <c r="AZ1" i="7"/>
  <c r="D68" i="7" s="1"/>
  <c r="P9" i="4"/>
  <c r="E19" i="17"/>
  <c r="E16" i="18"/>
  <c r="G16" i="18" s="1"/>
  <c r="E23" i="18"/>
  <c r="G23" i="18" s="1"/>
  <c r="E12" i="16"/>
  <c r="G12" i="16" s="1"/>
  <c r="E24" i="16"/>
  <c r="E17" i="20"/>
  <c r="F17" i="20" s="1"/>
  <c r="E20" i="21"/>
  <c r="E8" i="23"/>
  <c r="F8" i="23" s="1"/>
  <c r="E14" i="23"/>
  <c r="E13" i="25"/>
  <c r="G13" i="25" s="1"/>
  <c r="E25" i="25"/>
  <c r="G25" i="25" s="1"/>
  <c r="E12" i="18"/>
  <c r="G12" i="18" s="1"/>
  <c r="E7" i="6"/>
  <c r="E24" i="20"/>
  <c r="F24" i="20" s="1"/>
  <c r="E23" i="17"/>
  <c r="G23" i="17" s="1"/>
  <c r="E14" i="18"/>
  <c r="G14" i="18" s="1"/>
  <c r="E9" i="16"/>
  <c r="G9" i="16" s="1"/>
  <c r="E12" i="17"/>
  <c r="G12" i="17" s="1"/>
  <c r="E18" i="17"/>
  <c r="M35" i="3"/>
  <c r="L34" i="3"/>
  <c r="AN6" i="5"/>
  <c r="AM17" i="29" s="1"/>
  <c r="E20" i="20"/>
  <c r="G34" i="7"/>
  <c r="G35" i="7" s="1"/>
  <c r="E18" i="16"/>
  <c r="E17" i="18"/>
  <c r="F17" i="18" s="1"/>
  <c r="E7" i="19"/>
  <c r="F7" i="19" s="1"/>
  <c r="E11" i="25"/>
  <c r="F11" i="25" s="1"/>
  <c r="E23" i="25"/>
  <c r="E14" i="16"/>
  <c r="E7" i="23"/>
  <c r="E12" i="15"/>
  <c r="G12" i="15" s="1"/>
  <c r="E8" i="21"/>
  <c r="G8" i="21" s="1"/>
  <c r="E14" i="21"/>
  <c r="G14" i="21" s="1"/>
  <c r="E21" i="15"/>
  <c r="G21" i="15" s="1"/>
  <c r="E22" i="16"/>
  <c r="F22" i="16" s="1"/>
  <c r="E10" i="19"/>
  <c r="F10" i="19" s="1"/>
  <c r="E18" i="24"/>
  <c r="G18" i="24" s="1"/>
  <c r="E14" i="15"/>
  <c r="F14" i="15" s="1"/>
  <c r="E8" i="17"/>
  <c r="G8" i="17" s="1"/>
  <c r="E25" i="17"/>
  <c r="E11" i="19"/>
  <c r="E22" i="21"/>
  <c r="G22" i="21" s="1"/>
  <c r="E19" i="24"/>
  <c r="F19" i="24" s="1"/>
  <c r="E25" i="24"/>
  <c r="G25" i="24" s="1"/>
  <c r="AY19" i="6"/>
  <c r="BB19" i="6"/>
  <c r="E10" i="15"/>
  <c r="F10" i="15" s="1"/>
  <c r="E17" i="17"/>
  <c r="G17" i="17" s="1"/>
  <c r="E8" i="19"/>
  <c r="G8" i="19" s="1"/>
  <c r="E14" i="19"/>
  <c r="G14" i="19" s="1"/>
  <c r="E22" i="20"/>
  <c r="G22" i="20" s="1"/>
  <c r="E7" i="21"/>
  <c r="E13" i="21"/>
  <c r="E23" i="22"/>
  <c r="E11" i="24"/>
  <c r="G11" i="24" s="1"/>
  <c r="E17" i="24"/>
  <c r="G17" i="24" s="1"/>
  <c r="E23" i="24"/>
  <c r="G23" i="24" s="1"/>
  <c r="E7" i="25"/>
  <c r="E19" i="25"/>
  <c r="F19" i="25" s="1"/>
  <c r="AL2" i="5"/>
  <c r="AY29" i="6"/>
  <c r="BB29" i="6"/>
  <c r="BE29" i="6"/>
  <c r="BA30" i="6"/>
  <c r="AX33" i="6"/>
  <c r="BD33" i="6"/>
  <c r="G11" i="16"/>
  <c r="E19" i="18"/>
  <c r="F19" i="18" s="1"/>
  <c r="L31" i="4"/>
  <c r="E11" i="15"/>
  <c r="E21" i="19"/>
  <c r="F21" i="19" s="1"/>
  <c r="E11" i="20"/>
  <c r="F11" i="20" s="1"/>
  <c r="E23" i="20"/>
  <c r="F23" i="20" s="1"/>
  <c r="E7" i="16"/>
  <c r="F7" i="16" s="1"/>
  <c r="E9" i="18"/>
  <c r="C18" i="29"/>
  <c r="C7" i="29"/>
  <c r="BC19" i="6"/>
  <c r="BF19" i="6"/>
  <c r="E13" i="16"/>
  <c r="G13" i="16" s="1"/>
  <c r="E22" i="19"/>
  <c r="E9" i="21"/>
  <c r="F9" i="21" s="1"/>
  <c r="E7" i="24"/>
  <c r="F7" i="24" s="1"/>
  <c r="E15" i="25"/>
  <c r="AD11" i="12"/>
  <c r="BC29" i="6"/>
  <c r="BF29" i="6"/>
  <c r="AY33" i="6"/>
  <c r="BB33" i="6"/>
  <c r="AH11" i="12"/>
  <c r="M39" i="4"/>
  <c r="AO4" i="29"/>
  <c r="E10" i="21"/>
  <c r="G10" i="21" s="1"/>
  <c r="E15" i="22"/>
  <c r="F15" i="22" s="1"/>
  <c r="E23" i="23"/>
  <c r="G23" i="23" s="1"/>
  <c r="E15" i="17"/>
  <c r="E11" i="18"/>
  <c r="E17" i="25"/>
  <c r="F17" i="25" s="1"/>
  <c r="AX19" i="6"/>
  <c r="E20" i="16"/>
  <c r="G20" i="16" s="1"/>
  <c r="E16" i="21"/>
  <c r="F16" i="21" s="1"/>
  <c r="E11" i="22"/>
  <c r="G11" i="22" s="1"/>
  <c r="AC13" i="29"/>
  <c r="AB7" i="12" s="1"/>
  <c r="AC16" i="29"/>
  <c r="AB11" i="12" s="1"/>
  <c r="M26" i="3"/>
  <c r="N27" i="3"/>
  <c r="N33" i="3" s="1"/>
  <c r="AX29" i="6"/>
  <c r="BA29" i="6"/>
  <c r="BD29" i="6"/>
  <c r="AW30" i="6"/>
  <c r="BC33" i="6"/>
  <c r="BF33" i="6"/>
  <c r="G21" i="21"/>
  <c r="AE6" i="5"/>
  <c r="AD17" i="29" s="1"/>
  <c r="J16" i="5"/>
  <c r="E9" i="15"/>
  <c r="G9" i="15" s="1"/>
  <c r="E20" i="15"/>
  <c r="F20" i="15" s="1"/>
  <c r="E21" i="16"/>
  <c r="G21" i="16" s="1"/>
  <c r="E16" i="17"/>
  <c r="G16" i="17" s="1"/>
  <c r="E19" i="19"/>
  <c r="E21" i="20"/>
  <c r="F21" i="20" s="1"/>
  <c r="E12" i="22"/>
  <c r="F12" i="22" s="1"/>
  <c r="E19" i="23"/>
  <c r="G19" i="23" s="1"/>
  <c r="E22" i="24"/>
  <c r="G22" i="24" s="1"/>
  <c r="AI2" i="5"/>
  <c r="AH6" i="5"/>
  <c r="AG17" i="29" s="1"/>
  <c r="L30" i="13"/>
  <c r="K30" i="13"/>
  <c r="AJ19" i="7"/>
  <c r="BF19" i="7" s="1"/>
  <c r="BE19" i="6"/>
  <c r="H30" i="7"/>
  <c r="AX30" i="6"/>
  <c r="AF30" i="7"/>
  <c r="BE30" i="7" s="1"/>
  <c r="BD30" i="6"/>
  <c r="L31" i="7"/>
  <c r="AZ31" i="7" s="1"/>
  <c r="AY31" i="6"/>
  <c r="X31" i="7"/>
  <c r="BC31" i="7" s="1"/>
  <c r="BB31" i="6"/>
  <c r="L32" i="7"/>
  <c r="AY32" i="6"/>
  <c r="X32" i="7"/>
  <c r="BB32" i="6"/>
  <c r="AF32" i="7"/>
  <c r="BE32" i="7" s="1"/>
  <c r="BD32" i="6"/>
  <c r="AN32" i="7"/>
  <c r="BF32" i="6"/>
  <c r="T33" i="7"/>
  <c r="BB33" i="7" s="1"/>
  <c r="BA33" i="6"/>
  <c r="K37" i="7"/>
  <c r="AZ37" i="6"/>
  <c r="K40" i="7"/>
  <c r="AZ40" i="6"/>
  <c r="AX37" i="6"/>
  <c r="AY37" i="6"/>
  <c r="T37" i="7"/>
  <c r="BB37" i="7" s="1"/>
  <c r="BA37" i="6"/>
  <c r="BB37" i="6"/>
  <c r="BC37" i="6"/>
  <c r="BD37" i="6"/>
  <c r="H38" i="7"/>
  <c r="AX38" i="6"/>
  <c r="L38" i="7"/>
  <c r="AY38" i="6"/>
  <c r="T38" i="7"/>
  <c r="BA38" i="6"/>
  <c r="X38" i="7"/>
  <c r="BC38" i="7" s="1"/>
  <c r="BB38" i="6"/>
  <c r="AB38" i="7"/>
  <c r="BC38" i="6"/>
  <c r="AF38" i="7"/>
  <c r="BE38" i="7" s="1"/>
  <c r="BD38" i="6"/>
  <c r="H39" i="7"/>
  <c r="AX39" i="6"/>
  <c r="L39" i="7"/>
  <c r="AZ39" i="7" s="1"/>
  <c r="AY39" i="6"/>
  <c r="T39" i="7"/>
  <c r="BA39" i="6"/>
  <c r="X39" i="7"/>
  <c r="BC39" i="7" s="1"/>
  <c r="BB39" i="6"/>
  <c r="BC39" i="6"/>
  <c r="AF39" i="7"/>
  <c r="BD39" i="6"/>
  <c r="H40" i="7"/>
  <c r="AX40" i="6"/>
  <c r="L40" i="7"/>
  <c r="AZ40" i="7" s="1"/>
  <c r="AY40" i="6"/>
  <c r="T40" i="7"/>
  <c r="BA40" i="6"/>
  <c r="X40" i="7"/>
  <c r="BB40" i="6"/>
  <c r="AB40" i="7"/>
  <c r="BD40" i="7" s="1"/>
  <c r="BC40" i="6"/>
  <c r="AF40" i="7"/>
  <c r="BD40" i="6"/>
  <c r="AX41" i="6"/>
  <c r="AY41" i="6"/>
  <c r="T41" i="7"/>
  <c r="BB41" i="7" s="1"/>
  <c r="BA41" i="6"/>
  <c r="BB41" i="6"/>
  <c r="BC41" i="6"/>
  <c r="BD41" i="6"/>
  <c r="H42" i="7"/>
  <c r="AX42" i="6"/>
  <c r="L42" i="7"/>
  <c r="AY42" i="6"/>
  <c r="T42" i="7"/>
  <c r="BB42" i="7" s="1"/>
  <c r="BA42" i="6"/>
  <c r="X42" i="7"/>
  <c r="BC42" i="7" s="1"/>
  <c r="BB42" i="6"/>
  <c r="AB42" i="7"/>
  <c r="BC42" i="6"/>
  <c r="AF42" i="7"/>
  <c r="BE42" i="7" s="1"/>
  <c r="BD42" i="6"/>
  <c r="H43" i="7"/>
  <c r="AX43" i="6"/>
  <c r="L43" i="7"/>
  <c r="AZ43" i="7" s="1"/>
  <c r="AY43" i="6"/>
  <c r="T43" i="7"/>
  <c r="BB43" i="7" s="1"/>
  <c r="BA43" i="6"/>
  <c r="X43" i="7"/>
  <c r="BC43" i="7" s="1"/>
  <c r="BB43" i="6"/>
  <c r="AB43" i="7"/>
  <c r="BD43" i="7" s="1"/>
  <c r="BC43" i="6"/>
  <c r="BD43" i="6"/>
  <c r="H44" i="7"/>
  <c r="AX44" i="6"/>
  <c r="L44" i="7"/>
  <c r="AZ44" i="7" s="1"/>
  <c r="AY44" i="6"/>
  <c r="T44" i="7"/>
  <c r="BA44" i="6"/>
  <c r="X44" i="7"/>
  <c r="BC44" i="7" s="1"/>
  <c r="BB44" i="6"/>
  <c r="AB44" i="7"/>
  <c r="BD44" i="7" s="1"/>
  <c r="BC44" i="6"/>
  <c r="AF44" i="7"/>
  <c r="BD44" i="6"/>
  <c r="AX45" i="6"/>
  <c r="AY45" i="6"/>
  <c r="T45" i="7"/>
  <c r="BB45" i="7" s="1"/>
  <c r="BA45" i="6"/>
  <c r="BB45" i="6"/>
  <c r="BC45" i="6"/>
  <c r="BD45" i="6"/>
  <c r="H46" i="7"/>
  <c r="AX46" i="6"/>
  <c r="L46" i="7"/>
  <c r="AY46" i="6"/>
  <c r="T46" i="7"/>
  <c r="BB46" i="7" s="1"/>
  <c r="BA46" i="6"/>
  <c r="X46" i="7"/>
  <c r="BC46" i="7" s="1"/>
  <c r="BB46" i="6"/>
  <c r="AB46" i="7"/>
  <c r="BC46" i="6"/>
  <c r="AF46" i="7"/>
  <c r="BE46" i="7" s="1"/>
  <c r="BD46" i="6"/>
  <c r="AJ46" i="7"/>
  <c r="BE46" i="6"/>
  <c r="AN46" i="7"/>
  <c r="AN47" i="7" s="1"/>
  <c r="BF46" i="6"/>
  <c r="AB30" i="7"/>
  <c r="BC30" i="6"/>
  <c r="AN30" i="7"/>
  <c r="BF30" i="6"/>
  <c r="H31" i="7"/>
  <c r="AX31" i="6"/>
  <c r="T31" i="7"/>
  <c r="BB31" i="7" s="1"/>
  <c r="BA31" i="6"/>
  <c r="AJ31" i="7"/>
  <c r="BF31" i="7" s="1"/>
  <c r="BE31" i="6"/>
  <c r="K43" i="7"/>
  <c r="AZ43" i="6"/>
  <c r="K44" i="7"/>
  <c r="AZ44" i="6"/>
  <c r="K46" i="7"/>
  <c r="AZ46" i="6"/>
  <c r="B6" i="7"/>
  <c r="C82" i="6"/>
  <c r="C91" i="6" s="1"/>
  <c r="BC13" i="6"/>
  <c r="E20" i="6"/>
  <c r="E20" i="7" s="1"/>
  <c r="K26" i="6"/>
  <c r="K27" i="6" s="1"/>
  <c r="AZ25" i="6"/>
  <c r="AW6" i="6"/>
  <c r="H26" i="6"/>
  <c r="AX25" i="6"/>
  <c r="AY25" i="6"/>
  <c r="T26" i="6"/>
  <c r="BA26" i="6" s="1"/>
  <c r="BA25" i="6"/>
  <c r="X26" i="6"/>
  <c r="BB26" i="6" s="1"/>
  <c r="BB25" i="6"/>
  <c r="BC25" i="6"/>
  <c r="BD25" i="6"/>
  <c r="AJ26" i="6"/>
  <c r="BE26" i="6" s="1"/>
  <c r="BE25" i="6"/>
  <c r="AN26" i="6"/>
  <c r="AN26" i="7" s="1"/>
  <c r="BF25" i="6"/>
  <c r="AB39" i="7"/>
  <c r="BD39" i="7" s="1"/>
  <c r="T19" i="7"/>
  <c r="BB19" i="7" s="1"/>
  <c r="BA19" i="6"/>
  <c r="AF19" i="7"/>
  <c r="BE19" i="7" s="1"/>
  <c r="BD19" i="6"/>
  <c r="L30" i="7"/>
  <c r="AY30" i="6"/>
  <c r="X30" i="7"/>
  <c r="BC30" i="7" s="1"/>
  <c r="BB30" i="6"/>
  <c r="AJ30" i="7"/>
  <c r="BF30" i="7" s="1"/>
  <c r="BE30" i="6"/>
  <c r="AB31" i="7"/>
  <c r="BC31" i="6"/>
  <c r="AF31" i="7"/>
  <c r="BD31" i="6"/>
  <c r="AN31" i="7"/>
  <c r="BG31" i="7" s="1"/>
  <c r="BF31" i="6"/>
  <c r="H32" i="7"/>
  <c r="AX32" i="6"/>
  <c r="T32" i="7"/>
  <c r="BB32" i="7" s="1"/>
  <c r="BA32" i="6"/>
  <c r="AB32" i="7"/>
  <c r="BD32" i="7" s="1"/>
  <c r="BC32" i="6"/>
  <c r="AJ32" i="7"/>
  <c r="BE32" i="6"/>
  <c r="AJ33" i="7"/>
  <c r="BF33" i="7" s="1"/>
  <c r="BE33" i="6"/>
  <c r="K38" i="7"/>
  <c r="AZ38" i="6"/>
  <c r="K39" i="7"/>
  <c r="AZ39" i="6"/>
  <c r="K41" i="7"/>
  <c r="AZ41" i="6"/>
  <c r="K42" i="7"/>
  <c r="AZ42" i="6"/>
  <c r="K45" i="7"/>
  <c r="AZ45" i="6"/>
  <c r="BF13" i="6"/>
  <c r="B15" i="7"/>
  <c r="K19" i="7"/>
  <c r="AZ19" i="6"/>
  <c r="E21" i="6"/>
  <c r="E21" i="7" s="1"/>
  <c r="K29" i="7"/>
  <c r="AZ29" i="6"/>
  <c r="K30" i="7"/>
  <c r="AZ30" i="6"/>
  <c r="K31" i="7"/>
  <c r="AZ31" i="6"/>
  <c r="K32" i="7"/>
  <c r="AZ32" i="6"/>
  <c r="K33" i="7"/>
  <c r="AZ33" i="6"/>
  <c r="AJ47" i="6"/>
  <c r="AF43" i="7"/>
  <c r="AX5" i="7"/>
  <c r="AX11" i="7"/>
  <c r="BF39" i="7"/>
  <c r="BA30" i="7"/>
  <c r="AX33" i="7"/>
  <c r="BC57" i="7"/>
  <c r="BD57" i="7"/>
  <c r="BF57" i="7"/>
  <c r="BG57" i="7"/>
  <c r="AX12" i="7"/>
  <c r="BF42" i="7"/>
  <c r="BF38" i="7"/>
  <c r="D39" i="4"/>
  <c r="K18" i="7"/>
  <c r="AZ18" i="6"/>
  <c r="AX18" i="6"/>
  <c r="AY18" i="6"/>
  <c r="BA18" i="6"/>
  <c r="BB18" i="6"/>
  <c r="BC18" i="6"/>
  <c r="BD18" i="6"/>
  <c r="BE18" i="6"/>
  <c r="BF18" i="6"/>
  <c r="C21" i="13"/>
  <c r="D21" i="13"/>
  <c r="D9" i="14" s="1"/>
  <c r="D11" i="14" s="1"/>
  <c r="E21" i="13"/>
  <c r="E9" i="14" s="1"/>
  <c r="E11" i="14" s="1"/>
  <c r="E6" i="15"/>
  <c r="F6" i="15" s="1"/>
  <c r="Q9" i="4"/>
  <c r="U9" i="4"/>
  <c r="M24" i="4"/>
  <c r="AO2" i="5"/>
  <c r="AR2" i="5"/>
  <c r="AR6" i="5" s="1"/>
  <c r="AQ17" i="29" s="1"/>
  <c r="E5" i="21"/>
  <c r="G5" i="21" s="1"/>
  <c r="X9" i="4"/>
  <c r="S9" i="4"/>
  <c r="G15" i="4"/>
  <c r="E5" i="19"/>
  <c r="F5" i="19" s="1"/>
  <c r="E5" i="23"/>
  <c r="F5" i="23" s="1"/>
  <c r="AS4" i="5"/>
  <c r="AT4" i="5" s="1"/>
  <c r="AU4" i="5" s="1"/>
  <c r="AO4" i="5"/>
  <c r="AP4" i="5" s="1"/>
  <c r="AQ4" i="5" s="1"/>
  <c r="AS5" i="5"/>
  <c r="AT5" i="5" s="1"/>
  <c r="AU5" i="5" s="1"/>
  <c r="AO5" i="5"/>
  <c r="AP5" i="5" s="1"/>
  <c r="AQ5" i="5" s="1"/>
  <c r="H57" i="7"/>
  <c r="AX57" i="6"/>
  <c r="L57" i="7"/>
  <c r="AZ57" i="7" s="1"/>
  <c r="AY57" i="6"/>
  <c r="K57" i="7"/>
  <c r="AZ57" i="6"/>
  <c r="H11" i="7"/>
  <c r="H12" i="7"/>
  <c r="BE13" i="6"/>
  <c r="BA13" i="6"/>
  <c r="H2" i="7"/>
  <c r="H3" i="7"/>
  <c r="I2" i="7"/>
  <c r="J19" i="5"/>
  <c r="E6" i="25"/>
  <c r="G6" i="25" s="1"/>
  <c r="E6" i="20"/>
  <c r="G6" i="20" s="1"/>
  <c r="E6" i="23"/>
  <c r="F6" i="23" s="1"/>
  <c r="E5" i="24"/>
  <c r="G5" i="24" s="1"/>
  <c r="E5" i="25"/>
  <c r="G5" i="25" s="1"/>
  <c r="AN3" i="29"/>
  <c r="E5" i="17"/>
  <c r="G5" i="17" s="1"/>
  <c r="E6" i="22"/>
  <c r="G6" i="22" s="1"/>
  <c r="E6" i="24"/>
  <c r="F6" i="24" s="1"/>
  <c r="E5" i="16"/>
  <c r="G5" i="16" s="1"/>
  <c r="E5" i="18"/>
  <c r="F5" i="18" s="1"/>
  <c r="G14" i="25"/>
  <c r="F14" i="25"/>
  <c r="G22" i="23"/>
  <c r="F22" i="23"/>
  <c r="G20" i="18"/>
  <c r="F20" i="18"/>
  <c r="G22" i="25"/>
  <c r="F22" i="25"/>
  <c r="G18" i="25"/>
  <c r="F18" i="25"/>
  <c r="G14" i="23"/>
  <c r="F14" i="23"/>
  <c r="G11" i="19"/>
  <c r="F11" i="19"/>
  <c r="O27" i="7"/>
  <c r="E23" i="21"/>
  <c r="G23" i="21" s="1"/>
  <c r="F25" i="22"/>
  <c r="G12" i="23"/>
  <c r="L15" i="4"/>
  <c r="AG34" i="6"/>
  <c r="AG35" i="6" s="1"/>
  <c r="BG43" i="7"/>
  <c r="AA13" i="8"/>
  <c r="E8" i="16"/>
  <c r="E13" i="18"/>
  <c r="G13" i="18" s="1"/>
  <c r="E6" i="19"/>
  <c r="E12" i="20"/>
  <c r="G12" i="20" s="1"/>
  <c r="G21" i="20"/>
  <c r="E6" i="21"/>
  <c r="F6" i="21" s="1"/>
  <c r="E11" i="21"/>
  <c r="E15" i="21"/>
  <c r="G15" i="21" s="1"/>
  <c r="E19" i="21"/>
  <c r="G19" i="21" s="1"/>
  <c r="E24" i="21"/>
  <c r="E7" i="22"/>
  <c r="E17" i="22"/>
  <c r="E21" i="22"/>
  <c r="F21" i="22" s="1"/>
  <c r="E9" i="23"/>
  <c r="E13" i="23"/>
  <c r="F25" i="23"/>
  <c r="F13" i="25"/>
  <c r="F21" i="25"/>
  <c r="AM27" i="7"/>
  <c r="E15" i="7"/>
  <c r="E16" i="7" s="1"/>
  <c r="G17" i="20"/>
  <c r="F17" i="23"/>
  <c r="G21" i="23"/>
  <c r="F13" i="24"/>
  <c r="G9" i="25"/>
  <c r="I11" i="7"/>
  <c r="V27" i="7"/>
  <c r="W9" i="4"/>
  <c r="G7" i="6"/>
  <c r="W34" i="7"/>
  <c r="W35" i="7" s="1"/>
  <c r="B82" i="6"/>
  <c r="F15" i="7"/>
  <c r="F16" i="7" s="1"/>
  <c r="BA13" i="7"/>
  <c r="D30" i="7"/>
  <c r="AX30" i="7" s="1"/>
  <c r="BG42" i="7"/>
  <c r="E13" i="17"/>
  <c r="G13" i="17" s="1"/>
  <c r="E6" i="18"/>
  <c r="F6" i="18" s="1"/>
  <c r="E10" i="18"/>
  <c r="E24" i="19"/>
  <c r="G24" i="19" s="1"/>
  <c r="E12" i="21"/>
  <c r="F12" i="21" s="1"/>
  <c r="F18" i="21"/>
  <c r="G27" i="7"/>
  <c r="S27" i="7"/>
  <c r="AE27" i="7"/>
  <c r="AQ27" i="7"/>
  <c r="L47" i="6"/>
  <c r="AX45" i="7"/>
  <c r="T30" i="7"/>
  <c r="BB30" i="7" s="1"/>
  <c r="E15" i="18"/>
  <c r="E8" i="20"/>
  <c r="E14" i="20"/>
  <c r="E9" i="22"/>
  <c r="E13" i="22"/>
  <c r="G13" i="22" s="1"/>
  <c r="D16" i="6"/>
  <c r="B89" i="6"/>
  <c r="AY13" i="7"/>
  <c r="E7" i="18"/>
  <c r="F18" i="20"/>
  <c r="E17" i="21"/>
  <c r="AZ13" i="7"/>
  <c r="AF47" i="6"/>
  <c r="E13" i="15"/>
  <c r="F13" i="15" s="1"/>
  <c r="E21" i="17"/>
  <c r="G21" i="17" s="1"/>
  <c r="E21" i="18"/>
  <c r="F21" i="18" s="1"/>
  <c r="X13" i="6"/>
  <c r="BB13" i="6" s="1"/>
  <c r="I34" i="6"/>
  <c r="I35" i="6" s="1"/>
  <c r="AX41" i="7"/>
  <c r="D22" i="7"/>
  <c r="BF37" i="7"/>
  <c r="E16" i="19"/>
  <c r="G25" i="19"/>
  <c r="G25" i="21"/>
  <c r="X12" i="3"/>
  <c r="E16" i="20"/>
  <c r="F16" i="20" s="1"/>
  <c r="AA27" i="7"/>
  <c r="AG34" i="7"/>
  <c r="AG35" i="7" s="1"/>
  <c r="N15" i="5"/>
  <c r="L37" i="3" s="1"/>
  <c r="L45" i="3" s="1"/>
  <c r="L77" i="6"/>
  <c r="AO26" i="6"/>
  <c r="AO26" i="7" s="1"/>
  <c r="AO27" i="7" s="1"/>
  <c r="AM34" i="7"/>
  <c r="AM35" i="7" s="1"/>
  <c r="Y34" i="6"/>
  <c r="Y35" i="6" s="1"/>
  <c r="BG39" i="7"/>
  <c r="BG40" i="7"/>
  <c r="BE57" i="7"/>
  <c r="E22" i="15"/>
  <c r="F22" i="15" s="1"/>
  <c r="E10" i="17"/>
  <c r="F10" i="17" s="1"/>
  <c r="E17" i="19"/>
  <c r="F17" i="19" s="1"/>
  <c r="E5" i="20"/>
  <c r="E10" i="20"/>
  <c r="F10" i="20" s="1"/>
  <c r="E5" i="22"/>
  <c r="G5" i="22" s="1"/>
  <c r="W27" i="7"/>
  <c r="AI27" i="7"/>
  <c r="J27" i="7"/>
  <c r="AP27" i="7"/>
  <c r="AO34" i="6"/>
  <c r="AO35" i="6" s="1"/>
  <c r="AX14" i="7"/>
  <c r="BB57" i="7"/>
  <c r="Q34" i="7"/>
  <c r="Q35" i="7" s="1"/>
  <c r="M34" i="6"/>
  <c r="M35" i="6" s="1"/>
  <c r="BG38" i="7"/>
  <c r="BF43" i="7"/>
  <c r="E17" i="15"/>
  <c r="F17" i="15" s="1"/>
  <c r="E23" i="15"/>
  <c r="E6" i="16"/>
  <c r="F6" i="16" s="1"/>
  <c r="E15" i="16"/>
  <c r="E23" i="16"/>
  <c r="G23" i="16" s="1"/>
  <c r="E7" i="17"/>
  <c r="E11" i="17"/>
  <c r="G11" i="17" s="1"/>
  <c r="E13" i="19"/>
  <c r="F13" i="19" s="1"/>
  <c r="E18" i="19"/>
  <c r="E25" i="20"/>
  <c r="F25" i="20" s="1"/>
  <c r="E11" i="23"/>
  <c r="G11" i="23" s="1"/>
  <c r="E15" i="23"/>
  <c r="E20" i="23"/>
  <c r="E24" i="23"/>
  <c r="G24" i="23" s="1"/>
  <c r="E21" i="24"/>
  <c r="E8" i="25"/>
  <c r="E12" i="25"/>
  <c r="F12" i="25" s="1"/>
  <c r="E16" i="25"/>
  <c r="E20" i="25"/>
  <c r="F20" i="25" s="1"/>
  <c r="E24" i="25"/>
  <c r="G7" i="29"/>
  <c r="F9" i="12" s="1"/>
  <c r="E3" i="29"/>
  <c r="E26" i="3"/>
  <c r="J18" i="5"/>
  <c r="K18" i="5"/>
  <c r="K19" i="5"/>
  <c r="L19" i="5"/>
  <c r="X47" i="3"/>
  <c r="X49" i="3" s="1"/>
  <c r="AF47" i="3"/>
  <c r="AF49" i="3" s="1"/>
  <c r="F45" i="3"/>
  <c r="AN47" i="3"/>
  <c r="AN49" i="3" s="1"/>
  <c r="AC59" i="6"/>
  <c r="I1" i="7"/>
  <c r="G2" i="13" s="1"/>
  <c r="AO1" i="7"/>
  <c r="AM2" i="13" s="1"/>
  <c r="E25" i="3"/>
  <c r="E47" i="3" s="1"/>
  <c r="E49" i="3" s="1"/>
  <c r="S31" i="3"/>
  <c r="AA31" i="3"/>
  <c r="AI31" i="3"/>
  <c r="Y12" i="3"/>
  <c r="W3" i="3"/>
  <c r="AA3" i="3" s="1"/>
  <c r="AA5" i="3"/>
  <c r="D5" i="13"/>
  <c r="M25" i="3"/>
  <c r="M31" i="3" s="1"/>
  <c r="P28" i="3"/>
  <c r="Q28" i="3" s="1"/>
  <c r="R28" i="3" s="1"/>
  <c r="S28" i="3" s="1"/>
  <c r="T28" i="3" s="1"/>
  <c r="U28" i="3" s="1"/>
  <c r="V28" i="3" s="1"/>
  <c r="W28" i="3" s="1"/>
  <c r="X28" i="3" s="1"/>
  <c r="Y28" i="3" s="1"/>
  <c r="Z28" i="3" s="1"/>
  <c r="AA28" i="3" s="1"/>
  <c r="AB28" i="3" s="1"/>
  <c r="AC28" i="3" s="1"/>
  <c r="AD28" i="3" s="1"/>
  <c r="AE28" i="3" s="1"/>
  <c r="AF28" i="3" s="1"/>
  <c r="AG28" i="3" s="1"/>
  <c r="AH28" i="3" s="1"/>
  <c r="AI28" i="3" s="1"/>
  <c r="AJ28" i="3" s="1"/>
  <c r="AK28" i="3" s="1"/>
  <c r="AL28" i="3" s="1"/>
  <c r="AM28" i="3" s="1"/>
  <c r="AN28" i="3" s="1"/>
  <c r="AO28" i="3" s="1"/>
  <c r="AP28" i="3" s="1"/>
  <c r="AQ28" i="3" s="1"/>
  <c r="AR28" i="3" s="1"/>
  <c r="AS28" i="3" s="1"/>
  <c r="V31" i="3"/>
  <c r="AD31" i="3"/>
  <c r="AL31" i="3"/>
  <c r="W47" i="3"/>
  <c r="W49" i="3" s="1"/>
  <c r="AE47" i="3"/>
  <c r="AE49" i="3" s="1"/>
  <c r="AM47" i="3"/>
  <c r="AM49" i="3" s="1"/>
  <c r="AQ31" i="3"/>
  <c r="Z12" i="3"/>
  <c r="Q25" i="3"/>
  <c r="Q31" i="3" s="1"/>
  <c r="B31" i="3"/>
  <c r="C51" i="3"/>
  <c r="AA4" i="3"/>
  <c r="R31" i="3"/>
  <c r="Z31" i="3"/>
  <c r="AH31" i="3"/>
  <c r="AP31" i="3"/>
  <c r="T47" i="3"/>
  <c r="T49" i="3" s="1"/>
  <c r="AB47" i="3"/>
  <c r="AB49" i="3" s="1"/>
  <c r="AJ47" i="3"/>
  <c r="AJ49" i="3" s="1"/>
  <c r="AR47" i="3"/>
  <c r="AR49" i="3" s="1"/>
  <c r="C50" i="3"/>
  <c r="D50" i="3" s="1"/>
  <c r="E50" i="3" s="1"/>
  <c r="I31" i="3"/>
  <c r="I47" i="3"/>
  <c r="I49" i="3" s="1"/>
  <c r="E45" i="3"/>
  <c r="E51" i="3"/>
  <c r="D45" i="3"/>
  <c r="D51" i="3"/>
  <c r="D47" i="3"/>
  <c r="D49" i="3" s="1"/>
  <c r="C4" i="16"/>
  <c r="I23" i="3"/>
  <c r="H47" i="3"/>
  <c r="H49" i="3" s="1"/>
  <c r="G51" i="3"/>
  <c r="E18" i="5"/>
  <c r="E26" i="7"/>
  <c r="E27" i="7" s="1"/>
  <c r="E27" i="6"/>
  <c r="M26" i="7"/>
  <c r="M27" i="7" s="1"/>
  <c r="M27" i="6"/>
  <c r="U26" i="7"/>
  <c r="U27" i="7" s="1"/>
  <c r="U27" i="6"/>
  <c r="AC26" i="7"/>
  <c r="AC27" i="7" s="1"/>
  <c r="AC27" i="6"/>
  <c r="AK26" i="7"/>
  <c r="AK27" i="7" s="1"/>
  <c r="AK27" i="6"/>
  <c r="J31" i="3"/>
  <c r="B45" i="3"/>
  <c r="G46" i="3"/>
  <c r="L47" i="3"/>
  <c r="L49" i="3" s="1"/>
  <c r="K51" i="3"/>
  <c r="S4" i="4"/>
  <c r="F11" i="4" s="1"/>
  <c r="R9" i="4"/>
  <c r="E15" i="4"/>
  <c r="V9" i="4"/>
  <c r="I15" i="4"/>
  <c r="Z9" i="4"/>
  <c r="M15" i="4"/>
  <c r="I77" i="6"/>
  <c r="K15" i="5"/>
  <c r="I37" i="3" s="1"/>
  <c r="G19" i="5"/>
  <c r="C47" i="3"/>
  <c r="C49" i="3" s="1"/>
  <c r="C31" i="3"/>
  <c r="G47" i="3"/>
  <c r="G49" i="3" s="1"/>
  <c r="G31" i="3"/>
  <c r="K47" i="3"/>
  <c r="K49" i="3" s="1"/>
  <c r="K31" i="3"/>
  <c r="O47" i="3"/>
  <c r="O49" i="3" s="1"/>
  <c r="O31" i="3"/>
  <c r="U31" i="3"/>
  <c r="U47" i="3"/>
  <c r="U49" i="3" s="1"/>
  <c r="Y31" i="3"/>
  <c r="Y47" i="3"/>
  <c r="Y49" i="3" s="1"/>
  <c r="AC31" i="3"/>
  <c r="AC47" i="3"/>
  <c r="AC49" i="3" s="1"/>
  <c r="AG31" i="3"/>
  <c r="AG47" i="3"/>
  <c r="AG49" i="3" s="1"/>
  <c r="AK31" i="3"/>
  <c r="AK47" i="3"/>
  <c r="AK49" i="3" s="1"/>
  <c r="AO31" i="3"/>
  <c r="AO47" i="3"/>
  <c r="AO49" i="3" s="1"/>
  <c r="AS31" i="3"/>
  <c r="AS47" i="3"/>
  <c r="AS49" i="3" s="1"/>
  <c r="N31" i="3"/>
  <c r="P47" i="3"/>
  <c r="P49" i="3" s="1"/>
  <c r="F18" i="5"/>
  <c r="D59" i="6"/>
  <c r="D1" i="7"/>
  <c r="H59" i="6"/>
  <c r="H1" i="7"/>
  <c r="L59" i="6"/>
  <c r="L1" i="7"/>
  <c r="P59" i="6"/>
  <c r="P1" i="7"/>
  <c r="T59" i="6"/>
  <c r="T1" i="7"/>
  <c r="X59" i="6"/>
  <c r="X1" i="7"/>
  <c r="AG13" i="6"/>
  <c r="BD13" i="6" s="1"/>
  <c r="AF48" i="6"/>
  <c r="H33" i="7"/>
  <c r="L33" i="7"/>
  <c r="AZ33" i="7" s="1"/>
  <c r="AB33" i="7"/>
  <c r="BD33" i="7" s="1"/>
  <c r="AN33" i="7"/>
  <c r="BG33" i="7" s="1"/>
  <c r="H37" i="7"/>
  <c r="P37" i="7"/>
  <c r="AB37" i="7"/>
  <c r="R39" i="7"/>
  <c r="BA39" i="7" s="1"/>
  <c r="AB41" i="7"/>
  <c r="BD41" i="7" s="1"/>
  <c r="R43" i="7"/>
  <c r="BA43" i="7" s="1"/>
  <c r="AB45" i="7"/>
  <c r="BD45" i="7" s="1"/>
  <c r="AW45" i="6"/>
  <c r="AB47" i="6"/>
  <c r="AX4" i="7"/>
  <c r="D6" i="7"/>
  <c r="AB59" i="6"/>
  <c r="AB1" i="7"/>
  <c r="AJ59" i="6"/>
  <c r="AJ1" i="7"/>
  <c r="AN59" i="6"/>
  <c r="AN1" i="7"/>
  <c r="S27" i="6"/>
  <c r="AI27" i="6"/>
  <c r="AQ27" i="6"/>
  <c r="X33" i="7"/>
  <c r="BC33" i="7" s="1"/>
  <c r="AF33" i="7"/>
  <c r="BE33" i="7" s="1"/>
  <c r="AW33" i="6"/>
  <c r="AW37" i="6"/>
  <c r="AH39" i="7"/>
  <c r="H41" i="7"/>
  <c r="P41" i="7"/>
  <c r="BA41" i="7" s="1"/>
  <c r="AW41" i="6"/>
  <c r="H45" i="7"/>
  <c r="AY45" i="7" s="1"/>
  <c r="P45" i="7"/>
  <c r="BA45" i="7" s="1"/>
  <c r="X45" i="7"/>
  <c r="BC45" i="7" s="1"/>
  <c r="AF45" i="7"/>
  <c r="BE45" i="7" s="1"/>
  <c r="B23" i="3"/>
  <c r="J23" i="3"/>
  <c r="N23" i="3"/>
  <c r="F25" i="3"/>
  <c r="R4" i="4"/>
  <c r="E11" i="4" s="1"/>
  <c r="I4" i="29" s="1"/>
  <c r="I11" i="29" s="1"/>
  <c r="L15" i="5"/>
  <c r="J37" i="3" s="1"/>
  <c r="C2" i="13"/>
  <c r="E60" i="7"/>
  <c r="AI2" i="13"/>
  <c r="AK60" i="7"/>
  <c r="H5" i="7"/>
  <c r="F22" i="6"/>
  <c r="D26" i="7"/>
  <c r="AW26" i="6"/>
  <c r="D27" i="6"/>
  <c r="L26" i="6"/>
  <c r="AY26" i="6" s="1"/>
  <c r="AB26" i="6"/>
  <c r="BC26" i="6" s="1"/>
  <c r="AW25" i="6"/>
  <c r="I26" i="7"/>
  <c r="I27" i="7" s="1"/>
  <c r="I27" i="6"/>
  <c r="Y26" i="7"/>
  <c r="Y27" i="7" s="1"/>
  <c r="Y27" i="6"/>
  <c r="F27" i="6"/>
  <c r="V27" i="6"/>
  <c r="AL27" i="6"/>
  <c r="H29" i="7"/>
  <c r="H34" i="6"/>
  <c r="P29" i="7"/>
  <c r="P34" i="6"/>
  <c r="X29" i="7"/>
  <c r="X34" i="6"/>
  <c r="AF29" i="7"/>
  <c r="AF34" i="6"/>
  <c r="AN29" i="7"/>
  <c r="AN34" i="6"/>
  <c r="AC30" i="7"/>
  <c r="AC34" i="7" s="1"/>
  <c r="AC35" i="7" s="1"/>
  <c r="AH31" i="7"/>
  <c r="AH34" i="7" s="1"/>
  <c r="AH35" i="7" s="1"/>
  <c r="AC34" i="6"/>
  <c r="AC35" i="6" s="1"/>
  <c r="P47" i="6"/>
  <c r="E59" i="6"/>
  <c r="AK59" i="6"/>
  <c r="K77" i="6"/>
  <c r="Q1" i="7"/>
  <c r="P33" i="7"/>
  <c r="BA33" i="7" s="1"/>
  <c r="AF59" i="6"/>
  <c r="AF1" i="7"/>
  <c r="AW15" i="6"/>
  <c r="AA27" i="6"/>
  <c r="AX37" i="7"/>
  <c r="D47" i="7"/>
  <c r="L37" i="7"/>
  <c r="X37" i="7"/>
  <c r="AF37" i="7"/>
  <c r="L41" i="7"/>
  <c r="AZ41" i="7" s="1"/>
  <c r="X41" i="7"/>
  <c r="BC41" i="7" s="1"/>
  <c r="AF41" i="7"/>
  <c r="BE41" i="7" s="1"/>
  <c r="AH43" i="7"/>
  <c r="BE43" i="7" s="1"/>
  <c r="L45" i="7"/>
  <c r="AZ45" i="7" s="1"/>
  <c r="K2" i="13"/>
  <c r="M60" i="7"/>
  <c r="S2" i="13"/>
  <c r="U60" i="7"/>
  <c r="AA2" i="13"/>
  <c r="AC60" i="7"/>
  <c r="H4" i="7"/>
  <c r="H26" i="7"/>
  <c r="H27" i="6"/>
  <c r="P26" i="6"/>
  <c r="AF26" i="6"/>
  <c r="BD26" i="6" s="1"/>
  <c r="Q26" i="7"/>
  <c r="Q27" i="7" s="1"/>
  <c r="Q27" i="6"/>
  <c r="AG26" i="7"/>
  <c r="AG27" i="7" s="1"/>
  <c r="AG27" i="6"/>
  <c r="N27" i="6"/>
  <c r="AD27" i="6"/>
  <c r="D29" i="7"/>
  <c r="D34" i="6"/>
  <c r="L29" i="7"/>
  <c r="L34" i="6"/>
  <c r="T29" i="7"/>
  <c r="T34" i="6"/>
  <c r="AB29" i="7"/>
  <c r="AB34" i="6"/>
  <c r="AJ29" i="7"/>
  <c r="AJ34" i="6"/>
  <c r="AW29" i="6"/>
  <c r="M30" i="7"/>
  <c r="M34" i="7" s="1"/>
  <c r="M35" i="7" s="1"/>
  <c r="AO30" i="7"/>
  <c r="R31" i="7"/>
  <c r="BA31" i="7" s="1"/>
  <c r="R3" i="3"/>
  <c r="B14" i="3" s="1"/>
  <c r="C9" i="14"/>
  <c r="C11" i="14" s="1"/>
  <c r="C23" i="3"/>
  <c r="G23" i="3"/>
  <c r="K23" i="3"/>
  <c r="O23" i="3"/>
  <c r="D7" i="6"/>
  <c r="H6" i="6"/>
  <c r="H10" i="7"/>
  <c r="H15" i="6"/>
  <c r="H16" i="6" s="1"/>
  <c r="H18" i="7"/>
  <c r="L18" i="7"/>
  <c r="P18" i="7"/>
  <c r="X18" i="7"/>
  <c r="AB18" i="7"/>
  <c r="AF18" i="7"/>
  <c r="AN18" i="7"/>
  <c r="H19" i="7"/>
  <c r="L19" i="7"/>
  <c r="AZ19" i="7" s="1"/>
  <c r="BA19" i="7"/>
  <c r="X19" i="7"/>
  <c r="BC19" i="7" s="1"/>
  <c r="AB19" i="7"/>
  <c r="BD19" i="7" s="1"/>
  <c r="AN19" i="7"/>
  <c r="BG19" i="7" s="1"/>
  <c r="AW19" i="6"/>
  <c r="G27" i="6"/>
  <c r="O27" i="6"/>
  <c r="W27" i="6"/>
  <c r="AE27" i="6"/>
  <c r="AM27" i="6"/>
  <c r="E34" i="7"/>
  <c r="E35" i="7" s="1"/>
  <c r="I34" i="7"/>
  <c r="I35" i="7" s="1"/>
  <c r="U34" i="7"/>
  <c r="U35" i="7" s="1"/>
  <c r="Y34" i="7"/>
  <c r="Y35" i="7" s="1"/>
  <c r="AK34" i="7"/>
  <c r="AK35" i="7" s="1"/>
  <c r="AY32" i="7"/>
  <c r="Q34" i="6"/>
  <c r="Q35" i="6" s="1"/>
  <c r="F47" i="7"/>
  <c r="F48" i="7" s="1"/>
  <c r="V47" i="7"/>
  <c r="V48" i="7" s="1"/>
  <c r="M38" i="7"/>
  <c r="AC38" i="7"/>
  <c r="M42" i="7"/>
  <c r="AC42" i="7"/>
  <c r="M46" i="7"/>
  <c r="AC46" i="7"/>
  <c r="AK46" i="7"/>
  <c r="AK47" i="7" s="1"/>
  <c r="AK48" i="7" s="1"/>
  <c r="AK47" i="6"/>
  <c r="AK48" i="6" s="1"/>
  <c r="AO46" i="7"/>
  <c r="AO47" i="7" s="1"/>
  <c r="AO48" i="7" s="1"/>
  <c r="AO47" i="6"/>
  <c r="D47" i="6"/>
  <c r="T47" i="6"/>
  <c r="M59" i="6"/>
  <c r="Y1" i="7"/>
  <c r="T18" i="7"/>
  <c r="AA2" i="3"/>
  <c r="D23" i="3"/>
  <c r="H23" i="3"/>
  <c r="L23" i="3"/>
  <c r="P23" i="3"/>
  <c r="B39" i="12"/>
  <c r="C39" i="12"/>
  <c r="D39" i="12"/>
  <c r="E39" i="12"/>
  <c r="F39" i="12"/>
  <c r="G39" i="12"/>
  <c r="H39" i="12"/>
  <c r="I39" i="12"/>
  <c r="J39" i="12"/>
  <c r="K39" i="12"/>
  <c r="L39" i="12"/>
  <c r="H77" i="6"/>
  <c r="J15" i="5"/>
  <c r="H37" i="3" s="1"/>
  <c r="H18" i="5"/>
  <c r="F19" i="5"/>
  <c r="L18" i="5"/>
  <c r="H9" i="7"/>
  <c r="U13" i="7"/>
  <c r="V13" i="7" s="1"/>
  <c r="W13" i="7" s="1"/>
  <c r="X13" i="7" s="1"/>
  <c r="D18" i="7"/>
  <c r="D23" i="6"/>
  <c r="I18" i="7"/>
  <c r="M18" i="7"/>
  <c r="Q18" i="7"/>
  <c r="U18" i="7"/>
  <c r="Y18" i="7"/>
  <c r="AC18" i="7"/>
  <c r="AG18" i="7"/>
  <c r="AK18" i="7"/>
  <c r="AO18" i="7"/>
  <c r="F21" i="6"/>
  <c r="J27" i="6"/>
  <c r="R27" i="6"/>
  <c r="Z27" i="6"/>
  <c r="AH27" i="6"/>
  <c r="AP27" i="6"/>
  <c r="E34" i="6"/>
  <c r="E35" i="6" s="1"/>
  <c r="U34" i="6"/>
  <c r="U35" i="6" s="1"/>
  <c r="AK34" i="6"/>
  <c r="AK35" i="6" s="1"/>
  <c r="BE40" i="7"/>
  <c r="H47" i="6"/>
  <c r="X47" i="6"/>
  <c r="AN48" i="6"/>
  <c r="U59" i="6"/>
  <c r="AG1" i="7"/>
  <c r="F6" i="7"/>
  <c r="AX2" i="7"/>
  <c r="AJ18" i="7"/>
  <c r="AX32" i="7"/>
  <c r="AZ32" i="7"/>
  <c r="BA32" i="7"/>
  <c r="BC32" i="7"/>
  <c r="BF32" i="7"/>
  <c r="BG32" i="7"/>
  <c r="AW32" i="6"/>
  <c r="F34" i="6"/>
  <c r="F35" i="6" s="1"/>
  <c r="J34" i="6"/>
  <c r="J35" i="6" s="1"/>
  <c r="N34" i="6"/>
  <c r="N35" i="6" s="1"/>
  <c r="R34" i="6"/>
  <c r="R35" i="6" s="1"/>
  <c r="V34" i="6"/>
  <c r="V35" i="6" s="1"/>
  <c r="Z34" i="6"/>
  <c r="Z35" i="6" s="1"/>
  <c r="AD34" i="6"/>
  <c r="AD35" i="6" s="1"/>
  <c r="AH34" i="6"/>
  <c r="AH35" i="6" s="1"/>
  <c r="AL34" i="6"/>
  <c r="AL35" i="6" s="1"/>
  <c r="AP34" i="6"/>
  <c r="AP35" i="6" s="1"/>
  <c r="E47" i="7"/>
  <c r="E48" i="7" s="1"/>
  <c r="I47" i="7"/>
  <c r="I48" i="7" s="1"/>
  <c r="Q47" i="7"/>
  <c r="Q48" i="7" s="1"/>
  <c r="U47" i="7"/>
  <c r="U48" i="7" s="1"/>
  <c r="Y47" i="7"/>
  <c r="Y48" i="7" s="1"/>
  <c r="AG47" i="7"/>
  <c r="AG48" i="7" s="1"/>
  <c r="AX40" i="7"/>
  <c r="BA40" i="7"/>
  <c r="BB40" i="7"/>
  <c r="BC40" i="7"/>
  <c r="AW40" i="6"/>
  <c r="AX44" i="7"/>
  <c r="BA44" i="7"/>
  <c r="BB44" i="7"/>
  <c r="BE44" i="7"/>
  <c r="AW44" i="6"/>
  <c r="E47" i="6"/>
  <c r="E48" i="6" s="1"/>
  <c r="I47" i="6"/>
  <c r="I48" i="6" s="1"/>
  <c r="M47" i="6"/>
  <c r="M48" i="6" s="1"/>
  <c r="Q47" i="6"/>
  <c r="Q48" i="6" s="1"/>
  <c r="U47" i="6"/>
  <c r="U48" i="6" s="1"/>
  <c r="Y47" i="6"/>
  <c r="Y48" i="6" s="1"/>
  <c r="AC47" i="6"/>
  <c r="AC48" i="6" s="1"/>
  <c r="AG47" i="6"/>
  <c r="AG48" i="6" s="1"/>
  <c r="AX57" i="7"/>
  <c r="BA57" i="7"/>
  <c r="F59" i="6"/>
  <c r="N59" i="6"/>
  <c r="V59" i="6"/>
  <c r="AD59" i="6"/>
  <c r="AL59" i="6"/>
  <c r="B66" i="6"/>
  <c r="AX10" i="7"/>
  <c r="D15" i="7"/>
  <c r="D2" i="13"/>
  <c r="F60" i="7"/>
  <c r="H2" i="13"/>
  <c r="J60" i="7"/>
  <c r="L2" i="13"/>
  <c r="N60" i="7"/>
  <c r="P2" i="13"/>
  <c r="R60" i="7"/>
  <c r="T2" i="13"/>
  <c r="V60" i="7"/>
  <c r="X2" i="13"/>
  <c r="Z60" i="7"/>
  <c r="AB2" i="13"/>
  <c r="AD60" i="7"/>
  <c r="AF2" i="13"/>
  <c r="AH60" i="7"/>
  <c r="AJ2" i="13"/>
  <c r="AL60" i="7"/>
  <c r="AN2" i="13"/>
  <c r="AP60" i="7"/>
  <c r="F34" i="7"/>
  <c r="F35" i="7" s="1"/>
  <c r="J34" i="7"/>
  <c r="J35" i="7" s="1"/>
  <c r="N34" i="7"/>
  <c r="N35" i="7" s="1"/>
  <c r="V34" i="7"/>
  <c r="V35" i="7" s="1"/>
  <c r="Z34" i="7"/>
  <c r="Z35" i="7" s="1"/>
  <c r="AD34" i="7"/>
  <c r="AD35" i="7" s="1"/>
  <c r="AL34" i="7"/>
  <c r="AL35" i="7" s="1"/>
  <c r="AP34" i="7"/>
  <c r="AP35" i="7" s="1"/>
  <c r="AX31" i="7"/>
  <c r="BD31" i="7"/>
  <c r="AW31" i="6"/>
  <c r="G34" i="6"/>
  <c r="G35" i="6" s="1"/>
  <c r="K34" i="6"/>
  <c r="O34" i="6"/>
  <c r="O35" i="6" s="1"/>
  <c r="S34" i="6"/>
  <c r="S35" i="6" s="1"/>
  <c r="W34" i="6"/>
  <c r="W35" i="6" s="1"/>
  <c r="AA34" i="6"/>
  <c r="AA35" i="6" s="1"/>
  <c r="AE34" i="6"/>
  <c r="AE35" i="6" s="1"/>
  <c r="AI34" i="6"/>
  <c r="AI35" i="6" s="1"/>
  <c r="AM34" i="6"/>
  <c r="AM35" i="6" s="1"/>
  <c r="AQ34" i="6"/>
  <c r="AQ35" i="6" s="1"/>
  <c r="J47" i="7"/>
  <c r="J48" i="7" s="1"/>
  <c r="N47" i="7"/>
  <c r="N48" i="7" s="1"/>
  <c r="Z47" i="7"/>
  <c r="Z48" i="7" s="1"/>
  <c r="AD47" i="7"/>
  <c r="AD48" i="7" s="1"/>
  <c r="AX39" i="7"/>
  <c r="BB39" i="7"/>
  <c r="AW39" i="6"/>
  <c r="AX43" i="7"/>
  <c r="AW43" i="6"/>
  <c r="F47" i="6"/>
  <c r="F48" i="6" s="1"/>
  <c r="J47" i="6"/>
  <c r="J48" i="6" s="1"/>
  <c r="N47" i="6"/>
  <c r="N48" i="6" s="1"/>
  <c r="R47" i="6"/>
  <c r="R48" i="6" s="1"/>
  <c r="V47" i="6"/>
  <c r="V48" i="6" s="1"/>
  <c r="Z47" i="6"/>
  <c r="Z48" i="6" s="1"/>
  <c r="AD47" i="6"/>
  <c r="AD48" i="6" s="1"/>
  <c r="AH47" i="6"/>
  <c r="AH48" i="6" s="1"/>
  <c r="AL47" i="6"/>
  <c r="AL48" i="6" s="1"/>
  <c r="AP47" i="6"/>
  <c r="AP48" i="6" s="1"/>
  <c r="AX13" i="7"/>
  <c r="G1" i="7"/>
  <c r="G59" i="6"/>
  <c r="K1" i="7"/>
  <c r="K59" i="6"/>
  <c r="O1" i="7"/>
  <c r="O59" i="6"/>
  <c r="S1" i="7"/>
  <c r="S59" i="6"/>
  <c r="W1" i="7"/>
  <c r="W59" i="6"/>
  <c r="AA1" i="7"/>
  <c r="AA59" i="6"/>
  <c r="AE1" i="7"/>
  <c r="AE59" i="6"/>
  <c r="AI1" i="7"/>
  <c r="AI59" i="6"/>
  <c r="AM1" i="7"/>
  <c r="AM59" i="6"/>
  <c r="AQ1" i="7"/>
  <c r="AQ59" i="6"/>
  <c r="AX19" i="7"/>
  <c r="O34" i="7"/>
  <c r="O35" i="7" s="1"/>
  <c r="S34" i="7"/>
  <c r="S35" i="7" s="1"/>
  <c r="AA34" i="7"/>
  <c r="AA35" i="7" s="1"/>
  <c r="AE34" i="7"/>
  <c r="AE35" i="7" s="1"/>
  <c r="AI34" i="7"/>
  <c r="AI35" i="7" s="1"/>
  <c r="AQ34" i="7"/>
  <c r="AQ35" i="7" s="1"/>
  <c r="G47" i="7"/>
  <c r="G48" i="7" s="1"/>
  <c r="O47" i="7"/>
  <c r="O48" i="7" s="1"/>
  <c r="S47" i="7"/>
  <c r="S48" i="7" s="1"/>
  <c r="W47" i="7"/>
  <c r="W48" i="7" s="1"/>
  <c r="AA47" i="7"/>
  <c r="AA48" i="7" s="1"/>
  <c r="AE47" i="7"/>
  <c r="AE48" i="7" s="1"/>
  <c r="AI47" i="7"/>
  <c r="AI48" i="7" s="1"/>
  <c r="AX38" i="7"/>
  <c r="BA38" i="7"/>
  <c r="BB38" i="7"/>
  <c r="AW38" i="6"/>
  <c r="AX42" i="7"/>
  <c r="BA42" i="7"/>
  <c r="AW42" i="6"/>
  <c r="AX46" i="7"/>
  <c r="BA46" i="7"/>
  <c r="AW46" i="6"/>
  <c r="G47" i="6"/>
  <c r="G48" i="6" s="1"/>
  <c r="K47" i="6"/>
  <c r="O47" i="6"/>
  <c r="O48" i="6" s="1"/>
  <c r="S47" i="6"/>
  <c r="S48" i="6" s="1"/>
  <c r="W47" i="6"/>
  <c r="W48" i="6" s="1"/>
  <c r="AA47" i="6"/>
  <c r="AA48" i="6" s="1"/>
  <c r="AE47" i="6"/>
  <c r="AE48" i="6" s="1"/>
  <c r="AI47" i="6"/>
  <c r="AI48" i="6" s="1"/>
  <c r="AM47" i="6"/>
  <c r="AM48" i="6" s="1"/>
  <c r="AQ47" i="6"/>
  <c r="AQ48" i="6" s="1"/>
  <c r="J59" i="6"/>
  <c r="R59" i="6"/>
  <c r="Z59" i="6"/>
  <c r="AH59" i="6"/>
  <c r="AP59" i="6"/>
  <c r="E6" i="7"/>
  <c r="G7" i="7"/>
  <c r="AX9" i="7"/>
  <c r="E4" i="8"/>
  <c r="AL47" i="7"/>
  <c r="AL48" i="7" s="1"/>
  <c r="AP47" i="7"/>
  <c r="AP48" i="7" s="1"/>
  <c r="BF44" i="7"/>
  <c r="BF45" i="7"/>
  <c r="BG45" i="7"/>
  <c r="AM47" i="7"/>
  <c r="AM48" i="7" s="1"/>
  <c r="AQ47" i="7"/>
  <c r="AQ48" i="7" s="1"/>
  <c r="BF40" i="7"/>
  <c r="BF41" i="7"/>
  <c r="BG41" i="7"/>
  <c r="BG44" i="7"/>
  <c r="BG37" i="7"/>
  <c r="E5" i="8"/>
  <c r="C25" i="8"/>
  <c r="G25" i="8"/>
  <c r="K25" i="8"/>
  <c r="B2" i="9"/>
  <c r="B27" i="9" s="1"/>
  <c r="F2" i="9"/>
  <c r="F27" i="9" s="1"/>
  <c r="J2" i="9"/>
  <c r="J27" i="9" s="1"/>
  <c r="D25" i="8"/>
  <c r="H25" i="8"/>
  <c r="L25" i="8"/>
  <c r="E25" i="8"/>
  <c r="I25" i="8"/>
  <c r="F3" i="14"/>
  <c r="G3" i="14" s="1"/>
  <c r="H3" i="14" s="1"/>
  <c r="I3" i="14" s="1"/>
  <c r="J3" i="14" s="1"/>
  <c r="K3" i="14" s="1"/>
  <c r="L3" i="14" s="1"/>
  <c r="G25" i="15"/>
  <c r="F25" i="15"/>
  <c r="F10" i="16"/>
  <c r="G10" i="16"/>
  <c r="F17" i="16"/>
  <c r="G19" i="17"/>
  <c r="F19" i="17"/>
  <c r="G9" i="18"/>
  <c r="F9" i="18"/>
  <c r="F11" i="18"/>
  <c r="G11" i="18"/>
  <c r="F14" i="24"/>
  <c r="G8" i="15"/>
  <c r="F8" i="15"/>
  <c r="G13" i="15"/>
  <c r="G7" i="16"/>
  <c r="G16" i="16"/>
  <c r="F16" i="16"/>
  <c r="G24" i="16"/>
  <c r="F24" i="16"/>
  <c r="G10" i="20"/>
  <c r="G7" i="23"/>
  <c r="F7" i="23"/>
  <c r="F16" i="23"/>
  <c r="G16" i="23"/>
  <c r="F11" i="14"/>
  <c r="G19" i="15"/>
  <c r="F19" i="15"/>
  <c r="F14" i="16"/>
  <c r="G14" i="16"/>
  <c r="F18" i="16"/>
  <c r="G18" i="16"/>
  <c r="G25" i="17"/>
  <c r="F25" i="17"/>
  <c r="G24" i="17"/>
  <c r="F24" i="17"/>
  <c r="G17" i="18"/>
  <c r="G19" i="18"/>
  <c r="L8" i="14"/>
  <c r="G17" i="15"/>
  <c r="G8" i="18"/>
  <c r="F8" i="18"/>
  <c r="F15" i="19"/>
  <c r="G15" i="19"/>
  <c r="G8" i="20"/>
  <c r="F8" i="20"/>
  <c r="G24" i="20"/>
  <c r="F18" i="22"/>
  <c r="G23" i="22"/>
  <c r="F23" i="22"/>
  <c r="G8" i="23"/>
  <c r="G9" i="24"/>
  <c r="F9" i="24"/>
  <c r="F18" i="15"/>
  <c r="G18" i="15"/>
  <c r="F9" i="17"/>
  <c r="F18" i="17"/>
  <c r="G18" i="17"/>
  <c r="E5" i="15"/>
  <c r="G7" i="15"/>
  <c r="F9" i="15"/>
  <c r="G16" i="15"/>
  <c r="F16" i="15"/>
  <c r="F21" i="15"/>
  <c r="F9" i="16"/>
  <c r="F8" i="17"/>
  <c r="F19" i="19"/>
  <c r="G19" i="19"/>
  <c r="F9" i="20"/>
  <c r="G9" i="20"/>
  <c r="F15" i="20"/>
  <c r="G15" i="20"/>
  <c r="G25" i="20"/>
  <c r="E15" i="15"/>
  <c r="E19" i="16"/>
  <c r="F25" i="16"/>
  <c r="E6" i="17"/>
  <c r="F12" i="17"/>
  <c r="E14" i="17"/>
  <c r="F20" i="17"/>
  <c r="E22" i="17"/>
  <c r="F13" i="20"/>
  <c r="G13" i="20"/>
  <c r="G20" i="20"/>
  <c r="F20" i="20"/>
  <c r="F22" i="20"/>
  <c r="F7" i="21"/>
  <c r="G7" i="21"/>
  <c r="E25" i="18"/>
  <c r="E9" i="19"/>
  <c r="G20" i="19"/>
  <c r="F20" i="19"/>
  <c r="F7" i="20"/>
  <c r="G7" i="20"/>
  <c r="G23" i="20"/>
  <c r="G11" i="21"/>
  <c r="F11" i="21"/>
  <c r="G7" i="22"/>
  <c r="F7" i="22"/>
  <c r="E22" i="18"/>
  <c r="G12" i="19"/>
  <c r="F12" i="19"/>
  <c r="G16" i="19"/>
  <c r="F16" i="19"/>
  <c r="F19" i="20"/>
  <c r="G19" i="20"/>
  <c r="F20" i="21"/>
  <c r="G20" i="21"/>
  <c r="G10" i="22"/>
  <c r="F10" i="22"/>
  <c r="G19" i="22"/>
  <c r="F19" i="22"/>
  <c r="G15" i="23"/>
  <c r="F15" i="23"/>
  <c r="F24" i="23"/>
  <c r="G15" i="24"/>
  <c r="F15" i="24"/>
  <c r="G7" i="25"/>
  <c r="F7" i="25"/>
  <c r="G15" i="25"/>
  <c r="F15" i="25"/>
  <c r="G23" i="25"/>
  <c r="F23" i="25"/>
  <c r="F22" i="21"/>
  <c r="F10" i="23"/>
  <c r="F18" i="23"/>
  <c r="F24" i="25"/>
  <c r="G24" i="25"/>
  <c r="E8" i="22"/>
  <c r="G12" i="22"/>
  <c r="F14" i="22"/>
  <c r="E16" i="22"/>
  <c r="G20" i="22"/>
  <c r="F22" i="22"/>
  <c r="E24" i="22"/>
  <c r="F10" i="24"/>
  <c r="E12" i="24"/>
  <c r="E20" i="24"/>
  <c r="F25" i="25"/>
  <c r="E8" i="24"/>
  <c r="E16" i="24"/>
  <c r="E24" i="24"/>
  <c r="BG13" i="6" l="1"/>
  <c r="AC22" i="12"/>
  <c r="F11" i="22"/>
  <c r="F24" i="15"/>
  <c r="AP22" i="12"/>
  <c r="BH27" i="7"/>
  <c r="G19" i="25"/>
  <c r="G11" i="25"/>
  <c r="F23" i="21"/>
  <c r="G12" i="21"/>
  <c r="F14" i="18"/>
  <c r="G22" i="16"/>
  <c r="N19" i="5"/>
  <c r="AN27" i="6"/>
  <c r="F12" i="18"/>
  <c r="F10" i="25"/>
  <c r="AL22" i="12"/>
  <c r="AF22" i="12"/>
  <c r="G15" i="22"/>
  <c r="G10" i="15"/>
  <c r="G17" i="25"/>
  <c r="I28" i="11"/>
  <c r="I29" i="11" s="1"/>
  <c r="I30" i="11" s="1"/>
  <c r="I32" i="11" s="1"/>
  <c r="I33" i="11" s="1"/>
  <c r="I34" i="11" s="1"/>
  <c r="I35" i="11" s="1"/>
  <c r="I36" i="11" s="1"/>
  <c r="I37" i="11" s="1"/>
  <c r="I38" i="11" s="1"/>
  <c r="I39" i="11" s="1"/>
  <c r="AM13" i="29"/>
  <c r="AL7" i="12" s="1"/>
  <c r="BG27" i="6"/>
  <c r="G7" i="24"/>
  <c r="G7" i="19"/>
  <c r="G13" i="19"/>
  <c r="F17" i="17"/>
  <c r="G14" i="15"/>
  <c r="F23" i="23"/>
  <c r="G17" i="19"/>
  <c r="G9" i="21"/>
  <c r="G10" i="17"/>
  <c r="G18" i="18"/>
  <c r="BG35" i="6"/>
  <c r="F8" i="19"/>
  <c r="F24" i="18"/>
  <c r="BH48" i="7"/>
  <c r="F18" i="24"/>
  <c r="G23" i="19"/>
  <c r="F16" i="17"/>
  <c r="F23" i="18"/>
  <c r="G21" i="18"/>
  <c r="G20" i="15"/>
  <c r="F14" i="19"/>
  <c r="BG24" i="6"/>
  <c r="G10" i="19"/>
  <c r="F16" i="18"/>
  <c r="F23" i="17"/>
  <c r="F21" i="16"/>
  <c r="G11" i="20"/>
  <c r="AM16" i="29"/>
  <c r="AL11" i="12" s="1"/>
  <c r="BH24" i="7"/>
  <c r="BH35" i="7"/>
  <c r="G21" i="19"/>
  <c r="F10" i="21"/>
  <c r="F12" i="16"/>
  <c r="AY19" i="7"/>
  <c r="BG30" i="7"/>
  <c r="AY43" i="7"/>
  <c r="T27" i="6"/>
  <c r="T26" i="7"/>
  <c r="BD42" i="7"/>
  <c r="AY42" i="7"/>
  <c r="AY46" i="7"/>
  <c r="AY40" i="7"/>
  <c r="AZ46" i="7"/>
  <c r="BG46" i="7"/>
  <c r="AY44" i="7"/>
  <c r="F11" i="23"/>
  <c r="G21" i="22"/>
  <c r="G19" i="24"/>
  <c r="AY57" i="7"/>
  <c r="F11" i="24"/>
  <c r="H7" i="6"/>
  <c r="AJ27" i="6"/>
  <c r="F12" i="15"/>
  <c r="H6" i="12"/>
  <c r="C34" i="29"/>
  <c r="AO34" i="7"/>
  <c r="AO35" i="7" s="1"/>
  <c r="F22" i="24"/>
  <c r="N35" i="3"/>
  <c r="B9" i="12"/>
  <c r="M34" i="3"/>
  <c r="E12" i="12"/>
  <c r="B35" i="12" s="1"/>
  <c r="R12" i="3"/>
  <c r="B5" i="2"/>
  <c r="C66" i="6"/>
  <c r="B6" i="2" s="1"/>
  <c r="F5" i="21"/>
  <c r="F25" i="24"/>
  <c r="E23" i="7"/>
  <c r="E24" i="7" s="1"/>
  <c r="G16" i="21"/>
  <c r="F14" i="21"/>
  <c r="F21" i="17"/>
  <c r="F23" i="24"/>
  <c r="K34" i="7"/>
  <c r="K35" i="7" s="1"/>
  <c r="AY31" i="7"/>
  <c r="AY30" i="7"/>
  <c r="F8" i="21"/>
  <c r="G16" i="20"/>
  <c r="F20" i="16"/>
  <c r="J11" i="14"/>
  <c r="F12" i="20"/>
  <c r="G22" i="15"/>
  <c r="AY34" i="6"/>
  <c r="G13" i="21"/>
  <c r="F13" i="21"/>
  <c r="F19" i="23"/>
  <c r="J17" i="12"/>
  <c r="F20" i="6"/>
  <c r="F23" i="6" s="1"/>
  <c r="E23" i="6"/>
  <c r="O27" i="3"/>
  <c r="O33" i="3" s="1"/>
  <c r="N26" i="3"/>
  <c r="G15" i="17"/>
  <c r="F15" i="17"/>
  <c r="G11" i="15"/>
  <c r="F11" i="15"/>
  <c r="F13" i="16"/>
  <c r="E18" i="29"/>
  <c r="D7" i="29"/>
  <c r="F39" i="4"/>
  <c r="M4" i="29"/>
  <c r="M11" i="29" s="1"/>
  <c r="L6" i="12" s="1"/>
  <c r="T47" i="7"/>
  <c r="T48" i="7" s="1"/>
  <c r="BB48" i="7" s="1"/>
  <c r="F13" i="17"/>
  <c r="F23" i="16"/>
  <c r="AM2" i="5"/>
  <c r="AL6" i="5"/>
  <c r="AK17" i="29" s="1"/>
  <c r="BF47" i="6"/>
  <c r="AQ13" i="29"/>
  <c r="AP7" i="12" s="1"/>
  <c r="AQ16" i="29"/>
  <c r="AG16" i="29"/>
  <c r="AF11" i="12" s="1"/>
  <c r="AG13" i="29"/>
  <c r="AF7" i="12" s="1"/>
  <c r="AD13" i="29"/>
  <c r="AC7" i="12" s="1"/>
  <c r="AD16" i="29"/>
  <c r="AC11" i="12" s="1"/>
  <c r="AS4" i="29"/>
  <c r="AS11" i="29" s="1"/>
  <c r="AR6" i="12" s="1"/>
  <c r="AO11" i="29"/>
  <c r="AN6" i="12" s="1"/>
  <c r="F17" i="24"/>
  <c r="AY41" i="7"/>
  <c r="G6" i="15"/>
  <c r="AI6" i="5"/>
  <c r="AH17" i="29" s="1"/>
  <c r="K16" i="5"/>
  <c r="BC34" i="6"/>
  <c r="AH47" i="7"/>
  <c r="AH48" i="7" s="1"/>
  <c r="AP2" i="5"/>
  <c r="BF46" i="7"/>
  <c r="AY39" i="7"/>
  <c r="AY38" i="7"/>
  <c r="G22" i="19"/>
  <c r="F22" i="19"/>
  <c r="H15" i="7"/>
  <c r="I6" i="5"/>
  <c r="H17" i="29" s="1"/>
  <c r="D27" i="4"/>
  <c r="AN7" i="29"/>
  <c r="AM9" i="12" s="1"/>
  <c r="K35" i="6"/>
  <c r="AZ34" i="6"/>
  <c r="AX27" i="6"/>
  <c r="BB34" i="6"/>
  <c r="BD46" i="7"/>
  <c r="AZ42" i="7"/>
  <c r="X27" i="6"/>
  <c r="BB27" i="6" s="1"/>
  <c r="AO27" i="6"/>
  <c r="BF27" i="6" s="1"/>
  <c r="AJ26" i="7"/>
  <c r="AJ27" i="7" s="1"/>
  <c r="BF27" i="7" s="1"/>
  <c r="BC47" i="6"/>
  <c r="AY33" i="7"/>
  <c r="BD48" i="6"/>
  <c r="L48" i="6"/>
  <c r="AY48" i="6" s="1"/>
  <c r="AY47" i="6"/>
  <c r="AJ47" i="7"/>
  <c r="AJ48" i="7" s="1"/>
  <c r="BF48" i="7" s="1"/>
  <c r="AX26" i="6"/>
  <c r="AX47" i="6"/>
  <c r="BF34" i="6"/>
  <c r="BE27" i="6"/>
  <c r="K26" i="7"/>
  <c r="K27" i="7" s="1"/>
  <c r="AZ26" i="6"/>
  <c r="K47" i="7"/>
  <c r="K48" i="7" s="1"/>
  <c r="BE39" i="7"/>
  <c r="BE34" i="6"/>
  <c r="BA34" i="6"/>
  <c r="X26" i="7"/>
  <c r="X27" i="7" s="1"/>
  <c r="BC27" i="7" s="1"/>
  <c r="BD34" i="6"/>
  <c r="AJ48" i="6"/>
  <c r="BE48" i="6" s="1"/>
  <c r="BE47" i="6"/>
  <c r="BF26" i="6"/>
  <c r="K48" i="6"/>
  <c r="AZ47" i="6"/>
  <c r="AX34" i="6"/>
  <c r="BB47" i="6"/>
  <c r="BA47" i="6"/>
  <c r="BD38" i="7"/>
  <c r="BD30" i="7"/>
  <c r="BA27" i="6"/>
  <c r="BD47" i="6"/>
  <c r="BE31" i="7"/>
  <c r="AO6" i="5"/>
  <c r="AN17" i="29" s="1"/>
  <c r="AA12" i="3"/>
  <c r="B9" i="14" s="1"/>
  <c r="B21" i="13"/>
  <c r="E31" i="3"/>
  <c r="G5" i="23"/>
  <c r="K3" i="5"/>
  <c r="K6" i="5" s="1"/>
  <c r="J17" i="29" s="1"/>
  <c r="K3" i="29"/>
  <c r="M27" i="4"/>
  <c r="F24" i="4"/>
  <c r="Q6" i="5" s="1"/>
  <c r="P17" i="29" s="1"/>
  <c r="AS2" i="5"/>
  <c r="Q47" i="3"/>
  <c r="Q49" i="3" s="1"/>
  <c r="F6" i="25"/>
  <c r="G5" i="19"/>
  <c r="M19" i="5"/>
  <c r="G5" i="18"/>
  <c r="L51" i="3"/>
  <c r="G6" i="23"/>
  <c r="N18" i="5"/>
  <c r="M18" i="5"/>
  <c r="B91" i="6"/>
  <c r="AX11" i="6"/>
  <c r="J11" i="7"/>
  <c r="AX2" i="6"/>
  <c r="F5" i="25"/>
  <c r="F6" i="20"/>
  <c r="G6" i="16"/>
  <c r="AO3" i="29"/>
  <c r="I19" i="5"/>
  <c r="F5" i="17"/>
  <c r="F5" i="24"/>
  <c r="F6" i="22"/>
  <c r="G6" i="21"/>
  <c r="F5" i="16"/>
  <c r="G6" i="24"/>
  <c r="AC47" i="7"/>
  <c r="AC48" i="7" s="1"/>
  <c r="G18" i="19"/>
  <c r="F18" i="19"/>
  <c r="G17" i="22"/>
  <c r="F17" i="22"/>
  <c r="H19" i="5"/>
  <c r="F24" i="21"/>
  <c r="G24" i="21"/>
  <c r="F13" i="18"/>
  <c r="G12" i="25"/>
  <c r="R47" i="7"/>
  <c r="R48" i="7" s="1"/>
  <c r="F8" i="25"/>
  <c r="G8" i="25"/>
  <c r="G15" i="16"/>
  <c r="F15" i="16"/>
  <c r="G9" i="22"/>
  <c r="F9" i="22"/>
  <c r="G21" i="24"/>
  <c r="F21" i="24"/>
  <c r="F5" i="20"/>
  <c r="G5" i="20"/>
  <c r="G7" i="18"/>
  <c r="F7" i="18"/>
  <c r="G20" i="25"/>
  <c r="F8" i="16"/>
  <c r="G8" i="16"/>
  <c r="F19" i="21"/>
  <c r="G6" i="18"/>
  <c r="G11" i="14"/>
  <c r="F23" i="15"/>
  <c r="G23" i="15"/>
  <c r="G14" i="20"/>
  <c r="F14" i="20"/>
  <c r="BF18" i="7"/>
  <c r="F16" i="25"/>
  <c r="G16" i="25"/>
  <c r="F10" i="18"/>
  <c r="G10" i="18"/>
  <c r="J2" i="7"/>
  <c r="K11" i="14"/>
  <c r="F15" i="21"/>
  <c r="F5" i="22"/>
  <c r="F20" i="23"/>
  <c r="G20" i="23"/>
  <c r="AQ3" i="29"/>
  <c r="AQ7" i="29" s="1"/>
  <c r="AP9" i="12" s="1"/>
  <c r="F17" i="21"/>
  <c r="G17" i="21"/>
  <c r="F13" i="23"/>
  <c r="G13" i="23"/>
  <c r="M47" i="7"/>
  <c r="M48" i="7" s="1"/>
  <c r="F13" i="22"/>
  <c r="F11" i="17"/>
  <c r="G15" i="18"/>
  <c r="F15" i="18"/>
  <c r="G9" i="23"/>
  <c r="F9" i="23"/>
  <c r="F7" i="17"/>
  <c r="G7" i="17"/>
  <c r="F24" i="19"/>
  <c r="I18" i="5"/>
  <c r="G6" i="19"/>
  <c r="F6" i="19"/>
  <c r="H3" i="29"/>
  <c r="H7" i="29" s="1"/>
  <c r="G9" i="12" s="1"/>
  <c r="F24" i="29"/>
  <c r="B44" i="29" s="1"/>
  <c r="B25" i="12"/>
  <c r="B24" i="8" s="1"/>
  <c r="F12" i="12"/>
  <c r="G27" i="29" s="1"/>
  <c r="BB13" i="7"/>
  <c r="W12" i="3"/>
  <c r="AO60" i="7"/>
  <c r="I60" i="7"/>
  <c r="M47" i="3"/>
  <c r="M49" i="3" s="1"/>
  <c r="B52" i="3"/>
  <c r="G24" i="29"/>
  <c r="BG47" i="7"/>
  <c r="AN48" i="7"/>
  <c r="BG48" i="7" s="1"/>
  <c r="AZ38" i="7"/>
  <c r="I3" i="7"/>
  <c r="AK2" i="13"/>
  <c r="AM60" i="7"/>
  <c r="AC2" i="13"/>
  <c r="AE60" i="7"/>
  <c r="U2" i="13"/>
  <c r="W60" i="7"/>
  <c r="M2" i="13"/>
  <c r="O60" i="7"/>
  <c r="E2" i="13"/>
  <c r="G60" i="7"/>
  <c r="W2" i="13"/>
  <c r="Y60" i="7"/>
  <c r="T48" i="6"/>
  <c r="BA48" i="6" s="1"/>
  <c r="AO48" i="6"/>
  <c r="BF48" i="6" s="1"/>
  <c r="BE18" i="7"/>
  <c r="BC18" i="7"/>
  <c r="AZ18" i="7"/>
  <c r="I5" i="7"/>
  <c r="AJ34" i="7"/>
  <c r="BF29" i="7"/>
  <c r="T35" i="6"/>
  <c r="BA35" i="6" s="1"/>
  <c r="L34" i="7"/>
  <c r="AZ29" i="7"/>
  <c r="AN27" i="7"/>
  <c r="BG27" i="7" s="1"/>
  <c r="BG26" i="7"/>
  <c r="H27" i="7"/>
  <c r="L11" i="14"/>
  <c r="D48" i="7"/>
  <c r="AX48" i="7" s="1"/>
  <c r="AX47" i="7"/>
  <c r="AZ30" i="7"/>
  <c r="X35" i="6"/>
  <c r="BB35" i="6" s="1"/>
  <c r="P34" i="7"/>
  <c r="BA29" i="7"/>
  <c r="AW27" i="6"/>
  <c r="J51" i="3"/>
  <c r="J45" i="3"/>
  <c r="AH2" i="13"/>
  <c r="AJ60" i="7"/>
  <c r="D7" i="7"/>
  <c r="AX6" i="7"/>
  <c r="BC37" i="7"/>
  <c r="X47" i="7"/>
  <c r="AD2" i="13"/>
  <c r="AF60" i="7"/>
  <c r="AF35" i="6"/>
  <c r="BD35" i="6" s="1"/>
  <c r="X34" i="7"/>
  <c r="BC29" i="7"/>
  <c r="T27" i="7"/>
  <c r="BB27" i="7" s="1"/>
  <c r="BB26" i="7"/>
  <c r="F47" i="3"/>
  <c r="F49" i="3" s="1"/>
  <c r="F31" i="3"/>
  <c r="AB47" i="7"/>
  <c r="BD37" i="7"/>
  <c r="AY37" i="7"/>
  <c r="H47" i="7"/>
  <c r="K11" i="7"/>
  <c r="V2" i="13"/>
  <c r="X60" i="7"/>
  <c r="N2" i="13"/>
  <c r="P60" i="7"/>
  <c r="F2" i="13"/>
  <c r="H60" i="7"/>
  <c r="F12" i="24"/>
  <c r="G12" i="24"/>
  <c r="F8" i="22"/>
  <c r="G8" i="22"/>
  <c r="F25" i="18"/>
  <c r="G25" i="18"/>
  <c r="G15" i="15"/>
  <c r="F15" i="15"/>
  <c r="F24" i="24"/>
  <c r="G24" i="24"/>
  <c r="F16" i="22"/>
  <c r="G16" i="22"/>
  <c r="F22" i="17"/>
  <c r="G22" i="17"/>
  <c r="F6" i="17"/>
  <c r="G6" i="17"/>
  <c r="F16" i="24"/>
  <c r="G16" i="24"/>
  <c r="F20" i="24"/>
  <c r="G20" i="24"/>
  <c r="F24" i="22"/>
  <c r="G24" i="22"/>
  <c r="G22" i="18"/>
  <c r="F22" i="18"/>
  <c r="F5" i="15"/>
  <c r="G5" i="15"/>
  <c r="F5" i="8"/>
  <c r="X48" i="6"/>
  <c r="BB48" i="6" s="1"/>
  <c r="F21" i="7"/>
  <c r="G21" i="6"/>
  <c r="I10" i="7"/>
  <c r="D48" i="6"/>
  <c r="AW48" i="6" s="1"/>
  <c r="AW47" i="6"/>
  <c r="BA18" i="7"/>
  <c r="AY18" i="7"/>
  <c r="T34" i="7"/>
  <c r="BB29" i="7"/>
  <c r="AW34" i="6"/>
  <c r="D35" i="6"/>
  <c r="AW35" i="6" s="1"/>
  <c r="F8" i="24"/>
  <c r="G8" i="24"/>
  <c r="F9" i="19"/>
  <c r="G9" i="19"/>
  <c r="F14" i="17"/>
  <c r="G14" i="17"/>
  <c r="F19" i="16"/>
  <c r="G19" i="16"/>
  <c r="E7" i="7"/>
  <c r="I12" i="7"/>
  <c r="AO2" i="13"/>
  <c r="AQ60" i="7"/>
  <c r="AG2" i="13"/>
  <c r="AI60" i="7"/>
  <c r="Y2" i="13"/>
  <c r="AA60" i="7"/>
  <c r="Q2" i="13"/>
  <c r="S60" i="7"/>
  <c r="I2" i="13"/>
  <c r="K60" i="7"/>
  <c r="R34" i="7"/>
  <c r="R35" i="7" s="1"/>
  <c r="F7" i="7"/>
  <c r="H48" i="6"/>
  <c r="D24" i="6"/>
  <c r="I6" i="6"/>
  <c r="H6" i="7"/>
  <c r="H45" i="3"/>
  <c r="H51" i="3"/>
  <c r="D49" i="6"/>
  <c r="D56" i="6" s="1"/>
  <c r="AB35" i="6"/>
  <c r="BC35" i="6" s="1"/>
  <c r="D34" i="7"/>
  <c r="AX29" i="7"/>
  <c r="AF26" i="7"/>
  <c r="AF27" i="6"/>
  <c r="BD27" i="6" s="1"/>
  <c r="P26" i="7"/>
  <c r="P27" i="6"/>
  <c r="H11" i="14"/>
  <c r="AN35" i="6"/>
  <c r="BF35" i="6" s="1"/>
  <c r="AF34" i="7"/>
  <c r="BE29" i="7"/>
  <c r="H35" i="6"/>
  <c r="AB26" i="7"/>
  <c r="AB27" i="6"/>
  <c r="BC27" i="6" s="1"/>
  <c r="D27" i="7"/>
  <c r="AX27" i="7" s="1"/>
  <c r="AX26" i="7"/>
  <c r="AL2" i="13"/>
  <c r="AN60" i="7"/>
  <c r="Z2" i="13"/>
  <c r="AB60" i="7"/>
  <c r="AB48" i="6"/>
  <c r="BC48" i="6" s="1"/>
  <c r="G18" i="5"/>
  <c r="D4" i="25"/>
  <c r="E4" i="25" s="1"/>
  <c r="D4" i="23"/>
  <c r="D4" i="22"/>
  <c r="D4" i="18"/>
  <c r="D4" i="19"/>
  <c r="D4" i="20"/>
  <c r="D4" i="24"/>
  <c r="D4" i="21"/>
  <c r="O3" i="29"/>
  <c r="O7" i="29" s="1"/>
  <c r="N9" i="12" s="1"/>
  <c r="H18" i="9"/>
  <c r="V18" i="8" s="1"/>
  <c r="H46" i="3"/>
  <c r="G12" i="12"/>
  <c r="H27" i="29" s="1"/>
  <c r="F4" i="8"/>
  <c r="D16" i="7"/>
  <c r="AX16" i="7" s="1"/>
  <c r="AX15" i="7"/>
  <c r="AE2" i="13"/>
  <c r="AG60" i="7"/>
  <c r="D23" i="7"/>
  <c r="AX18" i="7"/>
  <c r="Y13" i="7"/>
  <c r="Z13" i="7" s="1"/>
  <c r="AA13" i="7" s="1"/>
  <c r="AB13" i="7" s="1"/>
  <c r="I9" i="7"/>
  <c r="I15" i="6"/>
  <c r="I16" i="6" s="1"/>
  <c r="E19" i="5"/>
  <c r="BB18" i="7"/>
  <c r="BG18" i="7"/>
  <c r="BD18" i="7"/>
  <c r="AW7" i="6"/>
  <c r="B15" i="3"/>
  <c r="AJ35" i="6"/>
  <c r="BE35" i="6" s="1"/>
  <c r="AB34" i="7"/>
  <c r="BD29" i="7"/>
  <c r="L35" i="6"/>
  <c r="AY35" i="6" s="1"/>
  <c r="I4" i="7"/>
  <c r="J6" i="6"/>
  <c r="I11" i="14"/>
  <c r="BE37" i="7"/>
  <c r="AF47" i="7"/>
  <c r="L47" i="7"/>
  <c r="AZ37" i="7"/>
  <c r="AW16" i="6"/>
  <c r="O2" i="13"/>
  <c r="Q60" i="7"/>
  <c r="P48" i="6"/>
  <c r="AN34" i="7"/>
  <c r="BG29" i="7"/>
  <c r="P35" i="6"/>
  <c r="H34" i="7"/>
  <c r="AY29" i="7"/>
  <c r="L26" i="7"/>
  <c r="L27" i="6"/>
  <c r="AY27" i="6" s="1"/>
  <c r="F22" i="7"/>
  <c r="G22" i="6"/>
  <c r="BA37" i="7"/>
  <c r="P47" i="7"/>
  <c r="R2" i="13"/>
  <c r="T60" i="7"/>
  <c r="J2" i="13"/>
  <c r="L60" i="7"/>
  <c r="B2" i="13"/>
  <c r="D60" i="7"/>
  <c r="I45" i="3"/>
  <c r="I51" i="3"/>
  <c r="T4" i="4"/>
  <c r="G11" i="4" s="1"/>
  <c r="C4" i="17"/>
  <c r="F27" i="29" l="1"/>
  <c r="B47" i="29" s="1"/>
  <c r="I40" i="11"/>
  <c r="I41" i="11" s="1"/>
  <c r="I42" i="11" s="1"/>
  <c r="I44" i="11" s="1"/>
  <c r="I45" i="11" s="1"/>
  <c r="I46" i="11" s="1"/>
  <c r="I47" i="11" s="1"/>
  <c r="I48" i="11" s="1"/>
  <c r="I49" i="11" s="1"/>
  <c r="I50" i="11" s="1"/>
  <c r="I51" i="11" s="1"/>
  <c r="AG22" i="12"/>
  <c r="O22" i="12"/>
  <c r="AM22" i="12"/>
  <c r="G22" i="12"/>
  <c r="AJ22" i="12"/>
  <c r="I22" i="12"/>
  <c r="D31" i="4"/>
  <c r="AX48" i="6"/>
  <c r="AX35" i="6"/>
  <c r="F20" i="7"/>
  <c r="G20" i="6"/>
  <c r="E51" i="7"/>
  <c r="E62" i="7" s="1"/>
  <c r="E49" i="7"/>
  <c r="E53" i="7" s="1"/>
  <c r="E61" i="7" s="1"/>
  <c r="AY26" i="7"/>
  <c r="AY27" i="7"/>
  <c r="BC26" i="7"/>
  <c r="BF47" i="7"/>
  <c r="F24" i="6"/>
  <c r="F51" i="6" s="1"/>
  <c r="F61" i="6" s="1"/>
  <c r="F49" i="6"/>
  <c r="F56" i="6" s="1"/>
  <c r="F56" i="7" s="1"/>
  <c r="D56" i="7"/>
  <c r="D58" i="6"/>
  <c r="D58" i="7" s="1"/>
  <c r="BB47" i="7"/>
  <c r="E24" i="6"/>
  <c r="E51" i="6" s="1"/>
  <c r="E61" i="6" s="1"/>
  <c r="E49" i="6"/>
  <c r="E56" i="6" s="1"/>
  <c r="O35" i="3"/>
  <c r="K17" i="12"/>
  <c r="L17" i="12" s="1"/>
  <c r="M17" i="12" s="1"/>
  <c r="N17" i="12" s="1"/>
  <c r="O17" i="12" s="1"/>
  <c r="P17" i="12" s="1"/>
  <c r="Q17" i="12" s="1"/>
  <c r="R17" i="12" s="1"/>
  <c r="S17" i="12" s="1"/>
  <c r="T17" i="12" s="1"/>
  <c r="U17" i="12" s="1"/>
  <c r="V17" i="12" s="1"/>
  <c r="W17" i="12" s="1"/>
  <c r="X17" i="12" s="1"/>
  <c r="Y17" i="12" s="1"/>
  <c r="Z17" i="12" s="1"/>
  <c r="AA17" i="12" s="1"/>
  <c r="AB17" i="12" s="1"/>
  <c r="AC17" i="12" s="1"/>
  <c r="AD17" i="12" s="1"/>
  <c r="AE17" i="12" s="1"/>
  <c r="AF17" i="12" s="1"/>
  <c r="AG17" i="12" s="1"/>
  <c r="AH17" i="12" s="1"/>
  <c r="AI17" i="12" s="1"/>
  <c r="AJ17" i="12" s="1"/>
  <c r="AK17" i="12" s="1"/>
  <c r="AL17" i="12" s="1"/>
  <c r="AM17" i="12" s="1"/>
  <c r="AN17" i="12" s="1"/>
  <c r="AO17" i="12" s="1"/>
  <c r="AP17" i="12" s="1"/>
  <c r="AQ17" i="12" s="1"/>
  <c r="AR17" i="12" s="1"/>
  <c r="AS17" i="12" s="1"/>
  <c r="K28" i="29"/>
  <c r="N34" i="3"/>
  <c r="E7" i="29"/>
  <c r="B11" i="12"/>
  <c r="O19" i="5"/>
  <c r="N9" i="14"/>
  <c r="M9" i="14"/>
  <c r="O18" i="5"/>
  <c r="AQ2" i="5"/>
  <c r="AQ6" i="5" s="1"/>
  <c r="AP17" i="29" s="1"/>
  <c r="AP6" i="5"/>
  <c r="AO17" i="29" s="1"/>
  <c r="AZ48" i="6"/>
  <c r="AP11" i="12"/>
  <c r="J13" i="29"/>
  <c r="I7" i="12" s="1"/>
  <c r="J16" i="29"/>
  <c r="I11" i="12" s="1"/>
  <c r="AT2" i="5"/>
  <c r="AS6" i="5"/>
  <c r="AR17" i="29" s="1"/>
  <c r="AH16" i="29"/>
  <c r="AG11" i="12" s="1"/>
  <c r="AH13" i="29"/>
  <c r="AG7" i="12" s="1"/>
  <c r="C9" i="12"/>
  <c r="P16" i="29"/>
  <c r="P13" i="29"/>
  <c r="O7" i="12" s="1"/>
  <c r="M31" i="4"/>
  <c r="AK13" i="29"/>
  <c r="AJ7" i="12" s="1"/>
  <c r="AK16" i="29"/>
  <c r="AJ11" i="12" s="1"/>
  <c r="F18" i="29"/>
  <c r="G39" i="4"/>
  <c r="Q4" i="29"/>
  <c r="Q11" i="29" s="1"/>
  <c r="P6" i="12" s="1"/>
  <c r="AM6" i="5"/>
  <c r="AL17" i="29" s="1"/>
  <c r="L16" i="5"/>
  <c r="D9" i="12"/>
  <c r="AN16" i="29"/>
  <c r="AN13" i="29"/>
  <c r="AM7" i="12" s="1"/>
  <c r="D51" i="6"/>
  <c r="D61" i="6" s="1"/>
  <c r="H13" i="29"/>
  <c r="G7" i="12" s="1"/>
  <c r="H16" i="29"/>
  <c r="K7" i="5"/>
  <c r="B16" i="3"/>
  <c r="L3" i="29"/>
  <c r="L7" i="29" s="1"/>
  <c r="K9" i="12" s="1"/>
  <c r="K7" i="29"/>
  <c r="J9" i="12" s="1"/>
  <c r="AO7" i="29"/>
  <c r="AN9" i="12" s="1"/>
  <c r="BF26" i="7"/>
  <c r="AZ35" i="6"/>
  <c r="AZ27" i="6"/>
  <c r="AY11" i="7"/>
  <c r="E39" i="4"/>
  <c r="B11" i="14"/>
  <c r="E24" i="4"/>
  <c r="M6" i="5" s="1"/>
  <c r="L17" i="29" s="1"/>
  <c r="G24" i="4"/>
  <c r="U6" i="5" s="1"/>
  <c r="T17" i="29" s="1"/>
  <c r="F27" i="4"/>
  <c r="AP3" i="29"/>
  <c r="AX14" i="6"/>
  <c r="AX3" i="6"/>
  <c r="D18" i="5"/>
  <c r="AR3" i="29"/>
  <c r="AR7" i="29" s="1"/>
  <c r="AQ9" i="12" s="1"/>
  <c r="K2" i="7"/>
  <c r="I3" i="29"/>
  <c r="I7" i="29" s="1"/>
  <c r="H9" i="12" s="1"/>
  <c r="P3" i="29"/>
  <c r="P7" i="29" s="1"/>
  <c r="O9" i="12" s="1"/>
  <c r="I15" i="7"/>
  <c r="I16" i="7" s="1"/>
  <c r="B19" i="9"/>
  <c r="C52" i="3"/>
  <c r="D24" i="7"/>
  <c r="I18" i="9"/>
  <c r="W18" i="8" s="1"/>
  <c r="I46" i="3"/>
  <c r="T35" i="7"/>
  <c r="BB35" i="7" s="1"/>
  <c r="BB34" i="7"/>
  <c r="G21" i="7"/>
  <c r="AX21" i="7" s="1"/>
  <c r="H21" i="6"/>
  <c r="AY47" i="7"/>
  <c r="H48" i="7"/>
  <c r="AY48" i="7" s="1"/>
  <c r="P35" i="7"/>
  <c r="BA35" i="7" s="1"/>
  <c r="BA34" i="7"/>
  <c r="J5" i="7"/>
  <c r="AX5" i="6"/>
  <c r="AW21" i="6"/>
  <c r="D35" i="7"/>
  <c r="AX35" i="7" s="1"/>
  <c r="AX34" i="7"/>
  <c r="L35" i="7"/>
  <c r="AZ35" i="7" s="1"/>
  <c r="AZ34" i="7"/>
  <c r="J14" i="7"/>
  <c r="I6" i="7"/>
  <c r="U4" i="4"/>
  <c r="H11" i="4" s="1"/>
  <c r="H7" i="7"/>
  <c r="C4" i="18"/>
  <c r="E4" i="18" s="1"/>
  <c r="D4" i="17"/>
  <c r="E4" i="17" s="1"/>
  <c r="S3" i="29"/>
  <c r="S7" i="29" s="1"/>
  <c r="R9" i="12" s="1"/>
  <c r="AZ47" i="7"/>
  <c r="L48" i="7"/>
  <c r="AZ48" i="7" s="1"/>
  <c r="J4" i="7"/>
  <c r="AX4" i="6"/>
  <c r="AB35" i="7"/>
  <c r="BD35" i="7" s="1"/>
  <c r="BD34" i="7"/>
  <c r="BC13" i="7"/>
  <c r="H12" i="12"/>
  <c r="I27" i="29" s="1"/>
  <c r="F4" i="25"/>
  <c r="F27" i="25" s="1"/>
  <c r="G4" i="25"/>
  <c r="G27" i="25" s="1"/>
  <c r="F23" i="7"/>
  <c r="AF27" i="7"/>
  <c r="BE27" i="7" s="1"/>
  <c r="BE26" i="7"/>
  <c r="I7" i="6"/>
  <c r="H16" i="7"/>
  <c r="L11" i="7"/>
  <c r="AX7" i="7"/>
  <c r="H24" i="29"/>
  <c r="AB27" i="7"/>
  <c r="BD27" i="7" s="1"/>
  <c r="BD26" i="7"/>
  <c r="D65" i="6"/>
  <c r="D64" i="6"/>
  <c r="D63" i="6"/>
  <c r="D53" i="6"/>
  <c r="D60" i="6" s="1"/>
  <c r="BD47" i="7"/>
  <c r="AB48" i="7"/>
  <c r="BD48" i="7" s="1"/>
  <c r="AJ35" i="7"/>
  <c r="BF35" i="7" s="1"/>
  <c r="BF34" i="7"/>
  <c r="AC13" i="7"/>
  <c r="AD13" i="7" s="1"/>
  <c r="AE13" i="7" s="1"/>
  <c r="AF13" i="7" s="1"/>
  <c r="AF35" i="7"/>
  <c r="BE35" i="7" s="1"/>
  <c r="BE34" i="7"/>
  <c r="P48" i="7"/>
  <c r="BA48" i="7" s="1"/>
  <c r="BA47" i="7"/>
  <c r="J7" i="6"/>
  <c r="G22" i="7"/>
  <c r="AX22" i="7" s="1"/>
  <c r="H22" i="6"/>
  <c r="AW22" i="6"/>
  <c r="L27" i="7"/>
  <c r="AZ27" i="7" s="1"/>
  <c r="AZ26" i="7"/>
  <c r="H35" i="7"/>
  <c r="AY35" i="7" s="1"/>
  <c r="AY34" i="7"/>
  <c r="AN35" i="7"/>
  <c r="BG35" i="7" s="1"/>
  <c r="BG34" i="7"/>
  <c r="AF48" i="7"/>
  <c r="BE48" i="7" s="1"/>
  <c r="BE47" i="7"/>
  <c r="J9" i="7"/>
  <c r="J15" i="6"/>
  <c r="G20" i="7"/>
  <c r="H20" i="6"/>
  <c r="G23" i="6"/>
  <c r="AW20" i="6"/>
  <c r="P27" i="7"/>
  <c r="BA27" i="7" s="1"/>
  <c r="BA26" i="7"/>
  <c r="J12" i="7"/>
  <c r="J10" i="7"/>
  <c r="X35" i="7"/>
  <c r="BC35" i="7" s="1"/>
  <c r="BC34" i="7"/>
  <c r="BC47" i="7"/>
  <c r="X48" i="7"/>
  <c r="BC48" i="7" s="1"/>
  <c r="D49" i="7"/>
  <c r="J3" i="7"/>
  <c r="B6" i="9"/>
  <c r="E64" i="6" l="1"/>
  <c r="I52" i="11"/>
  <c r="I53" i="11" s="1"/>
  <c r="I54" i="11" s="1"/>
  <c r="I56" i="11" s="1"/>
  <c r="I57" i="11" s="1"/>
  <c r="I58" i="11" s="1"/>
  <c r="I59" i="11" s="1"/>
  <c r="I60" i="11" s="1"/>
  <c r="I61" i="11" s="1"/>
  <c r="I62" i="11" s="1"/>
  <c r="I63" i="11" s="1"/>
  <c r="K22" i="12"/>
  <c r="AK22" i="12"/>
  <c r="AO22" i="12"/>
  <c r="AQ22" i="12"/>
  <c r="S22" i="12"/>
  <c r="AN22" i="12"/>
  <c r="E52" i="7"/>
  <c r="E63" i="6"/>
  <c r="M28" i="29"/>
  <c r="D40" i="12"/>
  <c r="D66" i="7"/>
  <c r="D64" i="7"/>
  <c r="E64" i="7"/>
  <c r="E65" i="7"/>
  <c r="E66" i="7"/>
  <c r="F63" i="6"/>
  <c r="E52" i="6"/>
  <c r="F64" i="6"/>
  <c r="F65" i="6"/>
  <c r="E65" i="6"/>
  <c r="F58" i="6"/>
  <c r="F58" i="7" s="1"/>
  <c r="F53" i="6"/>
  <c r="F60" i="6" s="1"/>
  <c r="F52" i="6"/>
  <c r="E53" i="6"/>
  <c r="E60" i="6" s="1"/>
  <c r="D52" i="6"/>
  <c r="D54" i="6" s="1"/>
  <c r="E58" i="6"/>
  <c r="E58" i="7" s="1"/>
  <c r="E56" i="7"/>
  <c r="L28" i="29"/>
  <c r="M16" i="5"/>
  <c r="M11" i="14"/>
  <c r="N11" i="14"/>
  <c r="F31" i="4"/>
  <c r="T16" i="29"/>
  <c r="T13" i="29"/>
  <c r="S7" i="12" s="1"/>
  <c r="AM11" i="12"/>
  <c r="L13" i="29"/>
  <c r="K7" i="12" s="1"/>
  <c r="L16" i="29"/>
  <c r="O11" i="12"/>
  <c r="E39" i="29"/>
  <c r="AL13" i="29"/>
  <c r="AK7" i="12" s="1"/>
  <c r="AL16" i="29"/>
  <c r="AK11" i="12" s="1"/>
  <c r="H39" i="4"/>
  <c r="U4" i="29"/>
  <c r="U11" i="29" s="1"/>
  <c r="T6" i="12" s="1"/>
  <c r="AO13" i="29"/>
  <c r="AN7" i="12" s="1"/>
  <c r="AO16" i="29"/>
  <c r="AN11" i="12" s="1"/>
  <c r="AR13" i="29"/>
  <c r="AQ7" i="12" s="1"/>
  <c r="AR16" i="29"/>
  <c r="AP13" i="29"/>
  <c r="AO7" i="12" s="1"/>
  <c r="AP16" i="29"/>
  <c r="AO11" i="12" s="1"/>
  <c r="M3" i="29"/>
  <c r="M7" i="29" s="1"/>
  <c r="L9" i="12" s="1"/>
  <c r="F7" i="29"/>
  <c r="AU2" i="5"/>
  <c r="AT6" i="5"/>
  <c r="AS17" i="29" s="1"/>
  <c r="G11" i="12"/>
  <c r="C39" i="29"/>
  <c r="AP7" i="29"/>
  <c r="D51" i="7"/>
  <c r="E54" i="7"/>
  <c r="H24" i="4"/>
  <c r="Y6" i="5" s="1"/>
  <c r="X17" i="29" s="1"/>
  <c r="G27" i="4"/>
  <c r="O3" i="5"/>
  <c r="O6" i="5" s="1"/>
  <c r="N17" i="29" s="1"/>
  <c r="E27" i="4"/>
  <c r="B7" i="12"/>
  <c r="B21" i="12" s="1"/>
  <c r="BD13" i="7"/>
  <c r="AX12" i="6"/>
  <c r="AX9" i="6"/>
  <c r="AX10" i="6"/>
  <c r="AS3" i="29"/>
  <c r="AS7" i="29" s="1"/>
  <c r="AR9" i="12" s="1"/>
  <c r="G23" i="7"/>
  <c r="G49" i="7" s="1"/>
  <c r="L2" i="7"/>
  <c r="J6" i="7"/>
  <c r="J7" i="7" s="1"/>
  <c r="T3" i="29"/>
  <c r="T7" i="29" s="1"/>
  <c r="S9" i="12" s="1"/>
  <c r="J3" i="29"/>
  <c r="J7" i="29" s="1"/>
  <c r="Q3" i="29"/>
  <c r="Q7" i="29" s="1"/>
  <c r="P9" i="12" s="1"/>
  <c r="N28" i="29"/>
  <c r="C19" i="9"/>
  <c r="D52" i="3"/>
  <c r="B38" i="9"/>
  <c r="B37" i="9" s="1"/>
  <c r="P19" i="8"/>
  <c r="B18" i="9"/>
  <c r="P18" i="8" s="1"/>
  <c r="B23" i="9"/>
  <c r="P23" i="8" s="1"/>
  <c r="D65" i="7"/>
  <c r="D53" i="7"/>
  <c r="K12" i="7"/>
  <c r="AY12" i="7" s="1"/>
  <c r="G4" i="17"/>
  <c r="G26" i="17" s="1"/>
  <c r="F4" i="17"/>
  <c r="F26" i="17" s="1"/>
  <c r="AX20" i="7"/>
  <c r="K3" i="7"/>
  <c r="AY3" i="7" s="1"/>
  <c r="K9" i="7"/>
  <c r="K15" i="6"/>
  <c r="AG13" i="7"/>
  <c r="AH13" i="7" s="1"/>
  <c r="AI13" i="7" s="1"/>
  <c r="AJ13" i="7" s="1"/>
  <c r="B34" i="9"/>
  <c r="B33" i="9" s="1"/>
  <c r="B7" i="9"/>
  <c r="H20" i="7"/>
  <c r="I20" i="6"/>
  <c r="H23" i="6"/>
  <c r="H49" i="6" s="1"/>
  <c r="J15" i="7"/>
  <c r="G15" i="12"/>
  <c r="F24" i="7"/>
  <c r="F51" i="7" s="1"/>
  <c r="F62" i="7" s="1"/>
  <c r="F49" i="7"/>
  <c r="D4" i="16"/>
  <c r="E4" i="16" s="1"/>
  <c r="W3" i="29"/>
  <c r="W7" i="29" s="1"/>
  <c r="V9" i="12" s="1"/>
  <c r="H21" i="7"/>
  <c r="I21" i="6"/>
  <c r="C4" i="19"/>
  <c r="E4" i="19" s="1"/>
  <c r="V4" i="4"/>
  <c r="I11" i="4" s="1"/>
  <c r="K14" i="7"/>
  <c r="AY14" i="7" s="1"/>
  <c r="I12" i="12"/>
  <c r="G4" i="18"/>
  <c r="G26" i="18" s="1"/>
  <c r="F4" i="18"/>
  <c r="F26" i="18" s="1"/>
  <c r="I7" i="7"/>
  <c r="K5" i="7"/>
  <c r="AY5" i="7" s="1"/>
  <c r="AY2" i="7"/>
  <c r="E15" i="12"/>
  <c r="B38" i="12" s="1"/>
  <c r="B38" i="3"/>
  <c r="B7" i="8" s="1"/>
  <c r="F3" i="13"/>
  <c r="K10" i="7"/>
  <c r="AY10" i="7" s="1"/>
  <c r="G24" i="6"/>
  <c r="G49" i="6"/>
  <c r="G56" i="6" s="1"/>
  <c r="AW23" i="6"/>
  <c r="AW49" i="6" s="1"/>
  <c r="J16" i="6"/>
  <c r="I22" i="6"/>
  <c r="H22" i="7"/>
  <c r="F15" i="12"/>
  <c r="I24" i="29"/>
  <c r="M11" i="7"/>
  <c r="AZ11" i="6"/>
  <c r="K4" i="7"/>
  <c r="AY4" i="7" s="1"/>
  <c r="K6" i="6"/>
  <c r="J18" i="9"/>
  <c r="X18" i="8" s="1"/>
  <c r="J46" i="3"/>
  <c r="K27" i="12"/>
  <c r="E63" i="7" l="1"/>
  <c r="E54" i="6"/>
  <c r="I64" i="11"/>
  <c r="I65" i="11" s="1"/>
  <c r="I66" i="11" s="1"/>
  <c r="I68" i="11" s="1"/>
  <c r="D52" i="7"/>
  <c r="AR22" i="12"/>
  <c r="W22" i="12"/>
  <c r="M22" i="12"/>
  <c r="C34" i="12"/>
  <c r="E34" i="12"/>
  <c r="D48" i="29"/>
  <c r="G65" i="7"/>
  <c r="G66" i="7"/>
  <c r="G64" i="7"/>
  <c r="F65" i="7"/>
  <c r="F64" i="7"/>
  <c r="F66" i="7"/>
  <c r="F54" i="6"/>
  <c r="AW56" i="6"/>
  <c r="AW50" i="6"/>
  <c r="AW51" i="6"/>
  <c r="AW53" i="6"/>
  <c r="B15" i="9" s="1"/>
  <c r="G56" i="7"/>
  <c r="AX56" i="7" s="1"/>
  <c r="G58" i="6"/>
  <c r="G58" i="7" s="1"/>
  <c r="AX58" i="7" s="1"/>
  <c r="B10" i="8" s="1"/>
  <c r="H53" i="6"/>
  <c r="H60" i="6" s="1"/>
  <c r="H56" i="6"/>
  <c r="B6" i="8"/>
  <c r="P6" i="8" s="1"/>
  <c r="N13" i="29"/>
  <c r="M7" i="12" s="1"/>
  <c r="N16" i="29"/>
  <c r="M11" i="12" s="1"/>
  <c r="B40" i="29"/>
  <c r="E9" i="12"/>
  <c r="B32" i="12" s="1"/>
  <c r="X13" i="29"/>
  <c r="W7" i="12" s="1"/>
  <c r="X16" i="29"/>
  <c r="K11" i="12"/>
  <c r="E31" i="4"/>
  <c r="G31" i="4"/>
  <c r="C11" i="12"/>
  <c r="C5" i="12"/>
  <c r="D12" i="29" s="1"/>
  <c r="C3" i="12"/>
  <c r="D25" i="29" s="1"/>
  <c r="D29" i="29" s="1"/>
  <c r="AQ11" i="12"/>
  <c r="K39" i="29"/>
  <c r="N3" i="29"/>
  <c r="N7" i="29" s="1"/>
  <c r="K34" i="12"/>
  <c r="S11" i="12"/>
  <c r="F39" i="29"/>
  <c r="AS13" i="29"/>
  <c r="AR7" i="12" s="1"/>
  <c r="AS16" i="29"/>
  <c r="AR11" i="12" s="1"/>
  <c r="I39" i="4"/>
  <c r="Y4" i="29"/>
  <c r="Y11" i="29" s="1"/>
  <c r="X6" i="12" s="1"/>
  <c r="AU6" i="5"/>
  <c r="AT17" i="29" s="1"/>
  <c r="N16" i="5"/>
  <c r="K40" i="29"/>
  <c r="AO9" i="12"/>
  <c r="D40" i="29"/>
  <c r="M9" i="12"/>
  <c r="D32" i="12" s="1"/>
  <c r="C40" i="29"/>
  <c r="I9" i="12"/>
  <c r="C32" i="12" s="1"/>
  <c r="AX23" i="7"/>
  <c r="G24" i="7"/>
  <c r="G51" i="7" s="1"/>
  <c r="G62" i="7" s="1"/>
  <c r="D62" i="7"/>
  <c r="I24" i="4"/>
  <c r="AC6" i="5" s="1"/>
  <c r="AB17" i="29" s="1"/>
  <c r="H27" i="4"/>
  <c r="K16" i="6"/>
  <c r="AX16" i="6" s="1"/>
  <c r="AX15" i="6"/>
  <c r="AX6" i="6"/>
  <c r="AT3" i="29"/>
  <c r="AT7" i="29" s="1"/>
  <c r="M2" i="7"/>
  <c r="X3" i="29"/>
  <c r="X7" i="29" s="1"/>
  <c r="W9" i="12" s="1"/>
  <c r="U3" i="29"/>
  <c r="U7" i="29" s="1"/>
  <c r="T9" i="12" s="1"/>
  <c r="R3" i="29"/>
  <c r="R7" i="29" s="1"/>
  <c r="K6" i="7"/>
  <c r="K7" i="7" s="1"/>
  <c r="AY7" i="7" s="1"/>
  <c r="O28" i="29"/>
  <c r="C35" i="12"/>
  <c r="J27" i="29"/>
  <c r="C47" i="29" s="1"/>
  <c r="BE13" i="7"/>
  <c r="D19" i="9"/>
  <c r="E52" i="3"/>
  <c r="Q19" i="8"/>
  <c r="C23" i="9"/>
  <c r="Q23" i="8" s="1"/>
  <c r="C38" i="9"/>
  <c r="C37" i="9" s="1"/>
  <c r="C18" i="9"/>
  <c r="Q18" i="8" s="1"/>
  <c r="K7" i="6"/>
  <c r="N11" i="7"/>
  <c r="AY11" i="6"/>
  <c r="D4" i="15"/>
  <c r="E4" i="15" s="1"/>
  <c r="AA3" i="29"/>
  <c r="AA7" i="29" s="1"/>
  <c r="Z9" i="12" s="1"/>
  <c r="G4" i="19"/>
  <c r="G27" i="19" s="1"/>
  <c r="F4" i="19"/>
  <c r="F27" i="19" s="1"/>
  <c r="F53" i="7"/>
  <c r="F61" i="7" s="1"/>
  <c r="F52" i="7"/>
  <c r="H23" i="7"/>
  <c r="L3" i="7"/>
  <c r="G53" i="7"/>
  <c r="G61" i="7" s="1"/>
  <c r="G50" i="7"/>
  <c r="AX50" i="7" s="1"/>
  <c r="G65" i="6"/>
  <c r="B73" i="6" s="1"/>
  <c r="G64" i="6"/>
  <c r="B72" i="6" s="1"/>
  <c r="G63" i="6"/>
  <c r="B71" i="6" s="1"/>
  <c r="G53" i="6"/>
  <c r="G60" i="6" s="1"/>
  <c r="B68" i="6" s="1"/>
  <c r="G50" i="6"/>
  <c r="L10" i="7"/>
  <c r="L5" i="7"/>
  <c r="L6" i="6"/>
  <c r="J12" i="12"/>
  <c r="K27" i="29" s="1"/>
  <c r="L14" i="7"/>
  <c r="X4" i="4"/>
  <c r="P4" i="4" s="1"/>
  <c r="W4" i="4"/>
  <c r="I21" i="7"/>
  <c r="J21" i="6"/>
  <c r="H24" i="6"/>
  <c r="H51" i="6" s="1"/>
  <c r="H61" i="6" s="1"/>
  <c r="P7" i="8"/>
  <c r="D54" i="7"/>
  <c r="D63" i="7"/>
  <c r="L4" i="7"/>
  <c r="I22" i="7"/>
  <c r="J22" i="6"/>
  <c r="G51" i="6"/>
  <c r="G61" i="6" s="1"/>
  <c r="B69" i="6" s="1"/>
  <c r="B14" i="9" s="1"/>
  <c r="AW24" i="6"/>
  <c r="P8" i="8"/>
  <c r="J3" i="13"/>
  <c r="J16" i="7"/>
  <c r="AK13" i="7"/>
  <c r="AL13" i="7" s="1"/>
  <c r="AM13" i="7" s="1"/>
  <c r="AN13" i="7" s="1"/>
  <c r="K15" i="7"/>
  <c r="K16" i="7" s="1"/>
  <c r="AY9" i="7"/>
  <c r="D61" i="7"/>
  <c r="K18" i="9"/>
  <c r="Y18" i="8" s="1"/>
  <c r="K46" i="3"/>
  <c r="C4" i="20"/>
  <c r="E4" i="20" s="1"/>
  <c r="G4" i="16"/>
  <c r="G26" i="16" s="1"/>
  <c r="F4" i="16"/>
  <c r="F26" i="16" s="1"/>
  <c r="G3" i="13"/>
  <c r="I20" i="7"/>
  <c r="J20" i="6"/>
  <c r="I23" i="6"/>
  <c r="I49" i="6" s="1"/>
  <c r="I56" i="6" s="1"/>
  <c r="L9" i="7"/>
  <c r="L15" i="6"/>
  <c r="L12" i="7"/>
  <c r="AX49" i="7"/>
  <c r="AX51" i="7" l="1"/>
  <c r="B14" i="8" s="1"/>
  <c r="AS22" i="12"/>
  <c r="AA22" i="12"/>
  <c r="AW58" i="6"/>
  <c r="B10" i="9" s="1"/>
  <c r="AX53" i="7"/>
  <c r="B15" i="8" s="1"/>
  <c r="P15" i="8" s="1"/>
  <c r="B12" i="8"/>
  <c r="B22" i="8" s="1"/>
  <c r="B11" i="8"/>
  <c r="B21" i="8" s="1"/>
  <c r="P14" i="8"/>
  <c r="B42" i="9"/>
  <c r="B46" i="9"/>
  <c r="F34" i="12"/>
  <c r="AW52" i="6"/>
  <c r="AW55" i="6"/>
  <c r="AW54" i="6"/>
  <c r="AX24" i="7"/>
  <c r="C24" i="4"/>
  <c r="C39" i="4"/>
  <c r="D39" i="29"/>
  <c r="H52" i="6"/>
  <c r="H54" i="6" s="1"/>
  <c r="H56" i="7"/>
  <c r="H58" i="6"/>
  <c r="H58" i="7" s="1"/>
  <c r="I56" i="7"/>
  <c r="I58" i="6"/>
  <c r="I58" i="7" s="1"/>
  <c r="D34" i="12"/>
  <c r="B70" i="7"/>
  <c r="O16" i="5"/>
  <c r="H31" i="4"/>
  <c r="AT13" i="29"/>
  <c r="AS7" i="12" s="1"/>
  <c r="AT16" i="29"/>
  <c r="AB13" i="29"/>
  <c r="AA7" i="12" s="1"/>
  <c r="AB16" i="29"/>
  <c r="W11" i="12"/>
  <c r="G39" i="29"/>
  <c r="B3" i="12"/>
  <c r="C25" i="29" s="1"/>
  <c r="C29" i="29" s="1"/>
  <c r="B72" i="7"/>
  <c r="L40" i="29"/>
  <c r="AS9" i="12"/>
  <c r="E40" i="29"/>
  <c r="Q9" i="12"/>
  <c r="E32" i="12" s="1"/>
  <c r="B31" i="12"/>
  <c r="G52" i="7"/>
  <c r="G54" i="7" s="1"/>
  <c r="E3" i="12" s="1"/>
  <c r="F25" i="29" s="1"/>
  <c r="I23" i="7"/>
  <c r="I24" i="7" s="1"/>
  <c r="I51" i="7" s="1"/>
  <c r="I62" i="7" s="1"/>
  <c r="B69" i="7"/>
  <c r="F54" i="7"/>
  <c r="C19" i="29"/>
  <c r="C30" i="29" s="1"/>
  <c r="B74" i="7"/>
  <c r="B73" i="7"/>
  <c r="AE3" i="29"/>
  <c r="J11" i="4"/>
  <c r="AC4" i="29" s="1"/>
  <c r="AC11" i="29" s="1"/>
  <c r="AB6" i="12" s="1"/>
  <c r="I27" i="4"/>
  <c r="AI3" i="29"/>
  <c r="AI7" i="29" s="1"/>
  <c r="AH9" i="12" s="1"/>
  <c r="K11" i="4"/>
  <c r="D19" i="5"/>
  <c r="AZ9" i="6"/>
  <c r="M6" i="6"/>
  <c r="M7" i="6" s="1"/>
  <c r="AZ4" i="6"/>
  <c r="AX7" i="6"/>
  <c r="L6" i="7"/>
  <c r="L7" i="7" s="1"/>
  <c r="H15" i="12"/>
  <c r="AY2" i="6"/>
  <c r="N2" i="7"/>
  <c r="C27" i="12"/>
  <c r="G63" i="7"/>
  <c r="AY6" i="7"/>
  <c r="AB3" i="29"/>
  <c r="AB7" i="29" s="1"/>
  <c r="AA9" i="12" s="1"/>
  <c r="Y3" i="29"/>
  <c r="Y7" i="29" s="1"/>
  <c r="X9" i="12" s="1"/>
  <c r="V3" i="29"/>
  <c r="V7" i="29" s="1"/>
  <c r="C33" i="12"/>
  <c r="D27" i="12"/>
  <c r="AY15" i="7"/>
  <c r="AY16" i="7"/>
  <c r="C25" i="12"/>
  <c r="J24" i="29"/>
  <c r="C44" i="29" s="1"/>
  <c r="P28" i="29"/>
  <c r="E17" i="5"/>
  <c r="E19" i="9"/>
  <c r="F52" i="3"/>
  <c r="D23" i="9"/>
  <c r="R23" i="8" s="1"/>
  <c r="R19" i="8"/>
  <c r="D18" i="9"/>
  <c r="R18" i="8" s="1"/>
  <c r="D38" i="9"/>
  <c r="D37" i="9" s="1"/>
  <c r="I24" i="6"/>
  <c r="I51" i="6" s="1"/>
  <c r="I61" i="6" s="1"/>
  <c r="J20" i="7"/>
  <c r="K20" i="6"/>
  <c r="J23" i="6"/>
  <c r="C4" i="21"/>
  <c r="E4" i="21" s="1"/>
  <c r="K24" i="29"/>
  <c r="H65" i="6"/>
  <c r="H64" i="6"/>
  <c r="H63" i="6"/>
  <c r="B74" i="6"/>
  <c r="M3" i="7"/>
  <c r="H24" i="7"/>
  <c r="H49" i="7"/>
  <c r="G4" i="15"/>
  <c r="G26" i="15" s="1"/>
  <c r="F4" i="15"/>
  <c r="F26" i="15" s="1"/>
  <c r="L16" i="6"/>
  <c r="M9" i="7"/>
  <c r="M15" i="6"/>
  <c r="M16" i="6" s="1"/>
  <c r="M12" i="7"/>
  <c r="L15" i="7"/>
  <c r="G4" i="20"/>
  <c r="G27" i="20" s="1"/>
  <c r="F4" i="20"/>
  <c r="F27" i="20" s="1"/>
  <c r="K3" i="13"/>
  <c r="J22" i="7"/>
  <c r="K22" i="6"/>
  <c r="M4" i="7"/>
  <c r="K12" i="12"/>
  <c r="L27" i="29" s="1"/>
  <c r="M5" i="7"/>
  <c r="F63" i="7"/>
  <c r="L18" i="9"/>
  <c r="Z18" i="8" s="1"/>
  <c r="L46" i="3"/>
  <c r="BF13" i="7"/>
  <c r="P9" i="8"/>
  <c r="L7" i="6"/>
  <c r="M10" i="7"/>
  <c r="H3" i="13"/>
  <c r="AO13" i="7"/>
  <c r="AP13" i="7" s="1"/>
  <c r="AQ13" i="7" s="1"/>
  <c r="AR13" i="7" s="1"/>
  <c r="N3" i="13"/>
  <c r="J21" i="7"/>
  <c r="K21" i="6"/>
  <c r="AX21" i="6" s="1"/>
  <c r="M14" i="7"/>
  <c r="AZ14" i="6"/>
  <c r="G52" i="6"/>
  <c r="G54" i="6" s="1"/>
  <c r="G55" i="6" s="1"/>
  <c r="O11" i="7"/>
  <c r="AZ11" i="7" s="1"/>
  <c r="B11" i="9" l="1"/>
  <c r="B12" i="9"/>
  <c r="B39" i="9"/>
  <c r="P10" i="8"/>
  <c r="N11" i="4"/>
  <c r="N14" i="4" s="1"/>
  <c r="B2" i="2" s="1"/>
  <c r="G34" i="12"/>
  <c r="C24" i="8"/>
  <c r="H65" i="7"/>
  <c r="H64" i="7"/>
  <c r="H66" i="7"/>
  <c r="AS13" i="7"/>
  <c r="AT13" i="7" s="1"/>
  <c r="AU13" i="7" s="1"/>
  <c r="B40" i="9"/>
  <c r="P11" i="8"/>
  <c r="P12" i="8"/>
  <c r="B22" i="9"/>
  <c r="P22" i="8" s="1"/>
  <c r="B41" i="9"/>
  <c r="B75" i="7"/>
  <c r="I49" i="7"/>
  <c r="I52" i="7" s="1"/>
  <c r="C27" i="4"/>
  <c r="C31" i="4" s="1"/>
  <c r="J24" i="6"/>
  <c r="J49" i="6"/>
  <c r="J56" i="6" s="1"/>
  <c r="AA11" i="12"/>
  <c r="H39" i="29"/>
  <c r="AS11" i="12"/>
  <c r="L39" i="29"/>
  <c r="K39" i="4"/>
  <c r="AG4" i="29"/>
  <c r="AG11" i="29" s="1"/>
  <c r="AF6" i="12" s="1"/>
  <c r="E21" i="5"/>
  <c r="I31" i="4"/>
  <c r="D5" i="12"/>
  <c r="E12" i="29" s="1"/>
  <c r="D3" i="12"/>
  <c r="F29" i="29"/>
  <c r="F40" i="29"/>
  <c r="U9" i="12"/>
  <c r="F32" i="12" s="1"/>
  <c r="AJ3" i="29"/>
  <c r="AJ7" i="29" s="1"/>
  <c r="AI9" i="12" s="1"/>
  <c r="AE7" i="29"/>
  <c r="AD9" i="12" s="1"/>
  <c r="AX20" i="6"/>
  <c r="AX52" i="7"/>
  <c r="AX22" i="6"/>
  <c r="J39" i="4"/>
  <c r="G55" i="7"/>
  <c r="AX55" i="7" s="1"/>
  <c r="E5" i="12"/>
  <c r="AF3" i="29"/>
  <c r="K24" i="4"/>
  <c r="AK6" i="5" s="1"/>
  <c r="AJ17" i="29" s="1"/>
  <c r="J24" i="4"/>
  <c r="AG6" i="5" s="1"/>
  <c r="AF17" i="29" s="1"/>
  <c r="I3" i="13"/>
  <c r="C19" i="13" s="1"/>
  <c r="C5" i="14" s="1"/>
  <c r="C36" i="29"/>
  <c r="AZ10" i="6"/>
  <c r="AZ12" i="6"/>
  <c r="AZ5" i="6"/>
  <c r="C39" i="3"/>
  <c r="C7" i="9" s="1"/>
  <c r="I15" i="12"/>
  <c r="C38" i="12" s="1"/>
  <c r="L27" i="12"/>
  <c r="O2" i="7"/>
  <c r="AZ2" i="7" s="1"/>
  <c r="AC3" i="29"/>
  <c r="AC7" i="29" s="1"/>
  <c r="AB9" i="12" s="1"/>
  <c r="Z3" i="29"/>
  <c r="Z7" i="29" s="1"/>
  <c r="E27" i="12"/>
  <c r="D33" i="12"/>
  <c r="E40" i="12"/>
  <c r="Q28" i="29"/>
  <c r="C38" i="29"/>
  <c r="F17" i="5"/>
  <c r="F21" i="5" s="1"/>
  <c r="M6" i="7"/>
  <c r="M7" i="7" s="1"/>
  <c r="F19" i="9"/>
  <c r="G52" i="3"/>
  <c r="E38" i="9"/>
  <c r="E37" i="9" s="1"/>
  <c r="E23" i="9"/>
  <c r="S23" i="8" s="1"/>
  <c r="E18" i="9"/>
  <c r="S18" i="8" s="1"/>
  <c r="S19" i="8"/>
  <c r="O3" i="13"/>
  <c r="L3" i="13"/>
  <c r="L12" i="12"/>
  <c r="M27" i="29" s="1"/>
  <c r="N12" i="7"/>
  <c r="M15" i="7"/>
  <c r="M16" i="7" s="1"/>
  <c r="N3" i="7"/>
  <c r="AZ3" i="6"/>
  <c r="R3" i="13"/>
  <c r="L24" i="29"/>
  <c r="N6" i="6"/>
  <c r="AZ6" i="6" s="1"/>
  <c r="J23" i="7"/>
  <c r="K21" i="7"/>
  <c r="AY21" i="7" s="1"/>
  <c r="L21" i="6"/>
  <c r="BG13" i="7"/>
  <c r="AX54" i="7"/>
  <c r="N4" i="7"/>
  <c r="H53" i="7"/>
  <c r="C4" i="22"/>
  <c r="E4" i="22" s="1"/>
  <c r="I52" i="6"/>
  <c r="I53" i="6"/>
  <c r="I60" i="6" s="1"/>
  <c r="I65" i="6"/>
  <c r="I64" i="6"/>
  <c r="I63" i="6"/>
  <c r="P11" i="7"/>
  <c r="N10" i="7"/>
  <c r="O7" i="5"/>
  <c r="N5" i="7"/>
  <c r="K22" i="7"/>
  <c r="AY22" i="7" s="1"/>
  <c r="L22" i="6"/>
  <c r="G4" i="21"/>
  <c r="G27" i="21" s="1"/>
  <c r="F4" i="21"/>
  <c r="F27" i="21" s="1"/>
  <c r="N14" i="7"/>
  <c r="M3" i="13"/>
  <c r="L16" i="7"/>
  <c r="N9" i="7"/>
  <c r="N15" i="6"/>
  <c r="H51" i="7"/>
  <c r="I53" i="7"/>
  <c r="I61" i="7" s="1"/>
  <c r="K20" i="7"/>
  <c r="L20" i="6"/>
  <c r="K23" i="6"/>
  <c r="AI22" i="12" l="1"/>
  <c r="D42" i="12"/>
  <c r="D34" i="8"/>
  <c r="AE22" i="12"/>
  <c r="C42" i="12"/>
  <c r="C34" i="8"/>
  <c r="H34" i="12"/>
  <c r="L34" i="12"/>
  <c r="BH13" i="7"/>
  <c r="I64" i="7"/>
  <c r="I66" i="7"/>
  <c r="I65" i="7"/>
  <c r="D6" i="5"/>
  <c r="B22" i="12" s="1"/>
  <c r="B14" i="12" s="1"/>
  <c r="C6" i="9"/>
  <c r="C34" i="9" s="1"/>
  <c r="C33" i="9" s="1"/>
  <c r="C48" i="12"/>
  <c r="E25" i="29"/>
  <c r="C7" i="8"/>
  <c r="C6" i="8" s="1"/>
  <c r="AJ16" i="29"/>
  <c r="AJ13" i="29"/>
  <c r="AI7" i="12" s="1"/>
  <c r="B26" i="12"/>
  <c r="AF16" i="29"/>
  <c r="AF13" i="29"/>
  <c r="AE7" i="12" s="1"/>
  <c r="G40" i="29"/>
  <c r="Y9" i="12"/>
  <c r="G32" i="12" s="1"/>
  <c r="AK3" i="29"/>
  <c r="AK7" i="29" s="1"/>
  <c r="AJ9" i="12" s="1"/>
  <c r="AF7" i="29"/>
  <c r="AE9" i="12" s="1"/>
  <c r="AG3" i="29"/>
  <c r="AG7" i="29" s="1"/>
  <c r="AF9" i="12" s="1"/>
  <c r="F12" i="29"/>
  <c r="B28" i="12"/>
  <c r="AX23" i="6"/>
  <c r="AX49" i="6" s="1"/>
  <c r="AX56" i="6" s="1"/>
  <c r="J27" i="4"/>
  <c r="K27" i="4"/>
  <c r="D34" i="29"/>
  <c r="B37" i="29"/>
  <c r="D36" i="29"/>
  <c r="D38" i="29"/>
  <c r="D37" i="29"/>
  <c r="D19" i="13"/>
  <c r="D5" i="14" s="1"/>
  <c r="S3" i="13"/>
  <c r="V3" i="13"/>
  <c r="C37" i="29"/>
  <c r="C29" i="12"/>
  <c r="AY12" i="6"/>
  <c r="AZ15" i="6"/>
  <c r="AY14" i="6"/>
  <c r="AY9" i="6"/>
  <c r="AY10" i="6"/>
  <c r="P2" i="7"/>
  <c r="AY4" i="6"/>
  <c r="AY3" i="6"/>
  <c r="AY5" i="6"/>
  <c r="J15" i="12"/>
  <c r="F33" i="12"/>
  <c r="O6" i="6"/>
  <c r="AY6" i="6" s="1"/>
  <c r="D46" i="29"/>
  <c r="AD3" i="29"/>
  <c r="AD7" i="29" s="1"/>
  <c r="F27" i="12"/>
  <c r="E33" i="12"/>
  <c r="N6" i="7"/>
  <c r="I54" i="6"/>
  <c r="G3" i="12" s="1"/>
  <c r="R28" i="29"/>
  <c r="E48" i="29" s="1"/>
  <c r="C30" i="12"/>
  <c r="C31" i="12"/>
  <c r="G17" i="5"/>
  <c r="G21" i="5" s="1"/>
  <c r="H52" i="3"/>
  <c r="G19" i="9"/>
  <c r="T19" i="8"/>
  <c r="F18" i="9"/>
  <c r="F38" i="9"/>
  <c r="F37" i="9" s="1"/>
  <c r="F23" i="9"/>
  <c r="T23" i="8" s="1"/>
  <c r="I54" i="7"/>
  <c r="G5" i="12" s="1"/>
  <c r="G21" i="12" s="1"/>
  <c r="G14" i="12" s="1"/>
  <c r="H62" i="7"/>
  <c r="N15" i="7"/>
  <c r="O14" i="7"/>
  <c r="AZ14" i="7" s="1"/>
  <c r="J65" i="6"/>
  <c r="J64" i="6"/>
  <c r="J63" i="6"/>
  <c r="J53" i="6"/>
  <c r="J60" i="6" s="1"/>
  <c r="Q11" i="7"/>
  <c r="C36" i="12"/>
  <c r="L21" i="7"/>
  <c r="M21" i="6"/>
  <c r="J51" i="6"/>
  <c r="H52" i="7"/>
  <c r="O4" i="7"/>
  <c r="AZ4" i="7" s="1"/>
  <c r="Q3" i="13"/>
  <c r="N7" i="6"/>
  <c r="D30" i="12"/>
  <c r="L20" i="7"/>
  <c r="M20" i="6"/>
  <c r="L23" i="6"/>
  <c r="Q2" i="7"/>
  <c r="O9" i="7"/>
  <c r="O15" i="6"/>
  <c r="O16" i="6" s="1"/>
  <c r="M22" i="6"/>
  <c r="L22" i="7"/>
  <c r="O5" i="7"/>
  <c r="AZ5" i="7" s="1"/>
  <c r="C4" i="23"/>
  <c r="E4" i="23" s="1"/>
  <c r="P3" i="13"/>
  <c r="S7" i="5"/>
  <c r="J24" i="7"/>
  <c r="J49" i="7"/>
  <c r="O3" i="7"/>
  <c r="D31" i="12"/>
  <c r="K24" i="6"/>
  <c r="K49" i="6"/>
  <c r="K56" i="6" s="1"/>
  <c r="K23" i="7"/>
  <c r="AY20" i="7"/>
  <c r="N16" i="6"/>
  <c r="O10" i="7"/>
  <c r="AZ10" i="7" s="1"/>
  <c r="F4" i="22"/>
  <c r="F27" i="22" s="1"/>
  <c r="G4" i="22"/>
  <c r="G27" i="22" s="1"/>
  <c r="H61" i="7"/>
  <c r="H63" i="7"/>
  <c r="M24" i="29"/>
  <c r="O12" i="7"/>
  <c r="AZ12" i="7" s="1"/>
  <c r="M12" i="12"/>
  <c r="I63" i="7" l="1"/>
  <c r="B18" i="12"/>
  <c r="B4" i="13" s="1"/>
  <c r="E42" i="12"/>
  <c r="E34" i="8"/>
  <c r="N7" i="7"/>
  <c r="Q6" i="8"/>
  <c r="J65" i="7"/>
  <c r="J64" i="7"/>
  <c r="J66" i="7"/>
  <c r="K56" i="7"/>
  <c r="K58" i="6"/>
  <c r="K58" i="7" s="1"/>
  <c r="E6" i="5"/>
  <c r="J56" i="7"/>
  <c r="J58" i="6"/>
  <c r="Q7" i="8"/>
  <c r="J31" i="4"/>
  <c r="AE11" i="12"/>
  <c r="I39" i="29"/>
  <c r="K31" i="4"/>
  <c r="AI11" i="12"/>
  <c r="J39" i="29"/>
  <c r="AL3" i="29"/>
  <c r="AL7" i="29" s="1"/>
  <c r="AK9" i="12" s="1"/>
  <c r="E29" i="29"/>
  <c r="B45" i="29"/>
  <c r="B49" i="29" s="1"/>
  <c r="H40" i="29"/>
  <c r="AC9" i="12"/>
  <c r="J40" i="29"/>
  <c r="AH3" i="29"/>
  <c r="AH7" i="29" s="1"/>
  <c r="B35" i="29"/>
  <c r="K51" i="6"/>
  <c r="AX51" i="6" s="1"/>
  <c r="AX24" i="6"/>
  <c r="D29" i="12"/>
  <c r="B29" i="12"/>
  <c r="E34" i="29"/>
  <c r="E19" i="13"/>
  <c r="E5" i="14" s="1"/>
  <c r="E36" i="29"/>
  <c r="E38" i="29"/>
  <c r="T3" i="13"/>
  <c r="AD3" i="13"/>
  <c r="W3" i="13"/>
  <c r="Z3" i="13"/>
  <c r="E37" i="29"/>
  <c r="U3" i="13"/>
  <c r="AZ16" i="6"/>
  <c r="AY16" i="6"/>
  <c r="AY15" i="6"/>
  <c r="J61" i="6"/>
  <c r="AZ7" i="6"/>
  <c r="O7" i="6"/>
  <c r="AY7" i="6" s="1"/>
  <c r="K15" i="12"/>
  <c r="D82" i="6"/>
  <c r="G27" i="12"/>
  <c r="C46" i="29"/>
  <c r="H12" i="29"/>
  <c r="H19" i="29" s="1"/>
  <c r="H25" i="29"/>
  <c r="H29" i="29" s="1"/>
  <c r="S28" i="29"/>
  <c r="D35" i="12"/>
  <c r="N27" i="29"/>
  <c r="D47" i="29" s="1"/>
  <c r="E30" i="12"/>
  <c r="E46" i="29"/>
  <c r="W7" i="5"/>
  <c r="H17" i="5"/>
  <c r="O6" i="7"/>
  <c r="AZ6" i="7" s="1"/>
  <c r="AZ3" i="7"/>
  <c r="P6" i="6"/>
  <c r="P7" i="6" s="1"/>
  <c r="E31" i="12"/>
  <c r="T18" i="8"/>
  <c r="G18" i="9"/>
  <c r="U18" i="8" s="1"/>
  <c r="U19" i="8"/>
  <c r="G38" i="9"/>
  <c r="G37" i="9" s="1"/>
  <c r="G23" i="9"/>
  <c r="U23" i="8" s="1"/>
  <c r="H19" i="9"/>
  <c r="I52" i="3"/>
  <c r="N12" i="12"/>
  <c r="O27" i="29" s="1"/>
  <c r="K24" i="7"/>
  <c r="K51" i="7" s="1"/>
  <c r="K62" i="7" s="1"/>
  <c r="K49" i="7"/>
  <c r="K65" i="6"/>
  <c r="C73" i="6" s="1"/>
  <c r="C45" i="9" s="1"/>
  <c r="K64" i="6"/>
  <c r="C72" i="6" s="1"/>
  <c r="C44" i="9" s="1"/>
  <c r="K63" i="6"/>
  <c r="C71" i="6" s="1"/>
  <c r="C43" i="9" s="1"/>
  <c r="K53" i="6"/>
  <c r="P5" i="7"/>
  <c r="Q8" i="8"/>
  <c r="K50" i="6"/>
  <c r="P10" i="7"/>
  <c r="P3" i="7"/>
  <c r="AY23" i="7"/>
  <c r="M22" i="7"/>
  <c r="N22" i="6"/>
  <c r="AZ22" i="6" s="1"/>
  <c r="O15" i="7"/>
  <c r="O16" i="7" s="1"/>
  <c r="L23" i="7"/>
  <c r="AZ9" i="7"/>
  <c r="P14" i="7"/>
  <c r="J53" i="7"/>
  <c r="C4" i="24"/>
  <c r="E4" i="24" s="1"/>
  <c r="N7" i="4"/>
  <c r="B4" i="2" s="1"/>
  <c r="D89" i="6"/>
  <c r="L24" i="6"/>
  <c r="L49" i="6"/>
  <c r="L56" i="6" s="1"/>
  <c r="P4" i="7"/>
  <c r="R11" i="7"/>
  <c r="J52" i="6"/>
  <c r="N16" i="7"/>
  <c r="P12" i="7"/>
  <c r="J51" i="7"/>
  <c r="J52" i="7" s="1"/>
  <c r="F4" i="23"/>
  <c r="F27" i="23" s="1"/>
  <c r="G4" i="23"/>
  <c r="G27" i="23" s="1"/>
  <c r="P9" i="7"/>
  <c r="P15" i="6"/>
  <c r="R2" i="7"/>
  <c r="M20" i="7"/>
  <c r="N20" i="6"/>
  <c r="M23" i="6"/>
  <c r="H54" i="7"/>
  <c r="M21" i="7"/>
  <c r="N21" i="6"/>
  <c r="AZ21" i="6" s="1"/>
  <c r="AY56" i="7" l="1"/>
  <c r="D17" i="29"/>
  <c r="C22" i="12"/>
  <c r="I34" i="12"/>
  <c r="J34" i="12"/>
  <c r="K50" i="7"/>
  <c r="AY50" i="7" s="1"/>
  <c r="K64" i="7"/>
  <c r="K65" i="7"/>
  <c r="C73" i="7" s="1"/>
  <c r="K66" i="7"/>
  <c r="C74" i="7" s="1"/>
  <c r="K52" i="6"/>
  <c r="AX52" i="6" s="1"/>
  <c r="C3" i="13"/>
  <c r="F6" i="5"/>
  <c r="D22" i="12" s="1"/>
  <c r="L56" i="7"/>
  <c r="L58" i="6"/>
  <c r="J58" i="7"/>
  <c r="AY58" i="7" s="1"/>
  <c r="C10" i="8" s="1"/>
  <c r="AX58" i="6"/>
  <c r="C10" i="9" s="1"/>
  <c r="D91" i="6"/>
  <c r="K61" i="6"/>
  <c r="C69" i="6" s="1"/>
  <c r="C14" i="9" s="1"/>
  <c r="H21" i="5"/>
  <c r="F5" i="12"/>
  <c r="F21" i="12" s="1"/>
  <c r="F14" i="12" s="1"/>
  <c r="F3" i="12"/>
  <c r="I40" i="29"/>
  <c r="AG9" i="12"/>
  <c r="H30" i="29"/>
  <c r="H31" i="29" s="1"/>
  <c r="H21" i="29"/>
  <c r="AZ20" i="6"/>
  <c r="AY24" i="7"/>
  <c r="AZ15" i="7"/>
  <c r="E29" i="12"/>
  <c r="F34" i="29"/>
  <c r="F36" i="29"/>
  <c r="F38" i="29"/>
  <c r="AE3" i="13"/>
  <c r="Y3" i="13"/>
  <c r="X3" i="13"/>
  <c r="F37" i="29"/>
  <c r="AA3" i="13"/>
  <c r="F19" i="13"/>
  <c r="F5" i="14" s="1"/>
  <c r="H32" i="12"/>
  <c r="K60" i="6"/>
  <c r="C68" i="6" s="1"/>
  <c r="AX53" i="6"/>
  <c r="C15" i="9" s="1"/>
  <c r="C46" i="9" s="1"/>
  <c r="J54" i="6"/>
  <c r="H3" i="12" s="1"/>
  <c r="P6" i="7"/>
  <c r="P7" i="7" s="1"/>
  <c r="AZ50" i="6"/>
  <c r="AX50" i="6"/>
  <c r="L15" i="12"/>
  <c r="Q6" i="6"/>
  <c r="Q7" i="6" s="1"/>
  <c r="F46" i="29"/>
  <c r="J27" i="12"/>
  <c r="I27" i="12"/>
  <c r="H27" i="12"/>
  <c r="G33" i="12"/>
  <c r="O7" i="7"/>
  <c r="AZ7" i="7" s="1"/>
  <c r="G18" i="12"/>
  <c r="AY49" i="7"/>
  <c r="D25" i="12"/>
  <c r="N24" i="29"/>
  <c r="D44" i="29" s="1"/>
  <c r="T28" i="29"/>
  <c r="F31" i="12"/>
  <c r="I17" i="5"/>
  <c r="I21" i="5" s="1"/>
  <c r="AZ16" i="7"/>
  <c r="F30" i="12"/>
  <c r="AA18" i="8"/>
  <c r="I19" i="9"/>
  <c r="J52" i="3"/>
  <c r="H38" i="9"/>
  <c r="H37" i="9" s="1"/>
  <c r="H23" i="9"/>
  <c r="V23" i="8" s="1"/>
  <c r="V19" i="8"/>
  <c r="Q18" i="9"/>
  <c r="J54" i="7"/>
  <c r="H5" i="12" s="1"/>
  <c r="H21" i="12" s="1"/>
  <c r="H14" i="12" s="1"/>
  <c r="Q9" i="7"/>
  <c r="Q15" i="6"/>
  <c r="Q16" i="6" s="1"/>
  <c r="J17" i="5"/>
  <c r="J21" i="5" s="1"/>
  <c r="AA7" i="5"/>
  <c r="M24" i="6"/>
  <c r="M51" i="6" s="1"/>
  <c r="M61" i="6" s="1"/>
  <c r="M49" i="6"/>
  <c r="M56" i="6" s="1"/>
  <c r="O20" i="6"/>
  <c r="AY20" i="6" s="1"/>
  <c r="N23" i="6"/>
  <c r="N49" i="6" s="1"/>
  <c r="N56" i="6" s="1"/>
  <c r="N20" i="7"/>
  <c r="P15" i="7"/>
  <c r="Q4" i="7"/>
  <c r="Q10" i="7"/>
  <c r="O26" i="3"/>
  <c r="P27" i="3"/>
  <c r="P33" i="3" s="1"/>
  <c r="Q12" i="7"/>
  <c r="S11" i="7"/>
  <c r="BA11" i="7" s="1"/>
  <c r="L65" i="6"/>
  <c r="L64" i="6"/>
  <c r="L63" i="6"/>
  <c r="L53" i="6"/>
  <c r="F4" i="24"/>
  <c r="F27" i="24" s="1"/>
  <c r="G4" i="24"/>
  <c r="G27" i="24" s="1"/>
  <c r="J61" i="7"/>
  <c r="Q14" i="7"/>
  <c r="L24" i="7"/>
  <c r="L49" i="7"/>
  <c r="Q3" i="7"/>
  <c r="K53" i="7"/>
  <c r="K61" i="7" s="1"/>
  <c r="K52" i="7"/>
  <c r="M23" i="7"/>
  <c r="N21" i="7"/>
  <c r="O21" i="6"/>
  <c r="AY21" i="6" s="1"/>
  <c r="AZ2" i="6"/>
  <c r="P16" i="6"/>
  <c r="J62" i="7"/>
  <c r="C70" i="7" s="1"/>
  <c r="AY51" i="7"/>
  <c r="C14" i="8" s="1"/>
  <c r="O24" i="29"/>
  <c r="L51" i="6"/>
  <c r="J63" i="7"/>
  <c r="N22" i="7"/>
  <c r="O22" i="6"/>
  <c r="AY22" i="6" s="1"/>
  <c r="Q9" i="8"/>
  <c r="Q5" i="7"/>
  <c r="H42" i="12" l="1"/>
  <c r="H34" i="8"/>
  <c r="L58" i="7"/>
  <c r="F42" i="12"/>
  <c r="F34" i="8"/>
  <c r="G42" i="12"/>
  <c r="G34" i="8"/>
  <c r="D24" i="8"/>
  <c r="K54" i="6"/>
  <c r="I3" i="12" s="1"/>
  <c r="L66" i="7"/>
  <c r="L65" i="7"/>
  <c r="L64" i="7"/>
  <c r="G6" i="5"/>
  <c r="E22" i="12" s="1"/>
  <c r="D17" i="5"/>
  <c r="D21" i="5" s="1"/>
  <c r="B34" i="8" s="1"/>
  <c r="M56" i="7"/>
  <c r="M58" i="6"/>
  <c r="M58" i="7" s="1"/>
  <c r="E17" i="29"/>
  <c r="E13" i="29"/>
  <c r="E16" i="29"/>
  <c r="D3" i="13"/>
  <c r="C7" i="12"/>
  <c r="D19" i="29"/>
  <c r="D30" i="29" s="1"/>
  <c r="P35" i="3"/>
  <c r="O12" i="12"/>
  <c r="P27" i="29" s="1"/>
  <c r="AZ23" i="6"/>
  <c r="AZ49" i="6" s="1"/>
  <c r="AZ56" i="6" s="1"/>
  <c r="C12" i="9"/>
  <c r="C11" i="9"/>
  <c r="C39" i="9"/>
  <c r="Q10" i="8"/>
  <c r="C11" i="8"/>
  <c r="C21" i="8" s="1"/>
  <c r="C12" i="8"/>
  <c r="C22" i="8" s="1"/>
  <c r="G19" i="13"/>
  <c r="G5" i="14" s="1"/>
  <c r="C43" i="12"/>
  <c r="G4" i="13"/>
  <c r="G6" i="13" s="1"/>
  <c r="F29" i="12"/>
  <c r="C74" i="6"/>
  <c r="G36" i="29"/>
  <c r="G34" i="29"/>
  <c r="G38" i="29"/>
  <c r="AF3" i="13"/>
  <c r="AG3" i="13"/>
  <c r="AH3" i="13"/>
  <c r="AB3" i="13"/>
  <c r="G37" i="29"/>
  <c r="L61" i="6"/>
  <c r="L60" i="6"/>
  <c r="D39" i="3"/>
  <c r="D6" i="9" s="1"/>
  <c r="G46" i="29"/>
  <c r="S2" i="7"/>
  <c r="BA2" i="7" s="1"/>
  <c r="I33" i="12"/>
  <c r="H33" i="12"/>
  <c r="U11" i="6"/>
  <c r="T11" i="7"/>
  <c r="I12" i="29"/>
  <c r="I19" i="29" s="1"/>
  <c r="I21" i="29" s="1"/>
  <c r="I25" i="29"/>
  <c r="I29" i="29" s="1"/>
  <c r="K63" i="7"/>
  <c r="G25" i="29"/>
  <c r="G12" i="29"/>
  <c r="G19" i="29" s="1"/>
  <c r="F40" i="12"/>
  <c r="U28" i="29"/>
  <c r="K17" i="5"/>
  <c r="K21" i="5" s="1"/>
  <c r="AY53" i="7"/>
  <c r="C15" i="8" s="1"/>
  <c r="Q15" i="8" s="1"/>
  <c r="K54" i="7"/>
  <c r="R6" i="6"/>
  <c r="R7" i="6" s="1"/>
  <c r="Q6" i="7"/>
  <c r="Q7" i="7" s="1"/>
  <c r="G31" i="12"/>
  <c r="G30" i="12"/>
  <c r="K52" i="3"/>
  <c r="J19" i="9"/>
  <c r="W19" i="8"/>
  <c r="I38" i="9"/>
  <c r="I37" i="9" s="1"/>
  <c r="I23" i="9"/>
  <c r="W23" i="8" s="1"/>
  <c r="J33" i="12"/>
  <c r="C72" i="7"/>
  <c r="AI7" i="5"/>
  <c r="L53" i="7"/>
  <c r="R14" i="7"/>
  <c r="C69" i="7"/>
  <c r="C75" i="7" s="1"/>
  <c r="L52" i="6"/>
  <c r="Q15" i="7"/>
  <c r="Q16" i="7" s="1"/>
  <c r="R5" i="7"/>
  <c r="O21" i="7"/>
  <c r="AZ21" i="7" s="1"/>
  <c r="P21" i="6"/>
  <c r="M24" i="7"/>
  <c r="M51" i="7" s="1"/>
  <c r="M62" i="7" s="1"/>
  <c r="M49" i="7"/>
  <c r="R3" i="7"/>
  <c r="L51" i="7"/>
  <c r="R4" i="7"/>
  <c r="N23" i="7"/>
  <c r="N49" i="7" s="1"/>
  <c r="C42" i="9"/>
  <c r="Q14" i="8"/>
  <c r="AY52" i="7"/>
  <c r="P24" i="29"/>
  <c r="M15" i="12"/>
  <c r="D38" i="12" s="1"/>
  <c r="D38" i="3"/>
  <c r="D7" i="8" s="1"/>
  <c r="R12" i="7"/>
  <c r="R10" i="7"/>
  <c r="P16" i="7"/>
  <c r="N24" i="6"/>
  <c r="AZ24" i="6" s="1"/>
  <c r="O22" i="7"/>
  <c r="AZ22" i="7" s="1"/>
  <c r="P22" i="6"/>
  <c r="P26" i="3"/>
  <c r="P12" i="12" s="1"/>
  <c r="Q27" i="29" s="1"/>
  <c r="Q27" i="3"/>
  <c r="Q33" i="3" s="1"/>
  <c r="O20" i="7"/>
  <c r="P20" i="6"/>
  <c r="O23" i="6"/>
  <c r="AY23" i="6" s="1"/>
  <c r="AY49" i="6" s="1"/>
  <c r="AY56" i="6" s="1"/>
  <c r="M65" i="6"/>
  <c r="M64" i="6"/>
  <c r="M63" i="6"/>
  <c r="M52" i="6"/>
  <c r="M53" i="6"/>
  <c r="M60" i="6" s="1"/>
  <c r="R15" i="6"/>
  <c r="R9" i="7"/>
  <c r="AX54" i="6" l="1"/>
  <c r="K55" i="6"/>
  <c r="AX55" i="6" s="1"/>
  <c r="I42" i="12"/>
  <c r="I34" i="8"/>
  <c r="C21" i="12"/>
  <c r="C14" i="12" s="1"/>
  <c r="M66" i="7"/>
  <c r="M65" i="7"/>
  <c r="M64" i="7"/>
  <c r="D11" i="12"/>
  <c r="D7" i="12"/>
  <c r="E19" i="29"/>
  <c r="E30" i="29" s="1"/>
  <c r="B42" i="12"/>
  <c r="G7" i="5"/>
  <c r="F17" i="29"/>
  <c r="F13" i="29"/>
  <c r="F16" i="29"/>
  <c r="E11" i="12" s="1"/>
  <c r="E3" i="13"/>
  <c r="Q35" i="3"/>
  <c r="O34" i="3"/>
  <c r="C40" i="9"/>
  <c r="Q11" i="8"/>
  <c r="C41" i="9"/>
  <c r="C22" i="9"/>
  <c r="Q22" i="8" s="1"/>
  <c r="Q12" i="8"/>
  <c r="N56" i="7"/>
  <c r="N58" i="6"/>
  <c r="D7" i="9"/>
  <c r="R7" i="8" s="1"/>
  <c r="G21" i="29"/>
  <c r="G30" i="29"/>
  <c r="G31" i="29" s="1"/>
  <c r="I30" i="29"/>
  <c r="I31" i="29" s="1"/>
  <c r="C26" i="12"/>
  <c r="I5" i="12"/>
  <c r="I21" i="12" s="1"/>
  <c r="I14" i="12" s="1"/>
  <c r="C37" i="12" s="1"/>
  <c r="C16" i="8" s="1"/>
  <c r="G29" i="12"/>
  <c r="I38" i="29"/>
  <c r="I36" i="29"/>
  <c r="I19" i="13"/>
  <c r="I5" i="14" s="1"/>
  <c r="I34" i="29"/>
  <c r="AI3" i="13"/>
  <c r="AC3" i="13"/>
  <c r="H19" i="13" s="1"/>
  <c r="H5" i="14" s="1"/>
  <c r="H37" i="29"/>
  <c r="H36" i="29"/>
  <c r="H34" i="29"/>
  <c r="AL3" i="13"/>
  <c r="I37" i="29"/>
  <c r="K55" i="7"/>
  <c r="AY55" i="7" s="1"/>
  <c r="T2" i="7"/>
  <c r="L54" i="6"/>
  <c r="J3" i="12" s="1"/>
  <c r="AZ55" i="6"/>
  <c r="U5" i="6"/>
  <c r="T5" i="7"/>
  <c r="T3" i="7"/>
  <c r="U3" i="6"/>
  <c r="U2" i="6"/>
  <c r="U2" i="7" s="1"/>
  <c r="T6" i="6"/>
  <c r="G29" i="29"/>
  <c r="U4" i="6"/>
  <c r="T4" i="7"/>
  <c r="R6" i="7"/>
  <c r="R7" i="7" s="1"/>
  <c r="AY54" i="7"/>
  <c r="T15" i="6"/>
  <c r="H18" i="12"/>
  <c r="H4" i="13" s="1"/>
  <c r="H6" i="13" s="1"/>
  <c r="V11" i="6"/>
  <c r="U11" i="7"/>
  <c r="T14" i="7"/>
  <c r="U14" i="6"/>
  <c r="T12" i="7"/>
  <c r="U12" i="6"/>
  <c r="U10" i="6"/>
  <c r="T10" i="7"/>
  <c r="J25" i="29"/>
  <c r="J29" i="29" s="1"/>
  <c r="V28" i="29"/>
  <c r="F48" i="29" s="1"/>
  <c r="AE7" i="5"/>
  <c r="H38" i="29"/>
  <c r="H46" i="29"/>
  <c r="I31" i="12"/>
  <c r="J23" i="9"/>
  <c r="X23" i="8" s="1"/>
  <c r="J38" i="9"/>
  <c r="J37" i="9" s="1"/>
  <c r="X19" i="8"/>
  <c r="K19" i="9"/>
  <c r="L52" i="3"/>
  <c r="L19" i="9" s="1"/>
  <c r="O23" i="7"/>
  <c r="AZ23" i="7" s="1"/>
  <c r="AZ20" i="7"/>
  <c r="R27" i="3"/>
  <c r="R33" i="3" s="1"/>
  <c r="Q26" i="3"/>
  <c r="Q12" i="12" s="1"/>
  <c r="S10" i="7"/>
  <c r="BA10" i="7" s="1"/>
  <c r="D36" i="12"/>
  <c r="S5" i="7"/>
  <c r="BA5" i="7" s="1"/>
  <c r="S14" i="7"/>
  <c r="BA14" i="7" s="1"/>
  <c r="L61" i="7"/>
  <c r="R16" i="6"/>
  <c r="D48" i="12"/>
  <c r="N24" i="7"/>
  <c r="N51" i="7" s="1"/>
  <c r="N62" i="7" s="1"/>
  <c r="S3" i="7"/>
  <c r="BA3" i="7" s="1"/>
  <c r="M54" i="6"/>
  <c r="K3" i="12" s="1"/>
  <c r="O24" i="6"/>
  <c r="O51" i="6" s="1"/>
  <c r="O61" i="6" s="1"/>
  <c r="O49" i="6"/>
  <c r="N65" i="6"/>
  <c r="N64" i="6"/>
  <c r="N63" i="6"/>
  <c r="N53" i="6"/>
  <c r="N60" i="6" s="1"/>
  <c r="L62" i="7"/>
  <c r="L52" i="7"/>
  <c r="L63" i="7"/>
  <c r="I30" i="12"/>
  <c r="K33" i="12"/>
  <c r="S6" i="6"/>
  <c r="R15" i="7"/>
  <c r="S9" i="7"/>
  <c r="S15" i="6"/>
  <c r="S16" i="6" s="1"/>
  <c r="P20" i="7"/>
  <c r="Q20" i="6"/>
  <c r="P23" i="6"/>
  <c r="P22" i="7"/>
  <c r="Q22" i="6"/>
  <c r="F18" i="12"/>
  <c r="F4" i="13" s="1"/>
  <c r="N51" i="6"/>
  <c r="S12" i="7"/>
  <c r="BA12" i="7" s="1"/>
  <c r="D6" i="8"/>
  <c r="R6" i="8" s="1"/>
  <c r="Q24" i="29"/>
  <c r="D34" i="9"/>
  <c r="D33" i="9" s="1"/>
  <c r="S4" i="7"/>
  <c r="N15" i="12"/>
  <c r="M53" i="7"/>
  <c r="M61" i="7" s="1"/>
  <c r="M52" i="7"/>
  <c r="P21" i="7"/>
  <c r="Q21" i="6"/>
  <c r="C17" i="8" l="1"/>
  <c r="C20" i="8" s="1"/>
  <c r="C16" i="9"/>
  <c r="B39" i="29"/>
  <c r="D21" i="12"/>
  <c r="D14" i="12" s="1"/>
  <c r="D18" i="12" s="1"/>
  <c r="C18" i="12"/>
  <c r="C4" i="13" s="1"/>
  <c r="C6" i="13" s="1"/>
  <c r="N64" i="7"/>
  <c r="N66" i="7"/>
  <c r="N65" i="7"/>
  <c r="O50" i="6"/>
  <c r="AY50" i="6" s="1"/>
  <c r="O56" i="6"/>
  <c r="E7" i="12"/>
  <c r="E21" i="12" s="1"/>
  <c r="E14" i="12" s="1"/>
  <c r="F19" i="29"/>
  <c r="F30" i="29" s="1"/>
  <c r="B36" i="29"/>
  <c r="B34" i="12"/>
  <c r="R35" i="3"/>
  <c r="P34" i="3"/>
  <c r="N58" i="7"/>
  <c r="AY24" i="6"/>
  <c r="I29" i="12"/>
  <c r="AJ3" i="13"/>
  <c r="H30" i="12"/>
  <c r="AM3" i="13"/>
  <c r="H29" i="12"/>
  <c r="AK3" i="13"/>
  <c r="N61" i="6"/>
  <c r="D69" i="6" s="1"/>
  <c r="D14" i="9" s="1"/>
  <c r="AY51" i="6"/>
  <c r="AZ51" i="6"/>
  <c r="T7" i="6"/>
  <c r="O15" i="12"/>
  <c r="U3" i="7"/>
  <c r="V3" i="6"/>
  <c r="U6" i="6"/>
  <c r="U7" i="6" s="1"/>
  <c r="V2" i="6"/>
  <c r="V2" i="7" s="1"/>
  <c r="V5" i="6"/>
  <c r="U5" i="7"/>
  <c r="E82" i="6"/>
  <c r="C45" i="29"/>
  <c r="C49" i="29" s="1"/>
  <c r="T6" i="7"/>
  <c r="T7" i="7" s="1"/>
  <c r="V4" i="6"/>
  <c r="U4" i="7"/>
  <c r="T9" i="7"/>
  <c r="T15" i="7" s="1"/>
  <c r="U9" i="6"/>
  <c r="U15" i="6" s="1"/>
  <c r="U16" i="6" s="1"/>
  <c r="W11" i="6"/>
  <c r="BA11" i="6" s="1"/>
  <c r="V11" i="7"/>
  <c r="U14" i="7"/>
  <c r="V14" i="6"/>
  <c r="V12" i="6"/>
  <c r="U12" i="7"/>
  <c r="J12" i="29"/>
  <c r="J19" i="29" s="1"/>
  <c r="I18" i="12"/>
  <c r="I4" i="13" s="1"/>
  <c r="I6" i="13" s="1"/>
  <c r="C28" i="12"/>
  <c r="C33" i="8" s="1"/>
  <c r="C35" i="8" s="1"/>
  <c r="U10" i="7"/>
  <c r="V10" i="6"/>
  <c r="T16" i="6"/>
  <c r="W28" i="29"/>
  <c r="E35" i="12"/>
  <c r="R27" i="29"/>
  <c r="E47" i="29" s="1"/>
  <c r="H31" i="12"/>
  <c r="L17" i="5"/>
  <c r="S15" i="7"/>
  <c r="S16" i="7" s="1"/>
  <c r="S6" i="7"/>
  <c r="S7" i="7" s="1"/>
  <c r="BA7" i="7" s="1"/>
  <c r="K38" i="9"/>
  <c r="K37" i="9" s="1"/>
  <c r="Y19" i="8"/>
  <c r="K23" i="9"/>
  <c r="Y23" i="8" s="1"/>
  <c r="Z19" i="8"/>
  <c r="L38" i="9"/>
  <c r="L37" i="9" s="1"/>
  <c r="L23" i="9"/>
  <c r="Z23" i="8" s="1"/>
  <c r="L33" i="12"/>
  <c r="M54" i="7"/>
  <c r="K5" i="12" s="1"/>
  <c r="K21" i="12" s="1"/>
  <c r="K14" i="12" s="1"/>
  <c r="E89" i="6"/>
  <c r="BA4" i="7"/>
  <c r="O65" i="6"/>
  <c r="D73" i="6" s="1"/>
  <c r="D45" i="9" s="1"/>
  <c r="O64" i="6"/>
  <c r="D72" i="6" s="1"/>
  <c r="D44" i="9" s="1"/>
  <c r="O63" i="6"/>
  <c r="D71" i="6" s="1"/>
  <c r="D43" i="9" s="1"/>
  <c r="O53" i="6"/>
  <c r="AY53" i="6" s="1"/>
  <c r="O52" i="6"/>
  <c r="R8" i="8"/>
  <c r="Q21" i="7"/>
  <c r="R21" i="6"/>
  <c r="P23" i="7"/>
  <c r="BA9" i="7"/>
  <c r="N52" i="6"/>
  <c r="M17" i="5"/>
  <c r="M21" i="5" s="1"/>
  <c r="M63" i="7"/>
  <c r="Q22" i="7"/>
  <c r="R22" i="6"/>
  <c r="P24" i="6"/>
  <c r="P49" i="6"/>
  <c r="P56" i="6" s="1"/>
  <c r="R16" i="7"/>
  <c r="S7" i="6"/>
  <c r="L54" i="7"/>
  <c r="J5" i="12" s="1"/>
  <c r="J21" i="12" s="1"/>
  <c r="J14" i="12" s="1"/>
  <c r="N53" i="7"/>
  <c r="N61" i="7" s="1"/>
  <c r="N52" i="7"/>
  <c r="S27" i="3"/>
  <c r="S33" i="3" s="1"/>
  <c r="R26" i="3"/>
  <c r="R12" i="12" s="1"/>
  <c r="S27" i="29" s="1"/>
  <c r="O24" i="7"/>
  <c r="O49" i="7"/>
  <c r="Q20" i="7"/>
  <c r="R20" i="6"/>
  <c r="Q23" i="6"/>
  <c r="AM7" i="5"/>
  <c r="B41" i="29" l="1"/>
  <c r="B50" i="29" s="1"/>
  <c r="B37" i="12"/>
  <c r="B17" i="8" s="1"/>
  <c r="B20" i="8" s="1"/>
  <c r="K42" i="12"/>
  <c r="K34" i="8"/>
  <c r="C28" i="9"/>
  <c r="Q16" i="8"/>
  <c r="C17" i="9"/>
  <c r="D4" i="13"/>
  <c r="D6" i="13" s="1"/>
  <c r="C41" i="12"/>
  <c r="O66" i="7"/>
  <c r="D74" i="7" s="1"/>
  <c r="O64" i="7"/>
  <c r="D72" i="7" s="1"/>
  <c r="O65" i="7"/>
  <c r="D73" i="7" s="1"/>
  <c r="P56" i="7"/>
  <c r="P58" i="6"/>
  <c r="B30" i="12"/>
  <c r="B33" i="8" s="1"/>
  <c r="B35" i="8" s="1"/>
  <c r="E18" i="12"/>
  <c r="B41" i="12" s="1"/>
  <c r="O58" i="6"/>
  <c r="AY58" i="6" s="1"/>
  <c r="O56" i="7"/>
  <c r="AZ56" i="7" s="1"/>
  <c r="S35" i="3"/>
  <c r="Q34" i="3"/>
  <c r="E91" i="6"/>
  <c r="L21" i="5"/>
  <c r="J30" i="29"/>
  <c r="J31" i="29" s="1"/>
  <c r="J21" i="29"/>
  <c r="J38" i="29"/>
  <c r="J19" i="13"/>
  <c r="J5" i="14" s="1"/>
  <c r="J34" i="29"/>
  <c r="AN3" i="13"/>
  <c r="J36" i="29"/>
  <c r="J37" i="29"/>
  <c r="C20" i="13"/>
  <c r="C6" i="14" s="1"/>
  <c r="U6" i="7"/>
  <c r="U7" i="7" s="1"/>
  <c r="O60" i="6"/>
  <c r="D68" i="6" s="1"/>
  <c r="D74" i="6" s="1"/>
  <c r="D15" i="9"/>
  <c r="D46" i="9" s="1"/>
  <c r="N54" i="6"/>
  <c r="L3" i="12" s="1"/>
  <c r="AZ52" i="6"/>
  <c r="AY52" i="6"/>
  <c r="W5" i="6"/>
  <c r="BA5" i="6" s="1"/>
  <c r="V5" i="7"/>
  <c r="V6" i="6"/>
  <c r="Q23" i="7"/>
  <c r="Q24" i="7" s="1"/>
  <c r="Q51" i="7" s="1"/>
  <c r="Q62" i="7" s="1"/>
  <c r="V3" i="7"/>
  <c r="W3" i="6"/>
  <c r="BA3" i="6" s="1"/>
  <c r="W2" i="6"/>
  <c r="W2" i="7" s="1"/>
  <c r="BB2" i="7" s="1"/>
  <c r="C35" i="29"/>
  <c r="C41" i="29" s="1"/>
  <c r="C42" i="29" s="1"/>
  <c r="W4" i="6"/>
  <c r="BA4" i="6" s="1"/>
  <c r="V4" i="7"/>
  <c r="BA16" i="7"/>
  <c r="U9" i="7"/>
  <c r="U15" i="7" s="1"/>
  <c r="U16" i="7" s="1"/>
  <c r="V9" i="6"/>
  <c r="V15" i="6" s="1"/>
  <c r="W11" i="7"/>
  <c r="BB11" i="7" s="1"/>
  <c r="X11" i="6"/>
  <c r="V14" i="7"/>
  <c r="W14" i="6"/>
  <c r="BA14" i="6" s="1"/>
  <c r="BA15" i="7"/>
  <c r="W12" i="6"/>
  <c r="BA12" i="6" s="1"/>
  <c r="V12" i="7"/>
  <c r="T16" i="7"/>
  <c r="I19" i="12"/>
  <c r="L12" i="29"/>
  <c r="L19" i="29" s="1"/>
  <c r="L25" i="29"/>
  <c r="L29" i="29" s="1"/>
  <c r="V10" i="7"/>
  <c r="W10" i="6"/>
  <c r="BA10" i="6" s="1"/>
  <c r="E25" i="12"/>
  <c r="R24" i="29"/>
  <c r="E44" i="29" s="1"/>
  <c r="X28" i="29"/>
  <c r="J30" i="12"/>
  <c r="BA6" i="7"/>
  <c r="J31" i="12"/>
  <c r="N54" i="7"/>
  <c r="AA23" i="8"/>
  <c r="AA19" i="8"/>
  <c r="F6" i="13"/>
  <c r="C22" i="13" s="1"/>
  <c r="S26" i="3"/>
  <c r="S12" i="12" s="1"/>
  <c r="T27" i="29" s="1"/>
  <c r="T27" i="3"/>
  <c r="T33" i="3" s="1"/>
  <c r="P51" i="6"/>
  <c r="P61" i="6" s="1"/>
  <c r="P24" i="7"/>
  <c r="P49" i="7"/>
  <c r="R9" i="8"/>
  <c r="R22" i="7"/>
  <c r="S22" i="6"/>
  <c r="Q24" i="6"/>
  <c r="Q51" i="6" s="1"/>
  <c r="Q61" i="6" s="1"/>
  <c r="Q49" i="6"/>
  <c r="Q56" i="6" s="1"/>
  <c r="S20" i="6"/>
  <c r="R20" i="7"/>
  <c r="R23" i="6"/>
  <c r="O53" i="7"/>
  <c r="O61" i="7" s="1"/>
  <c r="D69" i="7" s="1"/>
  <c r="O50" i="7"/>
  <c r="AZ50" i="7" s="1"/>
  <c r="O51" i="7"/>
  <c r="AZ24" i="7"/>
  <c r="N63" i="7"/>
  <c r="P65" i="6"/>
  <c r="P64" i="6"/>
  <c r="P63" i="6"/>
  <c r="P53" i="6"/>
  <c r="AZ49" i="7"/>
  <c r="D42" i="9"/>
  <c r="S24" i="29"/>
  <c r="R21" i="7"/>
  <c r="S21" i="6"/>
  <c r="O54" i="6"/>
  <c r="M3" i="12" s="1"/>
  <c r="B16" i="8" l="1"/>
  <c r="B16" i="9" s="1"/>
  <c r="P60" i="6"/>
  <c r="J42" i="12"/>
  <c r="J34" i="8"/>
  <c r="P58" i="7"/>
  <c r="C29" i="9"/>
  <c r="Q17" i="8"/>
  <c r="B28" i="9"/>
  <c r="P16" i="8"/>
  <c r="B17" i="9"/>
  <c r="E24" i="8"/>
  <c r="P65" i="7"/>
  <c r="P64" i="7"/>
  <c r="P66" i="7"/>
  <c r="O58" i="7"/>
  <c r="AZ58" i="7" s="1"/>
  <c r="D10" i="8" s="1"/>
  <c r="D10" i="9"/>
  <c r="Q56" i="7"/>
  <c r="Q58" i="6"/>
  <c r="Q58" i="7" s="1"/>
  <c r="E4" i="13"/>
  <c r="E19" i="12"/>
  <c r="T35" i="3"/>
  <c r="R34" i="3"/>
  <c r="C49" i="12"/>
  <c r="C47" i="12" s="1"/>
  <c r="L30" i="29"/>
  <c r="L31" i="29" s="1"/>
  <c r="L21" i="29"/>
  <c r="M25" i="29"/>
  <c r="M29" i="29" s="1"/>
  <c r="L5" i="12"/>
  <c r="L21" i="12" s="1"/>
  <c r="L14" i="12" s="1"/>
  <c r="Q49" i="7"/>
  <c r="E39" i="3"/>
  <c r="P15" i="12"/>
  <c r="J29" i="12"/>
  <c r="AO3" i="13"/>
  <c r="K19" i="13" s="1"/>
  <c r="K36" i="29"/>
  <c r="K34" i="29"/>
  <c r="I46" i="29"/>
  <c r="I32" i="12"/>
  <c r="BA2" i="6"/>
  <c r="V7" i="6"/>
  <c r="AY54" i="6"/>
  <c r="AZ54" i="6"/>
  <c r="O55" i="6"/>
  <c r="AY55" i="6" s="1"/>
  <c r="X3" i="6"/>
  <c r="W3" i="7"/>
  <c r="BB3" i="7" s="1"/>
  <c r="W6" i="6"/>
  <c r="BA6" i="6" s="1"/>
  <c r="X2" i="6"/>
  <c r="V6" i="7"/>
  <c r="V7" i="7" s="1"/>
  <c r="X5" i="6"/>
  <c r="W5" i="7"/>
  <c r="BB5" i="7" s="1"/>
  <c r="C44" i="12"/>
  <c r="C50" i="29"/>
  <c r="C51" i="29" s="1"/>
  <c r="W4" i="7"/>
  <c r="BB4" i="7" s="1"/>
  <c r="X4" i="6"/>
  <c r="V9" i="7"/>
  <c r="V15" i="7" s="1"/>
  <c r="V16" i="7" s="1"/>
  <c r="W9" i="6"/>
  <c r="BA9" i="6" s="1"/>
  <c r="K18" i="12"/>
  <c r="K4" i="13" s="1"/>
  <c r="K6" i="13" s="1"/>
  <c r="X11" i="7"/>
  <c r="Y11" i="6"/>
  <c r="X14" i="6"/>
  <c r="W14" i="7"/>
  <c r="BB14" i="7" s="1"/>
  <c r="W12" i="7"/>
  <c r="BB12" i="7" s="1"/>
  <c r="X12" i="6"/>
  <c r="K12" i="29"/>
  <c r="K19" i="29" s="1"/>
  <c r="K25" i="29"/>
  <c r="V16" i="6"/>
  <c r="X10" i="6"/>
  <c r="W10" i="7"/>
  <c r="BB10" i="7" s="1"/>
  <c r="G40" i="12"/>
  <c r="Y28" i="29"/>
  <c r="K38" i="29"/>
  <c r="AQ7" i="5"/>
  <c r="P52" i="6"/>
  <c r="P54" i="6" s="1"/>
  <c r="N3" i="12" s="1"/>
  <c r="O63" i="7"/>
  <c r="O62" i="7"/>
  <c r="D70" i="7" s="1"/>
  <c r="D43" i="12" s="1"/>
  <c r="AZ51" i="7"/>
  <c r="D14" i="8" s="1"/>
  <c r="R24" i="6"/>
  <c r="R51" i="6" s="1"/>
  <c r="R61" i="6" s="1"/>
  <c r="R49" i="6"/>
  <c r="R56" i="6" s="1"/>
  <c r="AZ53" i="7"/>
  <c r="D15" i="8" s="1"/>
  <c r="R15" i="8" s="1"/>
  <c r="S22" i="7"/>
  <c r="BA22" i="7" s="1"/>
  <c r="T22" i="6"/>
  <c r="P53" i="7"/>
  <c r="T26" i="3"/>
  <c r="T12" i="12" s="1"/>
  <c r="U27" i="29" s="1"/>
  <c r="U27" i="3"/>
  <c r="U33" i="3" s="1"/>
  <c r="S21" i="7"/>
  <c r="BA21" i="7" s="1"/>
  <c r="T21" i="6"/>
  <c r="R23" i="7"/>
  <c r="S20" i="7"/>
  <c r="T20" i="6"/>
  <c r="S23" i="6"/>
  <c r="Q52" i="6"/>
  <c r="Q53" i="6"/>
  <c r="Q60" i="6" s="1"/>
  <c r="Q64" i="6"/>
  <c r="Q63" i="6"/>
  <c r="Q65" i="6"/>
  <c r="P51" i="7"/>
  <c r="T24" i="29"/>
  <c r="O52" i="7"/>
  <c r="P17" i="8" l="1"/>
  <c r="B29" i="9"/>
  <c r="C45" i="12"/>
  <c r="C25" i="13"/>
  <c r="Q65" i="7"/>
  <c r="Q66" i="7"/>
  <c r="Q64" i="7"/>
  <c r="B20" i="13"/>
  <c r="B6" i="14" s="1"/>
  <c r="E6" i="13"/>
  <c r="D39" i="9"/>
  <c r="D11" i="9"/>
  <c r="D12" i="9"/>
  <c r="R10" i="8"/>
  <c r="D12" i="8"/>
  <c r="D22" i="8" s="1"/>
  <c r="D28" i="8" s="1"/>
  <c r="D11" i="8"/>
  <c r="D21" i="8" s="1"/>
  <c r="D27" i="8" s="1"/>
  <c r="U35" i="3"/>
  <c r="S34" i="3"/>
  <c r="Q15" i="12"/>
  <c r="E38" i="12" s="1"/>
  <c r="E36" i="12" s="1"/>
  <c r="C51" i="12"/>
  <c r="R56" i="7"/>
  <c r="R58" i="6"/>
  <c r="R58" i="7" s="1"/>
  <c r="K21" i="29"/>
  <c r="K30" i="29"/>
  <c r="K31" i="29" s="1"/>
  <c r="S23" i="7"/>
  <c r="S24" i="7" s="1"/>
  <c r="S51" i="7" s="1"/>
  <c r="S62" i="7" s="1"/>
  <c r="Q53" i="7"/>
  <c r="Q61" i="7" s="1"/>
  <c r="Q52" i="7"/>
  <c r="E6" i="9"/>
  <c r="E34" i="9" s="1"/>
  <c r="E33" i="9" s="1"/>
  <c r="E7" i="9"/>
  <c r="E38" i="3"/>
  <c r="E7" i="8" s="1"/>
  <c r="E6" i="8" s="1"/>
  <c r="K29" i="12"/>
  <c r="K37" i="29"/>
  <c r="AP3" i="13"/>
  <c r="W7" i="6"/>
  <c r="BA7" i="6" s="1"/>
  <c r="X2" i="7"/>
  <c r="F82" i="6"/>
  <c r="X6" i="6"/>
  <c r="X7" i="6" s="1"/>
  <c r="X5" i="7"/>
  <c r="Y5" i="6"/>
  <c r="W6" i="7"/>
  <c r="W7" i="7" s="1"/>
  <c r="BB7" i="7" s="1"/>
  <c r="Y2" i="6"/>
  <c r="Y2" i="7" s="1"/>
  <c r="X3" i="7"/>
  <c r="Y3" i="6"/>
  <c r="C50" i="12"/>
  <c r="K29" i="29"/>
  <c r="X4" i="7"/>
  <c r="Y4" i="6"/>
  <c r="W9" i="7"/>
  <c r="W15" i="7" s="1"/>
  <c r="X9" i="6"/>
  <c r="F89" i="6"/>
  <c r="W15" i="6"/>
  <c r="Z11" i="6"/>
  <c r="Y11" i="7"/>
  <c r="X14" i="7"/>
  <c r="Y14" i="6"/>
  <c r="X12" i="7"/>
  <c r="Y12" i="6"/>
  <c r="X10" i="7"/>
  <c r="Y10" i="6"/>
  <c r="L18" i="12"/>
  <c r="L4" i="13" s="1"/>
  <c r="L6" i="13" s="1"/>
  <c r="M12" i="29"/>
  <c r="M19" i="29" s="1"/>
  <c r="Z28" i="29"/>
  <c r="G48" i="29" s="1"/>
  <c r="K31" i="12"/>
  <c r="K30" i="12"/>
  <c r="Q54" i="6"/>
  <c r="O3" i="12" s="1"/>
  <c r="O54" i="7"/>
  <c r="M5" i="12" s="1"/>
  <c r="M21" i="12" s="1"/>
  <c r="M14" i="12" s="1"/>
  <c r="D37" i="12" s="1"/>
  <c r="D16" i="8" s="1"/>
  <c r="AZ52" i="7"/>
  <c r="U24" i="29"/>
  <c r="P62" i="7"/>
  <c r="T20" i="7"/>
  <c r="U20" i="6"/>
  <c r="T23" i="6"/>
  <c r="R65" i="6"/>
  <c r="R64" i="6"/>
  <c r="R63" i="6"/>
  <c r="R52" i="6"/>
  <c r="R53" i="6"/>
  <c r="R60" i="6" s="1"/>
  <c r="V27" i="3"/>
  <c r="V33" i="3" s="1"/>
  <c r="U26" i="3"/>
  <c r="U12" i="12" s="1"/>
  <c r="P52" i="7"/>
  <c r="P63" i="7"/>
  <c r="BA20" i="7"/>
  <c r="T21" i="7"/>
  <c r="U21" i="6"/>
  <c r="P61" i="7"/>
  <c r="U22" i="6"/>
  <c r="T22" i="7"/>
  <c r="D29" i="8"/>
  <c r="R14" i="8"/>
  <c r="D75" i="7"/>
  <c r="K5" i="14"/>
  <c r="J18" i="12"/>
  <c r="S24" i="6"/>
  <c r="S49" i="6"/>
  <c r="S56" i="6" s="1"/>
  <c r="R24" i="7"/>
  <c r="R49" i="7"/>
  <c r="D17" i="8" l="1"/>
  <c r="D20" i="8" s="1"/>
  <c r="D26" i="8" s="1"/>
  <c r="D31" i="8" s="1"/>
  <c r="D16" i="9"/>
  <c r="R64" i="7"/>
  <c r="R65" i="7"/>
  <c r="R66" i="7"/>
  <c r="D22" i="9"/>
  <c r="R22" i="8" s="1"/>
  <c r="R12" i="8"/>
  <c r="D41" i="9"/>
  <c r="D40" i="9"/>
  <c r="R11" i="8"/>
  <c r="S56" i="7"/>
  <c r="BA56" i="7" s="1"/>
  <c r="S58" i="6"/>
  <c r="S58" i="7" s="1"/>
  <c r="BA58" i="7" s="1"/>
  <c r="E10" i="8" s="1"/>
  <c r="E11" i="8" s="1"/>
  <c r="BA23" i="7"/>
  <c r="V35" i="3"/>
  <c r="T34" i="3"/>
  <c r="R15" i="12"/>
  <c r="F91" i="6"/>
  <c r="M30" i="29"/>
  <c r="M31" i="29" s="1"/>
  <c r="M21" i="29"/>
  <c r="S49" i="7"/>
  <c r="Q63" i="7"/>
  <c r="Q54" i="7"/>
  <c r="O5" i="12" s="1"/>
  <c r="S8" i="8"/>
  <c r="E48" i="12"/>
  <c r="S6" i="8"/>
  <c r="S7" i="8"/>
  <c r="AQ3" i="13"/>
  <c r="BB6" i="7"/>
  <c r="W16" i="6"/>
  <c r="BA16" i="6" s="1"/>
  <c r="BA15" i="6"/>
  <c r="BB9" i="7"/>
  <c r="X15" i="6"/>
  <c r="X16" i="6" s="1"/>
  <c r="Y3" i="7"/>
  <c r="Z3" i="6"/>
  <c r="X6" i="7"/>
  <c r="X7" i="7" s="1"/>
  <c r="Y6" i="6"/>
  <c r="Y7" i="6" s="1"/>
  <c r="Z5" i="6"/>
  <c r="Y5" i="7"/>
  <c r="Z2" i="6"/>
  <c r="Z4" i="6"/>
  <c r="Y4" i="7"/>
  <c r="W16" i="7"/>
  <c r="BB16" i="7" s="1"/>
  <c r="BB15" i="7"/>
  <c r="X9" i="7"/>
  <c r="Y9" i="6"/>
  <c r="Y15" i="6" s="1"/>
  <c r="Y16" i="6" s="1"/>
  <c r="AA11" i="6"/>
  <c r="BB11" i="6" s="1"/>
  <c r="Z11" i="7"/>
  <c r="Y14" i="7"/>
  <c r="Z14" i="6"/>
  <c r="Z12" i="6"/>
  <c r="Y12" i="7"/>
  <c r="P25" i="29"/>
  <c r="P29" i="29" s="1"/>
  <c r="Y10" i="7"/>
  <c r="Z10" i="6"/>
  <c r="AA28" i="29"/>
  <c r="F35" i="12"/>
  <c r="V27" i="29"/>
  <c r="F47" i="29" s="1"/>
  <c r="R54" i="6"/>
  <c r="P3" i="12" s="1"/>
  <c r="J4" i="13"/>
  <c r="P54" i="7"/>
  <c r="N5" i="12" s="1"/>
  <c r="N21" i="12" s="1"/>
  <c r="N14" i="12" s="1"/>
  <c r="T24" i="6"/>
  <c r="T49" i="6"/>
  <c r="T56" i="6" s="1"/>
  <c r="N17" i="5"/>
  <c r="U22" i="7"/>
  <c r="V22" i="6"/>
  <c r="U20" i="7"/>
  <c r="V20" i="6"/>
  <c r="U23" i="6"/>
  <c r="R53" i="7"/>
  <c r="S65" i="6"/>
  <c r="E73" i="6" s="1"/>
  <c r="E45" i="9" s="1"/>
  <c r="S64" i="6"/>
  <c r="E72" i="6" s="1"/>
  <c r="E44" i="9" s="1"/>
  <c r="S63" i="6"/>
  <c r="E71" i="6" s="1"/>
  <c r="E43" i="9" s="1"/>
  <c r="S53" i="6"/>
  <c r="S60" i="6" s="1"/>
  <c r="E68" i="6" s="1"/>
  <c r="U21" i="7"/>
  <c r="V21" i="6"/>
  <c r="W27" i="3"/>
  <c r="W33" i="3" s="1"/>
  <c r="V26" i="3"/>
  <c r="V12" i="12" s="1"/>
  <c r="W27" i="29" s="1"/>
  <c r="O55" i="7"/>
  <c r="AZ55" i="7" s="1"/>
  <c r="AZ54" i="7"/>
  <c r="R51" i="7"/>
  <c r="BA24" i="7"/>
  <c r="S51" i="6"/>
  <c r="S61" i="6" s="1"/>
  <c r="E69" i="6" s="1"/>
  <c r="S50" i="6"/>
  <c r="T23" i="7"/>
  <c r="V24" i="29"/>
  <c r="F44" i="29" s="1"/>
  <c r="AZ53" i="6" l="1"/>
  <c r="E15" i="9" s="1"/>
  <c r="D30" i="8"/>
  <c r="E46" i="9"/>
  <c r="D28" i="9"/>
  <c r="R16" i="8"/>
  <c r="D17" i="9"/>
  <c r="AZ58" i="6"/>
  <c r="E10" i="9" s="1"/>
  <c r="P12" i="29"/>
  <c r="P19" i="29" s="1"/>
  <c r="P21" i="29" s="1"/>
  <c r="O21" i="12"/>
  <c r="O14" i="12" s="1"/>
  <c r="O18" i="12" s="1"/>
  <c r="O4" i="13" s="1"/>
  <c r="O6" i="13" s="1"/>
  <c r="BA49" i="7"/>
  <c r="S65" i="7"/>
  <c r="E73" i="7" s="1"/>
  <c r="S66" i="7"/>
  <c r="E74" i="7" s="1"/>
  <c r="S64" i="7"/>
  <c r="S50" i="7"/>
  <c r="BA50" i="7" s="1"/>
  <c r="E21" i="8"/>
  <c r="E27" i="8" s="1"/>
  <c r="E12" i="8"/>
  <c r="S53" i="7"/>
  <c r="S61" i="7" s="1"/>
  <c r="T58" i="6"/>
  <c r="T56" i="7"/>
  <c r="W35" i="3"/>
  <c r="W34" i="3"/>
  <c r="W15" i="12" s="1"/>
  <c r="U34" i="3"/>
  <c r="N21" i="5"/>
  <c r="O17" i="5"/>
  <c r="S15" i="12"/>
  <c r="E72" i="7"/>
  <c r="S52" i="7"/>
  <c r="S9" i="8"/>
  <c r="AR3" i="13"/>
  <c r="J32" i="12"/>
  <c r="Z2" i="7"/>
  <c r="Y6" i="7"/>
  <c r="Y7" i="7" s="1"/>
  <c r="AA5" i="6"/>
  <c r="BB5" i="6" s="1"/>
  <c r="Z5" i="7"/>
  <c r="AA2" i="6"/>
  <c r="BB2" i="6" s="1"/>
  <c r="Z6" i="6"/>
  <c r="Z3" i="7"/>
  <c r="AA3" i="6"/>
  <c r="BB3" i="6" s="1"/>
  <c r="AA4" i="6"/>
  <c r="BB4" i="6" s="1"/>
  <c r="Z4" i="7"/>
  <c r="Y9" i="7"/>
  <c r="Y15" i="7" s="1"/>
  <c r="Y16" i="7" s="1"/>
  <c r="Z9" i="6"/>
  <c r="X15" i="7"/>
  <c r="X16" i="7" s="1"/>
  <c r="AA11" i="7"/>
  <c r="BC11" i="7" s="1"/>
  <c r="AB11" i="6"/>
  <c r="Z14" i="7"/>
  <c r="AA14" i="6"/>
  <c r="BB14" i="6" s="1"/>
  <c r="AA12" i="6"/>
  <c r="BB12" i="6" s="1"/>
  <c r="Z12" i="7"/>
  <c r="Z10" i="7"/>
  <c r="AA10" i="6"/>
  <c r="BB10" i="6" s="1"/>
  <c r="N12" i="29"/>
  <c r="N25" i="29"/>
  <c r="D45" i="29" s="1"/>
  <c r="D49" i="29" s="1"/>
  <c r="AB28" i="29"/>
  <c r="E74" i="6"/>
  <c r="V21" i="7"/>
  <c r="W21" i="6"/>
  <c r="BA21" i="6" s="1"/>
  <c r="S52" i="6"/>
  <c r="S54" i="6" s="1"/>
  <c r="R61" i="7"/>
  <c r="BA53" i="7"/>
  <c r="E15" i="8" s="1"/>
  <c r="S15" i="8" s="1"/>
  <c r="W20" i="6"/>
  <c r="BA20" i="6" s="1"/>
  <c r="V20" i="7"/>
  <c r="V23" i="6"/>
  <c r="T51" i="6"/>
  <c r="R63" i="7"/>
  <c r="U23" i="7"/>
  <c r="J6" i="13"/>
  <c r="R62" i="7"/>
  <c r="E70" i="7" s="1"/>
  <c r="E43" i="12" s="1"/>
  <c r="BA51" i="7"/>
  <c r="E14" i="8" s="1"/>
  <c r="W24" i="29"/>
  <c r="F25" i="12"/>
  <c r="T24" i="7"/>
  <c r="T49" i="7"/>
  <c r="D26" i="12"/>
  <c r="E14" i="9"/>
  <c r="W26" i="3"/>
  <c r="W12" i="12" s="1"/>
  <c r="X27" i="29" s="1"/>
  <c r="X27" i="3"/>
  <c r="X33" i="3" s="1"/>
  <c r="R52" i="7"/>
  <c r="U24" i="6"/>
  <c r="U51" i="6" s="1"/>
  <c r="U61" i="6" s="1"/>
  <c r="U49" i="6"/>
  <c r="U56" i="6" s="1"/>
  <c r="V22" i="7"/>
  <c r="W22" i="6"/>
  <c r="BA22" i="6" s="1"/>
  <c r="T65" i="6"/>
  <c r="T64" i="6"/>
  <c r="T63" i="6"/>
  <c r="T53" i="6"/>
  <c r="P30" i="29" l="1"/>
  <c r="P31" i="29" s="1"/>
  <c r="L42" i="12"/>
  <c r="L34" i="8"/>
  <c r="E12" i="9"/>
  <c r="S10" i="8"/>
  <c r="E39" i="9"/>
  <c r="E11" i="9"/>
  <c r="T58" i="7"/>
  <c r="D29" i="9"/>
  <c r="R17" i="8"/>
  <c r="T65" i="7"/>
  <c r="T66" i="7"/>
  <c r="T64" i="7"/>
  <c r="S54" i="7"/>
  <c r="Q5" i="12" s="1"/>
  <c r="E69" i="7"/>
  <c r="E22" i="8"/>
  <c r="E28" i="8" s="1"/>
  <c r="U56" i="7"/>
  <c r="U58" i="6"/>
  <c r="U58" i="7" s="1"/>
  <c r="X35" i="3"/>
  <c r="X34" i="3"/>
  <c r="V34" i="3"/>
  <c r="AB2" i="6"/>
  <c r="AB2" i="7" s="1"/>
  <c r="AA2" i="7"/>
  <c r="BC2" i="7" s="1"/>
  <c r="S55" i="6"/>
  <c r="Q3" i="12"/>
  <c r="R25" i="29" s="1"/>
  <c r="R29" i="29" s="1"/>
  <c r="S63" i="7"/>
  <c r="T15" i="12"/>
  <c r="O20" i="5"/>
  <c r="D35" i="29"/>
  <c r="D41" i="29" s="1"/>
  <c r="D42" i="29" s="1"/>
  <c r="N19" i="29"/>
  <c r="F39" i="3"/>
  <c r="AS3" i="13"/>
  <c r="L19" i="13" s="1"/>
  <c r="L5" i="14" s="1"/>
  <c r="L36" i="29"/>
  <c r="L34" i="29"/>
  <c r="L37" i="29"/>
  <c r="J46" i="29"/>
  <c r="Z15" i="6"/>
  <c r="Z7" i="6"/>
  <c r="T60" i="6"/>
  <c r="T61" i="6"/>
  <c r="AB3" i="6"/>
  <c r="AA3" i="7"/>
  <c r="BC3" i="7" s="1"/>
  <c r="AA5" i="7"/>
  <c r="BC5" i="7" s="1"/>
  <c r="AB5" i="6"/>
  <c r="N29" i="29"/>
  <c r="AA4" i="7"/>
  <c r="BC4" i="7" s="1"/>
  <c r="AB4" i="6"/>
  <c r="Z6" i="7"/>
  <c r="Z7" i="7" s="1"/>
  <c r="AA6" i="6"/>
  <c r="AA7" i="6" s="1"/>
  <c r="Z9" i="7"/>
  <c r="Z15" i="7" s="1"/>
  <c r="AA9" i="6"/>
  <c r="AA15" i="6" s="1"/>
  <c r="AA16" i="6" s="1"/>
  <c r="AB11" i="7"/>
  <c r="AC11" i="6"/>
  <c r="AA14" i="7"/>
  <c r="BC14" i="7" s="1"/>
  <c r="AB14" i="6"/>
  <c r="AB12" i="6"/>
  <c r="AA12" i="7"/>
  <c r="BC12" i="7" s="1"/>
  <c r="T52" i="6"/>
  <c r="D28" i="12"/>
  <c r="D33" i="8" s="1"/>
  <c r="D35" i="8" s="1"/>
  <c r="E29" i="8"/>
  <c r="O12" i="29"/>
  <c r="O19" i="29" s="1"/>
  <c r="O25" i="29"/>
  <c r="AB10" i="6"/>
  <c r="AA10" i="7"/>
  <c r="H40" i="12"/>
  <c r="AC28" i="29"/>
  <c r="L38" i="29"/>
  <c r="M18" i="12"/>
  <c r="R54" i="7"/>
  <c r="P5" i="12" s="1"/>
  <c r="P21" i="12" s="1"/>
  <c r="P14" i="12" s="1"/>
  <c r="BA52" i="7"/>
  <c r="T51" i="7"/>
  <c r="T52" i="7" s="1"/>
  <c r="W22" i="7"/>
  <c r="BB22" i="7" s="1"/>
  <c r="X22" i="6"/>
  <c r="X26" i="3"/>
  <c r="X12" i="12" s="1"/>
  <c r="Y27" i="29" s="1"/>
  <c r="Y27" i="3"/>
  <c r="V24" i="6"/>
  <c r="V51" i="6" s="1"/>
  <c r="V61" i="6" s="1"/>
  <c r="V49" i="6"/>
  <c r="V56" i="6" s="1"/>
  <c r="T53" i="7"/>
  <c r="X24" i="29"/>
  <c r="U24" i="7"/>
  <c r="U51" i="7" s="1"/>
  <c r="U62" i="7" s="1"/>
  <c r="U49" i="7"/>
  <c r="V23" i="7"/>
  <c r="V24" i="7" s="1"/>
  <c r="W21" i="7"/>
  <c r="BB21" i="7" s="1"/>
  <c r="X21" i="6"/>
  <c r="U65" i="6"/>
  <c r="U64" i="6"/>
  <c r="U63" i="6"/>
  <c r="U52" i="6"/>
  <c r="U53" i="6"/>
  <c r="U60" i="6" s="1"/>
  <c r="E42" i="9"/>
  <c r="S14" i="8"/>
  <c r="F24" i="8"/>
  <c r="AU7" i="5"/>
  <c r="W20" i="7"/>
  <c r="X20" i="6"/>
  <c r="W23" i="6"/>
  <c r="BA23" i="6" s="1"/>
  <c r="BA49" i="6" s="1"/>
  <c r="BA56" i="6" s="1"/>
  <c r="E75" i="7"/>
  <c r="E22" i="9" l="1"/>
  <c r="E41" i="9"/>
  <c r="S12" i="8"/>
  <c r="S11" i="8"/>
  <c r="E40" i="9"/>
  <c r="R12" i="29"/>
  <c r="R19" i="29" s="1"/>
  <c r="R30" i="29" s="1"/>
  <c r="R31" i="29" s="1"/>
  <c r="Q21" i="12"/>
  <c r="Q14" i="12" s="1"/>
  <c r="E37" i="12" s="1"/>
  <c r="E16" i="8" s="1"/>
  <c r="D41" i="12"/>
  <c r="D49" i="12" s="1"/>
  <c r="D47" i="12" s="1"/>
  <c r="Y33" i="3"/>
  <c r="Y35" i="3" s="1"/>
  <c r="U64" i="7"/>
  <c r="U66" i="7"/>
  <c r="U65" i="7"/>
  <c r="S22" i="8"/>
  <c r="AC2" i="6"/>
  <c r="AC2" i="7" s="1"/>
  <c r="W23" i="7"/>
  <c r="W24" i="7" s="1"/>
  <c r="W51" i="7" s="1"/>
  <c r="W62" i="7" s="1"/>
  <c r="V58" i="6"/>
  <c r="V56" i="7"/>
  <c r="P20" i="5"/>
  <c r="P18" i="5"/>
  <c r="P19" i="5"/>
  <c r="P16" i="5"/>
  <c r="P17" i="5"/>
  <c r="U15" i="12"/>
  <c r="F38" i="12" s="1"/>
  <c r="F36" i="12" s="1"/>
  <c r="V15" i="12"/>
  <c r="D50" i="29"/>
  <c r="D51" i="29" s="1"/>
  <c r="N30" i="29"/>
  <c r="N31" i="29" s="1"/>
  <c r="N21" i="29"/>
  <c r="O21" i="29"/>
  <c r="O30" i="29"/>
  <c r="O31" i="29" s="1"/>
  <c r="F6" i="9"/>
  <c r="F34" i="9" s="1"/>
  <c r="F33" i="9" s="1"/>
  <c r="F7" i="9"/>
  <c r="L29" i="12"/>
  <c r="BB15" i="6"/>
  <c r="Z16" i="6"/>
  <c r="BB16" i="6" s="1"/>
  <c r="BB9" i="6"/>
  <c r="T54" i="6"/>
  <c r="R3" i="12" s="1"/>
  <c r="BB7" i="6"/>
  <c r="AA6" i="7"/>
  <c r="AA7" i="7" s="1"/>
  <c r="BC7" i="7" s="1"/>
  <c r="AB6" i="6"/>
  <c r="BB6" i="6"/>
  <c r="AB5" i="7"/>
  <c r="AC5" i="6"/>
  <c r="G82" i="6"/>
  <c r="AB3" i="7"/>
  <c r="AC3" i="6"/>
  <c r="O29" i="29"/>
  <c r="L30" i="12"/>
  <c r="AB4" i="7"/>
  <c r="AC4" i="6"/>
  <c r="AA9" i="7"/>
  <c r="BC9" i="7" s="1"/>
  <c r="AB9" i="6"/>
  <c r="G89" i="6"/>
  <c r="AD11" i="6"/>
  <c r="AC11" i="7"/>
  <c r="AB14" i="7"/>
  <c r="AC14" i="6"/>
  <c r="AB12" i="7"/>
  <c r="AC12" i="6"/>
  <c r="AB10" i="7"/>
  <c r="AC10" i="6"/>
  <c r="N18" i="12"/>
  <c r="N4" i="13" s="1"/>
  <c r="BC10" i="7"/>
  <c r="Z16" i="7"/>
  <c r="AD28" i="29"/>
  <c r="H48" i="29" s="1"/>
  <c r="L31" i="12"/>
  <c r="M4" i="13"/>
  <c r="M19" i="12"/>
  <c r="AD2" i="6"/>
  <c r="T61" i="7"/>
  <c r="U54" i="6"/>
  <c r="S3" i="12" s="1"/>
  <c r="X21" i="7"/>
  <c r="Y21" i="6"/>
  <c r="U53" i="7"/>
  <c r="U61" i="7" s="1"/>
  <c r="U52" i="7"/>
  <c r="Y24" i="29"/>
  <c r="Y22" i="6"/>
  <c r="X22" i="7"/>
  <c r="V49" i="7"/>
  <c r="W24" i="6"/>
  <c r="W51" i="6" s="1"/>
  <c r="W61" i="6" s="1"/>
  <c r="F69" i="6" s="1"/>
  <c r="W49" i="6"/>
  <c r="X20" i="7"/>
  <c r="Y20" i="6"/>
  <c r="X23" i="6"/>
  <c r="S55" i="7"/>
  <c r="BA55" i="7" s="1"/>
  <c r="BA54" i="7"/>
  <c r="BB20" i="7"/>
  <c r="T54" i="7"/>
  <c r="R5" i="12" s="1"/>
  <c r="R21" i="12" s="1"/>
  <c r="R14" i="12" s="1"/>
  <c r="T63" i="7"/>
  <c r="V65" i="6"/>
  <c r="V64" i="6"/>
  <c r="V63" i="6"/>
  <c r="V52" i="6"/>
  <c r="V53" i="6"/>
  <c r="V60" i="6" s="1"/>
  <c r="Z27" i="3"/>
  <c r="Y26" i="3"/>
  <c r="Y12" i="12" s="1"/>
  <c r="T62" i="7"/>
  <c r="R21" i="29" l="1"/>
  <c r="Q18" i="12"/>
  <c r="Q4" i="13" s="1"/>
  <c r="Q6" i="13" s="1"/>
  <c r="E17" i="8"/>
  <c r="E20" i="8" s="1"/>
  <c r="E26" i="8" s="1"/>
  <c r="E16" i="9"/>
  <c r="W49" i="7"/>
  <c r="W66" i="7" s="1"/>
  <c r="Z33" i="3"/>
  <c r="Z35" i="3" s="1"/>
  <c r="Y34" i="3"/>
  <c r="V64" i="7"/>
  <c r="V65" i="7"/>
  <c r="V66" i="7"/>
  <c r="W65" i="7"/>
  <c r="BB23" i="7"/>
  <c r="G91" i="6"/>
  <c r="W50" i="6"/>
  <c r="BA50" i="6" s="1"/>
  <c r="W56" i="6"/>
  <c r="V58" i="7"/>
  <c r="F48" i="12"/>
  <c r="T8" i="8"/>
  <c r="AA8" i="8" s="1"/>
  <c r="F38" i="3"/>
  <c r="F7" i="8" s="1"/>
  <c r="F6" i="8" s="1"/>
  <c r="T6" i="8" s="1"/>
  <c r="BA24" i="6"/>
  <c r="T9" i="8"/>
  <c r="AA9" i="8" s="1"/>
  <c r="Q8" i="9"/>
  <c r="M6" i="13"/>
  <c r="D22" i="13" s="1"/>
  <c r="D20" i="13"/>
  <c r="D6" i="14" s="1"/>
  <c r="AB15" i="6"/>
  <c r="AB16" i="6" s="1"/>
  <c r="AC6" i="6"/>
  <c r="AC7" i="6" s="1"/>
  <c r="AB6" i="7"/>
  <c r="AB7" i="7" s="1"/>
  <c r="BC6" i="7"/>
  <c r="BA51" i="6"/>
  <c r="AD2" i="7"/>
  <c r="AB7" i="6"/>
  <c r="AA15" i="7"/>
  <c r="AA16" i="7" s="1"/>
  <c r="BC16" i="7" s="1"/>
  <c r="AC3" i="7"/>
  <c r="AD3" i="6"/>
  <c r="AD5" i="6"/>
  <c r="AC5" i="7"/>
  <c r="D44" i="12"/>
  <c r="AD4" i="6"/>
  <c r="AC4" i="7"/>
  <c r="AB9" i="7"/>
  <c r="AB15" i="7" s="1"/>
  <c r="AC9" i="6"/>
  <c r="AC15" i="6" s="1"/>
  <c r="AC16" i="6" s="1"/>
  <c r="AE11" i="6"/>
  <c r="BC11" i="6" s="1"/>
  <c r="AD11" i="7"/>
  <c r="AC14" i="7"/>
  <c r="AD14" i="6"/>
  <c r="AD12" i="6"/>
  <c r="AC12" i="7"/>
  <c r="Q12" i="29"/>
  <c r="Q25" i="29"/>
  <c r="AC10" i="7"/>
  <c r="AD10" i="6"/>
  <c r="AE28" i="29"/>
  <c r="G35" i="12"/>
  <c r="Z27" i="29"/>
  <c r="G47" i="29" s="1"/>
  <c r="AE2" i="6"/>
  <c r="AE2" i="7" s="1"/>
  <c r="BB49" i="7"/>
  <c r="U63" i="7"/>
  <c r="F14" i="9"/>
  <c r="Y20" i="7"/>
  <c r="Z20" i="6"/>
  <c r="Y23" i="6"/>
  <c r="Y21" i="7"/>
  <c r="Z21" i="6"/>
  <c r="AA27" i="3"/>
  <c r="Z26" i="3"/>
  <c r="Z12" i="12" s="1"/>
  <c r="AA27" i="29" s="1"/>
  <c r="Z24" i="29"/>
  <c r="G44" i="29" s="1"/>
  <c r="V51" i="7"/>
  <c r="V52" i="7" s="1"/>
  <c r="BB24" i="7"/>
  <c r="V54" i="6"/>
  <c r="T3" i="12" s="1"/>
  <c r="X23" i="7"/>
  <c r="Y22" i="7"/>
  <c r="Z22" i="6"/>
  <c r="N6" i="13"/>
  <c r="E26" i="12"/>
  <c r="X24" i="6"/>
  <c r="X49" i="6"/>
  <c r="X56" i="6" s="1"/>
  <c r="W65" i="6"/>
  <c r="F73" i="6" s="1"/>
  <c r="F45" i="9" s="1"/>
  <c r="W64" i="6"/>
  <c r="F72" i="6" s="1"/>
  <c r="F44" i="9" s="1"/>
  <c r="W63" i="6"/>
  <c r="F71" i="6" s="1"/>
  <c r="F43" i="9" s="1"/>
  <c r="W53" i="6"/>
  <c r="W60" i="6" s="1"/>
  <c r="F68" i="6" s="1"/>
  <c r="F74" i="6" s="1"/>
  <c r="W52" i="6"/>
  <c r="BA52" i="6" s="1"/>
  <c r="V53" i="7"/>
  <c r="V61" i="7" s="1"/>
  <c r="W52" i="7"/>
  <c r="U54" i="7"/>
  <c r="Z34" i="3" l="1"/>
  <c r="W53" i="7"/>
  <c r="W61" i="7" s="1"/>
  <c r="W64" i="7"/>
  <c r="W50" i="7"/>
  <c r="BB50" i="7" s="1"/>
  <c r="E28" i="9"/>
  <c r="E17" i="9"/>
  <c r="S16" i="8"/>
  <c r="E30" i="8"/>
  <c r="E31" i="8"/>
  <c r="D45" i="12"/>
  <c r="D51" i="12" s="1"/>
  <c r="D25" i="13"/>
  <c r="AA33" i="3"/>
  <c r="AA34" i="3" s="1"/>
  <c r="W58" i="6"/>
  <c r="BA58" i="6" s="1"/>
  <c r="W56" i="7"/>
  <c r="BB56" i="7" s="1"/>
  <c r="X58" i="6"/>
  <c r="X58" i="7" s="1"/>
  <c r="X56" i="7"/>
  <c r="G38" i="3"/>
  <c r="G7" i="8" s="1"/>
  <c r="T7" i="8"/>
  <c r="E35" i="29"/>
  <c r="E41" i="29" s="1"/>
  <c r="E42" i="29" s="1"/>
  <c r="Q19" i="29"/>
  <c r="Q9" i="9"/>
  <c r="T25" i="29"/>
  <c r="T29" i="29" s="1"/>
  <c r="S5" i="12"/>
  <c r="BC15" i="7"/>
  <c r="K32" i="12"/>
  <c r="AD6" i="6"/>
  <c r="BA53" i="6"/>
  <c r="F15" i="9" s="1"/>
  <c r="F46" i="9" s="1"/>
  <c r="BC2" i="6"/>
  <c r="AE5" i="6"/>
  <c r="BC5" i="6" s="1"/>
  <c r="AD5" i="7"/>
  <c r="AC6" i="7"/>
  <c r="AC7" i="7" s="1"/>
  <c r="D50" i="12"/>
  <c r="AD3" i="7"/>
  <c r="AE3" i="6"/>
  <c r="BC3" i="6" s="1"/>
  <c r="Q29" i="29"/>
  <c r="E45" i="29"/>
  <c r="E49" i="29" s="1"/>
  <c r="AE4" i="6"/>
  <c r="AD4" i="7"/>
  <c r="AC9" i="7"/>
  <c r="AC15" i="7" s="1"/>
  <c r="AC16" i="7" s="1"/>
  <c r="AD9" i="6"/>
  <c r="AD15" i="6" s="1"/>
  <c r="AD16" i="6" s="1"/>
  <c r="AF11" i="6"/>
  <c r="AE11" i="7"/>
  <c r="BD11" i="7" s="1"/>
  <c r="AD14" i="7"/>
  <c r="AE14" i="6"/>
  <c r="BC14" i="6" s="1"/>
  <c r="AE12" i="6"/>
  <c r="BC12" i="6" s="1"/>
  <c r="AD12" i="7"/>
  <c r="E28" i="12"/>
  <c r="E33" i="8" s="1"/>
  <c r="E35" i="8" s="1"/>
  <c r="AB16" i="7"/>
  <c r="S12" i="29"/>
  <c r="S19" i="29" s="1"/>
  <c r="S25" i="29"/>
  <c r="AD10" i="7"/>
  <c r="AE10" i="6"/>
  <c r="BC10" i="6" s="1"/>
  <c r="AF28" i="29"/>
  <c r="F69" i="7"/>
  <c r="W54" i="7"/>
  <c r="AF2" i="6"/>
  <c r="W54" i="6"/>
  <c r="U3" i="12" s="1"/>
  <c r="F74" i="7"/>
  <c r="BB53" i="7"/>
  <c r="F15" i="8" s="1"/>
  <c r="P18" i="12"/>
  <c r="V54" i="7"/>
  <c r="BB52" i="7"/>
  <c r="AA26" i="3"/>
  <c r="AA12" i="12" s="1"/>
  <c r="AB27" i="29" s="1"/>
  <c r="AB27" i="3"/>
  <c r="X24" i="7"/>
  <c r="X49" i="7"/>
  <c r="AA24" i="29"/>
  <c r="G25" i="12"/>
  <c r="Y24" i="6"/>
  <c r="Y51" i="6" s="1"/>
  <c r="Y61" i="6" s="1"/>
  <c r="Y49" i="6"/>
  <c r="Y56" i="6" s="1"/>
  <c r="X65" i="6"/>
  <c r="X64" i="6"/>
  <c r="X63" i="6"/>
  <c r="X53" i="6"/>
  <c r="W63" i="7"/>
  <c r="V63" i="7"/>
  <c r="F72" i="7"/>
  <c r="X51" i="6"/>
  <c r="Z22" i="7"/>
  <c r="AA22" i="6"/>
  <c r="BB22" i="6" s="1"/>
  <c r="Z20" i="7"/>
  <c r="AA20" i="6"/>
  <c r="BB20" i="6" s="1"/>
  <c r="Z23" i="6"/>
  <c r="F42" i="9"/>
  <c r="F73" i="7"/>
  <c r="V62" i="7"/>
  <c r="F70" i="7" s="1"/>
  <c r="F43" i="12" s="1"/>
  <c r="BB51" i="7"/>
  <c r="F14" i="8" s="1"/>
  <c r="Z21" i="7"/>
  <c r="AA21" i="6"/>
  <c r="BB21" i="6" s="1"/>
  <c r="Y23" i="7"/>
  <c r="AA35" i="3" l="1"/>
  <c r="E29" i="9"/>
  <c r="S17" i="8"/>
  <c r="T12" i="29"/>
  <c r="T19" i="29" s="1"/>
  <c r="T30" i="29" s="1"/>
  <c r="T31" i="29" s="1"/>
  <c r="S21" i="12"/>
  <c r="S14" i="12" s="1"/>
  <c r="S18" i="12" s="1"/>
  <c r="S4" i="13" s="1"/>
  <c r="S6" i="13" s="1"/>
  <c r="E41" i="12"/>
  <c r="AB33" i="3"/>
  <c r="AB34" i="3" s="1"/>
  <c r="X66" i="7"/>
  <c r="X64" i="7"/>
  <c r="X65" i="7"/>
  <c r="Y58" i="6"/>
  <c r="Y58" i="7" s="1"/>
  <c r="Y56" i="7"/>
  <c r="W58" i="7"/>
  <c r="BB58" i="7" s="1"/>
  <c r="F10" i="8" s="1"/>
  <c r="F10" i="9"/>
  <c r="Q30" i="29"/>
  <c r="Q31" i="29" s="1"/>
  <c r="Q21" i="29"/>
  <c r="S21" i="29"/>
  <c r="S30" i="29"/>
  <c r="S31" i="29" s="1"/>
  <c r="AD6" i="7"/>
  <c r="AD7" i="7" s="1"/>
  <c r="X15" i="12"/>
  <c r="U25" i="29"/>
  <c r="U29" i="29" s="1"/>
  <c r="T5" i="12"/>
  <c r="T21" i="12" s="1"/>
  <c r="T14" i="12" s="1"/>
  <c r="AE6" i="6"/>
  <c r="AE7" i="6" s="1"/>
  <c r="V25" i="29"/>
  <c r="V29" i="29" s="1"/>
  <c r="U5" i="12"/>
  <c r="U21" i="12" s="1"/>
  <c r="U14" i="12" s="1"/>
  <c r="K46" i="29"/>
  <c r="X60" i="6"/>
  <c r="W55" i="6"/>
  <c r="BA55" i="6" s="1"/>
  <c r="BA54" i="6"/>
  <c r="AD7" i="6"/>
  <c r="T15" i="8"/>
  <c r="X61" i="6"/>
  <c r="AF2" i="7"/>
  <c r="BC4" i="6"/>
  <c r="AE3" i="7"/>
  <c r="BD3" i="7" s="1"/>
  <c r="AF3" i="6"/>
  <c r="AF5" i="6"/>
  <c r="AE5" i="7"/>
  <c r="BD5" i="7" s="1"/>
  <c r="S29" i="29"/>
  <c r="AE4" i="7"/>
  <c r="BD4" i="7" s="1"/>
  <c r="AF4" i="6"/>
  <c r="AD9" i="7"/>
  <c r="AE9" i="6"/>
  <c r="AE15" i="6" s="1"/>
  <c r="BC15" i="6" s="1"/>
  <c r="R18" i="12"/>
  <c r="R4" i="13" s="1"/>
  <c r="AF11" i="7"/>
  <c r="AG11" i="6"/>
  <c r="AF14" i="6"/>
  <c r="AE14" i="7"/>
  <c r="BD14" i="7" s="1"/>
  <c r="AF12" i="6"/>
  <c r="AE12" i="7"/>
  <c r="BD12" i="7" s="1"/>
  <c r="AF10" i="6"/>
  <c r="AE10" i="7"/>
  <c r="I40" i="12"/>
  <c r="AG28" i="29"/>
  <c r="P4" i="13"/>
  <c r="P6" i="13" s="1"/>
  <c r="F29" i="8"/>
  <c r="Q19" i="12"/>
  <c r="BD2" i="7"/>
  <c r="AG2" i="6"/>
  <c r="AG2" i="7" s="1"/>
  <c r="BB54" i="7"/>
  <c r="W55" i="7"/>
  <c r="BB55" i="7" s="1"/>
  <c r="Z24" i="6"/>
  <c r="Z51" i="6" s="1"/>
  <c r="Z61" i="6" s="1"/>
  <c r="Z49" i="6"/>
  <c r="Z56" i="6" s="1"/>
  <c r="X52" i="6"/>
  <c r="G24" i="8"/>
  <c r="Y24" i="7"/>
  <c r="Y51" i="7" s="1"/>
  <c r="Y62" i="7" s="1"/>
  <c r="Y49" i="7"/>
  <c r="AA21" i="7"/>
  <c r="BC21" i="7" s="1"/>
  <c r="AB21" i="6"/>
  <c r="AA20" i="7"/>
  <c r="BC20" i="7" s="1"/>
  <c r="AB20" i="6"/>
  <c r="AA23" i="6"/>
  <c r="BB23" i="6" s="1"/>
  <c r="BB49" i="6" s="1"/>
  <c r="BB56" i="6" s="1"/>
  <c r="AB24" i="29"/>
  <c r="X51" i="7"/>
  <c r="X52" i="7" s="1"/>
  <c r="AB26" i="3"/>
  <c r="AB12" i="12" s="1"/>
  <c r="AC27" i="29" s="1"/>
  <c r="AC27" i="3"/>
  <c r="Y52" i="6"/>
  <c r="Y53" i="6"/>
  <c r="Y60" i="6" s="1"/>
  <c r="Y63" i="6"/>
  <c r="Y65" i="6"/>
  <c r="Y64" i="6"/>
  <c r="X53" i="7"/>
  <c r="T14" i="8"/>
  <c r="Z23" i="7"/>
  <c r="AA22" i="7"/>
  <c r="BC22" i="7" s="1"/>
  <c r="AB22" i="6"/>
  <c r="F75" i="7"/>
  <c r="AB35" i="3" l="1"/>
  <c r="T21" i="29"/>
  <c r="F37" i="12"/>
  <c r="F16" i="8" s="1"/>
  <c r="E49" i="12"/>
  <c r="E47" i="12" s="1"/>
  <c r="E44" i="12"/>
  <c r="AC33" i="3"/>
  <c r="AC34" i="3" s="1"/>
  <c r="Y66" i="7"/>
  <c r="Y64" i="7"/>
  <c r="Y65" i="7"/>
  <c r="F39" i="9"/>
  <c r="F12" i="9"/>
  <c r="F11" i="9"/>
  <c r="T10" i="8"/>
  <c r="F11" i="8"/>
  <c r="F21" i="8" s="1"/>
  <c r="F27" i="8" s="1"/>
  <c r="F12" i="8"/>
  <c r="F22" i="8" s="1"/>
  <c r="F28" i="8" s="1"/>
  <c r="Z56" i="7"/>
  <c r="Z58" i="6"/>
  <c r="BC6" i="6"/>
  <c r="F26" i="12"/>
  <c r="G39" i="3"/>
  <c r="G7" i="9" s="1"/>
  <c r="U18" i="12"/>
  <c r="U4" i="13" s="1"/>
  <c r="U6" i="13" s="1"/>
  <c r="E22" i="13"/>
  <c r="E20" i="13"/>
  <c r="E6" i="14" s="1"/>
  <c r="BC9" i="6"/>
  <c r="X54" i="6"/>
  <c r="V3" i="12" s="1"/>
  <c r="BC7" i="6"/>
  <c r="AF5" i="7"/>
  <c r="AG5" i="6"/>
  <c r="H82" i="6"/>
  <c r="AF3" i="7"/>
  <c r="AG3" i="6"/>
  <c r="E50" i="29"/>
  <c r="E51" i="29" s="1"/>
  <c r="AE6" i="7"/>
  <c r="BD6" i="7" s="1"/>
  <c r="F45" i="29"/>
  <c r="F49" i="29" s="1"/>
  <c r="AF4" i="7"/>
  <c r="AG4" i="6"/>
  <c r="AF6" i="6"/>
  <c r="AD15" i="7"/>
  <c r="AD16" i="7" s="1"/>
  <c r="AE9" i="7"/>
  <c r="BD9" i="7" s="1"/>
  <c r="AF9" i="6"/>
  <c r="H89" i="6"/>
  <c r="AH11" i="6"/>
  <c r="AG11" i="7"/>
  <c r="AF14" i="7"/>
  <c r="AG14" i="6"/>
  <c r="V12" i="29"/>
  <c r="V19" i="29" s="1"/>
  <c r="AF12" i="7"/>
  <c r="AG12" i="6"/>
  <c r="AF10" i="7"/>
  <c r="AG10" i="6"/>
  <c r="AE16" i="6"/>
  <c r="BC16" i="6" s="1"/>
  <c r="BD10" i="7"/>
  <c r="F28" i="12"/>
  <c r="F33" i="8" s="1"/>
  <c r="F35" i="8" s="1"/>
  <c r="U12" i="29"/>
  <c r="U19" i="29" s="1"/>
  <c r="AH28" i="29"/>
  <c r="I48" i="29" s="1"/>
  <c r="AH2" i="6"/>
  <c r="AH2" i="7" s="1"/>
  <c r="Y54" i="6"/>
  <c r="W3" i="12" s="1"/>
  <c r="T18" i="12"/>
  <c r="X54" i="7"/>
  <c r="V5" i="12" s="1"/>
  <c r="V21" i="12" s="1"/>
  <c r="V14" i="12" s="1"/>
  <c r="AC22" i="6"/>
  <c r="AB22" i="7"/>
  <c r="AD27" i="3"/>
  <c r="AC26" i="3"/>
  <c r="AC12" i="12" s="1"/>
  <c r="AA23" i="7"/>
  <c r="Z65" i="6"/>
  <c r="Z64" i="6"/>
  <c r="Z63" i="6"/>
  <c r="Z52" i="6"/>
  <c r="Z53" i="6"/>
  <c r="Z60" i="6" s="1"/>
  <c r="R6" i="13"/>
  <c r="AB20" i="7"/>
  <c r="AC20" i="6"/>
  <c r="AB23" i="6"/>
  <c r="Z24" i="7"/>
  <c r="Z49" i="7"/>
  <c r="X61" i="7"/>
  <c r="X63" i="7"/>
  <c r="X62" i="7"/>
  <c r="AC24" i="29"/>
  <c r="AA24" i="6"/>
  <c r="BB24" i="6" s="1"/>
  <c r="AA49" i="6"/>
  <c r="AB21" i="7"/>
  <c r="AC21" i="6"/>
  <c r="Y53" i="7"/>
  <c r="Y61" i="7" s="1"/>
  <c r="Y52" i="7"/>
  <c r="AC35" i="3" l="1"/>
  <c r="E50" i="12"/>
  <c r="F17" i="8"/>
  <c r="F20" i="8" s="1"/>
  <c r="F26" i="8" s="1"/>
  <c r="F31" i="8" s="1"/>
  <c r="F16" i="9"/>
  <c r="E45" i="12"/>
  <c r="E51" i="12" s="1"/>
  <c r="E25" i="13"/>
  <c r="F41" i="12"/>
  <c r="AD33" i="3"/>
  <c r="AD34" i="3" s="1"/>
  <c r="Z66" i="7"/>
  <c r="Z64" i="7"/>
  <c r="Z65" i="7"/>
  <c r="F40" i="9"/>
  <c r="T11" i="8"/>
  <c r="T12" i="8"/>
  <c r="F22" i="9"/>
  <c r="T22" i="8" s="1"/>
  <c r="F41" i="9"/>
  <c r="AA50" i="6"/>
  <c r="BB50" i="6" s="1"/>
  <c r="AA56" i="6"/>
  <c r="G6" i="9"/>
  <c r="G34" i="9" s="1"/>
  <c r="G33" i="9" s="1"/>
  <c r="Z58" i="7"/>
  <c r="H91" i="6"/>
  <c r="F44" i="12"/>
  <c r="U30" i="29"/>
  <c r="U31" i="29" s="1"/>
  <c r="U21" i="29"/>
  <c r="V30" i="29"/>
  <c r="V31" i="29" s="1"/>
  <c r="V21" i="29"/>
  <c r="Y15" i="12"/>
  <c r="G38" i="12" s="1"/>
  <c r="AE7" i="7"/>
  <c r="BD7" i="7" s="1"/>
  <c r="AF15" i="6"/>
  <c r="AF7" i="6"/>
  <c r="AE15" i="7"/>
  <c r="AE16" i="7" s="1"/>
  <c r="BD16" i="7" s="1"/>
  <c r="AG3" i="7"/>
  <c r="AH3" i="6"/>
  <c r="AG6" i="6"/>
  <c r="AG7" i="6" s="1"/>
  <c r="AF6" i="7"/>
  <c r="AF7" i="7" s="1"/>
  <c r="AH5" i="6"/>
  <c r="AG5" i="7"/>
  <c r="F35" i="29"/>
  <c r="F41" i="29" s="1"/>
  <c r="F42" i="29" s="1"/>
  <c r="AH4" i="6"/>
  <c r="AG4" i="7"/>
  <c r="AF9" i="7"/>
  <c r="AG9" i="6"/>
  <c r="AG15" i="6" s="1"/>
  <c r="AG16" i="6" s="1"/>
  <c r="AI11" i="6"/>
  <c r="BD11" i="6" s="1"/>
  <c r="AH11" i="7"/>
  <c r="AG14" i="7"/>
  <c r="AH14" i="6"/>
  <c r="AH12" i="6"/>
  <c r="AG12" i="7"/>
  <c r="AG10" i="7"/>
  <c r="AH10" i="6"/>
  <c r="AI28" i="29"/>
  <c r="H35" i="12"/>
  <c r="AD27" i="29"/>
  <c r="H47" i="29" s="1"/>
  <c r="T4" i="13"/>
  <c r="U19" i="12"/>
  <c r="AI2" i="6"/>
  <c r="BD2" i="6" s="1"/>
  <c r="Z54" i="6"/>
  <c r="X3" i="12" s="1"/>
  <c r="Y63" i="7"/>
  <c r="AC21" i="7"/>
  <c r="AD21" i="6"/>
  <c r="Z53" i="7"/>
  <c r="Z61" i="7" s="1"/>
  <c r="AB23" i="7"/>
  <c r="AE27" i="3"/>
  <c r="AD26" i="3"/>
  <c r="AD12" i="12" s="1"/>
  <c r="AE27" i="29" s="1"/>
  <c r="AC22" i="7"/>
  <c r="AD22" i="6"/>
  <c r="AA65" i="6"/>
  <c r="G73" i="6" s="1"/>
  <c r="G45" i="9" s="1"/>
  <c r="AA64" i="6"/>
  <c r="G72" i="6" s="1"/>
  <c r="G44" i="9" s="1"/>
  <c r="AA63" i="6"/>
  <c r="G71" i="6" s="1"/>
  <c r="G43" i="9" s="1"/>
  <c r="AA53" i="6"/>
  <c r="AA60" i="6" s="1"/>
  <c r="G68" i="6" s="1"/>
  <c r="Z51" i="7"/>
  <c r="Z52" i="7" s="1"/>
  <c r="AB24" i="6"/>
  <c r="AB49" i="6"/>
  <c r="AB56" i="6" s="1"/>
  <c r="Y54" i="7"/>
  <c r="AA51" i="6"/>
  <c r="AC20" i="7"/>
  <c r="AD20" i="6"/>
  <c r="AC23" i="6"/>
  <c r="AA24" i="7"/>
  <c r="AA51" i="7" s="1"/>
  <c r="AA62" i="7" s="1"/>
  <c r="AA49" i="7"/>
  <c r="BC23" i="7"/>
  <c r="AD35" i="3" l="1"/>
  <c r="F30" i="8"/>
  <c r="T16" i="8"/>
  <c r="F28" i="9"/>
  <c r="F17" i="9"/>
  <c r="F45" i="12"/>
  <c r="F25" i="13"/>
  <c r="AE33" i="3"/>
  <c r="AE34" i="3" s="1"/>
  <c r="AA66" i="7"/>
  <c r="G74" i="7" s="1"/>
  <c r="AA64" i="7"/>
  <c r="AA65" i="7"/>
  <c r="G73" i="7" s="1"/>
  <c r="AA58" i="6"/>
  <c r="AA56" i="7"/>
  <c r="BC56" i="7" s="1"/>
  <c r="AB56" i="7"/>
  <c r="AB58" i="6"/>
  <c r="AB58" i="7" s="1"/>
  <c r="Z15" i="12"/>
  <c r="F49" i="12"/>
  <c r="F47" i="12" s="1"/>
  <c r="BD15" i="7"/>
  <c r="AA15" i="12"/>
  <c r="G6" i="8"/>
  <c r="U6" i="8" s="1"/>
  <c r="U7" i="8"/>
  <c r="G36" i="12"/>
  <c r="G48" i="12"/>
  <c r="X25" i="29"/>
  <c r="X29" i="29" s="1"/>
  <c r="W5" i="12"/>
  <c r="L32" i="12"/>
  <c r="T6" i="13"/>
  <c r="F22" i="13" s="1"/>
  <c r="F20" i="13"/>
  <c r="F6" i="14" s="1"/>
  <c r="AF16" i="6"/>
  <c r="AG6" i="7"/>
  <c r="AG7" i="7" s="1"/>
  <c r="AA61" i="6"/>
  <c r="G69" i="6" s="1"/>
  <c r="G14" i="9" s="1"/>
  <c r="BB51" i="6"/>
  <c r="BB53" i="6"/>
  <c r="G15" i="9" s="1"/>
  <c r="G46" i="9" s="1"/>
  <c r="AI5" i="6"/>
  <c r="BD5" i="6" s="1"/>
  <c r="AH5" i="7"/>
  <c r="AH6" i="6"/>
  <c r="AH7" i="6" s="1"/>
  <c r="AH3" i="7"/>
  <c r="AI3" i="6"/>
  <c r="BD3" i="6" s="1"/>
  <c r="AC23" i="7"/>
  <c r="AC49" i="7" s="1"/>
  <c r="AI2" i="7"/>
  <c r="BE2" i="7" s="1"/>
  <c r="AJ2" i="6"/>
  <c r="F50" i="29"/>
  <c r="F51" i="29" s="1"/>
  <c r="AI4" i="6"/>
  <c r="BD4" i="6" s="1"/>
  <c r="AH4" i="7"/>
  <c r="AG9" i="7"/>
  <c r="AH9" i="6"/>
  <c r="AF15" i="7"/>
  <c r="AF16" i="7" s="1"/>
  <c r="AI11" i="7"/>
  <c r="BE11" i="7" s="1"/>
  <c r="AJ11" i="6"/>
  <c r="AH14" i="7"/>
  <c r="AI14" i="6"/>
  <c r="BD14" i="6" s="1"/>
  <c r="AI12" i="6"/>
  <c r="BD12" i="6" s="1"/>
  <c r="AH12" i="7"/>
  <c r="AH10" i="7"/>
  <c r="AI10" i="6"/>
  <c r="BD10" i="6" s="1"/>
  <c r="W12" i="29"/>
  <c r="W19" i="29" s="1"/>
  <c r="W25" i="29"/>
  <c r="H25" i="12"/>
  <c r="AD24" i="29"/>
  <c r="H44" i="29" s="1"/>
  <c r="AJ28" i="29"/>
  <c r="Z54" i="7"/>
  <c r="AA52" i="6"/>
  <c r="AC24" i="6"/>
  <c r="AC51" i="6" s="1"/>
  <c r="AC61" i="6" s="1"/>
  <c r="AC49" i="6"/>
  <c r="AC56" i="6" s="1"/>
  <c r="AB51" i="6"/>
  <c r="AB24" i="7"/>
  <c r="AB49" i="7"/>
  <c r="AE20" i="6"/>
  <c r="BC20" i="6" s="1"/>
  <c r="AD23" i="6"/>
  <c r="AD20" i="7"/>
  <c r="AA53" i="7"/>
  <c r="AA52" i="7"/>
  <c r="BC52" i="7" s="1"/>
  <c r="BC24" i="7"/>
  <c r="BC49" i="7"/>
  <c r="Z63" i="7"/>
  <c r="AE24" i="29"/>
  <c r="AD22" i="7"/>
  <c r="AE22" i="6"/>
  <c r="BC22" i="6" s="1"/>
  <c r="AD21" i="7"/>
  <c r="AE21" i="6"/>
  <c r="BC21" i="6" s="1"/>
  <c r="AB65" i="6"/>
  <c r="AB64" i="6"/>
  <c r="AB63" i="6"/>
  <c r="AB53" i="6"/>
  <c r="Z62" i="7"/>
  <c r="G70" i="7" s="1"/>
  <c r="BC51" i="7"/>
  <c r="G14" i="8" s="1"/>
  <c r="AE26" i="3"/>
  <c r="AE12" i="12" s="1"/>
  <c r="AF27" i="29" s="1"/>
  <c r="AF27" i="3"/>
  <c r="AA50" i="7"/>
  <c r="BC50" i="7" s="1"/>
  <c r="AE35" i="3" l="1"/>
  <c r="F51" i="12"/>
  <c r="F29" i="9"/>
  <c r="T17" i="8"/>
  <c r="X12" i="29"/>
  <c r="X19" i="29" s="1"/>
  <c r="W21" i="12"/>
  <c r="W14" i="12" s="1"/>
  <c r="W18" i="12" s="1"/>
  <c r="W4" i="13" s="1"/>
  <c r="W6" i="13" s="1"/>
  <c r="H24" i="8"/>
  <c r="AF33" i="3"/>
  <c r="AF34" i="3" s="1"/>
  <c r="AC65" i="7"/>
  <c r="AC66" i="7"/>
  <c r="AC64" i="7"/>
  <c r="AB65" i="7"/>
  <c r="AB64" i="7"/>
  <c r="AB66" i="7"/>
  <c r="AC56" i="7"/>
  <c r="AC58" i="6"/>
  <c r="AC58" i="7" s="1"/>
  <c r="AA58" i="7"/>
  <c r="BC58" i="7" s="1"/>
  <c r="G10" i="8" s="1"/>
  <c r="BB58" i="6"/>
  <c r="G10" i="9" s="1"/>
  <c r="F50" i="12"/>
  <c r="AC15" i="12"/>
  <c r="W21" i="29"/>
  <c r="W30" i="29"/>
  <c r="W31" i="29" s="1"/>
  <c r="X30" i="29"/>
  <c r="X31" i="29" s="1"/>
  <c r="X21" i="29"/>
  <c r="AC24" i="7"/>
  <c r="AC51" i="7" s="1"/>
  <c r="AC62" i="7" s="1"/>
  <c r="H39" i="3"/>
  <c r="H6" i="9" s="1"/>
  <c r="X5" i="12"/>
  <c r="X21" i="12" s="1"/>
  <c r="X14" i="12" s="1"/>
  <c r="L46" i="29"/>
  <c r="G43" i="12"/>
  <c r="AB60" i="6"/>
  <c r="G74" i="6"/>
  <c r="AJ2" i="7"/>
  <c r="AA54" i="6"/>
  <c r="Y3" i="12" s="1"/>
  <c r="BB52" i="6"/>
  <c r="AB61" i="6"/>
  <c r="AJ3" i="6"/>
  <c r="AI3" i="7"/>
  <c r="BE3" i="7" s="1"/>
  <c r="AI6" i="6"/>
  <c r="AI7" i="6" s="1"/>
  <c r="BD7" i="6" s="1"/>
  <c r="AH6" i="7"/>
  <c r="AH7" i="7" s="1"/>
  <c r="AJ5" i="6"/>
  <c r="AI5" i="7"/>
  <c r="W29" i="29"/>
  <c r="AJ4" i="6"/>
  <c r="AI4" i="7"/>
  <c r="BE4" i="7" s="1"/>
  <c r="AH9" i="7"/>
  <c r="AH15" i="7" s="1"/>
  <c r="AI9" i="6"/>
  <c r="AI15" i="6" s="1"/>
  <c r="AI16" i="6" s="1"/>
  <c r="AG15" i="7"/>
  <c r="AG16" i="7" s="1"/>
  <c r="AH15" i="6"/>
  <c r="AJ11" i="7"/>
  <c r="AK11" i="6"/>
  <c r="AJ14" i="6"/>
  <c r="AI14" i="7"/>
  <c r="BE14" i="7" s="1"/>
  <c r="AJ12" i="6"/>
  <c r="AI12" i="7"/>
  <c r="BE12" i="7" s="1"/>
  <c r="AI10" i="7"/>
  <c r="AJ10" i="6"/>
  <c r="Y25" i="29"/>
  <c r="Y29" i="29" s="1"/>
  <c r="J40" i="12"/>
  <c r="AK28" i="29"/>
  <c r="AK2" i="6"/>
  <c r="AK2" i="7" s="1"/>
  <c r="AB52" i="6"/>
  <c r="AB15" i="12"/>
  <c r="H38" i="3"/>
  <c r="H7" i="8" s="1"/>
  <c r="H6" i="8" s="1"/>
  <c r="AA63" i="7"/>
  <c r="G72" i="7"/>
  <c r="AD24" i="6"/>
  <c r="AD49" i="6"/>
  <c r="AD56" i="6" s="1"/>
  <c r="AB51" i="7"/>
  <c r="AB52" i="7" s="1"/>
  <c r="AA61" i="7"/>
  <c r="G69" i="7" s="1"/>
  <c r="G75" i="7" s="1"/>
  <c r="BC53" i="7"/>
  <c r="G15" i="8" s="1"/>
  <c r="U15" i="8" s="1"/>
  <c r="AD23" i="7"/>
  <c r="AB53" i="7"/>
  <c r="AF26" i="3"/>
  <c r="AF12" i="12" s="1"/>
  <c r="AG27" i="29" s="1"/>
  <c r="AG27" i="3"/>
  <c r="AE21" i="7"/>
  <c r="BD21" i="7" s="1"/>
  <c r="AF21" i="6"/>
  <c r="AF24" i="29"/>
  <c r="G42" i="9"/>
  <c r="U14" i="8"/>
  <c r="AC53" i="7"/>
  <c r="AC61" i="7" s="1"/>
  <c r="AE20" i="7"/>
  <c r="AF20" i="6"/>
  <c r="AE23" i="6"/>
  <c r="BC23" i="6" s="1"/>
  <c r="BC49" i="6" s="1"/>
  <c r="BC56" i="6" s="1"/>
  <c r="AE22" i="7"/>
  <c r="BD22" i="7" s="1"/>
  <c r="AF22" i="6"/>
  <c r="AA54" i="7"/>
  <c r="Y5" i="12" s="1"/>
  <c r="Y21" i="12" s="1"/>
  <c r="Y14" i="12" s="1"/>
  <c r="V18" i="12"/>
  <c r="AC65" i="6"/>
  <c r="AC64" i="6"/>
  <c r="AC63" i="6"/>
  <c r="AC52" i="6"/>
  <c r="AC53" i="6"/>
  <c r="AC60" i="6" s="1"/>
  <c r="AF35" i="3" l="1"/>
  <c r="G37" i="12"/>
  <c r="G16" i="8" s="1"/>
  <c r="AG33" i="3"/>
  <c r="G12" i="9"/>
  <c r="G39" i="9"/>
  <c r="U10" i="8"/>
  <c r="G11" i="9"/>
  <c r="G11" i="8"/>
  <c r="G12" i="8"/>
  <c r="G22" i="8" s="1"/>
  <c r="G28" i="8" s="1"/>
  <c r="AG35" i="3"/>
  <c r="AG34" i="3"/>
  <c r="H38" i="12"/>
  <c r="H36" i="12" s="1"/>
  <c r="AD58" i="6"/>
  <c r="AD56" i="7"/>
  <c r="AC52" i="7"/>
  <c r="AC54" i="7" s="1"/>
  <c r="AH16" i="6"/>
  <c r="BD16" i="6" s="1"/>
  <c r="BD15" i="6"/>
  <c r="BD9" i="6"/>
  <c r="AA55" i="6"/>
  <c r="BB55" i="6" s="1"/>
  <c r="BB54" i="6"/>
  <c r="AB54" i="6"/>
  <c r="Z3" i="12" s="1"/>
  <c r="AI6" i="7"/>
  <c r="AI7" i="7" s="1"/>
  <c r="BE7" i="7" s="1"/>
  <c r="BD6" i="6"/>
  <c r="BE5" i="7"/>
  <c r="I82" i="6"/>
  <c r="AJ5" i="7"/>
  <c r="AK5" i="6"/>
  <c r="AJ6" i="6"/>
  <c r="AJ3" i="7"/>
  <c r="AK3" i="6"/>
  <c r="H7" i="9"/>
  <c r="V7" i="8" s="1"/>
  <c r="AJ4" i="7"/>
  <c r="AK4" i="6"/>
  <c r="AI9" i="7"/>
  <c r="BE9" i="7" s="1"/>
  <c r="AJ9" i="6"/>
  <c r="I89" i="6"/>
  <c r="BE10" i="7"/>
  <c r="AL11" i="6"/>
  <c r="AK11" i="7"/>
  <c r="AJ14" i="7"/>
  <c r="AK14" i="6"/>
  <c r="AJ12" i="7"/>
  <c r="AK12" i="6"/>
  <c r="AH16" i="7"/>
  <c r="Y12" i="29"/>
  <c r="Y19" i="29" s="1"/>
  <c r="X18" i="12"/>
  <c r="X4" i="13" s="1"/>
  <c r="X6" i="13" s="1"/>
  <c r="AJ10" i="7"/>
  <c r="AK10" i="6"/>
  <c r="AL28" i="29"/>
  <c r="J48" i="29" s="1"/>
  <c r="AL2" i="6"/>
  <c r="AL2" i="7" s="1"/>
  <c r="G29" i="8"/>
  <c r="AB61" i="7"/>
  <c r="AE23" i="7"/>
  <c r="BD23" i="7" s="1"/>
  <c r="BD20" i="7"/>
  <c r="AG24" i="29"/>
  <c r="AB62" i="7"/>
  <c r="V4" i="13"/>
  <c r="AF20" i="7"/>
  <c r="AG20" i="6"/>
  <c r="AF23" i="6"/>
  <c r="H34" i="9"/>
  <c r="H33" i="9" s="1"/>
  <c r="V6" i="8"/>
  <c r="AE15" i="12"/>
  <c r="AB54" i="7"/>
  <c r="Z5" i="12" s="1"/>
  <c r="Z21" i="12" s="1"/>
  <c r="Z14" i="12" s="1"/>
  <c r="AB63" i="7"/>
  <c r="AD24" i="7"/>
  <c r="AD49" i="7"/>
  <c r="AD65" i="6"/>
  <c r="AD64" i="6"/>
  <c r="AD63" i="6"/>
  <c r="AD53" i="6"/>
  <c r="AD60" i="6" s="1"/>
  <c r="AF21" i="7"/>
  <c r="AG21" i="6"/>
  <c r="AH27" i="3"/>
  <c r="AG26" i="3"/>
  <c r="AG12" i="12" s="1"/>
  <c r="AF22" i="7"/>
  <c r="AG22" i="6"/>
  <c r="AC54" i="6"/>
  <c r="AA3" i="12" s="1"/>
  <c r="BC54" i="7"/>
  <c r="AA55" i="7"/>
  <c r="BC55" i="7" s="1"/>
  <c r="AE24" i="6"/>
  <c r="AE51" i="6" s="1"/>
  <c r="AE61" i="6" s="1"/>
  <c r="AE49" i="6"/>
  <c r="AC63" i="7"/>
  <c r="AD51" i="6"/>
  <c r="G17" i="8" l="1"/>
  <c r="G16" i="9"/>
  <c r="AH33" i="3"/>
  <c r="AH34" i="3" s="1"/>
  <c r="AD65" i="7"/>
  <c r="AD66" i="7"/>
  <c r="AD64" i="7"/>
  <c r="H48" i="12"/>
  <c r="G40" i="9"/>
  <c r="U11" i="8"/>
  <c r="AE50" i="6"/>
  <c r="BC50" i="6" s="1"/>
  <c r="AE56" i="6"/>
  <c r="U12" i="8"/>
  <c r="G22" i="9"/>
  <c r="U22" i="8" s="1"/>
  <c r="G41" i="9"/>
  <c r="AD58" i="7"/>
  <c r="I91" i="6"/>
  <c r="Y30" i="29"/>
  <c r="Y31" i="29" s="1"/>
  <c r="Y21" i="29"/>
  <c r="BC24" i="6"/>
  <c r="BE6" i="7"/>
  <c r="AB25" i="29"/>
  <c r="AB29" i="29" s="1"/>
  <c r="AA5" i="12"/>
  <c r="AJ6" i="7"/>
  <c r="AJ7" i="7" s="1"/>
  <c r="AI15" i="7"/>
  <c r="AI16" i="7" s="1"/>
  <c r="BE16" i="7" s="1"/>
  <c r="AJ15" i="6"/>
  <c r="AJ16" i="6" s="1"/>
  <c r="AD61" i="6"/>
  <c r="H69" i="6" s="1"/>
  <c r="BC51" i="6"/>
  <c r="AJ7" i="6"/>
  <c r="AK3" i="7"/>
  <c r="AL3" i="6"/>
  <c r="AL5" i="6"/>
  <c r="AK5" i="7"/>
  <c r="AK6" i="6"/>
  <c r="AK7" i="6" s="1"/>
  <c r="AL4" i="6"/>
  <c r="AK4" i="7"/>
  <c r="AJ9" i="7"/>
  <c r="AJ15" i="7" s="1"/>
  <c r="AK9" i="6"/>
  <c r="AK15" i="6" s="1"/>
  <c r="AK16" i="6" s="1"/>
  <c r="AM11" i="6"/>
  <c r="BE11" i="6" s="1"/>
  <c r="AL11" i="7"/>
  <c r="AK14" i="7"/>
  <c r="AL14" i="6"/>
  <c r="AL12" i="6"/>
  <c r="AK12" i="7"/>
  <c r="AK10" i="7"/>
  <c r="AL10" i="6"/>
  <c r="Z12" i="29"/>
  <c r="Z19" i="29" s="1"/>
  <c r="Z25" i="29"/>
  <c r="AM28" i="29"/>
  <c r="I35" i="12"/>
  <c r="AH27" i="29"/>
  <c r="I47" i="29" s="1"/>
  <c r="AM2" i="6"/>
  <c r="AD53" i="7"/>
  <c r="AD15" i="12"/>
  <c r="AI27" i="3"/>
  <c r="AH26" i="3"/>
  <c r="AH12" i="12" s="1"/>
  <c r="AI27" i="29" s="1"/>
  <c r="AD51" i="7"/>
  <c r="AF23" i="7"/>
  <c r="AG22" i="7"/>
  <c r="AH22" i="6"/>
  <c r="AF24" i="6"/>
  <c r="AF49" i="6"/>
  <c r="AF56" i="6" s="1"/>
  <c r="AG21" i="7"/>
  <c r="AH21" i="6"/>
  <c r="AE65" i="6"/>
  <c r="H73" i="6" s="1"/>
  <c r="H45" i="9" s="1"/>
  <c r="AE64" i="6"/>
  <c r="H72" i="6" s="1"/>
  <c r="H44" i="9" s="1"/>
  <c r="AE63" i="6"/>
  <c r="H71" i="6" s="1"/>
  <c r="H43" i="9" s="1"/>
  <c r="AE53" i="6"/>
  <c r="AE52" i="6"/>
  <c r="G26" i="12"/>
  <c r="AD52" i="6"/>
  <c r="AG20" i="7"/>
  <c r="AH20" i="6"/>
  <c r="AG23" i="6"/>
  <c r="V6" i="13"/>
  <c r="AE24" i="7"/>
  <c r="AE51" i="7" s="1"/>
  <c r="AE62" i="7" s="1"/>
  <c r="AE49" i="7"/>
  <c r="AH35" i="3" l="1"/>
  <c r="G28" i="9"/>
  <c r="G17" i="9"/>
  <c r="U16" i="8"/>
  <c r="AB12" i="29"/>
  <c r="AB19" i="29" s="1"/>
  <c r="AA21" i="12"/>
  <c r="AA14" i="12" s="1"/>
  <c r="AA18" i="12" s="1"/>
  <c r="AA4" i="13" s="1"/>
  <c r="AA6" i="13" s="1"/>
  <c r="AI33" i="3"/>
  <c r="AI34" i="3" s="1"/>
  <c r="AE50" i="7"/>
  <c r="BD50" i="7" s="1"/>
  <c r="AE65" i="7"/>
  <c r="H73" i="7" s="1"/>
  <c r="AE66" i="7"/>
  <c r="H74" i="7" s="1"/>
  <c r="AE64" i="7"/>
  <c r="H72" i="7" s="1"/>
  <c r="BE2" i="6"/>
  <c r="AN2" i="6"/>
  <c r="AE56" i="7"/>
  <c r="BD56" i="7" s="1"/>
  <c r="AE58" i="6"/>
  <c r="AF56" i="7"/>
  <c r="AF58" i="6"/>
  <c r="AF58" i="7" s="1"/>
  <c r="Z30" i="29"/>
  <c r="Z31" i="29" s="1"/>
  <c r="Z21" i="29"/>
  <c r="AB30" i="29"/>
  <c r="AB31" i="29" s="1"/>
  <c r="AB21" i="29"/>
  <c r="AG23" i="7"/>
  <c r="AG49" i="7" s="1"/>
  <c r="BE15" i="7"/>
  <c r="AL6" i="6"/>
  <c r="AL7" i="6" s="1"/>
  <c r="AE60" i="6"/>
  <c r="H68" i="6" s="1"/>
  <c r="H74" i="6" s="1"/>
  <c r="BC53" i="6"/>
  <c r="H15" i="9" s="1"/>
  <c r="H46" i="9" s="1"/>
  <c r="AD54" i="6"/>
  <c r="AB3" i="12" s="1"/>
  <c r="BC52" i="6"/>
  <c r="AK6" i="7"/>
  <c r="AK7" i="7" s="1"/>
  <c r="AM5" i="6"/>
  <c r="BE5" i="6" s="1"/>
  <c r="AL5" i="7"/>
  <c r="AL3" i="7"/>
  <c r="AM3" i="6"/>
  <c r="AM2" i="7"/>
  <c r="Z29" i="29"/>
  <c r="G45" i="29"/>
  <c r="G49" i="29" s="1"/>
  <c r="G35" i="29"/>
  <c r="G41" i="29" s="1"/>
  <c r="G42" i="29" s="1"/>
  <c r="AM4" i="6"/>
  <c r="BE4" i="6" s="1"/>
  <c r="AL4" i="7"/>
  <c r="AK9" i="7"/>
  <c r="AK15" i="7" s="1"/>
  <c r="AK16" i="7" s="1"/>
  <c r="AL9" i="6"/>
  <c r="G28" i="12"/>
  <c r="G33" i="8" s="1"/>
  <c r="G35" i="8" s="1"/>
  <c r="AM11" i="7"/>
  <c r="BF11" i="7" s="1"/>
  <c r="AN11" i="6"/>
  <c r="AL14" i="7"/>
  <c r="AM14" i="6"/>
  <c r="BE14" i="6" s="1"/>
  <c r="AM12" i="6"/>
  <c r="BE12" i="6" s="1"/>
  <c r="AL12" i="7"/>
  <c r="AA12" i="29"/>
  <c r="AA19" i="29" s="1"/>
  <c r="AA25" i="29"/>
  <c r="AL10" i="7"/>
  <c r="AM10" i="6"/>
  <c r="BE10" i="6" s="1"/>
  <c r="AJ16" i="7"/>
  <c r="I25" i="12"/>
  <c r="AH24" i="29"/>
  <c r="I44" i="29" s="1"/>
  <c r="AN28" i="29"/>
  <c r="Y18" i="12"/>
  <c r="AE54" i="6"/>
  <c r="AC3" i="12" s="1"/>
  <c r="BD24" i="7"/>
  <c r="AI24" i="29"/>
  <c r="AE53" i="7"/>
  <c r="AE61" i="7" s="1"/>
  <c r="AE52" i="7"/>
  <c r="AG24" i="6"/>
  <c r="AG51" i="6" s="1"/>
  <c r="AG61" i="6" s="1"/>
  <c r="AG49" i="6"/>
  <c r="AG56" i="6" s="1"/>
  <c r="H14" i="9"/>
  <c r="AF51" i="6"/>
  <c r="AH22" i="7"/>
  <c r="AI22" i="6"/>
  <c r="BD22" i="6" s="1"/>
  <c r="AF24" i="7"/>
  <c r="AF49" i="7"/>
  <c r="AD62" i="7"/>
  <c r="H70" i="7" s="1"/>
  <c r="H43" i="12" s="1"/>
  <c r="BD51" i="7"/>
  <c r="H14" i="8" s="1"/>
  <c r="AD52" i="7"/>
  <c r="AI20" i="6"/>
  <c r="BD20" i="6" s="1"/>
  <c r="AH20" i="7"/>
  <c r="AH23" i="6"/>
  <c r="AH21" i="7"/>
  <c r="AI21" i="6"/>
  <c r="BD21" i="6" s="1"/>
  <c r="AG15" i="12"/>
  <c r="AD61" i="7"/>
  <c r="AF65" i="6"/>
  <c r="AF64" i="6"/>
  <c r="AF63" i="6"/>
  <c r="AF53" i="6"/>
  <c r="AI26" i="3"/>
  <c r="AI12" i="12" s="1"/>
  <c r="AJ27" i="29" s="1"/>
  <c r="AJ27" i="3"/>
  <c r="BD49" i="7"/>
  <c r="AD63" i="7"/>
  <c r="AI35" i="3" l="1"/>
  <c r="U17" i="8"/>
  <c r="G29" i="9"/>
  <c r="I24" i="8"/>
  <c r="G41" i="12"/>
  <c r="AJ33" i="3"/>
  <c r="AJ34" i="3" s="1"/>
  <c r="AG64" i="7"/>
  <c r="AG65" i="7"/>
  <c r="AG66" i="7"/>
  <c r="AF65" i="7"/>
  <c r="AF66" i="7"/>
  <c r="AF64" i="7"/>
  <c r="AG56" i="7"/>
  <c r="AG58" i="6"/>
  <c r="AG58" i="7" s="1"/>
  <c r="AE58" i="7"/>
  <c r="BD58" i="7" s="1"/>
  <c r="H10" i="8" s="1"/>
  <c r="BC58" i="6"/>
  <c r="H10" i="9" s="1"/>
  <c r="AG24" i="7"/>
  <c r="AG51" i="7" s="1"/>
  <c r="AG62" i="7" s="1"/>
  <c r="AA21" i="29"/>
  <c r="AA30" i="29"/>
  <c r="AA31" i="29" s="1"/>
  <c r="AH23" i="7"/>
  <c r="AH24" i="7" s="1"/>
  <c r="AH51" i="7" s="1"/>
  <c r="AH62" i="7" s="1"/>
  <c r="I39" i="3"/>
  <c r="I7" i="9" s="1"/>
  <c r="AE55" i="6"/>
  <c r="BC55" i="6" s="1"/>
  <c r="AL15" i="6"/>
  <c r="AM6" i="6"/>
  <c r="AM7" i="6" s="1"/>
  <c r="BE7" i="6" s="1"/>
  <c r="AN2" i="7"/>
  <c r="BC54" i="6"/>
  <c r="AL6" i="7"/>
  <c r="AL7" i="7" s="1"/>
  <c r="AF60" i="6"/>
  <c r="AF61" i="6"/>
  <c r="BE3" i="6"/>
  <c r="AM5" i="7"/>
  <c r="BF5" i="7" s="1"/>
  <c r="AN5" i="6"/>
  <c r="AM3" i="7"/>
  <c r="BF3" i="7" s="1"/>
  <c r="AN3" i="6"/>
  <c r="G50" i="29"/>
  <c r="G51" i="29" s="1"/>
  <c r="AA29" i="29"/>
  <c r="AM4" i="7"/>
  <c r="BF4" i="7" s="1"/>
  <c r="AN4" i="6"/>
  <c r="AL9" i="7"/>
  <c r="AL15" i="7" s="1"/>
  <c r="AL16" i="7" s="1"/>
  <c r="AM9" i="6"/>
  <c r="AM15" i="6" s="1"/>
  <c r="AM16" i="6" s="1"/>
  <c r="AN11" i="7"/>
  <c r="AO11" i="6"/>
  <c r="AN14" i="6"/>
  <c r="AM14" i="7"/>
  <c r="BF14" i="7" s="1"/>
  <c r="AM12" i="7"/>
  <c r="BF12" i="7" s="1"/>
  <c r="AN12" i="6"/>
  <c r="AN10" i="6"/>
  <c r="AM10" i="7"/>
  <c r="K40" i="12"/>
  <c r="AO28" i="29"/>
  <c r="Y4" i="13"/>
  <c r="H69" i="7"/>
  <c r="H75" i="7" s="1"/>
  <c r="Y19" i="12"/>
  <c r="AF52" i="6"/>
  <c r="BF2" i="7"/>
  <c r="AO2" i="6"/>
  <c r="AO2" i="7" s="1"/>
  <c r="BD53" i="7"/>
  <c r="H15" i="8" s="1"/>
  <c r="V15" i="8" s="1"/>
  <c r="AE63" i="7"/>
  <c r="AI20" i="7"/>
  <c r="BE20" i="7" s="1"/>
  <c r="AJ20" i="6"/>
  <c r="AI23" i="6"/>
  <c r="BD23" i="6" s="1"/>
  <c r="BD49" i="6" s="1"/>
  <c r="BD56" i="6" s="1"/>
  <c r="AF51" i="7"/>
  <c r="AF52" i="7" s="1"/>
  <c r="AG52" i="6"/>
  <c r="AG53" i="6"/>
  <c r="AG60" i="6" s="1"/>
  <c r="AG65" i="6"/>
  <c r="AG64" i="6"/>
  <c r="AG63" i="6"/>
  <c r="AJ24" i="29"/>
  <c r="AF15" i="12"/>
  <c r="I38" i="12" s="1"/>
  <c r="I36" i="12" s="1"/>
  <c r="I38" i="3"/>
  <c r="I7" i="8" s="1"/>
  <c r="I6" i="8" s="1"/>
  <c r="AG53" i="7"/>
  <c r="AG61" i="7" s="1"/>
  <c r="AI21" i="7"/>
  <c r="BE21" i="7" s="1"/>
  <c r="AJ21" i="6"/>
  <c r="AI22" i="7"/>
  <c r="BE22" i="7" s="1"/>
  <c r="AJ22" i="6"/>
  <c r="AJ26" i="3"/>
  <c r="AJ12" i="12" s="1"/>
  <c r="AK27" i="29" s="1"/>
  <c r="AK27" i="3"/>
  <c r="Z18" i="12"/>
  <c r="AH24" i="6"/>
  <c r="AH49" i="6"/>
  <c r="AH56" i="6" s="1"/>
  <c r="AD54" i="7"/>
  <c r="AB5" i="12" s="1"/>
  <c r="AB21" i="12" s="1"/>
  <c r="AB14" i="12" s="1"/>
  <c r="BD52" i="7"/>
  <c r="AF53" i="7"/>
  <c r="H42" i="9"/>
  <c r="V14" i="8"/>
  <c r="AE54" i="7"/>
  <c r="AJ35" i="3" l="1"/>
  <c r="G44" i="12"/>
  <c r="G25" i="13" s="1"/>
  <c r="G49" i="12"/>
  <c r="G47" i="12" s="1"/>
  <c r="AK33" i="3"/>
  <c r="AK34" i="3" s="1"/>
  <c r="AG52" i="7"/>
  <c r="AG54" i="7" s="1"/>
  <c r="H11" i="9"/>
  <c r="H40" i="9" s="1"/>
  <c r="H12" i="9"/>
  <c r="V10" i="8"/>
  <c r="H39" i="9"/>
  <c r="H12" i="8"/>
  <c r="H22" i="8" s="1"/>
  <c r="H28" i="8" s="1"/>
  <c r="H11" i="8"/>
  <c r="V11" i="8" s="1"/>
  <c r="AH58" i="6"/>
  <c r="AH56" i="7"/>
  <c r="AH49" i="7"/>
  <c r="AI23" i="7"/>
  <c r="I6" i="9"/>
  <c r="W6" i="8" s="1"/>
  <c r="BE6" i="6"/>
  <c r="AD25" i="29"/>
  <c r="AD29" i="29" s="1"/>
  <c r="AC5" i="12"/>
  <c r="Y6" i="13"/>
  <c r="G22" i="13" s="1"/>
  <c r="G20" i="13"/>
  <c r="G6" i="14" s="1"/>
  <c r="BE9" i="6"/>
  <c r="AL16" i="6"/>
  <c r="BE16" i="6" s="1"/>
  <c r="BE15" i="6"/>
  <c r="AF54" i="6"/>
  <c r="AD3" i="12" s="1"/>
  <c r="AN3" i="7"/>
  <c r="AO3" i="6"/>
  <c r="J82" i="6"/>
  <c r="AN5" i="7"/>
  <c r="AO5" i="6"/>
  <c r="AN6" i="6"/>
  <c r="AM6" i="7"/>
  <c r="AM7" i="7" s="1"/>
  <c r="W7" i="8"/>
  <c r="AN4" i="7"/>
  <c r="AO4" i="6"/>
  <c r="AM9" i="7"/>
  <c r="AM15" i="7" s="1"/>
  <c r="AN9" i="6"/>
  <c r="J89" i="6"/>
  <c r="AO11" i="7"/>
  <c r="AP11" i="6"/>
  <c r="AN14" i="7"/>
  <c r="AO14" i="6"/>
  <c r="AN12" i="7"/>
  <c r="AO12" i="6"/>
  <c r="BF10" i="7"/>
  <c r="AN10" i="7"/>
  <c r="AO10" i="6"/>
  <c r="AP28" i="29"/>
  <c r="K48" i="29" s="1"/>
  <c r="H29" i="8"/>
  <c r="AP2" i="6"/>
  <c r="AP2" i="7" s="1"/>
  <c r="AH65" i="6"/>
  <c r="AH64" i="6"/>
  <c r="AH63" i="6"/>
  <c r="AH53" i="6"/>
  <c r="AH60" i="6" s="1"/>
  <c r="AK24" i="29"/>
  <c r="AI15" i="12"/>
  <c r="AF61" i="7"/>
  <c r="AL27" i="3"/>
  <c r="AK26" i="3"/>
  <c r="AK12" i="12" s="1"/>
  <c r="I48" i="12"/>
  <c r="AG54" i="6"/>
  <c r="AE3" i="12" s="1"/>
  <c r="AI24" i="6"/>
  <c r="AI51" i="6" s="1"/>
  <c r="AI61" i="6" s="1"/>
  <c r="AI49" i="6"/>
  <c r="AH51" i="6"/>
  <c r="AF54" i="7"/>
  <c r="AD5" i="12" s="1"/>
  <c r="AD21" i="12" s="1"/>
  <c r="AD14" i="12" s="1"/>
  <c r="AF63" i="7"/>
  <c r="AE55" i="7"/>
  <c r="BD55" i="7" s="1"/>
  <c r="BD54" i="7"/>
  <c r="Z4" i="13"/>
  <c r="AK22" i="6"/>
  <c r="AJ22" i="7"/>
  <c r="AJ21" i="7"/>
  <c r="AK21" i="6"/>
  <c r="AG63" i="7"/>
  <c r="AF62" i="7"/>
  <c r="AJ20" i="7"/>
  <c r="AK20" i="6"/>
  <c r="AJ23" i="6"/>
  <c r="G45" i="12" l="1"/>
  <c r="G51" i="12" s="1"/>
  <c r="G50" i="12"/>
  <c r="AD12" i="29"/>
  <c r="AD19" i="29" s="1"/>
  <c r="AD21" i="29" s="1"/>
  <c r="AC21" i="12"/>
  <c r="AC14" i="12" s="1"/>
  <c r="AK35" i="3"/>
  <c r="AL33" i="3"/>
  <c r="AL34" i="3" s="1"/>
  <c r="AH53" i="7"/>
  <c r="AH61" i="7" s="1"/>
  <c r="AH64" i="7"/>
  <c r="AH65" i="7"/>
  <c r="AH66" i="7"/>
  <c r="AH63" i="7" s="1"/>
  <c r="BF9" i="7"/>
  <c r="H22" i="9"/>
  <c r="V22" i="8" s="1"/>
  <c r="H41" i="9"/>
  <c r="V12" i="8"/>
  <c r="AI56" i="6"/>
  <c r="AH52" i="7"/>
  <c r="AH58" i="7"/>
  <c r="I34" i="9"/>
  <c r="I33" i="9" s="1"/>
  <c r="J91" i="6"/>
  <c r="AJ23" i="7"/>
  <c r="BD24" i="6"/>
  <c r="AO6" i="6"/>
  <c r="AO7" i="6" s="1"/>
  <c r="AF25" i="29"/>
  <c r="AF29" i="29" s="1"/>
  <c r="AE5" i="12"/>
  <c r="AN15" i="6"/>
  <c r="AH61" i="6"/>
  <c r="I69" i="6" s="1"/>
  <c r="I14" i="9" s="1"/>
  <c r="BD51" i="6"/>
  <c r="BF6" i="7"/>
  <c r="AN7" i="6"/>
  <c r="AP5" i="6"/>
  <c r="AO5" i="7"/>
  <c r="AN6" i="7"/>
  <c r="AN7" i="7" s="1"/>
  <c r="AO3" i="7"/>
  <c r="AP3" i="6"/>
  <c r="AP4" i="6"/>
  <c r="AO4" i="7"/>
  <c r="AN9" i="7"/>
  <c r="AN15" i="7" s="1"/>
  <c r="AO9" i="6"/>
  <c r="AQ11" i="6"/>
  <c r="AP11" i="7"/>
  <c r="AO14" i="7"/>
  <c r="AP14" i="6"/>
  <c r="AO12" i="7"/>
  <c r="AP12" i="6"/>
  <c r="AM16" i="7"/>
  <c r="BF16" i="7" s="1"/>
  <c r="BF15" i="7"/>
  <c r="AC12" i="29"/>
  <c r="AC25" i="29"/>
  <c r="AO10" i="7"/>
  <c r="AP10" i="6"/>
  <c r="AQ28" i="29"/>
  <c r="J35" i="12"/>
  <c r="AL27" i="29"/>
  <c r="J47" i="29" s="1"/>
  <c r="BF7" i="7"/>
  <c r="AQ2" i="6"/>
  <c r="AI65" i="6"/>
  <c r="I73" i="6" s="1"/>
  <c r="I45" i="9" s="1"/>
  <c r="AI64" i="6"/>
  <c r="I72" i="6" s="1"/>
  <c r="I44" i="9" s="1"/>
  <c r="AI63" i="6"/>
  <c r="I71" i="6" s="1"/>
  <c r="I43" i="9" s="1"/>
  <c r="AI53" i="6"/>
  <c r="AI60" i="6" s="1"/>
  <c r="I68" i="6" s="1"/>
  <c r="AI52" i="6"/>
  <c r="AK20" i="7"/>
  <c r="AL20" i="6"/>
  <c r="AK23" i="6"/>
  <c r="AM27" i="3"/>
  <c r="AL26" i="3"/>
  <c r="AL12" i="12" s="1"/>
  <c r="AM27" i="29" s="1"/>
  <c r="AL24" i="29"/>
  <c r="J44" i="29" s="1"/>
  <c r="AH52" i="6"/>
  <c r="AI24" i="7"/>
  <c r="AI49" i="7"/>
  <c r="BE23" i="7"/>
  <c r="AK21" i="7"/>
  <c r="AL21" i="6"/>
  <c r="AK22" i="7"/>
  <c r="AL22" i="6"/>
  <c r="AH15" i="12"/>
  <c r="H26" i="12"/>
  <c r="AJ24" i="6"/>
  <c r="AJ49" i="6"/>
  <c r="AJ56" i="6" s="1"/>
  <c r="Z6" i="13"/>
  <c r="AI50" i="6"/>
  <c r="BD50" i="6" s="1"/>
  <c r="AL35" i="3" l="1"/>
  <c r="AD30" i="29"/>
  <c r="AD31" i="29" s="1"/>
  <c r="AC18" i="12"/>
  <c r="AC4" i="13" s="1"/>
  <c r="AC6" i="13" s="1"/>
  <c r="H37" i="12"/>
  <c r="H16" i="8" s="1"/>
  <c r="AF12" i="29"/>
  <c r="AF19" i="29" s="1"/>
  <c r="AF30" i="29" s="1"/>
  <c r="AF31" i="29" s="1"/>
  <c r="AE21" i="12"/>
  <c r="AE14" i="12" s="1"/>
  <c r="AH54" i="7"/>
  <c r="AF5" i="12" s="1"/>
  <c r="AF21" i="12" s="1"/>
  <c r="AF14" i="12" s="1"/>
  <c r="AM33" i="3"/>
  <c r="AM35" i="3" s="1"/>
  <c r="AQ2" i="7"/>
  <c r="AR2" i="6"/>
  <c r="AI64" i="7"/>
  <c r="AI65" i="7"/>
  <c r="I73" i="7" s="1"/>
  <c r="AI66" i="7"/>
  <c r="I74" i="7" s="1"/>
  <c r="BF11" i="6"/>
  <c r="AR11" i="6"/>
  <c r="AJ58" i="6"/>
  <c r="AJ58" i="7" s="1"/>
  <c r="AJ56" i="7"/>
  <c r="AI58" i="6"/>
  <c r="AI56" i="7"/>
  <c r="BE56" i="7" s="1"/>
  <c r="AK23" i="7"/>
  <c r="AJ24" i="7"/>
  <c r="AJ49" i="7"/>
  <c r="H35" i="29"/>
  <c r="H41" i="29" s="1"/>
  <c r="H42" i="29" s="1"/>
  <c r="AC19" i="29"/>
  <c r="AN16" i="6"/>
  <c r="AO6" i="7"/>
  <c r="AO7" i="7" s="1"/>
  <c r="BF2" i="6"/>
  <c r="BD53" i="6"/>
  <c r="I15" i="9" s="1"/>
  <c r="I46" i="9" s="1"/>
  <c r="AH54" i="6"/>
  <c r="AF3" i="12" s="1"/>
  <c r="AG25" i="29" s="1"/>
  <c r="AG29" i="29" s="1"/>
  <c r="BD52" i="6"/>
  <c r="AP3" i="7"/>
  <c r="AQ3" i="6"/>
  <c r="AP6" i="6"/>
  <c r="AQ5" i="6"/>
  <c r="AP5" i="7"/>
  <c r="AC29" i="29"/>
  <c r="H45" i="29"/>
  <c r="H49" i="29" s="1"/>
  <c r="AQ4" i="6"/>
  <c r="AP4" i="7"/>
  <c r="AO9" i="7"/>
  <c r="AO15" i="7" s="1"/>
  <c r="AO16" i="7" s="1"/>
  <c r="AP9" i="6"/>
  <c r="AP15" i="6" s="1"/>
  <c r="AP16" i="6" s="1"/>
  <c r="AO15" i="6"/>
  <c r="AO16" i="6" s="1"/>
  <c r="AQ11" i="7"/>
  <c r="BG11" i="7" s="1"/>
  <c r="AP14" i="7"/>
  <c r="AQ14" i="6"/>
  <c r="AQ12" i="6"/>
  <c r="AP12" i="7"/>
  <c r="H28" i="12"/>
  <c r="H33" i="8" s="1"/>
  <c r="H35" i="8" s="1"/>
  <c r="AE12" i="29"/>
  <c r="AE19" i="29" s="1"/>
  <c r="AE25" i="29"/>
  <c r="AP10" i="7"/>
  <c r="AQ10" i="6"/>
  <c r="AN16" i="7"/>
  <c r="AR28" i="29"/>
  <c r="I74" i="6"/>
  <c r="AB18" i="12"/>
  <c r="AI51" i="7"/>
  <c r="AI52" i="7" s="1"/>
  <c r="BE24" i="7"/>
  <c r="AJ65" i="6"/>
  <c r="AJ64" i="6"/>
  <c r="AJ63" i="6"/>
  <c r="AJ53" i="6"/>
  <c r="AJ51" i="6"/>
  <c r="AL22" i="7"/>
  <c r="AM22" i="6"/>
  <c r="BE22" i="6" s="1"/>
  <c r="AI54" i="6"/>
  <c r="AG3" i="12" s="1"/>
  <c r="AK15" i="12"/>
  <c r="I42" i="9"/>
  <c r="AM24" i="29"/>
  <c r="J25" i="12"/>
  <c r="AK24" i="6"/>
  <c r="AK51" i="6" s="1"/>
  <c r="AK61" i="6" s="1"/>
  <c r="AK49" i="6"/>
  <c r="AK56" i="6" s="1"/>
  <c r="AL21" i="7"/>
  <c r="AM21" i="6"/>
  <c r="BE21" i="6" s="1"/>
  <c r="AI53" i="7"/>
  <c r="BE49" i="7"/>
  <c r="AI50" i="7"/>
  <c r="BE50" i="7" s="1"/>
  <c r="AM26" i="3"/>
  <c r="AM12" i="12" s="1"/>
  <c r="AN27" i="29" s="1"/>
  <c r="AN27" i="3"/>
  <c r="AM20" i="6"/>
  <c r="BE20" i="6" s="1"/>
  <c r="AL20" i="7"/>
  <c r="AL23" i="6"/>
  <c r="AM34" i="3" l="1"/>
  <c r="H17" i="8"/>
  <c r="H16" i="9"/>
  <c r="AE18" i="12"/>
  <c r="AE4" i="13" s="1"/>
  <c r="AE6" i="13" s="1"/>
  <c r="AF21" i="29"/>
  <c r="H41" i="12"/>
  <c r="AN33" i="3"/>
  <c r="BF4" i="6"/>
  <c r="AR4" i="6"/>
  <c r="BF12" i="6"/>
  <c r="AR12" i="6"/>
  <c r="AS11" i="6"/>
  <c r="AR11" i="7"/>
  <c r="BF5" i="6"/>
  <c r="AR5" i="6"/>
  <c r="BF3" i="6"/>
  <c r="AR3" i="6"/>
  <c r="AJ66" i="7"/>
  <c r="AJ64" i="7"/>
  <c r="AJ65" i="7"/>
  <c r="BF14" i="6"/>
  <c r="AR14" i="6"/>
  <c r="AS2" i="6"/>
  <c r="AR2" i="7"/>
  <c r="BF10" i="6"/>
  <c r="AR10" i="6"/>
  <c r="AK56" i="7"/>
  <c r="AK58" i="6"/>
  <c r="AK58" i="7" s="1"/>
  <c r="AI58" i="7"/>
  <c r="BE58" i="7" s="1"/>
  <c r="I10" i="8" s="1"/>
  <c r="BD58" i="6"/>
  <c r="I10" i="9" s="1"/>
  <c r="AN34" i="3"/>
  <c r="AN35" i="3"/>
  <c r="AL23" i="7"/>
  <c r="AJ53" i="7"/>
  <c r="AJ61" i="7" s="1"/>
  <c r="AJ51" i="7"/>
  <c r="AJ62" i="7" s="1"/>
  <c r="AK24" i="7"/>
  <c r="AK51" i="7" s="1"/>
  <c r="AK62" i="7" s="1"/>
  <c r="AK49" i="7"/>
  <c r="AC30" i="29"/>
  <c r="AC31" i="29" s="1"/>
  <c r="AC21" i="29"/>
  <c r="AE21" i="29"/>
  <c r="AE30" i="29"/>
  <c r="AE31" i="29" s="1"/>
  <c r="J39" i="3"/>
  <c r="J7" i="9" s="1"/>
  <c r="AI55" i="6"/>
  <c r="BD55" i="6" s="1"/>
  <c r="AJ61" i="6"/>
  <c r="BD54" i="6"/>
  <c r="AJ60" i="6"/>
  <c r="AP7" i="6"/>
  <c r="AQ5" i="7"/>
  <c r="BG5" i="7" s="1"/>
  <c r="AQ3" i="7"/>
  <c r="BG3" i="7" s="1"/>
  <c r="AQ6" i="6"/>
  <c r="BF6" i="6" s="1"/>
  <c r="AE29" i="29"/>
  <c r="AQ4" i="7"/>
  <c r="AP6" i="7"/>
  <c r="AP7" i="7" s="1"/>
  <c r="AP9" i="7"/>
  <c r="AP15" i="7" s="1"/>
  <c r="AP16" i="7" s="1"/>
  <c r="AQ9" i="6"/>
  <c r="AQ14" i="7"/>
  <c r="BG14" i="7" s="1"/>
  <c r="AQ12" i="7"/>
  <c r="BG12" i="7" s="1"/>
  <c r="AD18" i="12"/>
  <c r="AD4" i="13" s="1"/>
  <c r="AQ10" i="7"/>
  <c r="AT28" i="29"/>
  <c r="AS28" i="29"/>
  <c r="AF18" i="12"/>
  <c r="AF4" i="13" s="1"/>
  <c r="AF6" i="13" s="1"/>
  <c r="AF8" i="13" s="1"/>
  <c r="AF9" i="13" s="1"/>
  <c r="AG12" i="29"/>
  <c r="AG19" i="29" s="1"/>
  <c r="AC19" i="12"/>
  <c r="AB4" i="13"/>
  <c r="BG2" i="7"/>
  <c r="AI54" i="7"/>
  <c r="AG5" i="12" s="1"/>
  <c r="AG21" i="12" s="1"/>
  <c r="AG14" i="12" s="1"/>
  <c r="I37" i="12" s="1"/>
  <c r="I16" i="8" s="1"/>
  <c r="BE52" i="7"/>
  <c r="AM21" i="7"/>
  <c r="BF21" i="7" s="1"/>
  <c r="AN21" i="6"/>
  <c r="J24" i="8"/>
  <c r="AK65" i="6"/>
  <c r="AK64" i="6"/>
  <c r="AK63" i="6"/>
  <c r="AK52" i="6"/>
  <c r="AK53" i="6"/>
  <c r="AK60" i="6" s="1"/>
  <c r="AN24" i="29"/>
  <c r="AI61" i="7"/>
  <c r="I69" i="7" s="1"/>
  <c r="BE53" i="7"/>
  <c r="I15" i="8" s="1"/>
  <c r="W15" i="8" s="1"/>
  <c r="AL24" i="6"/>
  <c r="AL51" i="6" s="1"/>
  <c r="AL61" i="6" s="1"/>
  <c r="AL49" i="6"/>
  <c r="AL56" i="6" s="1"/>
  <c r="AJ15" i="12"/>
  <c r="J38" i="3"/>
  <c r="J7" i="8" s="1"/>
  <c r="J6" i="8" s="1"/>
  <c r="AI62" i="7"/>
  <c r="I70" i="7" s="1"/>
  <c r="I43" i="12" s="1"/>
  <c r="BE51" i="7"/>
  <c r="I14" i="8" s="1"/>
  <c r="AM20" i="7"/>
  <c r="AN20" i="6"/>
  <c r="AM23" i="6"/>
  <c r="BE23" i="6" s="1"/>
  <c r="BE49" i="6" s="1"/>
  <c r="BE56" i="6" s="1"/>
  <c r="AN26" i="3"/>
  <c r="AN12" i="12" s="1"/>
  <c r="AO27" i="29" s="1"/>
  <c r="AO27" i="3"/>
  <c r="AI63" i="7"/>
  <c r="I72" i="7"/>
  <c r="AM22" i="7"/>
  <c r="BF22" i="7" s="1"/>
  <c r="AN22" i="6"/>
  <c r="AJ52" i="6"/>
  <c r="I17" i="8" l="1"/>
  <c r="I16" i="9"/>
  <c r="H28" i="9"/>
  <c r="V16" i="8"/>
  <c r="H17" i="9"/>
  <c r="AR6" i="6"/>
  <c r="H49" i="12"/>
  <c r="H47" i="12" s="1"/>
  <c r="H44" i="12"/>
  <c r="H50" i="12" s="1"/>
  <c r="AO33" i="3"/>
  <c r="AO34" i="3" s="1"/>
  <c r="AR7" i="6"/>
  <c r="AK66" i="7"/>
  <c r="AK65" i="7"/>
  <c r="AK64" i="7"/>
  <c r="AR10" i="7"/>
  <c r="AS10" i="6"/>
  <c r="AS2" i="7"/>
  <c r="AT2" i="6"/>
  <c r="AS3" i="6"/>
  <c r="AR3" i="7"/>
  <c r="BF9" i="6"/>
  <c r="AR9" i="6"/>
  <c r="AS14" i="6"/>
  <c r="AR14" i="7"/>
  <c r="AS11" i="7"/>
  <c r="AT11" i="6"/>
  <c r="AR12" i="7"/>
  <c r="AS12" i="6"/>
  <c r="AJ63" i="7"/>
  <c r="AR4" i="7"/>
  <c r="AS4" i="6"/>
  <c r="AR5" i="7"/>
  <c r="AS5" i="6"/>
  <c r="I39" i="9"/>
  <c r="I11" i="9"/>
  <c r="W10" i="8"/>
  <c r="I12" i="9"/>
  <c r="I11" i="8"/>
  <c r="I12" i="8"/>
  <c r="I22" i="8" s="1"/>
  <c r="I28" i="8" s="1"/>
  <c r="AL56" i="7"/>
  <c r="AL58" i="6"/>
  <c r="AJ52" i="7"/>
  <c r="AJ54" i="7" s="1"/>
  <c r="AH5" i="12" s="1"/>
  <c r="BF20" i="7"/>
  <c r="AM23" i="7"/>
  <c r="AK52" i="7"/>
  <c r="AK53" i="7"/>
  <c r="AL24" i="7"/>
  <c r="AL51" i="7" s="1"/>
  <c r="AL62" i="7" s="1"/>
  <c r="AL49" i="7"/>
  <c r="AG30" i="29"/>
  <c r="AG31" i="29" s="1"/>
  <c r="AG21" i="29"/>
  <c r="AB6" i="13"/>
  <c r="H22" i="13" s="1"/>
  <c r="H20" i="13"/>
  <c r="H6" i="14" s="1"/>
  <c r="AQ7" i="6"/>
  <c r="BF7" i="6" s="1"/>
  <c r="AQ6" i="7"/>
  <c r="AQ7" i="7" s="1"/>
  <c r="BG7" i="7" s="1"/>
  <c r="AJ54" i="6"/>
  <c r="AH3" i="12" s="1"/>
  <c r="L40" i="12"/>
  <c r="K82" i="6"/>
  <c r="AQ15" i="6"/>
  <c r="H50" i="29"/>
  <c r="H51" i="29" s="1"/>
  <c r="L48" i="29"/>
  <c r="J6" i="9"/>
  <c r="J34" i="9" s="1"/>
  <c r="J33" i="9" s="1"/>
  <c r="BG4" i="7"/>
  <c r="AQ9" i="7"/>
  <c r="BG9" i="7" s="1"/>
  <c r="BG10" i="7"/>
  <c r="X7" i="8"/>
  <c r="I29" i="8"/>
  <c r="W14" i="8"/>
  <c r="AD6" i="13"/>
  <c r="BE54" i="7"/>
  <c r="AI55" i="7"/>
  <c r="BE55" i="7" s="1"/>
  <c r="AM24" i="6"/>
  <c r="AM51" i="6" s="1"/>
  <c r="AM61" i="6" s="1"/>
  <c r="J69" i="6" s="1"/>
  <c r="AM49" i="6"/>
  <c r="J38" i="12"/>
  <c r="I75" i="7"/>
  <c r="AK54" i="6"/>
  <c r="AI3" i="12" s="1"/>
  <c r="AN21" i="7"/>
  <c r="AO21" i="6"/>
  <c r="AM15" i="12"/>
  <c r="AO22" i="6"/>
  <c r="AN22" i="7"/>
  <c r="AP27" i="3"/>
  <c r="AO26" i="3"/>
  <c r="AO12" i="12" s="1"/>
  <c r="AN20" i="7"/>
  <c r="AO20" i="6"/>
  <c r="AN23" i="6"/>
  <c r="AL65" i="6"/>
  <c r="AL64" i="6"/>
  <c r="AL63" i="6"/>
  <c r="AL52" i="6"/>
  <c r="AL53" i="6"/>
  <c r="AL60" i="6" s="1"/>
  <c r="AO24" i="29"/>
  <c r="AO35" i="3" l="1"/>
  <c r="I17" i="9"/>
  <c r="W16" i="8"/>
  <c r="I28" i="9"/>
  <c r="AK63" i="7"/>
  <c r="H29" i="9"/>
  <c r="V17" i="8"/>
  <c r="H45" i="12"/>
  <c r="H51" i="12" s="1"/>
  <c r="H25" i="13"/>
  <c r="AI12" i="29"/>
  <c r="AI19" i="29" s="1"/>
  <c r="AI21" i="29" s="1"/>
  <c r="AH21" i="12"/>
  <c r="AH14" i="12" s="1"/>
  <c r="AH18" i="12" s="1"/>
  <c r="AH4" i="13" s="1"/>
  <c r="AH6" i="13" s="1"/>
  <c r="AS6" i="6"/>
  <c r="AS7" i="6" s="1"/>
  <c r="AP33" i="3"/>
  <c r="AT14" i="6"/>
  <c r="AS14" i="7"/>
  <c r="AS4" i="7"/>
  <c r="AT4" i="6"/>
  <c r="AS9" i="6"/>
  <c r="AR9" i="7"/>
  <c r="AR15" i="7" s="1"/>
  <c r="AR15" i="6"/>
  <c r="AR6" i="7"/>
  <c r="AT10" i="6"/>
  <c r="AS10" i="7"/>
  <c r="AL66" i="7"/>
  <c r="AL64" i="7"/>
  <c r="AL65" i="7"/>
  <c r="AT3" i="6"/>
  <c r="AS3" i="7"/>
  <c r="AU11" i="6"/>
  <c r="AU11" i="7" s="1"/>
  <c r="AT11" i="7"/>
  <c r="BG11" i="6"/>
  <c r="AT12" i="6"/>
  <c r="AS12" i="7"/>
  <c r="AS5" i="7"/>
  <c r="AT5" i="6"/>
  <c r="AT2" i="7"/>
  <c r="AU2" i="6"/>
  <c r="BG2" i="6" s="1"/>
  <c r="W12" i="8"/>
  <c r="I22" i="9"/>
  <c r="W22" i="8" s="1"/>
  <c r="I41" i="9"/>
  <c r="AM56" i="6"/>
  <c r="W11" i="8"/>
  <c r="I40" i="9"/>
  <c r="AP34" i="3"/>
  <c r="AP35" i="3"/>
  <c r="AL58" i="7"/>
  <c r="AK54" i="7"/>
  <c r="AI5" i="12" s="1"/>
  <c r="AM24" i="7"/>
  <c r="AM51" i="7" s="1"/>
  <c r="AM49" i="7"/>
  <c r="AK61" i="7"/>
  <c r="AL52" i="7"/>
  <c r="AL53" i="7"/>
  <c r="AL61" i="7" s="1"/>
  <c r="AJ25" i="29"/>
  <c r="AJ29" i="29" s="1"/>
  <c r="AI25" i="29"/>
  <c r="AI29" i="29" s="1"/>
  <c r="AN23" i="7"/>
  <c r="L82" i="6"/>
  <c r="BF23" i="7"/>
  <c r="BE24" i="6"/>
  <c r="AQ16" i="6"/>
  <c r="BF16" i="6" s="1"/>
  <c r="BF15" i="6"/>
  <c r="BE51" i="6"/>
  <c r="BG6" i="7"/>
  <c r="X6" i="8"/>
  <c r="K89" i="6"/>
  <c r="L89" i="6" s="1"/>
  <c r="AQ15" i="7"/>
  <c r="AH12" i="29"/>
  <c r="AH25" i="29"/>
  <c r="K35" i="12"/>
  <c r="AP27" i="29"/>
  <c r="K47" i="29" s="1"/>
  <c r="AP24" i="29"/>
  <c r="K44" i="29" s="1"/>
  <c r="AO20" i="7"/>
  <c r="AP20" i="6"/>
  <c r="AO23" i="6"/>
  <c r="AL54" i="6"/>
  <c r="AJ3" i="12" s="1"/>
  <c r="AN24" i="6"/>
  <c r="AN49" i="6"/>
  <c r="AN56" i="6" s="1"/>
  <c r="AO22" i="7"/>
  <c r="AP22" i="6"/>
  <c r="AO21" i="7"/>
  <c r="AP21" i="6"/>
  <c r="J36" i="12"/>
  <c r="J48" i="12"/>
  <c r="AQ27" i="3"/>
  <c r="AP26" i="3"/>
  <c r="AP12" i="12" s="1"/>
  <c r="AQ27" i="29" s="1"/>
  <c r="AN15" i="12"/>
  <c r="AM65" i="6"/>
  <c r="J73" i="6" s="1"/>
  <c r="J45" i="9" s="1"/>
  <c r="AM64" i="6"/>
  <c r="J72" i="6" s="1"/>
  <c r="J44" i="9" s="1"/>
  <c r="AM63" i="6"/>
  <c r="J71" i="6" s="1"/>
  <c r="J43" i="9" s="1"/>
  <c r="AM53" i="6"/>
  <c r="AM52" i="6"/>
  <c r="BE52" i="6" s="1"/>
  <c r="AM50" i="6"/>
  <c r="BE50" i="6" s="1"/>
  <c r="J14" i="9"/>
  <c r="AL15" i="12"/>
  <c r="I26" i="12"/>
  <c r="AI30" i="29" l="1"/>
  <c r="AI31" i="29" s="1"/>
  <c r="BH11" i="7"/>
  <c r="I29" i="9"/>
  <c r="W17" i="8"/>
  <c r="AJ12" i="29"/>
  <c r="AJ19" i="29" s="1"/>
  <c r="AI21" i="12"/>
  <c r="AI14" i="12" s="1"/>
  <c r="AI18" i="12" s="1"/>
  <c r="AI4" i="13" s="1"/>
  <c r="AI6" i="13" s="1"/>
  <c r="AQ33" i="3"/>
  <c r="AQ34" i="3" s="1"/>
  <c r="AT10" i="7"/>
  <c r="AU10" i="6"/>
  <c r="AR16" i="7"/>
  <c r="AU12" i="6"/>
  <c r="AU12" i="7" s="1"/>
  <c r="AT12" i="7"/>
  <c r="AU14" i="6"/>
  <c r="AU14" i="7" s="1"/>
  <c r="AT14" i="7"/>
  <c r="AM66" i="7"/>
  <c r="J74" i="7" s="1"/>
  <c r="AM64" i="7"/>
  <c r="AM65" i="7"/>
  <c r="J73" i="7" s="1"/>
  <c r="AR7" i="7"/>
  <c r="AR49" i="7"/>
  <c r="AT5" i="7"/>
  <c r="AU5" i="6"/>
  <c r="AU5" i="7" s="1"/>
  <c r="AT6" i="6"/>
  <c r="AR16" i="6"/>
  <c r="AR49" i="6"/>
  <c r="AU2" i="7"/>
  <c r="BH2" i="7" s="1"/>
  <c r="AU3" i="6"/>
  <c r="BG3" i="6" s="1"/>
  <c r="AT3" i="7"/>
  <c r="AT9" i="6"/>
  <c r="AS9" i="7"/>
  <c r="AS15" i="6"/>
  <c r="AL63" i="7"/>
  <c r="AT4" i="7"/>
  <c r="AU4" i="6"/>
  <c r="AS6" i="7"/>
  <c r="K91" i="6"/>
  <c r="O80" i="6" s="1"/>
  <c r="O81" i="6" s="1"/>
  <c r="AM58" i="6"/>
  <c r="AM56" i="7"/>
  <c r="BF56" i="7" s="1"/>
  <c r="AN58" i="6"/>
  <c r="AN58" i="7" s="1"/>
  <c r="AN56" i="7"/>
  <c r="L91" i="6"/>
  <c r="AL54" i="7"/>
  <c r="AM50" i="7"/>
  <c r="BF50" i="7" s="1"/>
  <c r="AM53" i="7"/>
  <c r="AM61" i="7" s="1"/>
  <c r="J69" i="7" s="1"/>
  <c r="AM52" i="7"/>
  <c r="BF49" i="7"/>
  <c r="AO23" i="7"/>
  <c r="AJ21" i="29"/>
  <c r="AJ30" i="29"/>
  <c r="AJ31" i="29" s="1"/>
  <c r="AN24" i="7"/>
  <c r="AN49" i="7"/>
  <c r="AM62" i="7"/>
  <c r="BF51" i="7"/>
  <c r="J14" i="8" s="1"/>
  <c r="BF24" i="7"/>
  <c r="AK25" i="29"/>
  <c r="AK29" i="29" s="1"/>
  <c r="I35" i="29"/>
  <c r="I41" i="29" s="1"/>
  <c r="I42" i="29" s="1"/>
  <c r="AH19" i="29"/>
  <c r="AQ16" i="7"/>
  <c r="AM60" i="6"/>
  <c r="J68" i="6" s="1"/>
  <c r="J74" i="6" s="1"/>
  <c r="BE53" i="6"/>
  <c r="J15" i="9" s="1"/>
  <c r="BG15" i="7"/>
  <c r="AH29" i="29"/>
  <c r="I45" i="29"/>
  <c r="I49" i="29" s="1"/>
  <c r="I28" i="12"/>
  <c r="I33" i="8" s="1"/>
  <c r="I35" i="8" s="1"/>
  <c r="AG18" i="12"/>
  <c r="AM54" i="6"/>
  <c r="J42" i="9"/>
  <c r="AP21" i="7"/>
  <c r="AQ21" i="6"/>
  <c r="BF21" i="6" s="1"/>
  <c r="AP22" i="7"/>
  <c r="AQ22" i="6"/>
  <c r="BF22" i="6" s="1"/>
  <c r="AP20" i="7"/>
  <c r="AQ20" i="6"/>
  <c r="AP23" i="6"/>
  <c r="AQ24" i="29"/>
  <c r="AQ26" i="3"/>
  <c r="AQ12" i="12" s="1"/>
  <c r="AR27" i="29" s="1"/>
  <c r="AR27" i="3"/>
  <c r="AN65" i="6"/>
  <c r="AN64" i="6"/>
  <c r="AN63" i="6"/>
  <c r="AN53" i="6"/>
  <c r="AN51" i="6"/>
  <c r="AO24" i="6"/>
  <c r="AO49" i="6"/>
  <c r="AO56" i="6" s="1"/>
  <c r="K25" i="12"/>
  <c r="AQ35" i="3" l="1"/>
  <c r="BG12" i="6"/>
  <c r="BH12" i="7"/>
  <c r="I41" i="12"/>
  <c r="BH14" i="7"/>
  <c r="BH5" i="7"/>
  <c r="AR33" i="3"/>
  <c r="AR35" i="3" s="1"/>
  <c r="AS15" i="7"/>
  <c r="AT6" i="7"/>
  <c r="AR51" i="7"/>
  <c r="AR52" i="7" s="1"/>
  <c r="AU3" i="7"/>
  <c r="BH3" i="7" s="1"/>
  <c r="AW3" i="7"/>
  <c r="AS7" i="7"/>
  <c r="AM63" i="7"/>
  <c r="BG10" i="6"/>
  <c r="AU10" i="7"/>
  <c r="BH10" i="7" s="1"/>
  <c r="AT9" i="7"/>
  <c r="AT15" i="7" s="1"/>
  <c r="AT16" i="7" s="1"/>
  <c r="AU9" i="6"/>
  <c r="BG9" i="6" s="1"/>
  <c r="AT15" i="6"/>
  <c r="AT16" i="6" s="1"/>
  <c r="BG5" i="6"/>
  <c r="AU6" i="6"/>
  <c r="BG6" i="6" s="1"/>
  <c r="AU4" i="7"/>
  <c r="BG4" i="6"/>
  <c r="AR64" i="6"/>
  <c r="AR65" i="6"/>
  <c r="AR56" i="6"/>
  <c r="AR63" i="6"/>
  <c r="AR53" i="6"/>
  <c r="BG14" i="6"/>
  <c r="AN65" i="7"/>
  <c r="AN64" i="7"/>
  <c r="AN66" i="7"/>
  <c r="AR51" i="6"/>
  <c r="AR52" i="6" s="1"/>
  <c r="AR53" i="7"/>
  <c r="AR65" i="7"/>
  <c r="AR66" i="7"/>
  <c r="AR64" i="7"/>
  <c r="BF20" i="6"/>
  <c r="AQ23" i="6"/>
  <c r="AQ24" i="6" s="1"/>
  <c r="AS16" i="6"/>
  <c r="AS51" i="6" s="1"/>
  <c r="AS61" i="6" s="1"/>
  <c r="AS49" i="6"/>
  <c r="AT7" i="6"/>
  <c r="AP23" i="7"/>
  <c r="AP49" i="7" s="1"/>
  <c r="AM54" i="7"/>
  <c r="AK5" i="12" s="1"/>
  <c r="BF53" i="7"/>
  <c r="J15" i="8" s="1"/>
  <c r="J29" i="8" s="1"/>
  <c r="AO56" i="7"/>
  <c r="AO58" i="6"/>
  <c r="AO58" i="7" s="1"/>
  <c r="BF52" i="7"/>
  <c r="AM58" i="7"/>
  <c r="BF58" i="7" s="1"/>
  <c r="J10" i="8" s="1"/>
  <c r="BE58" i="6"/>
  <c r="J10" i="9" s="1"/>
  <c r="J72" i="7"/>
  <c r="J70" i="7" s="1"/>
  <c r="AO24" i="7"/>
  <c r="AO51" i="7" s="1"/>
  <c r="AO62" i="7" s="1"/>
  <c r="AO49" i="7"/>
  <c r="AN53" i="7"/>
  <c r="AN61" i="7" s="1"/>
  <c r="X14" i="8"/>
  <c r="AN51" i="7"/>
  <c r="AN52" i="7" s="1"/>
  <c r="AN54" i="7" s="1"/>
  <c r="AM55" i="6"/>
  <c r="BE55" i="6" s="1"/>
  <c r="AK3" i="12"/>
  <c r="AJ5" i="12"/>
  <c r="AJ21" i="12" s="1"/>
  <c r="AJ14" i="12" s="1"/>
  <c r="AH30" i="29"/>
  <c r="AH31" i="29" s="1"/>
  <c r="AH21" i="29"/>
  <c r="BG16" i="7"/>
  <c r="AN61" i="6"/>
  <c r="J46" i="9"/>
  <c r="AN60" i="6"/>
  <c r="BE54" i="6"/>
  <c r="AG4" i="13"/>
  <c r="AG19" i="12"/>
  <c r="AQ22" i="7"/>
  <c r="BG22" i="7" s="1"/>
  <c r="AO53" i="6"/>
  <c r="AO60" i="6" s="1"/>
  <c r="AO65" i="6"/>
  <c r="AO64" i="6"/>
  <c r="AO63" i="6"/>
  <c r="AN52" i="6"/>
  <c r="AR26" i="3"/>
  <c r="AR12" i="12" s="1"/>
  <c r="AS27" i="29" s="1"/>
  <c r="AS27" i="3"/>
  <c r="AS26" i="3" s="1"/>
  <c r="AS12" i="12" s="1"/>
  <c r="AT27" i="29" s="1"/>
  <c r="AP24" i="6"/>
  <c r="AP49" i="6"/>
  <c r="AP56" i="6" s="1"/>
  <c r="AO51" i="6"/>
  <c r="AO61" i="6" s="1"/>
  <c r="AO15" i="12"/>
  <c r="K38" i="3"/>
  <c r="K7" i="8" s="1"/>
  <c r="K6" i="8" s="1"/>
  <c r="AQ20" i="7"/>
  <c r="BF23" i="6"/>
  <c r="AQ21" i="7"/>
  <c r="BG21" i="7" s="1"/>
  <c r="K24" i="8"/>
  <c r="AR24" i="29"/>
  <c r="AU6" i="7" l="1"/>
  <c r="AR34" i="3"/>
  <c r="AL12" i="29"/>
  <c r="AL19" i="29" s="1"/>
  <c r="AK21" i="12"/>
  <c r="AK14" i="12" s="1"/>
  <c r="J37" i="12" s="1"/>
  <c r="J16" i="8" s="1"/>
  <c r="I44" i="12"/>
  <c r="I49" i="12"/>
  <c r="I47" i="12" s="1"/>
  <c r="X15" i="8"/>
  <c r="AS33" i="3"/>
  <c r="AR63" i="7"/>
  <c r="AU7" i="7"/>
  <c r="BH4" i="7"/>
  <c r="AO65" i="7"/>
  <c r="AO66" i="7"/>
  <c r="AO64" i="7"/>
  <c r="AR62" i="7"/>
  <c r="AR54" i="7"/>
  <c r="AR54" i="6"/>
  <c r="AT49" i="6"/>
  <c r="AR61" i="7"/>
  <c r="AR60" i="6"/>
  <c r="AU15" i="6"/>
  <c r="AU16" i="6" s="1"/>
  <c r="BG16" i="6" s="1"/>
  <c r="AU9" i="7"/>
  <c r="AU15" i="7" s="1"/>
  <c r="AU16" i="7" s="1"/>
  <c r="AP65" i="7"/>
  <c r="AP64" i="7"/>
  <c r="AP66" i="7"/>
  <c r="AT51" i="6"/>
  <c r="AT61" i="6" s="1"/>
  <c r="AR61" i="6"/>
  <c r="AT7" i="7"/>
  <c r="AT51" i="7" s="1"/>
  <c r="AT49" i="7"/>
  <c r="AS64" i="6"/>
  <c r="AS65" i="6"/>
  <c r="AS63" i="6"/>
  <c r="AS56" i="6"/>
  <c r="AS53" i="6"/>
  <c r="AS60" i="6" s="1"/>
  <c r="AS52" i="6"/>
  <c r="AR56" i="7"/>
  <c r="AR58" i="6"/>
  <c r="AR58" i="7" s="1"/>
  <c r="AS16" i="7"/>
  <c r="AP24" i="7"/>
  <c r="AP51" i="7" s="1"/>
  <c r="AP62" i="7" s="1"/>
  <c r="AN63" i="7"/>
  <c r="BH6" i="7"/>
  <c r="AU7" i="6"/>
  <c r="BG7" i="6" s="1"/>
  <c r="AS49" i="7"/>
  <c r="BF49" i="6"/>
  <c r="BF56" i="6" s="1"/>
  <c r="BF54" i="7"/>
  <c r="AM55" i="7"/>
  <c r="BF55" i="7" s="1"/>
  <c r="X10" i="8"/>
  <c r="J39" i="9"/>
  <c r="J12" i="9"/>
  <c r="J11" i="9"/>
  <c r="J12" i="8"/>
  <c r="J22" i="8" s="1"/>
  <c r="J28" i="8" s="1"/>
  <c r="J11" i="8"/>
  <c r="AP56" i="7"/>
  <c r="AP58" i="6"/>
  <c r="BG20" i="7"/>
  <c r="AQ23" i="7"/>
  <c r="AK12" i="29"/>
  <c r="AK19" i="29" s="1"/>
  <c r="AJ18" i="12"/>
  <c r="AP53" i="7"/>
  <c r="AP61" i="7" s="1"/>
  <c r="J75" i="7"/>
  <c r="J43" i="12"/>
  <c r="J26" i="12"/>
  <c r="AL25" i="29"/>
  <c r="J28" i="12"/>
  <c r="J33" i="8" s="1"/>
  <c r="J35" i="8" s="1"/>
  <c r="AN62" i="7"/>
  <c r="AO53" i="7"/>
  <c r="AO61" i="7" s="1"/>
  <c r="AO52" i="7"/>
  <c r="AG6" i="13"/>
  <c r="I22" i="13" s="1"/>
  <c r="I20" i="13"/>
  <c r="I6" i="14" s="1"/>
  <c r="AN54" i="6"/>
  <c r="AL3" i="12" s="1"/>
  <c r="L47" i="29"/>
  <c r="I50" i="29"/>
  <c r="I51" i="29" s="1"/>
  <c r="L35" i="12"/>
  <c r="AS24" i="29"/>
  <c r="AO52" i="6"/>
  <c r="AO54" i="6" s="1"/>
  <c r="AM3" i="12" s="1"/>
  <c r="BF24" i="6"/>
  <c r="AQ49" i="6"/>
  <c r="AP65" i="6"/>
  <c r="AP64" i="6"/>
  <c r="AP63" i="6"/>
  <c r="AP53" i="6"/>
  <c r="AP60" i="6" s="1"/>
  <c r="K38" i="12"/>
  <c r="AP51" i="6"/>
  <c r="AP61" i="6" s="1"/>
  <c r="AQ15" i="12"/>
  <c r="AO54" i="7" l="1"/>
  <c r="AM5" i="12" s="1"/>
  <c r="AK18" i="12"/>
  <c r="AK4" i="13" s="1"/>
  <c r="AK6" i="13" s="1"/>
  <c r="AS54" i="6"/>
  <c r="BH15" i="7"/>
  <c r="BH16" i="7"/>
  <c r="AO63" i="7"/>
  <c r="J17" i="8"/>
  <c r="J16" i="9"/>
  <c r="I45" i="12"/>
  <c r="I51" i="12" s="1"/>
  <c r="I25" i="13"/>
  <c r="I50" i="12"/>
  <c r="J41" i="12"/>
  <c r="AN12" i="29"/>
  <c r="AN19" i="29" s="1"/>
  <c r="AN30" i="29" s="1"/>
  <c r="AN31" i="29" s="1"/>
  <c r="AM21" i="12"/>
  <c r="AM14" i="12" s="1"/>
  <c r="AM18" i="12" s="1"/>
  <c r="AM4" i="13" s="1"/>
  <c r="AM6" i="13" s="1"/>
  <c r="AM8" i="13" s="1"/>
  <c r="AM9" i="13" s="1"/>
  <c r="AT64" i="7"/>
  <c r="AT53" i="7"/>
  <c r="AT61" i="7" s="1"/>
  <c r="AT65" i="7"/>
  <c r="AT66" i="7"/>
  <c r="AT52" i="7"/>
  <c r="AT62" i="7"/>
  <c r="AU49" i="6"/>
  <c r="BG49" i="6" s="1"/>
  <c r="AT52" i="6"/>
  <c r="AT63" i="6"/>
  <c r="AT56" i="6"/>
  <c r="AT65" i="6"/>
  <c r="AT53" i="6"/>
  <c r="AT64" i="6"/>
  <c r="AU51" i="6"/>
  <c r="AS51" i="7"/>
  <c r="AS52" i="7" s="1"/>
  <c r="AU49" i="7"/>
  <c r="BH49" i="7" s="1"/>
  <c r="AS58" i="6"/>
  <c r="AS58" i="7" s="1"/>
  <c r="AS56" i="7"/>
  <c r="AU51" i="7"/>
  <c r="AS64" i="7"/>
  <c r="AS66" i="7"/>
  <c r="AS53" i="7"/>
  <c r="AS65" i="7"/>
  <c r="AP63" i="7"/>
  <c r="BH7" i="7"/>
  <c r="BG15" i="6"/>
  <c r="AP52" i="7"/>
  <c r="AP54" i="7" s="1"/>
  <c r="AN5" i="12" s="1"/>
  <c r="BH9" i="7"/>
  <c r="J40" i="9"/>
  <c r="X11" i="8"/>
  <c r="J41" i="9"/>
  <c r="X12" i="8"/>
  <c r="J22" i="9"/>
  <c r="X22" i="8" s="1"/>
  <c r="AQ50" i="6"/>
  <c r="BF50" i="6" s="1"/>
  <c r="AQ56" i="6"/>
  <c r="AS35" i="3"/>
  <c r="AS34" i="3"/>
  <c r="J35" i="29"/>
  <c r="J41" i="29" s="1"/>
  <c r="J42" i="29" s="1"/>
  <c r="AP58" i="7"/>
  <c r="AJ4" i="13"/>
  <c r="AJ6" i="13" s="1"/>
  <c r="J22" i="13" s="1"/>
  <c r="AK19" i="12"/>
  <c r="AN25" i="29"/>
  <c r="AN29" i="29" s="1"/>
  <c r="AK21" i="29"/>
  <c r="AK30" i="29"/>
  <c r="AK31" i="29" s="1"/>
  <c r="AM25" i="29"/>
  <c r="AM29" i="29" s="1"/>
  <c r="AL29" i="29"/>
  <c r="J45" i="29"/>
  <c r="J49" i="29" s="1"/>
  <c r="AQ24" i="7"/>
  <c r="AQ49" i="7"/>
  <c r="BG23" i="7"/>
  <c r="AL30" i="29"/>
  <c r="AL31" i="29" s="1"/>
  <c r="AL21" i="29"/>
  <c r="K39" i="3"/>
  <c r="AK8" i="13"/>
  <c r="AK9" i="13" s="1"/>
  <c r="AR15" i="12"/>
  <c r="AQ65" i="6"/>
  <c r="K73" i="6" s="1"/>
  <c r="AQ64" i="6"/>
  <c r="K72" i="6" s="1"/>
  <c r="AQ63" i="6"/>
  <c r="K71" i="6" s="1"/>
  <c r="AQ53" i="6"/>
  <c r="AT24" i="29"/>
  <c r="L44" i="29" s="1"/>
  <c r="AQ51" i="6"/>
  <c r="AQ61" i="6" s="1"/>
  <c r="K69" i="6" s="1"/>
  <c r="AP15" i="12"/>
  <c r="K36" i="12"/>
  <c r="AP52" i="6"/>
  <c r="AU50" i="7" l="1"/>
  <c r="AN21" i="29"/>
  <c r="J17" i="9"/>
  <c r="J28" i="9"/>
  <c r="X16" i="8"/>
  <c r="AO12" i="29"/>
  <c r="AO19" i="29" s="1"/>
  <c r="AO21" i="29" s="1"/>
  <c r="AN21" i="12"/>
  <c r="AN14" i="12" s="1"/>
  <c r="AT54" i="7"/>
  <c r="AS54" i="7"/>
  <c r="AU50" i="6"/>
  <c r="BG50" i="6" s="1"/>
  <c r="AS61" i="7"/>
  <c r="AS63" i="7"/>
  <c r="AS62" i="7"/>
  <c r="BH51" i="7"/>
  <c r="AU52" i="7"/>
  <c r="AU62" i="7"/>
  <c r="AU64" i="6"/>
  <c r="L72" i="6" s="1"/>
  <c r="AU52" i="6"/>
  <c r="AU65" i="6"/>
  <c r="L73" i="6" s="1"/>
  <c r="AU56" i="6"/>
  <c r="AU53" i="6"/>
  <c r="AU60" i="6" s="1"/>
  <c r="AU63" i="6"/>
  <c r="L71" i="6" s="1"/>
  <c r="AT60" i="6"/>
  <c r="L68" i="6" s="1"/>
  <c r="AU61" i="6"/>
  <c r="L69" i="6" s="1"/>
  <c r="BG51" i="6"/>
  <c r="AT56" i="7"/>
  <c r="AT58" i="6"/>
  <c r="AT63" i="7"/>
  <c r="AQ65" i="7"/>
  <c r="K73" i="7" s="1"/>
  <c r="L73" i="7" s="1"/>
  <c r="AQ66" i="7"/>
  <c r="K74" i="7" s="1"/>
  <c r="L74" i="7" s="1"/>
  <c r="AQ64" i="7"/>
  <c r="AT50" i="7"/>
  <c r="AR50" i="7"/>
  <c r="AS50" i="7"/>
  <c r="AU64" i="7"/>
  <c r="AU65" i="7"/>
  <c r="AU53" i="7"/>
  <c r="AU61" i="7" s="1"/>
  <c r="AU66" i="7"/>
  <c r="AT54" i="6"/>
  <c r="AQ56" i="7"/>
  <c r="BG56" i="7" s="1"/>
  <c r="AQ58" i="6"/>
  <c r="AM10" i="13"/>
  <c r="AM12" i="13" s="1"/>
  <c r="J44" i="12"/>
  <c r="J49" i="12"/>
  <c r="AL5" i="12"/>
  <c r="AL21" i="12" s="1"/>
  <c r="AL14" i="12" s="1"/>
  <c r="AO30" i="29"/>
  <c r="AO31" i="29" s="1"/>
  <c r="J20" i="13"/>
  <c r="J6" i="14" s="1"/>
  <c r="AQ53" i="7"/>
  <c r="BG49" i="7"/>
  <c r="AQ50" i="7"/>
  <c r="BG50" i="7" s="1"/>
  <c r="AQ51" i="7"/>
  <c r="BG24" i="7"/>
  <c r="K6" i="9"/>
  <c r="K7" i="9"/>
  <c r="K48" i="12"/>
  <c r="AQ60" i="6"/>
  <c r="K68" i="6" s="1"/>
  <c r="BF53" i="6"/>
  <c r="BF51" i="6"/>
  <c r="AP54" i="6"/>
  <c r="J50" i="29"/>
  <c r="J51" i="29" s="1"/>
  <c r="L25" i="12"/>
  <c r="K44" i="9"/>
  <c r="L44" i="9" s="1"/>
  <c r="K14" i="9"/>
  <c r="K43" i="9"/>
  <c r="L43" i="9" s="1"/>
  <c r="K45" i="9"/>
  <c r="L45" i="9" s="1"/>
  <c r="AQ52" i="6"/>
  <c r="AQ54" i="6" s="1"/>
  <c r="J29" i="9" l="1"/>
  <c r="X17" i="8"/>
  <c r="BG53" i="6"/>
  <c r="J45" i="12"/>
  <c r="J25" i="13"/>
  <c r="L24" i="8"/>
  <c r="AQ63" i="7"/>
  <c r="AU54" i="7"/>
  <c r="BH54" i="7" s="1"/>
  <c r="L74" i="6"/>
  <c r="BH53" i="7"/>
  <c r="BH50" i="7"/>
  <c r="AT58" i="7"/>
  <c r="AU63" i="7"/>
  <c r="AU58" i="6"/>
  <c r="AU58" i="7" s="1"/>
  <c r="AU56" i="7"/>
  <c r="BH56" i="7" s="1"/>
  <c r="AO3" i="12"/>
  <c r="AP25" i="29" s="1"/>
  <c r="AP29" i="29" s="1"/>
  <c r="AT55" i="6"/>
  <c r="BH52" i="7"/>
  <c r="BG56" i="6"/>
  <c r="AU54" i="6"/>
  <c r="AU55" i="6" s="1"/>
  <c r="BG52" i="6"/>
  <c r="AU55" i="7"/>
  <c r="BH55" i="7" s="1"/>
  <c r="AN3" i="12"/>
  <c r="AN18" i="12" s="1"/>
  <c r="AN4" i="13" s="1"/>
  <c r="AN6" i="13" s="1"/>
  <c r="AN8" i="13" s="1"/>
  <c r="AN9" i="13" s="1"/>
  <c r="AR55" i="6"/>
  <c r="AS55" i="6"/>
  <c r="AQ58" i="7"/>
  <c r="BG58" i="7" s="1"/>
  <c r="BF58" i="6"/>
  <c r="J47" i="12"/>
  <c r="J51" i="12" s="1"/>
  <c r="J50" i="12"/>
  <c r="K72" i="7"/>
  <c r="AQ61" i="7"/>
  <c r="K69" i="7" s="1"/>
  <c r="BG53" i="7"/>
  <c r="AQ52" i="7"/>
  <c r="AQ62" i="7"/>
  <c r="BG51" i="7"/>
  <c r="K74" i="6"/>
  <c r="N76" i="7" s="1"/>
  <c r="AM12" i="29"/>
  <c r="AM19" i="29" s="1"/>
  <c r="AL18" i="12"/>
  <c r="AL4" i="13" s="1"/>
  <c r="AL6" i="13" s="1"/>
  <c r="AL8" i="13" s="1"/>
  <c r="AL9" i="13" s="1"/>
  <c r="Q6" i="9"/>
  <c r="K34" i="9"/>
  <c r="K33" i="9" s="1"/>
  <c r="Y6" i="8"/>
  <c r="Q7" i="9"/>
  <c r="Y7" i="8"/>
  <c r="AQ55" i="6"/>
  <c r="BF55" i="6" s="1"/>
  <c r="BF54" i="6"/>
  <c r="L15" i="9"/>
  <c r="K15" i="9"/>
  <c r="BF52" i="6"/>
  <c r="AK10" i="13"/>
  <c r="L14" i="9"/>
  <c r="K42" i="9"/>
  <c r="Q14" i="9"/>
  <c r="BH58" i="7" l="1"/>
  <c r="BG58" i="6"/>
  <c r="L10" i="9" s="1"/>
  <c r="K26" i="12"/>
  <c r="AP3" i="12"/>
  <c r="AQ3" i="12" s="1"/>
  <c r="AO25" i="29"/>
  <c r="AO29" i="29" s="1"/>
  <c r="BG54" i="6"/>
  <c r="BG55" i="6"/>
  <c r="K10" i="9"/>
  <c r="K10" i="8"/>
  <c r="L10" i="8"/>
  <c r="AN10" i="13"/>
  <c r="AN12" i="13" s="1"/>
  <c r="AL10" i="13"/>
  <c r="AL12" i="13" s="1"/>
  <c r="AQ54" i="7"/>
  <c r="BG54" i="7" s="1"/>
  <c r="B7" i="2" s="1"/>
  <c r="BG52" i="7"/>
  <c r="L15" i="8"/>
  <c r="Z15" i="8" s="1"/>
  <c r="K15" i="8"/>
  <c r="Y15" i="8" s="1"/>
  <c r="AM21" i="29"/>
  <c r="AM30" i="29"/>
  <c r="AM31" i="29" s="1"/>
  <c r="L69" i="7"/>
  <c r="K14" i="8"/>
  <c r="L14" i="8"/>
  <c r="L72" i="7"/>
  <c r="K70" i="7"/>
  <c r="AK12" i="13"/>
  <c r="K46" i="9"/>
  <c r="Q15" i="9"/>
  <c r="Q21" i="9" s="1"/>
  <c r="L46" i="9"/>
  <c r="L39" i="3"/>
  <c r="L6" i="9" s="1"/>
  <c r="L42" i="9"/>
  <c r="AS15" i="12"/>
  <c r="L38" i="3"/>
  <c r="L7" i="8" s="1"/>
  <c r="L6" i="8" s="1"/>
  <c r="K45" i="29" l="1"/>
  <c r="K49" i="29" s="1"/>
  <c r="AQ25" i="29"/>
  <c r="AQ29" i="29" s="1"/>
  <c r="L11" i="8"/>
  <c r="L12" i="8"/>
  <c r="L22" i="8" s="1"/>
  <c r="L28" i="8" s="1"/>
  <c r="K11" i="8"/>
  <c r="K12" i="8"/>
  <c r="K22" i="8" s="1"/>
  <c r="K28" i="8" s="1"/>
  <c r="K12" i="9"/>
  <c r="Q10" i="9"/>
  <c r="Y10" i="8"/>
  <c r="K11" i="9"/>
  <c r="K39" i="9"/>
  <c r="L12" i="9"/>
  <c r="L39" i="9"/>
  <c r="L11" i="9"/>
  <c r="Z10" i="8"/>
  <c r="L70" i="7"/>
  <c r="K43" i="12"/>
  <c r="AR3" i="12"/>
  <c r="AR25" i="29"/>
  <c r="AO5" i="12"/>
  <c r="AO21" i="12" s="1"/>
  <c r="AO14" i="12" s="1"/>
  <c r="K37" i="12" s="1"/>
  <c r="K16" i="8" s="1"/>
  <c r="AQ55" i="7"/>
  <c r="BG55" i="7" s="1"/>
  <c r="L29" i="8"/>
  <c r="K75" i="7"/>
  <c r="N75" i="7" s="1"/>
  <c r="N77" i="7" s="1"/>
  <c r="K29" i="8"/>
  <c r="Y14" i="8"/>
  <c r="Z14" i="8"/>
  <c r="AA15" i="8"/>
  <c r="L7" i="9"/>
  <c r="Z7" i="8" s="1"/>
  <c r="AA7" i="8" s="1"/>
  <c r="L38" i="12"/>
  <c r="L34" i="9"/>
  <c r="L33" i="9" s="1"/>
  <c r="Z6" i="8"/>
  <c r="AA6" i="8" s="1"/>
  <c r="K17" i="8" l="1"/>
  <c r="K16" i="9"/>
  <c r="AA10" i="8"/>
  <c r="K22" i="9"/>
  <c r="Y22" i="8" s="1"/>
  <c r="Q12" i="9"/>
  <c r="T5" i="9" s="1"/>
  <c r="Y12" i="8"/>
  <c r="K41" i="9"/>
  <c r="K40" i="9"/>
  <c r="Y11" i="8"/>
  <c r="Q11" i="9"/>
  <c r="L40" i="9"/>
  <c r="Z11" i="8"/>
  <c r="L22" i="9"/>
  <c r="Z22" i="8" s="1"/>
  <c r="Z12" i="8"/>
  <c r="L41" i="9"/>
  <c r="AA14" i="8"/>
  <c r="AP5" i="12"/>
  <c r="AP21" i="12" s="1"/>
  <c r="AP14" i="12" s="1"/>
  <c r="K28" i="12"/>
  <c r="AP12" i="29"/>
  <c r="AO18" i="12"/>
  <c r="AS3" i="12"/>
  <c r="L26" i="12" s="1"/>
  <c r="AS25" i="29"/>
  <c r="AS29" i="29" s="1"/>
  <c r="L75" i="7"/>
  <c r="L43" i="12"/>
  <c r="AR29" i="29"/>
  <c r="L36" i="12"/>
  <c r="L48" i="12"/>
  <c r="AA12" i="8" l="1"/>
  <c r="K17" i="9"/>
  <c r="Y16" i="8"/>
  <c r="K28" i="9"/>
  <c r="Q16" i="9"/>
  <c r="K33" i="8"/>
  <c r="K35" i="8" s="1"/>
  <c r="K41" i="12"/>
  <c r="AA11" i="8"/>
  <c r="AA22" i="8"/>
  <c r="AT25" i="29"/>
  <c r="AT29" i="29" s="1"/>
  <c r="AP19" i="29"/>
  <c r="K35" i="29"/>
  <c r="K41" i="29" s="1"/>
  <c r="AO19" i="12"/>
  <c r="AO4" i="13"/>
  <c r="AQ5" i="12"/>
  <c r="AQ21" i="12" s="1"/>
  <c r="AQ14" i="12" s="1"/>
  <c r="AQ12" i="29"/>
  <c r="AP18" i="12"/>
  <c r="Y17" i="8" l="1"/>
  <c r="K29" i="9"/>
  <c r="Q17" i="9"/>
  <c r="K49" i="12"/>
  <c r="K47" i="12" s="1"/>
  <c r="K44" i="12"/>
  <c r="L45" i="29"/>
  <c r="L49" i="29" s="1"/>
  <c r="K20" i="13"/>
  <c r="K6" i="14" s="1"/>
  <c r="N6" i="14" s="1"/>
  <c r="AO6" i="13"/>
  <c r="AQ19" i="29"/>
  <c r="K42" i="29"/>
  <c r="K50" i="29"/>
  <c r="K51" i="29" s="1"/>
  <c r="AR5" i="12"/>
  <c r="AR21" i="12" s="1"/>
  <c r="AR14" i="12" s="1"/>
  <c r="AR12" i="29"/>
  <c r="AR19" i="29" s="1"/>
  <c r="AQ18" i="12"/>
  <c r="AQ4" i="13" s="1"/>
  <c r="AQ6" i="13" s="1"/>
  <c r="AQ8" i="13" s="1"/>
  <c r="AQ9" i="13" s="1"/>
  <c r="AP30" i="29"/>
  <c r="AP31" i="29" s="1"/>
  <c r="AP21" i="29"/>
  <c r="AP4" i="13"/>
  <c r="AP6" i="13" s="1"/>
  <c r="AP8" i="13" s="1"/>
  <c r="AP9" i="13" s="1"/>
  <c r="K45" i="12" l="1"/>
  <c r="K51" i="12" s="1"/>
  <c r="K25" i="13"/>
  <c r="K50" i="12"/>
  <c r="AQ10" i="13"/>
  <c r="AQ12" i="13" s="1"/>
  <c r="AS5" i="12"/>
  <c r="AS12" i="29"/>
  <c r="AS19" i="29" s="1"/>
  <c r="AR18" i="12"/>
  <c r="AR4" i="13" s="1"/>
  <c r="AR6" i="13" s="1"/>
  <c r="AR8" i="13" s="1"/>
  <c r="AR9" i="13" s="1"/>
  <c r="K22" i="13"/>
  <c r="AO8" i="13"/>
  <c r="AO9" i="13" s="1"/>
  <c r="AR30" i="29"/>
  <c r="AR31" i="29" s="1"/>
  <c r="AR21" i="29"/>
  <c r="AP10" i="13"/>
  <c r="AP12" i="13" s="1"/>
  <c r="AQ30" i="29"/>
  <c r="AQ31" i="29" s="1"/>
  <c r="AQ21" i="29"/>
  <c r="L28" i="12" l="1"/>
  <c r="AS21" i="12"/>
  <c r="AS14" i="12" s="1"/>
  <c r="L33" i="8"/>
  <c r="L35" i="8" s="1"/>
  <c r="M35" i="8" s="1"/>
  <c r="K24" i="13"/>
  <c r="K3" i="9" s="1"/>
  <c r="K3" i="8"/>
  <c r="AR10" i="13"/>
  <c r="AR12" i="13" s="1"/>
  <c r="AS30" i="29"/>
  <c r="AS31" i="29" s="1"/>
  <c r="AS21" i="29"/>
  <c r="AT12" i="29"/>
  <c r="X14" i="3"/>
  <c r="X16" i="3" s="1"/>
  <c r="AS18" i="12" l="1"/>
  <c r="L37" i="12"/>
  <c r="L16" i="8" s="1"/>
  <c r="K26" i="13"/>
  <c r="K4" i="8"/>
  <c r="K20" i="8" s="1"/>
  <c r="K26" i="8" s="1"/>
  <c r="K5" i="8"/>
  <c r="K21" i="8" s="1"/>
  <c r="K27" i="8" s="1"/>
  <c r="AO10" i="13"/>
  <c r="AS4" i="13"/>
  <c r="AS19" i="12"/>
  <c r="AT19" i="29"/>
  <c r="L35" i="29"/>
  <c r="L41" i="29" s="1"/>
  <c r="K4" i="9"/>
  <c r="K5" i="9" s="1"/>
  <c r="K30" i="9"/>
  <c r="Y3" i="8"/>
  <c r="X20" i="3"/>
  <c r="L17" i="8" l="1"/>
  <c r="L16" i="9"/>
  <c r="K7" i="14"/>
  <c r="K12" i="14" s="1"/>
  <c r="K17" i="14" s="1"/>
  <c r="L41" i="12"/>
  <c r="K31" i="8"/>
  <c r="K30" i="8"/>
  <c r="K18" i="14"/>
  <c r="K13" i="14"/>
  <c r="K15" i="14" s="1"/>
  <c r="AO12" i="13"/>
  <c r="K28" i="13" s="1"/>
  <c r="K20" i="9"/>
  <c r="Y20" i="8" s="1"/>
  <c r="Y4" i="8"/>
  <c r="K31" i="9"/>
  <c r="Y5" i="8"/>
  <c r="K32" i="9"/>
  <c r="K21" i="9"/>
  <c r="Y21" i="8" s="1"/>
  <c r="AT30" i="29"/>
  <c r="AT31" i="29" s="1"/>
  <c r="AT21" i="29"/>
  <c r="L20" i="13"/>
  <c r="L6" i="14" s="1"/>
  <c r="M6" i="14" s="1"/>
  <c r="AS6" i="13"/>
  <c r="L42" i="29"/>
  <c r="L50" i="29"/>
  <c r="L51" i="29" s="1"/>
  <c r="M51" i="29" s="1"/>
  <c r="B8" i="2" s="1"/>
  <c r="K38" i="14"/>
  <c r="N40" i="12" l="1"/>
  <c r="L44" i="12"/>
  <c r="L25" i="13" s="1"/>
  <c r="L49" i="12"/>
  <c r="Z16" i="8"/>
  <c r="AA16" i="8" s="1"/>
  <c r="L17" i="9"/>
  <c r="L28" i="9"/>
  <c r="K34" i="14"/>
  <c r="K20" i="14"/>
  <c r="L22" i="13"/>
  <c r="AS8" i="13"/>
  <c r="AS9" i="13" s="1"/>
  <c r="L45" i="12" l="1"/>
  <c r="L47" i="12"/>
  <c r="L50" i="12"/>
  <c r="L29" i="9"/>
  <c r="Z17" i="8"/>
  <c r="AA17" i="8" s="1"/>
  <c r="L24" i="13"/>
  <c r="L3" i="9" s="1"/>
  <c r="L3" i="8"/>
  <c r="L51" i="12" l="1"/>
  <c r="L54" i="12"/>
  <c r="L53" i="12"/>
  <c r="B10" i="2" s="1"/>
  <c r="L26" i="13"/>
  <c r="L5" i="8"/>
  <c r="L21" i="8" s="1"/>
  <c r="L27" i="8" s="1"/>
  <c r="L4" i="8"/>
  <c r="AS10" i="13"/>
  <c r="L30" i="9"/>
  <c r="L4" i="9"/>
  <c r="Z3" i="8"/>
  <c r="L5" i="9" l="1"/>
  <c r="L31" i="9"/>
  <c r="L20" i="9"/>
  <c r="L7" i="14"/>
  <c r="AS12" i="13"/>
  <c r="L28" i="13" s="1"/>
  <c r="Z4" i="8"/>
  <c r="L20" i="8"/>
  <c r="L26" i="8" s="1"/>
  <c r="L30" i="8" l="1"/>
  <c r="L31" i="8"/>
  <c r="L12" i="14"/>
  <c r="L17" i="14" s="1"/>
  <c r="L18" i="14"/>
  <c r="L13" i="14"/>
  <c r="L15" i="14" s="1"/>
  <c r="L38" i="14"/>
  <c r="Z20" i="8"/>
  <c r="L32" i="9"/>
  <c r="L21" i="9"/>
  <c r="Z21" i="8" s="1"/>
  <c r="Z5" i="8"/>
  <c r="L34" i="14" l="1"/>
  <c r="L20" i="14"/>
  <c r="Y8" i="13" l="1"/>
  <c r="Y9" i="13" s="1"/>
  <c r="Y14" i="3"/>
  <c r="Y16" i="3" s="1"/>
  <c r="Y10" i="13" l="1"/>
  <c r="Y20" i="3"/>
  <c r="Y14" i="13" l="1"/>
  <c r="Y12" i="13"/>
  <c r="Z6" i="10" l="1"/>
  <c r="Z8" i="13"/>
  <c r="Z9" i="13" s="1"/>
  <c r="Z14" i="13"/>
  <c r="Z10" i="13" l="1"/>
  <c r="Z12" i="13" l="1"/>
  <c r="AA14" i="13" l="1"/>
  <c r="AA6" i="10"/>
  <c r="AA8" i="13"/>
  <c r="AA9" i="13" s="1"/>
  <c r="AA10" i="13" l="1"/>
  <c r="AA12" i="13" l="1"/>
  <c r="AB14" i="13" l="1"/>
  <c r="AB8" i="13"/>
  <c r="AB9" i="13" s="1"/>
  <c r="AB6" i="10"/>
  <c r="AB10" i="13" l="1"/>
  <c r="AB12" i="13" l="1"/>
  <c r="AC8" i="13" l="1"/>
  <c r="AC9" i="13" s="1"/>
  <c r="H23" i="13"/>
  <c r="H27" i="13"/>
  <c r="AC6" i="10"/>
  <c r="H3" i="8" l="1"/>
  <c r="H24" i="13"/>
  <c r="AC14" i="13"/>
  <c r="H30" i="13" s="1"/>
  <c r="Z14" i="3"/>
  <c r="Z16" i="3" s="1"/>
  <c r="H3" i="9" l="1"/>
  <c r="V3" i="8" s="1"/>
  <c r="H26" i="13"/>
  <c r="H4" i="8"/>
  <c r="H20" i="8" s="1"/>
  <c r="H26" i="8" s="1"/>
  <c r="H5" i="8"/>
  <c r="H21" i="8" s="1"/>
  <c r="H27" i="8" s="1"/>
  <c r="AC10" i="13"/>
  <c r="Z20" i="3"/>
  <c r="H30" i="9" l="1"/>
  <c r="H4" i="9"/>
  <c r="H5" i="9" s="1"/>
  <c r="H31" i="8"/>
  <c r="H30" i="8"/>
  <c r="H20" i="9"/>
  <c r="V20" i="8" s="1"/>
  <c r="H31" i="9"/>
  <c r="V4" i="8"/>
  <c r="AC12" i="13"/>
  <c r="H28" i="13" s="1"/>
  <c r="H7" i="14"/>
  <c r="H12" i="14" l="1"/>
  <c r="H17" i="14" s="1"/>
  <c r="H13" i="14"/>
  <c r="H15" i="14" s="1"/>
  <c r="H38" i="14"/>
  <c r="H21" i="9"/>
  <c r="V21" i="8" s="1"/>
  <c r="H32" i="9"/>
  <c r="V5" i="8"/>
  <c r="AD14" i="13" l="1"/>
  <c r="AD6" i="10"/>
  <c r="AD8" i="13"/>
  <c r="AD9" i="13" s="1"/>
  <c r="AD10" i="13" l="1"/>
  <c r="AD12" i="13" l="1"/>
  <c r="AE6" i="10" l="1"/>
  <c r="AE8" i="13"/>
  <c r="AE9" i="13" s="1"/>
  <c r="AE14" i="13"/>
  <c r="AE10" i="13" l="1"/>
  <c r="AE12" i="13" l="1"/>
  <c r="AF6" i="10" l="1"/>
  <c r="AF10" i="13" l="1"/>
  <c r="AF14" i="13"/>
  <c r="AF12" i="13" l="1"/>
  <c r="AG6" i="10" l="1"/>
  <c r="AG8" i="13"/>
  <c r="AG9" i="13" s="1"/>
  <c r="I23" i="13"/>
  <c r="I27" i="13"/>
  <c r="I8" i="14" s="1"/>
  <c r="AG14" i="13" l="1"/>
  <c r="I30" i="13" s="1"/>
  <c r="I3" i="8"/>
  <c r="I24" i="13"/>
  <c r="I3" i="9" l="1"/>
  <c r="W3" i="8" s="1"/>
  <c r="I26" i="13"/>
  <c r="I4" i="8"/>
  <c r="I20" i="8" s="1"/>
  <c r="I26" i="8" s="1"/>
  <c r="I5" i="8"/>
  <c r="I21" i="8" s="1"/>
  <c r="I27" i="8" s="1"/>
  <c r="AG10" i="13"/>
  <c r="AG12" i="13" s="1"/>
  <c r="I28" i="13" s="1"/>
  <c r="I30" i="8" l="1"/>
  <c r="I4" i="9"/>
  <c r="I31" i="9" s="1"/>
  <c r="I30" i="9"/>
  <c r="I31" i="8"/>
  <c r="I7" i="14"/>
  <c r="I5" i="9"/>
  <c r="W4" i="8"/>
  <c r="I20" i="9"/>
  <c r="W20" i="8" s="1"/>
  <c r="I12" i="14" l="1"/>
  <c r="I17" i="14" s="1"/>
  <c r="I18" i="14"/>
  <c r="I34" i="14" s="1"/>
  <c r="I13" i="14"/>
  <c r="I15" i="14" s="1"/>
  <c r="I38" i="14"/>
  <c r="W5" i="8"/>
  <c r="I21" i="9"/>
  <c r="W21" i="8" s="1"/>
  <c r="I32" i="9"/>
  <c r="I20" i="14" l="1"/>
  <c r="AH14" i="13" l="1"/>
  <c r="AH6" i="10"/>
  <c r="AH8" i="13"/>
  <c r="AH9" i="13" s="1"/>
  <c r="AH10" i="13" l="1"/>
  <c r="AH12" i="13" l="1"/>
  <c r="AI14" i="13" l="1"/>
  <c r="AI6" i="10"/>
  <c r="AI8" i="13"/>
  <c r="AI9" i="13" s="1"/>
  <c r="AI10" i="13" l="1"/>
  <c r="AI12" i="13" l="1"/>
  <c r="W8" i="13" l="1"/>
  <c r="W9" i="13" s="1"/>
  <c r="AJ8" i="13"/>
  <c r="AJ9" i="13" s="1"/>
  <c r="J23" i="13"/>
  <c r="W10" i="13" l="1"/>
  <c r="W12" i="13" s="1"/>
  <c r="AJ6" i="10"/>
  <c r="J3" i="8"/>
  <c r="J24" i="13"/>
  <c r="X8" i="13"/>
  <c r="X9" i="13" s="1"/>
  <c r="J3" i="9" l="1"/>
  <c r="J30" i="9" s="1"/>
  <c r="J26" i="13"/>
  <c r="J4" i="8"/>
  <c r="J20" i="8" s="1"/>
  <c r="J26" i="8" s="1"/>
  <c r="J5" i="8"/>
  <c r="J21" i="8" s="1"/>
  <c r="J27" i="8" s="1"/>
  <c r="W14" i="13"/>
  <c r="X3" i="8"/>
  <c r="AJ10" i="13"/>
  <c r="J27" i="13"/>
  <c r="J8" i="14" s="1"/>
  <c r="AJ14" i="13"/>
  <c r="J30" i="13" s="1"/>
  <c r="J30" i="8" l="1"/>
  <c r="J4" i="9"/>
  <c r="J5" i="9" s="1"/>
  <c r="X5" i="8" s="1"/>
  <c r="J31" i="8"/>
  <c r="AJ12" i="13"/>
  <c r="J28" i="13" s="1"/>
  <c r="J7" i="14"/>
  <c r="J20" i="9"/>
  <c r="X20" i="8" s="1"/>
  <c r="X14" i="13"/>
  <c r="X10" i="13"/>
  <c r="J31" i="9" l="1"/>
  <c r="J21" i="9"/>
  <c r="X21" i="8" s="1"/>
  <c r="J32" i="9"/>
  <c r="X4" i="8"/>
  <c r="J12" i="14"/>
  <c r="J18" i="14"/>
  <c r="J13" i="14"/>
  <c r="J38" i="14"/>
  <c r="X12" i="13"/>
  <c r="H8" i="14"/>
  <c r="H18" i="14" l="1"/>
  <c r="H34" i="14" s="1"/>
  <c r="J15" i="14"/>
  <c r="J17" i="14"/>
  <c r="J34" i="14"/>
  <c r="J20" i="14"/>
  <c r="H20" i="14" l="1"/>
  <c r="B3" i="13" l="1"/>
  <c r="B19" i="13" s="1"/>
  <c r="B5" i="14" s="1"/>
  <c r="B6" i="13" l="1"/>
  <c r="B22" i="13" s="1"/>
  <c r="M5" i="14"/>
  <c r="N5" i="14"/>
  <c r="AA17" i="3"/>
  <c r="B2" i="11"/>
  <c r="E9" i="11" s="1"/>
  <c r="B9" i="11" l="1"/>
  <c r="C9" i="11" s="1"/>
  <c r="J9" i="11" s="1"/>
  <c r="L9" i="11"/>
  <c r="E10" i="11"/>
  <c r="B4" i="10"/>
  <c r="B2" i="10"/>
  <c r="D9" i="11" l="1"/>
  <c r="B7" i="13"/>
  <c r="E11" i="11"/>
  <c r="K9" i="11"/>
  <c r="B10" i="11"/>
  <c r="B5" i="10" l="1"/>
  <c r="B8" i="13"/>
  <c r="E12" i="11"/>
  <c r="F12" i="11" s="1"/>
  <c r="G9" i="11"/>
  <c r="C10" i="11"/>
  <c r="B11" i="13" l="1"/>
  <c r="B7" i="10"/>
  <c r="B6" i="10"/>
  <c r="B9" i="13"/>
  <c r="B10" i="13" s="1"/>
  <c r="D10" i="11"/>
  <c r="E13" i="11"/>
  <c r="L10" i="11"/>
  <c r="B12" i="13" l="1"/>
  <c r="B11" i="11"/>
  <c r="E14" i="11"/>
  <c r="G12" i="11"/>
  <c r="B13" i="13"/>
  <c r="B14" i="13"/>
  <c r="B15" i="13" l="1"/>
  <c r="C11" i="11"/>
  <c r="E15" i="11"/>
  <c r="D11" i="11" l="1"/>
  <c r="E16" i="11"/>
  <c r="L13" i="11"/>
  <c r="E17" i="11" l="1"/>
  <c r="H9" i="11"/>
  <c r="B12" i="11"/>
  <c r="E18" i="11" l="1"/>
  <c r="C12" i="11"/>
  <c r="G15" i="11"/>
  <c r="D12" i="11" l="1"/>
  <c r="J10" i="11"/>
  <c r="E19" i="11"/>
  <c r="L16" i="11"/>
  <c r="E20" i="11" l="1"/>
  <c r="G18" i="11" s="1"/>
  <c r="C4" i="10"/>
  <c r="K10" i="11"/>
  <c r="B13" i="11"/>
  <c r="C7" i="13" l="1"/>
  <c r="E21" i="11"/>
  <c r="C13" i="11"/>
  <c r="C5" i="10"/>
  <c r="C11" i="13" l="1"/>
  <c r="C7" i="10"/>
  <c r="E22" i="11"/>
  <c r="D13" i="11"/>
  <c r="C14" i="13"/>
  <c r="C8" i="13"/>
  <c r="L19" i="11"/>
  <c r="C6" i="10"/>
  <c r="C15" i="13" l="1"/>
  <c r="B14" i="11"/>
  <c r="E23" i="11"/>
  <c r="C9" i="13"/>
  <c r="C13" i="13"/>
  <c r="E24" i="11" l="1"/>
  <c r="C10" i="13"/>
  <c r="L22" i="11"/>
  <c r="C14" i="11"/>
  <c r="G21" i="11"/>
  <c r="E25" i="11" l="1"/>
  <c r="F24" i="11"/>
  <c r="D14" i="11"/>
  <c r="C12" i="13"/>
  <c r="H12" i="11" l="1"/>
  <c r="B15" i="11"/>
  <c r="E26" i="11"/>
  <c r="E27" i="11" l="1"/>
  <c r="C15" i="11"/>
  <c r="G24" i="11"/>
  <c r="L25" i="11"/>
  <c r="D15" i="11" l="1"/>
  <c r="J13" i="11"/>
  <c r="E28" i="11"/>
  <c r="E29" i="11" l="1"/>
  <c r="G27" i="11" s="1"/>
  <c r="D4" i="10"/>
  <c r="K13" i="11"/>
  <c r="B16" i="11"/>
  <c r="D7" i="13" l="1"/>
  <c r="E30" i="11"/>
  <c r="C16" i="11"/>
  <c r="D5" i="10"/>
  <c r="L28" i="11"/>
  <c r="D8" i="13" l="1"/>
  <c r="D11" i="13"/>
  <c r="D7" i="10"/>
  <c r="D16" i="11"/>
  <c r="E31" i="11"/>
  <c r="D6" i="10"/>
  <c r="B17" i="11" l="1"/>
  <c r="D9" i="13"/>
  <c r="D10" i="13" s="1"/>
  <c r="D13" i="13"/>
  <c r="E32" i="11"/>
  <c r="D14" i="13"/>
  <c r="D15" i="13" l="1"/>
  <c r="E33" i="11"/>
  <c r="G30" i="11"/>
  <c r="D12" i="13"/>
  <c r="C17" i="11"/>
  <c r="D17" i="11" l="1"/>
  <c r="E34" i="11"/>
  <c r="L31" i="11"/>
  <c r="E35" i="11" l="1"/>
  <c r="G33" i="11" s="1"/>
  <c r="H15" i="11"/>
  <c r="B18" i="11"/>
  <c r="C18" i="11" l="1"/>
  <c r="E36" i="11"/>
  <c r="L34" i="11"/>
  <c r="E37" i="11" l="1"/>
  <c r="F36" i="11"/>
  <c r="D18" i="11"/>
  <c r="J16" i="11"/>
  <c r="E4" i="10" l="1"/>
  <c r="K16" i="11"/>
  <c r="B19" i="11"/>
  <c r="E38" i="11"/>
  <c r="G36" i="11" s="1"/>
  <c r="C19" i="11" l="1"/>
  <c r="E5" i="10"/>
  <c r="E39" i="11"/>
  <c r="E6" i="10"/>
  <c r="W13" i="3" s="1"/>
  <c r="E7" i="13"/>
  <c r="E8" i="13" l="1"/>
  <c r="B23" i="13"/>
  <c r="E40" i="11"/>
  <c r="L37" i="11"/>
  <c r="E11" i="13"/>
  <c r="E14" i="13" s="1"/>
  <c r="E7" i="10"/>
  <c r="AA13" i="3"/>
  <c r="W14" i="3"/>
  <c r="W16" i="3" s="1"/>
  <c r="D19" i="11"/>
  <c r="E41" i="11" l="1"/>
  <c r="G39" i="11" s="1"/>
  <c r="W20" i="3"/>
  <c r="AA14" i="3"/>
  <c r="E15" i="13"/>
  <c r="B31" i="13" s="1"/>
  <c r="B30" i="13"/>
  <c r="B20" i="11"/>
  <c r="E13" i="13"/>
  <c r="B29" i="13" s="1"/>
  <c r="B27" i="13"/>
  <c r="B8" i="14" s="1"/>
  <c r="E9" i="13"/>
  <c r="B3" i="8" s="1"/>
  <c r="B24" i="13"/>
  <c r="B3" i="9" l="1"/>
  <c r="B30" i="9" s="1"/>
  <c r="B26" i="13"/>
  <c r="E10" i="13"/>
  <c r="E12" i="13" s="1"/>
  <c r="B28" i="13" s="1"/>
  <c r="AA16" i="3"/>
  <c r="AB16" i="3" s="1"/>
  <c r="AB11" i="3"/>
  <c r="B9" i="2"/>
  <c r="AB8" i="3"/>
  <c r="AB3" i="3"/>
  <c r="AB5" i="3"/>
  <c r="AB4" i="3"/>
  <c r="AB10" i="3"/>
  <c r="AB7" i="3"/>
  <c r="AB9" i="3"/>
  <c r="AB6" i="3"/>
  <c r="AB2" i="3"/>
  <c r="AB17" i="3"/>
  <c r="B7" i="14"/>
  <c r="E42" i="11"/>
  <c r="AB13" i="3"/>
  <c r="C20" i="11"/>
  <c r="L40" i="11"/>
  <c r="B4" i="9" l="1"/>
  <c r="B5" i="9" s="1"/>
  <c r="P5" i="8" s="1"/>
  <c r="P3" i="8"/>
  <c r="E43" i="11"/>
  <c r="B12" i="14"/>
  <c r="B13" i="14"/>
  <c r="B15" i="14" s="1"/>
  <c r="B38" i="14"/>
  <c r="B18" i="14"/>
  <c r="D20" i="11"/>
  <c r="B20" i="9" l="1"/>
  <c r="P20" i="8" s="1"/>
  <c r="B31" i="9"/>
  <c r="B21" i="9"/>
  <c r="P21" i="8" s="1"/>
  <c r="B32" i="9"/>
  <c r="P4" i="8"/>
  <c r="E44" i="11"/>
  <c r="G42" i="11" s="1"/>
  <c r="B17" i="14"/>
  <c r="B16" i="14"/>
  <c r="H18" i="11"/>
  <c r="B21" i="11"/>
  <c r="B34" i="14"/>
  <c r="B19" i="14"/>
  <c r="B20" i="14"/>
  <c r="C21" i="11" l="1"/>
  <c r="E45" i="11"/>
  <c r="L43" i="11"/>
  <c r="E46" i="11" l="1"/>
  <c r="D21" i="11"/>
  <c r="J19" i="11"/>
  <c r="F4" i="10" l="1"/>
  <c r="K19" i="11"/>
  <c r="B22" i="11"/>
  <c r="E47" i="11"/>
  <c r="E48" i="11" l="1"/>
  <c r="L46" i="11" s="1"/>
  <c r="C22" i="11"/>
  <c r="F5" i="10"/>
  <c r="G45" i="11"/>
  <c r="F7" i="13"/>
  <c r="F8" i="13" l="1"/>
  <c r="F11" i="13"/>
  <c r="F14" i="13" s="1"/>
  <c r="F7" i="10"/>
  <c r="D22" i="11"/>
  <c r="E49" i="11"/>
  <c r="F48" i="11"/>
  <c r="F6" i="10"/>
  <c r="F15" i="13" l="1"/>
  <c r="B23" i="11"/>
  <c r="F13" i="13"/>
  <c r="F9" i="13"/>
  <c r="F10" i="13" s="1"/>
  <c r="E50" i="11"/>
  <c r="G48" i="11" s="1"/>
  <c r="C23" i="11" l="1"/>
  <c r="E51" i="11"/>
  <c r="L49" i="11" s="1"/>
  <c r="F12" i="13"/>
  <c r="E52" i="11" l="1"/>
  <c r="D23" i="11"/>
  <c r="E53" i="11" l="1"/>
  <c r="H21" i="11"/>
  <c r="B24" i="11"/>
  <c r="G51" i="11"/>
  <c r="C24" i="11" l="1"/>
  <c r="E54" i="11"/>
  <c r="E55" i="11" l="1"/>
  <c r="L52" i="11"/>
  <c r="D24" i="11"/>
  <c r="J22" i="11"/>
  <c r="G4" i="10" s="1"/>
  <c r="G7" i="13" l="1"/>
  <c r="K22" i="11"/>
  <c r="G5" i="10" s="1"/>
  <c r="B25" i="11"/>
  <c r="E56" i="11"/>
  <c r="C25" i="11" l="1"/>
  <c r="G8" i="13"/>
  <c r="E57" i="11"/>
  <c r="G11" i="13"/>
  <c r="G14" i="13" s="1"/>
  <c r="G7" i="10"/>
  <c r="G54" i="11"/>
  <c r="G6" i="10"/>
  <c r="E58" i="11" l="1"/>
  <c r="L55" i="11"/>
  <c r="G15" i="13"/>
  <c r="G9" i="13"/>
  <c r="G10" i="13" s="1"/>
  <c r="G13" i="13"/>
  <c r="D25" i="11"/>
  <c r="B26" i="11" l="1"/>
  <c r="G12" i="13"/>
  <c r="E59" i="11"/>
  <c r="G57" i="11"/>
  <c r="E60" i="11" l="1"/>
  <c r="C26" i="11"/>
  <c r="D26" i="11" l="1"/>
  <c r="E61" i="11"/>
  <c r="F60" i="11"/>
  <c r="L58" i="11"/>
  <c r="E62" i="11" l="1"/>
  <c r="G60" i="11" s="1"/>
  <c r="H24" i="11"/>
  <c r="B27" i="11"/>
  <c r="C27" i="11" l="1"/>
  <c r="E63" i="11"/>
  <c r="L61" i="11" s="1"/>
  <c r="E64" i="11" l="1"/>
  <c r="D27" i="11"/>
  <c r="J25" i="11"/>
  <c r="H4" i="10" s="1"/>
  <c r="K25" i="11" l="1"/>
  <c r="H5" i="10" s="1"/>
  <c r="H6" i="10" s="1"/>
  <c r="B28" i="11"/>
  <c r="H7" i="13"/>
  <c r="E65" i="11"/>
  <c r="E66" i="11" l="1"/>
  <c r="L64" i="11" s="1"/>
  <c r="H11" i="13"/>
  <c r="H14" i="13" s="1"/>
  <c r="H7" i="10"/>
  <c r="H8" i="13"/>
  <c r="C28" i="11"/>
  <c r="G63" i="11"/>
  <c r="H15" i="13" l="1"/>
  <c r="E67" i="11"/>
  <c r="H9" i="13"/>
  <c r="H10" i="13" s="1"/>
  <c r="H13" i="13"/>
  <c r="D28" i="11"/>
  <c r="H12" i="13" l="1"/>
  <c r="B29" i="11"/>
  <c r="E68" i="11"/>
  <c r="G66" i="11" s="1"/>
  <c r="G70" i="11" s="1"/>
  <c r="F68" i="11" l="1"/>
  <c r="F70" i="11" s="1"/>
  <c r="C29" i="11"/>
  <c r="E70" i="11"/>
  <c r="L67" i="11"/>
  <c r="L69" i="11" s="1"/>
  <c r="B5" i="11" l="1"/>
  <c r="D70" i="11"/>
  <c r="D29" i="11"/>
  <c r="H27" i="11" l="1"/>
  <c r="B30" i="11"/>
  <c r="C30" i="11" l="1"/>
  <c r="D30" i="11" l="1"/>
  <c r="J28" i="11"/>
  <c r="I4" i="10" s="1"/>
  <c r="I7" i="13" l="1"/>
  <c r="K28" i="11"/>
  <c r="I5" i="10" s="1"/>
  <c r="B31" i="11"/>
  <c r="C31" i="11" l="1"/>
  <c r="I11" i="13"/>
  <c r="I7" i="10"/>
  <c r="I6" i="10"/>
  <c r="I14" i="13"/>
  <c r="I8" i="13"/>
  <c r="C23" i="13"/>
  <c r="I9" i="13" l="1"/>
  <c r="C3" i="8" s="1"/>
  <c r="C24" i="13"/>
  <c r="C27" i="13"/>
  <c r="C8" i="14" s="1"/>
  <c r="I13" i="13"/>
  <c r="C30" i="13"/>
  <c r="I15" i="13"/>
  <c r="D31" i="11"/>
  <c r="C3" i="9" l="1"/>
  <c r="Q3" i="8" s="1"/>
  <c r="C26" i="13"/>
  <c r="C29" i="13"/>
  <c r="C31" i="13"/>
  <c r="B32" i="11"/>
  <c r="I10" i="13"/>
  <c r="C30" i="9" l="1"/>
  <c r="C4" i="9"/>
  <c r="Q4" i="8" s="1"/>
  <c r="C32" i="11"/>
  <c r="I12" i="13"/>
  <c r="C28" i="13" s="1"/>
  <c r="C7" i="14"/>
  <c r="C5" i="9" l="1"/>
  <c r="C20" i="9"/>
  <c r="Q20" i="8" s="1"/>
  <c r="C31" i="9"/>
  <c r="C12" i="14"/>
  <c r="C38" i="14"/>
  <c r="C13" i="14"/>
  <c r="C18" i="14"/>
  <c r="C32" i="9"/>
  <c r="C21" i="9"/>
  <c r="Q21" i="8" s="1"/>
  <c r="Q5" i="8"/>
  <c r="D32" i="11"/>
  <c r="C15" i="14" l="1"/>
  <c r="H30" i="11"/>
  <c r="B33" i="11"/>
  <c r="C34" i="14"/>
  <c r="C20" i="14"/>
  <c r="C19" i="14"/>
  <c r="C17" i="14"/>
  <c r="C16" i="14"/>
  <c r="C33" i="11" l="1"/>
  <c r="D33" i="11" l="1"/>
  <c r="J31" i="11"/>
  <c r="J4" i="10" s="1"/>
  <c r="J7" i="13" l="1"/>
  <c r="K31" i="11"/>
  <c r="J5" i="10" s="1"/>
  <c r="J6" i="10" s="1"/>
  <c r="B34" i="11"/>
  <c r="C34" i="11" l="1"/>
  <c r="J11" i="13"/>
  <c r="J7" i="10"/>
  <c r="J8" i="13"/>
  <c r="J14" i="13"/>
  <c r="J15" i="13" l="1"/>
  <c r="J9" i="13"/>
  <c r="J13" i="13"/>
  <c r="D34" i="11"/>
  <c r="J10" i="13" l="1"/>
  <c r="B35" i="11"/>
  <c r="J12" i="13" l="1"/>
  <c r="C35" i="11"/>
  <c r="D35" i="11" l="1"/>
  <c r="H33" i="11" l="1"/>
  <c r="B36" i="11"/>
  <c r="C36" i="11" l="1"/>
  <c r="D36" i="11" l="1"/>
  <c r="J34" i="11"/>
  <c r="K4" i="10" s="1"/>
  <c r="K7" i="13" l="1"/>
  <c r="K34" i="11"/>
  <c r="K5" i="10" s="1"/>
  <c r="K6" i="10" s="1"/>
  <c r="B37" i="11"/>
  <c r="C37" i="11" l="1"/>
  <c r="K11" i="13"/>
  <c r="K14" i="13" s="1"/>
  <c r="K7" i="10"/>
  <c r="K8" i="13"/>
  <c r="K9" i="13" l="1"/>
  <c r="K15" i="13"/>
  <c r="K13" i="13"/>
  <c r="D37" i="11"/>
  <c r="B38" i="11" l="1"/>
  <c r="K10" i="13"/>
  <c r="C38" i="11" l="1"/>
  <c r="K12" i="13"/>
  <c r="D38" i="11" l="1"/>
  <c r="H36" i="11" l="1"/>
  <c r="B39" i="11"/>
  <c r="C39" i="11" l="1"/>
  <c r="D39" i="11" l="1"/>
  <c r="J37" i="11"/>
  <c r="L4" i="10" s="1"/>
  <c r="L7" i="13" l="1"/>
  <c r="K37" i="11"/>
  <c r="L5" i="10" s="1"/>
  <c r="B40" i="11"/>
  <c r="C40" i="11" l="1"/>
  <c r="L11" i="13"/>
  <c r="L7" i="10"/>
  <c r="L14" i="13"/>
  <c r="L8" i="13"/>
  <c r="L6" i="10"/>
  <c r="L9" i="13" l="1"/>
  <c r="L10" i="13" s="1"/>
  <c r="L13" i="13"/>
  <c r="L15" i="13"/>
  <c r="D40" i="11"/>
  <c r="B41" i="11" l="1"/>
  <c r="L12" i="13"/>
  <c r="C41" i="11" l="1"/>
  <c r="D41" i="11" l="1"/>
  <c r="H39" i="11" l="1"/>
  <c r="B42" i="11"/>
  <c r="C42" i="11" l="1"/>
  <c r="D42" i="11" l="1"/>
  <c r="J40" i="11"/>
  <c r="M4" i="10" s="1"/>
  <c r="M7" i="13" l="1"/>
  <c r="K40" i="11"/>
  <c r="M5" i="10" s="1"/>
  <c r="B43" i="11"/>
  <c r="C43" i="11" l="1"/>
  <c r="M11" i="13"/>
  <c r="M7" i="10"/>
  <c r="M14" i="13"/>
  <c r="M8" i="13"/>
  <c r="D23" i="13"/>
  <c r="M6" i="10"/>
  <c r="M9" i="13" l="1"/>
  <c r="D3" i="8" s="1"/>
  <c r="D24" i="13"/>
  <c r="D27" i="13"/>
  <c r="D8" i="14" s="1"/>
  <c r="M13" i="13"/>
  <c r="D30" i="13"/>
  <c r="M15" i="13"/>
  <c r="D43" i="11"/>
  <c r="D3" i="9" l="1"/>
  <c r="R3" i="8" s="1"/>
  <c r="D26" i="13"/>
  <c r="D7" i="14" s="1"/>
  <c r="M10" i="13"/>
  <c r="M12" i="13" s="1"/>
  <c r="D28" i="13" s="1"/>
  <c r="B44" i="11"/>
  <c r="D31" i="13"/>
  <c r="D29" i="13"/>
  <c r="D4" i="9" l="1"/>
  <c r="D30" i="9"/>
  <c r="D5" i="9"/>
  <c r="R5" i="8" s="1"/>
  <c r="D38" i="14"/>
  <c r="D12" i="14"/>
  <c r="D18" i="14"/>
  <c r="D13" i="14"/>
  <c r="C44" i="11"/>
  <c r="D20" i="9"/>
  <c r="R20" i="8" s="1"/>
  <c r="R4" i="8"/>
  <c r="D31" i="9"/>
  <c r="D32" i="9" l="1"/>
  <c r="D21" i="9"/>
  <c r="R21" i="8" s="1"/>
  <c r="D17" i="14"/>
  <c r="D16" i="14"/>
  <c r="D15" i="14"/>
  <c r="D34" i="14"/>
  <c r="D20" i="14"/>
  <c r="D19" i="14"/>
  <c r="D44" i="11"/>
  <c r="H42" i="11" l="1"/>
  <c r="B45" i="11"/>
  <c r="C45" i="11" l="1"/>
  <c r="D45" i="11" l="1"/>
  <c r="J43" i="11"/>
  <c r="N4" i="10" s="1"/>
  <c r="N7" i="13" l="1"/>
  <c r="K43" i="11"/>
  <c r="N5" i="10" s="1"/>
  <c r="B46" i="11"/>
  <c r="C46" i="11" l="1"/>
  <c r="N11" i="13"/>
  <c r="N7" i="10"/>
  <c r="N8" i="13"/>
  <c r="N14" i="13"/>
  <c r="N6" i="10"/>
  <c r="N9" i="13" l="1"/>
  <c r="N13" i="13"/>
  <c r="N15" i="13"/>
  <c r="D46" i="11"/>
  <c r="B47" i="11" l="1"/>
  <c r="N10" i="13"/>
  <c r="C47" i="11" l="1"/>
  <c r="N12" i="13"/>
  <c r="D47" i="11" l="1"/>
  <c r="H45" i="11" l="1"/>
  <c r="B48" i="11"/>
  <c r="C48" i="11" l="1"/>
  <c r="D48" i="11" l="1"/>
  <c r="J46" i="11"/>
  <c r="O4" i="10" s="1"/>
  <c r="O7" i="13" l="1"/>
  <c r="K46" i="11"/>
  <c r="O5" i="10" s="1"/>
  <c r="B49" i="11"/>
  <c r="C49" i="11" l="1"/>
  <c r="O11" i="13"/>
  <c r="O7" i="10"/>
  <c r="O14" i="13"/>
  <c r="O8" i="13"/>
  <c r="O6" i="10"/>
  <c r="O9" i="13" l="1"/>
  <c r="O10" i="13" s="1"/>
  <c r="O13" i="13"/>
  <c r="O15" i="13"/>
  <c r="D49" i="11"/>
  <c r="O12" i="13" l="1"/>
  <c r="B50" i="11"/>
  <c r="C50" i="11" l="1"/>
  <c r="D50" i="11" l="1"/>
  <c r="H48" i="11" l="1"/>
  <c r="B51" i="11"/>
  <c r="C51" i="11" l="1"/>
  <c r="D51" i="11" l="1"/>
  <c r="J49" i="11"/>
  <c r="P4" i="10" s="1"/>
  <c r="P7" i="13" l="1"/>
  <c r="K49" i="11"/>
  <c r="P5" i="10" s="1"/>
  <c r="B52" i="11"/>
  <c r="C52" i="11" l="1"/>
  <c r="P11" i="13"/>
  <c r="P7" i="10"/>
  <c r="P14" i="13"/>
  <c r="P8" i="13"/>
  <c r="P6" i="10"/>
  <c r="P9" i="13" l="1"/>
  <c r="P13" i="13"/>
  <c r="P15" i="13"/>
  <c r="D52" i="11"/>
  <c r="B53" i="11" l="1"/>
  <c r="P10" i="13"/>
  <c r="C53" i="11" l="1"/>
  <c r="P12" i="13"/>
  <c r="D53" i="11" l="1"/>
  <c r="H51" i="11" l="1"/>
  <c r="B54" i="11"/>
  <c r="C54" i="11" l="1"/>
  <c r="D54" i="11" l="1"/>
  <c r="J52" i="11"/>
  <c r="Q4" i="10" s="1"/>
  <c r="Q7" i="13" l="1"/>
  <c r="K52" i="11"/>
  <c r="Q5" i="10" s="1"/>
  <c r="B55" i="11"/>
  <c r="C55" i="11" l="1"/>
  <c r="Q11" i="13"/>
  <c r="Q7" i="10"/>
  <c r="Q6" i="10"/>
  <c r="Q8" i="13"/>
  <c r="Q14" i="13"/>
  <c r="E23" i="13"/>
  <c r="E30" i="13" l="1"/>
  <c r="Q15" i="13"/>
  <c r="D55" i="11"/>
  <c r="Q9" i="13"/>
  <c r="E3" i="8" s="1"/>
  <c r="E24" i="13"/>
  <c r="E27" i="13"/>
  <c r="E8" i="14" s="1"/>
  <c r="Q13" i="13"/>
  <c r="E3" i="9" l="1"/>
  <c r="E4" i="9" s="1"/>
  <c r="E5" i="9" s="1"/>
  <c r="E26" i="13"/>
  <c r="B56" i="11"/>
  <c r="E31" i="13"/>
  <c r="Q10" i="13"/>
  <c r="E29" i="13"/>
  <c r="E30" i="9" l="1"/>
  <c r="S3" i="8"/>
  <c r="C56" i="11"/>
  <c r="S5" i="8"/>
  <c r="E21" i="9"/>
  <c r="S21" i="8" s="1"/>
  <c r="E32" i="9"/>
  <c r="Q12" i="13"/>
  <c r="E28" i="13" s="1"/>
  <c r="E7" i="14"/>
  <c r="E20" i="9"/>
  <c r="S20" i="8" s="1"/>
  <c r="S4" i="8"/>
  <c r="E31" i="9"/>
  <c r="E13" i="14" l="1"/>
  <c r="E38" i="14"/>
  <c r="E18" i="14"/>
  <c r="E12" i="14"/>
  <c r="D56" i="11"/>
  <c r="H54" i="11" l="1"/>
  <c r="B57" i="11"/>
  <c r="E17" i="14"/>
  <c r="E16" i="14"/>
  <c r="E20" i="14"/>
  <c r="E34" i="14"/>
  <c r="E19" i="14"/>
  <c r="E15" i="14"/>
  <c r="C57" i="11" l="1"/>
  <c r="D57" i="11" l="1"/>
  <c r="J55" i="11"/>
  <c r="R4" i="10" s="1"/>
  <c r="R7" i="13" l="1"/>
  <c r="K55" i="11"/>
  <c r="R5" i="10" s="1"/>
  <c r="B58" i="11"/>
  <c r="C58" i="11" l="1"/>
  <c r="R11" i="13"/>
  <c r="R7" i="10"/>
  <c r="R8" i="13"/>
  <c r="R14" i="13"/>
  <c r="R6" i="10"/>
  <c r="R15" i="13" l="1"/>
  <c r="R9" i="13"/>
  <c r="R13" i="13"/>
  <c r="D58" i="11"/>
  <c r="R10" i="13" l="1"/>
  <c r="B59" i="11"/>
  <c r="R12" i="13" l="1"/>
  <c r="C59" i="11"/>
  <c r="D59" i="11" l="1"/>
  <c r="H57" i="11" l="1"/>
  <c r="B60" i="11"/>
  <c r="C60" i="11" l="1"/>
  <c r="D60" i="11" l="1"/>
  <c r="J58" i="11"/>
  <c r="S4" i="10" s="1"/>
  <c r="S7" i="13" l="1"/>
  <c r="K58" i="11"/>
  <c r="S5" i="10" s="1"/>
  <c r="S6" i="10" s="1"/>
  <c r="B61" i="11"/>
  <c r="C61" i="11" l="1"/>
  <c r="S11" i="13"/>
  <c r="S7" i="10"/>
  <c r="S14" i="13"/>
  <c r="S8" i="13"/>
  <c r="S15" i="13" l="1"/>
  <c r="S9" i="13"/>
  <c r="S10" i="13" s="1"/>
  <c r="S13" i="13"/>
  <c r="D61" i="11"/>
  <c r="S12" i="13" l="1"/>
  <c r="B62" i="11"/>
  <c r="C62" i="11" l="1"/>
  <c r="D62" i="11" l="1"/>
  <c r="H60" i="11" l="1"/>
  <c r="B63" i="11"/>
  <c r="C63" i="11" l="1"/>
  <c r="D63" i="11" l="1"/>
  <c r="J61" i="11"/>
  <c r="T4" i="10" s="1"/>
  <c r="T7" i="13" l="1"/>
  <c r="K61" i="11"/>
  <c r="T5" i="10" s="1"/>
  <c r="B64" i="11"/>
  <c r="T11" i="13" l="1"/>
  <c r="T7" i="10"/>
  <c r="C64" i="11"/>
  <c r="T14" i="13"/>
  <c r="T8" i="13"/>
  <c r="T6" i="10"/>
  <c r="T9" i="13" l="1"/>
  <c r="T15" i="13"/>
  <c r="D64" i="11"/>
  <c r="T13" i="13"/>
  <c r="B65" i="11" l="1"/>
  <c r="T10" i="13"/>
  <c r="C65" i="11" l="1"/>
  <c r="T12" i="13"/>
  <c r="D65" i="11" l="1"/>
  <c r="H63" i="11" l="1"/>
  <c r="B66" i="11"/>
  <c r="C66" i="11" l="1"/>
  <c r="D66" i="11" l="1"/>
  <c r="J64" i="11"/>
  <c r="U4" i="10" s="1"/>
  <c r="U7" i="13" l="1"/>
  <c r="K64" i="11"/>
  <c r="U5" i="10" s="1"/>
  <c r="B67" i="11"/>
  <c r="C67" i="11" l="1"/>
  <c r="U8" i="13"/>
  <c r="F23" i="13"/>
  <c r="U11" i="13"/>
  <c r="U7" i="10"/>
  <c r="U6" i="10"/>
  <c r="F27" i="13" l="1"/>
  <c r="F8" i="14" s="1"/>
  <c r="U13" i="13"/>
  <c r="U14" i="13"/>
  <c r="U9" i="13"/>
  <c r="F3" i="8" s="1"/>
  <c r="F24" i="13"/>
  <c r="D67" i="11"/>
  <c r="F3" i="9" l="1"/>
  <c r="F26" i="13"/>
  <c r="U10" i="13"/>
  <c r="U12" i="13" s="1"/>
  <c r="F28" i="13" s="1"/>
  <c r="F30" i="13"/>
  <c r="U15" i="13"/>
  <c r="F7" i="14"/>
  <c r="F29" i="13"/>
  <c r="B68" i="11"/>
  <c r="T3" i="8" l="1"/>
  <c r="F4" i="9"/>
  <c r="F5" i="9" s="1"/>
  <c r="F30" i="9"/>
  <c r="C68" i="11"/>
  <c r="F31" i="13"/>
  <c r="F38" i="14"/>
  <c r="F12" i="14"/>
  <c r="F13" i="14"/>
  <c r="F18" i="14"/>
  <c r="F31" i="9" l="1"/>
  <c r="F20" i="9"/>
  <c r="T20" i="8" s="1"/>
  <c r="T5" i="8"/>
  <c r="F32" i="9"/>
  <c r="F21" i="9"/>
  <c r="T21" i="8" s="1"/>
  <c r="T4" i="8"/>
  <c r="F16" i="14"/>
  <c r="F17" i="14"/>
  <c r="F34" i="14"/>
  <c r="F20" i="14"/>
  <c r="F19" i="14"/>
  <c r="F15" i="14"/>
  <c r="D68" i="11"/>
  <c r="J67" i="11"/>
  <c r="B28" i="14" l="1"/>
  <c r="H66" i="11"/>
  <c r="B69" i="11"/>
  <c r="C69" i="11" s="1"/>
  <c r="D69" i="11" s="1"/>
  <c r="H69" i="11" s="1"/>
  <c r="H70" i="11" s="1"/>
  <c r="V4" i="10"/>
  <c r="J69" i="11"/>
  <c r="V7" i="13" l="1"/>
  <c r="K67" i="11"/>
  <c r="G23" i="13" l="1"/>
  <c r="V8" i="13"/>
  <c r="V5" i="10"/>
  <c r="K69" i="11"/>
  <c r="V11" i="13" l="1"/>
  <c r="V7" i="10"/>
  <c r="V6" i="10"/>
  <c r="V9" i="13"/>
  <c r="G3" i="8" s="1"/>
  <c r="G24" i="13"/>
  <c r="V10" i="13" l="1"/>
  <c r="G3" i="9"/>
  <c r="G30" i="9" s="1"/>
  <c r="G26" i="13"/>
  <c r="G7" i="14" s="1"/>
  <c r="V12" i="13"/>
  <c r="G28" i="13" s="1"/>
  <c r="G5" i="8"/>
  <c r="G21" i="8" s="1"/>
  <c r="G27" i="8" s="1"/>
  <c r="G4" i="8"/>
  <c r="G20" i="8" s="1"/>
  <c r="G26" i="8" s="1"/>
  <c r="G27" i="13"/>
  <c r="G8" i="14" s="1"/>
  <c r="V13" i="13"/>
  <c r="V14" i="13"/>
  <c r="Q3" i="9" l="1"/>
  <c r="Q20" i="9" s="1"/>
  <c r="G4" i="9"/>
  <c r="G5" i="9" s="1"/>
  <c r="U3" i="8"/>
  <c r="AA3" i="8" s="1"/>
  <c r="G31" i="8"/>
  <c r="U5" i="8"/>
  <c r="AA5" i="8" s="1"/>
  <c r="G32" i="9"/>
  <c r="G21" i="9"/>
  <c r="U21" i="8" s="1"/>
  <c r="AA21" i="8" s="1"/>
  <c r="Q5" i="9"/>
  <c r="T4" i="9" s="1"/>
  <c r="G18" i="14"/>
  <c r="G13" i="14"/>
  <c r="G12" i="14"/>
  <c r="G38" i="14"/>
  <c r="N7" i="14"/>
  <c r="B27" i="14" s="1"/>
  <c r="M7" i="14"/>
  <c r="W13" i="13"/>
  <c r="X13" i="13" s="1"/>
  <c r="U4" i="8"/>
  <c r="AA4" i="8" s="1"/>
  <c r="G20" i="9"/>
  <c r="U20" i="8" s="1"/>
  <c r="AA20" i="8" s="1"/>
  <c r="G31" i="9"/>
  <c r="Q4" i="9"/>
  <c r="T3" i="9" s="1"/>
  <c r="G30" i="13"/>
  <c r="V15" i="13"/>
  <c r="N8" i="14"/>
  <c r="M8" i="14"/>
  <c r="G30" i="8"/>
  <c r="AA24" i="8" l="1"/>
  <c r="B27" i="2" s="1"/>
  <c r="G34" i="14"/>
  <c r="G20" i="14"/>
  <c r="B29" i="14"/>
  <c r="B21" i="2" s="1"/>
  <c r="B26" i="14"/>
  <c r="B18" i="2" s="1"/>
  <c r="G19" i="14"/>
  <c r="H19" i="14" s="1"/>
  <c r="I19" i="14" s="1"/>
  <c r="J19" i="14" s="1"/>
  <c r="K19" i="14" s="1"/>
  <c r="L19" i="14" s="1"/>
  <c r="G15" i="14"/>
  <c r="B21" i="14"/>
  <c r="B25" i="14" s="1"/>
  <c r="G29" i="13"/>
  <c r="W15" i="13"/>
  <c r="X15" i="13" s="1"/>
  <c r="G31" i="13" s="1"/>
  <c r="B24" i="14"/>
  <c r="B16" i="2" s="1"/>
  <c r="B23" i="14"/>
  <c r="B15" i="2" s="1"/>
  <c r="B31" i="14"/>
  <c r="B23" i="2" s="1"/>
  <c r="G16" i="14"/>
  <c r="H16" i="14" s="1"/>
  <c r="I16" i="14" s="1"/>
  <c r="J16" i="14" s="1"/>
  <c r="K16" i="14" s="1"/>
  <c r="L16" i="14" s="1"/>
  <c r="G17" i="14"/>
  <c r="B22" i="14" s="1"/>
  <c r="N12" i="14"/>
  <c r="M12" i="14"/>
  <c r="B11" i="2"/>
  <c r="B19" i="2"/>
  <c r="B30" i="14"/>
  <c r="B22" i="2" s="1"/>
  <c r="B14" i="2" l="1"/>
  <c r="B17" i="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Павел Рощупкин</author>
  </authors>
  <commentList>
    <comment ref="I14" authorId="0" shapeId="0" xr:uid="{1B1A24AF-BB8D-43C6-80B4-3938F172161F}">
      <text>
        <r>
          <rPr>
            <b/>
            <sz val="9"/>
            <color indexed="81"/>
            <rFont val="Tahoma"/>
            <family val="2"/>
            <charset val="204"/>
          </rPr>
          <t>Павел Рощупкин:</t>
        </r>
        <r>
          <rPr>
            <sz val="9"/>
            <color indexed="81"/>
            <rFont val="Tahoma"/>
            <family val="2"/>
            <charset val="204"/>
          </rPr>
          <t xml:space="preserve">
Почему в 3 квартале формула другая?
</t>
        </r>
        <r>
          <rPr>
            <b/>
            <i/>
            <sz val="9"/>
            <color indexed="81"/>
            <rFont val="Tahoma"/>
            <family val="2"/>
            <charset val="204"/>
          </rPr>
          <t>В зимние месяцы потребление э/энергии выше, усиленный режим системы микроклимата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tc={00F70035-0092-4761-BB1B-00CC0005007B}</author>
  </authors>
  <commentList>
    <comment ref="N77" authorId="0" shapeId="0" xr:uid="{00000000-0006-0000-0900-000001000000}">
      <text>
        <r>
          <rPr>
            <b/>
            <sz val="9"/>
            <rFont val="Tahoma"/>
            <family val="2"/>
            <charset val="204"/>
          </rPr>
          <t>Автор:</t>
        </r>
        <r>
          <rPr>
            <sz val="9"/>
            <rFont val="Tahoma"/>
            <family val="2"/>
            <charset val="204"/>
          </rPr>
          <t xml:space="preserve">
разница во взносах
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Павел Рощупкин</author>
  </authors>
  <commentList>
    <comment ref="C12" authorId="0" shapeId="0" xr:uid="{623DE62B-D2C9-437A-8665-A285D82A88C4}">
      <text>
        <r>
          <rPr>
            <b/>
            <sz val="9"/>
            <color indexed="81"/>
            <rFont val="Tahoma"/>
            <family val="2"/>
            <charset val="204"/>
          </rPr>
          <t>Павел Рощупкин
1. NPV и IRR должны считаться от денежного потока, а не от дохода. Лучше переименовать
2. Должна браться степень того периода, за который считается поток. А у вас за предыдущий.
Добавил свой расчет дисконтированного денежного потока. Выделил желтым
Павел, по п. 1 переименовали, оставили два способа расчета NPV, внесли правку в вашу формулу ЧПС.
по п.п2 скорректировали
ЧПС считаем 2 способа
ми, проверка</t>
        </r>
      </text>
    </comment>
  </commentList>
</comments>
</file>

<file path=xl/sharedStrings.xml><?xml version="1.0" encoding="utf-8"?>
<sst xmlns="http://schemas.openxmlformats.org/spreadsheetml/2006/main" count="1307" uniqueCount="556">
  <si>
    <t>Капитальные вложения</t>
  </si>
  <si>
    <t>Ставки</t>
  </si>
  <si>
    <t>Площадь участка, кв м</t>
  </si>
  <si>
    <t>Расчет ставки дисконтирования</t>
  </si>
  <si>
    <t>Формула</t>
  </si>
  <si>
    <t>Ставка риска (безрисковый, с учетом имеющегося опыта), %</t>
  </si>
  <si>
    <t>Ставка дисконтирования</t>
  </si>
  <si>
    <t xml:space="preserve">Основные показатели проекта </t>
  </si>
  <si>
    <t>Планируемый средний объем реализации в год в натуральном выражении, тыс тонн</t>
  </si>
  <si>
    <t>Рабочие места, чел.</t>
  </si>
  <si>
    <t>Среднемесячная заработная плата, тыс. руб</t>
  </si>
  <si>
    <t>Годовой ФОТ, млн руб.</t>
  </si>
  <si>
    <t>Сумма инвестиций, тыс.руб.</t>
  </si>
  <si>
    <t>Чистая прибыль, тыс. руб./год</t>
  </si>
  <si>
    <t>Выгода в налогах и взносах за 10 лет, млн руб.</t>
  </si>
  <si>
    <t>Чистая прибыль</t>
  </si>
  <si>
    <t>Мероприятие</t>
  </si>
  <si>
    <t>итого</t>
  </si>
  <si>
    <t>Итого</t>
  </si>
  <si>
    <t>Структура вложений, %</t>
  </si>
  <si>
    <t>ИТОГО, тыс.руб.</t>
  </si>
  <si>
    <t>ИТОГО</t>
  </si>
  <si>
    <t>Операционные р-ды</t>
  </si>
  <si>
    <t>База НДС, тыс. руб.</t>
  </si>
  <si>
    <t>Всего инвестиций</t>
  </si>
  <si>
    <t>НДС, тыс. руб.</t>
  </si>
  <si>
    <t>Инвестиции Без НДС, тыс. руб.</t>
  </si>
  <si>
    <t>Собственные средства</t>
  </si>
  <si>
    <t>Заемные средства</t>
  </si>
  <si>
    <t>Господдержка</t>
  </si>
  <si>
    <t>График вложения инвестиций, млн руб</t>
  </si>
  <si>
    <t>Капвложения</t>
  </si>
  <si>
    <t>Амортизация, линейным способом</t>
  </si>
  <si>
    <t>Имущество</t>
  </si>
  <si>
    <t>Остаточная стоимость</t>
  </si>
  <si>
    <t>Налог на имущество ТОР</t>
  </si>
  <si>
    <t>Налог на имущество без ТОР</t>
  </si>
  <si>
    <t>Земельный налог ТОР</t>
  </si>
  <si>
    <t>Земельный налог без ТОР</t>
  </si>
  <si>
    <t>Планируемый объем реализации в месяц (от мощности), тыс. тонн</t>
  </si>
  <si>
    <t xml:space="preserve">Наименование </t>
  </si>
  <si>
    <t>ед. изм.</t>
  </si>
  <si>
    <t>1 год</t>
  </si>
  <si>
    <t>2 год</t>
  </si>
  <si>
    <t>3 год</t>
  </si>
  <si>
    <t>4 год</t>
  </si>
  <si>
    <t>5 год</t>
  </si>
  <si>
    <t>6 год</t>
  </si>
  <si>
    <t>7 год</t>
  </si>
  <si>
    <t>8 год</t>
  </si>
  <si>
    <t>9 год</t>
  </si>
  <si>
    <t>10 год</t>
  </si>
  <si>
    <t>11 год</t>
  </si>
  <si>
    <t>средняя</t>
  </si>
  <si>
    <t>тыс.руб.</t>
  </si>
  <si>
    <t>Планируемый объем реализации в год в натуральном выражении</t>
  </si>
  <si>
    <t xml:space="preserve"> в год</t>
  </si>
  <si>
    <t>Количество месяцев реализации в году</t>
  </si>
  <si>
    <t>%</t>
  </si>
  <si>
    <t>Выручка, тыс.руб</t>
  </si>
  <si>
    <t xml:space="preserve">6 год </t>
  </si>
  <si>
    <t>№ п/п</t>
  </si>
  <si>
    <t>Наименование услуги</t>
  </si>
  <si>
    <t>I кв. 1 г.</t>
  </si>
  <si>
    <t>II кв. 1 г.</t>
  </si>
  <si>
    <t>III кв. 1 г.</t>
  </si>
  <si>
    <t>IV кв. 1 г.</t>
  </si>
  <si>
    <t>I кв. 2 г.</t>
  </si>
  <si>
    <t>II кв. 2 г.</t>
  </si>
  <si>
    <t>III кв. 2 г.</t>
  </si>
  <si>
    <t>IV кв. 2 г.</t>
  </si>
  <si>
    <t>I кв. 3 г.</t>
  </si>
  <si>
    <t>II кв. 3 г.</t>
  </si>
  <si>
    <t>III кв. 3 г.</t>
  </si>
  <si>
    <t>IV кв. 3 г.</t>
  </si>
  <si>
    <t>I кв. 4 г.</t>
  </si>
  <si>
    <t>II кв. 4 г.</t>
  </si>
  <si>
    <t>III кв. 4 г.</t>
  </si>
  <si>
    <t>IV кв. 4 г.</t>
  </si>
  <si>
    <t>I кв. 5 г.</t>
  </si>
  <si>
    <t>II кв. 5 г.</t>
  </si>
  <si>
    <t>III кв. 5 г.</t>
  </si>
  <si>
    <t>IV кв. 5 г.</t>
  </si>
  <si>
    <t>I кв. 6 г.</t>
  </si>
  <si>
    <t>II кв. 6 г.</t>
  </si>
  <si>
    <t>III кв. 6 г.</t>
  </si>
  <si>
    <t>IV кв. 6 г.</t>
  </si>
  <si>
    <t>тыс. руб.</t>
  </si>
  <si>
    <t>ИТОГО в год</t>
  </si>
  <si>
    <t>I кв. 7 г.</t>
  </si>
  <si>
    <t>II кв. 7 г.</t>
  </si>
  <si>
    <t>III кв. 7 г.</t>
  </si>
  <si>
    <t>IV кв. 7 г.</t>
  </si>
  <si>
    <t>I кв. 8 г.</t>
  </si>
  <si>
    <t>II кв. 8 г.</t>
  </si>
  <si>
    <t>III кв. 8 г.</t>
  </si>
  <si>
    <t>IV кв. 8 г.</t>
  </si>
  <si>
    <t>I кв. 9 г.</t>
  </si>
  <si>
    <t>II кв. 9 г.</t>
  </si>
  <si>
    <t>III кв. 9 г.</t>
  </si>
  <si>
    <t>IV кв. 9 г.</t>
  </si>
  <si>
    <t>I кв. 10 г.</t>
  </si>
  <si>
    <t>II кв. 10 г.</t>
  </si>
  <si>
    <t>III кв. 10 г.</t>
  </si>
  <si>
    <t>IV кв. 10 г.</t>
  </si>
  <si>
    <t>I кв. 11 г.</t>
  </si>
  <si>
    <t>II кв. 11 г.</t>
  </si>
  <si>
    <t>III кв. 11 г.</t>
  </si>
  <si>
    <t>IV кв. 11 г.</t>
  </si>
  <si>
    <t>Персонал</t>
  </si>
  <si>
    <t>Количество сотрудников</t>
  </si>
  <si>
    <t>Оклад в месяц, тыс. руб.</t>
  </si>
  <si>
    <t>Генеральный директор</t>
  </si>
  <si>
    <t>Менеджер по продажам</t>
  </si>
  <si>
    <t>Итого ЗП по направлению:</t>
  </si>
  <si>
    <t>Страховые взносы ФНС</t>
  </si>
  <si>
    <t>Подразделение 1:</t>
  </si>
  <si>
    <t>ИРС Разнорабочий (уборщик, дворник)</t>
  </si>
  <si>
    <t>Подпразделение 2:</t>
  </si>
  <si>
    <t>Участок 2</t>
  </si>
  <si>
    <t xml:space="preserve">  </t>
  </si>
  <si>
    <t>Участок 3</t>
  </si>
  <si>
    <t>Участок 4</t>
  </si>
  <si>
    <t>Участок 5</t>
  </si>
  <si>
    <t>Бухгалтерия</t>
  </si>
  <si>
    <t>Коммерческая деятельность</t>
  </si>
  <si>
    <t>Юристы</t>
  </si>
  <si>
    <t>Экономисты</t>
  </si>
  <si>
    <t>Маркетологи</t>
  </si>
  <si>
    <t>доп. Специалисты 1</t>
  </si>
  <si>
    <t>доп. Специалисты 2</t>
  </si>
  <si>
    <t>Административно-хозяйственная деятельность</t>
  </si>
  <si>
    <t>Отдел кадров</t>
  </si>
  <si>
    <t>Охранники</t>
  </si>
  <si>
    <t>Отдел АСУ</t>
  </si>
  <si>
    <t>Кладовщик АХО</t>
  </si>
  <si>
    <t>Электрик</t>
  </si>
  <si>
    <t>Сантехник</t>
  </si>
  <si>
    <t>Ремонтник</t>
  </si>
  <si>
    <t>Уборщики</t>
  </si>
  <si>
    <t>Дворники</t>
  </si>
  <si>
    <t>Водители машины для уборки</t>
  </si>
  <si>
    <t>Итого Страховые взносы ФНС</t>
  </si>
  <si>
    <t>Всего расходов на ЗП:</t>
  </si>
  <si>
    <t>Расходы на ЗП в год:</t>
  </si>
  <si>
    <t>Всего расходы на страховые взносы ФНС:</t>
  </si>
  <si>
    <t>ЗП и взносы ФНС:</t>
  </si>
  <si>
    <t>Страховые взносы ФСС (НС и ПЗ)</t>
  </si>
  <si>
    <t>ЗП и все взносы</t>
  </si>
  <si>
    <t>ЗП и все взносы в год</t>
  </si>
  <si>
    <t>НДФЛ РФ</t>
  </si>
  <si>
    <t>НДФЛ ИРС</t>
  </si>
  <si>
    <t>НДФЛ итого</t>
  </si>
  <si>
    <t>Взносы</t>
  </si>
  <si>
    <t>ставка,%</t>
  </si>
  <si>
    <t>Взносы ФНС</t>
  </si>
  <si>
    <t>в т.ч.</t>
  </si>
  <si>
    <t>пенсион страхование - 22%</t>
  </si>
  <si>
    <t>случай времен нетрудоспособности и материнства - 2,9%</t>
  </si>
  <si>
    <t>обязат медицин страхование - 5,1%</t>
  </si>
  <si>
    <t>Рабочие места, чел всего</t>
  </si>
  <si>
    <t>Рабочие места</t>
  </si>
  <si>
    <t>Структура персонала</t>
  </si>
  <si>
    <t>АУП</t>
  </si>
  <si>
    <t>Производственные рабочие</t>
  </si>
  <si>
    <t>Итого по направлению:</t>
  </si>
  <si>
    <t>ВСЕГО рабочих мест</t>
  </si>
  <si>
    <t>Специалисты по логистике</t>
  </si>
  <si>
    <t>Специалисты снабжения</t>
  </si>
  <si>
    <t>Расходы на страховые взносы ФНС:</t>
  </si>
  <si>
    <t>все взносы</t>
  </si>
  <si>
    <t>Взносы ФСС (НС и ПЗ)</t>
  </si>
  <si>
    <t>проверка</t>
  </si>
  <si>
    <t xml:space="preserve">пенсион страхование </t>
  </si>
  <si>
    <t xml:space="preserve">случай времен нетрудоспособности и материнства </t>
  </si>
  <si>
    <t xml:space="preserve">обязат медицин страхование </t>
  </si>
  <si>
    <t>Взносы ФСС (нс и пз)</t>
  </si>
  <si>
    <t>пенсион страхование</t>
  </si>
  <si>
    <t>случай времен нетрудоспособности и материнства</t>
  </si>
  <si>
    <t>обязат медицин страхование</t>
  </si>
  <si>
    <t>Разница во взносах</t>
  </si>
  <si>
    <t>Налог на прибыль:</t>
  </si>
  <si>
    <t>- федеральный бюджет</t>
  </si>
  <si>
    <t>0</t>
  </si>
  <si>
    <t>- региональный бюджет</t>
  </si>
  <si>
    <t>Налог на имущество:</t>
  </si>
  <si>
    <t>Транспортный налог:</t>
  </si>
  <si>
    <t>НДФЛ:</t>
  </si>
  <si>
    <t>- муниципальный бюджет</t>
  </si>
  <si>
    <t>- бюджет поселения</t>
  </si>
  <si>
    <t>Страховые платежи в ФНС</t>
  </si>
  <si>
    <t>Страховые платежи в ФСС</t>
  </si>
  <si>
    <t>НДС:</t>
  </si>
  <si>
    <t>Земельный налог</t>
  </si>
  <si>
    <t>фб</t>
  </si>
  <si>
    <t>рб</t>
  </si>
  <si>
    <t>мб</t>
  </si>
  <si>
    <t>бп</t>
  </si>
  <si>
    <t>арендная плата за зем. Участок</t>
  </si>
  <si>
    <t>ФБ</t>
  </si>
  <si>
    <t>РБ</t>
  </si>
  <si>
    <t>МБ</t>
  </si>
  <si>
    <t>БЕЗ ТОР</t>
  </si>
  <si>
    <t>ИТОГО за 10 лет</t>
  </si>
  <si>
    <t>всего налогов</t>
  </si>
  <si>
    <t>всего взносов</t>
  </si>
  <si>
    <t>Наименование</t>
  </si>
  <si>
    <t>Земельный налог:</t>
  </si>
  <si>
    <t>-местный бюджет</t>
  </si>
  <si>
    <t>- местный бюджет</t>
  </si>
  <si>
    <t>- на пенсионное страхование</t>
  </si>
  <si>
    <t>- на случай временной нетрудоспособности и материнства</t>
  </si>
  <si>
    <t>- на обязательное  медицинское страхование</t>
  </si>
  <si>
    <t>*</t>
  </si>
  <si>
    <t>Привлекаемые инвестиции</t>
  </si>
  <si>
    <t>процентная ставка</t>
  </si>
  <si>
    <t>проценты к уплате</t>
  </si>
  <si>
    <t>Сумма основного долга</t>
  </si>
  <si>
    <t>Аннуитетный платеж</t>
  </si>
  <si>
    <t>Остаток задолженности</t>
  </si>
  <si>
    <t>Условия кредитования</t>
  </si>
  <si>
    <t>Сумма кредита, тыс.руб.</t>
  </si>
  <si>
    <t>Процентная ставка</t>
  </si>
  <si>
    <t>Срок, мес.</t>
  </si>
  <si>
    <t>Переплата</t>
  </si>
  <si>
    <t>Номер периода по оплате</t>
  </si>
  <si>
    <t>Остаток задолженности по кредиту</t>
  </si>
  <si>
    <t>Выплата процентов</t>
  </si>
  <si>
    <t>Выплата осн.долга</t>
  </si>
  <si>
    <t>Итоговый платеж</t>
  </si>
  <si>
    <t>Итоговый платеж в год</t>
  </si>
  <si>
    <t>Итоговый платеж по кварталам</t>
  </si>
  <si>
    <t>Номер месяца</t>
  </si>
  <si>
    <t>Наименование расходов</t>
  </si>
  <si>
    <t>Арендная плата за зем. Участок</t>
  </si>
  <si>
    <t>Заработная плата и страховые взносы</t>
  </si>
  <si>
    <t>Расходы на спецодежду, средства защиты</t>
  </si>
  <si>
    <t>Запасные части, комлектующие, обслуживание оборудования</t>
  </si>
  <si>
    <t>Расходы на продвижение</t>
  </si>
  <si>
    <t>Амортизация</t>
  </si>
  <si>
    <t xml:space="preserve"> Налоги</t>
  </si>
  <si>
    <t>Итого расходов</t>
  </si>
  <si>
    <t>Итого расходов в год</t>
  </si>
  <si>
    <t>выручка</t>
  </si>
  <si>
    <t>ЧП  ТОСЭР</t>
  </si>
  <si>
    <t>ЧП без ТОСЭР</t>
  </si>
  <si>
    <t>Разница в налоге на имущество, 2,2%</t>
  </si>
  <si>
    <t>налог на прибыль, 20%</t>
  </si>
  <si>
    <t>Разница в ЧП с ТОСЭР и без, тыс.руб.</t>
  </si>
  <si>
    <t>всего за 10 лет</t>
  </si>
  <si>
    <t>в среднем за год</t>
  </si>
  <si>
    <t>Выручка</t>
  </si>
  <si>
    <t>Расходы основной деятельности</t>
  </si>
  <si>
    <t>Расходование инвестиций</t>
  </si>
  <si>
    <t>Прибыль (убыток) от продаж</t>
  </si>
  <si>
    <t>Проценты к уплате</t>
  </si>
  <si>
    <t>Прибыль (убыток) до налогообложения</t>
  </si>
  <si>
    <t>Налог на прибыль</t>
  </si>
  <si>
    <t>Чистая прибыль (убыток)</t>
  </si>
  <si>
    <t>На выплату основного долга</t>
  </si>
  <si>
    <t>Остаток после уплаты основного долга</t>
  </si>
  <si>
    <t>Нарастающим итогом платежи по основному долгу</t>
  </si>
  <si>
    <t>Платежи по займу</t>
  </si>
  <si>
    <t>Нарастающим итогом все платежи по займу</t>
  </si>
  <si>
    <t>за 10 лет</t>
  </si>
  <si>
    <t>Среднегодовая</t>
  </si>
  <si>
    <t>субсидия</t>
  </si>
  <si>
    <t>Дисконтированые инвестиции</t>
  </si>
  <si>
    <t>Дисконтированный доход</t>
  </si>
  <si>
    <t>Дисконтированный доход нарастающим итогом</t>
  </si>
  <si>
    <t>Чистый денежный поток, NCF</t>
  </si>
  <si>
    <t>Чистый денежный поток нарастающим итогом</t>
  </si>
  <si>
    <t>Чистый дисконтированный денежный поток</t>
  </si>
  <si>
    <t>&gt;0</t>
  </si>
  <si>
    <t>Рентабельность продаж, %</t>
  </si>
  <si>
    <t>Рентабельность продукции, %</t>
  </si>
  <si>
    <t>Индекс доходности (PI)</t>
  </si>
  <si>
    <t>&gt;1</t>
  </si>
  <si>
    <t>Внутренняя норма доходности (IRR), %</t>
  </si>
  <si>
    <t>&gt;ставки процента</t>
  </si>
  <si>
    <t>Финансовый результат (+/- прибыль/убыток)</t>
  </si>
  <si>
    <t> Средняя норма рентабельности - ARR, % </t>
  </si>
  <si>
    <t>Рентабельность инвестиций, ROI, %</t>
  </si>
  <si>
    <t>Стоимость, тыс. руб.</t>
  </si>
  <si>
    <t>Планируемый объем реализации в месяц</t>
  </si>
  <si>
    <t>Выручка в месяц, тыс. руб.</t>
  </si>
  <si>
    <t>Выручка в квартал, тыс. руб.</t>
  </si>
  <si>
    <t>Выручка в год, тыс. руб.</t>
  </si>
  <si>
    <t>Сдача помещений в аренду</t>
  </si>
  <si>
    <t>кв.м.</t>
  </si>
  <si>
    <t>Хранение товаров на открытой площадке, в том числе на транспортном средстве (за каждые полные/неполные сутки) без разгрузки с третьих по пятые сутки с момента помещения на временное хранение</t>
  </si>
  <si>
    <t>место</t>
  </si>
  <si>
    <t>Хранение товаров на открытой площадке, в том числе на транспортном средстве (за каждые полные/неполные сутки) без разгрузки с шестых суток с момента помещения на временное хранение</t>
  </si>
  <si>
    <t>Размещение на временное хранение контейнера на открытую площадку за сутки</t>
  </si>
  <si>
    <t>контейнер</t>
  </si>
  <si>
    <t>Перегрузка, перемещение паллетированного груза</t>
  </si>
  <si>
    <t>паллета</t>
  </si>
  <si>
    <t>Перегрузка, перемещение непаллетированного груза</t>
  </si>
  <si>
    <t>тонна</t>
  </si>
  <si>
    <t>Хранение товаров на складе временного хранения (за каждые полные/неполные сутки) - стеллажное хранение товаров</t>
  </si>
  <si>
    <t>паллето-место</t>
  </si>
  <si>
    <t>Хранение товаров на складе временного хранения (за каждые полные/неполные сутки) - напольное хранение товаров</t>
  </si>
  <si>
    <t>1 кв.м.</t>
  </si>
  <si>
    <t>Хранение товаров на таможенном складе (за каждые полные/неполные сутки) - стеллажное хранение товаров</t>
  </si>
  <si>
    <t>Хранение товаров на таможенном складе (за каждые полные/неполные сутки) - напольное хранение товаров</t>
  </si>
  <si>
    <t>Хранение товаров на складе общего пользования (за каждые полные/неполные сутки)- стеллажное хранение товаров в холодильной камере</t>
  </si>
  <si>
    <t>Хранение товаров на складе общего пользования (за каждые полные/неполные сутки)- напольное хранение товаров в холодильной камере</t>
  </si>
  <si>
    <t xml:space="preserve">Хранение товаров на складе общего пользования (за каждые полные/неполные сутки)- стеллажное хранение товаров </t>
  </si>
  <si>
    <t xml:space="preserve">Хранение товаров на складе общего пользования (за каждые полные/неполные сутки)- напольное хранение товаров </t>
  </si>
  <si>
    <t>Упаковка, переупаковка</t>
  </si>
  <si>
    <t>Предоставление технических средств и услуг грузчиков при осмотре/досмотре без выгрузки на СВХ</t>
  </si>
  <si>
    <t>услуга</t>
  </si>
  <si>
    <t>Предоставление технических средств и услуг грузчиков при осмотре/досмотре с выгрузкой на СВХ</t>
  </si>
  <si>
    <t>Взвешивание товара</t>
  </si>
  <si>
    <t>Упаковка и маркировка товара за короб 0,025 куб.м.</t>
  </si>
  <si>
    <t>Производство товаров под таможенным режимом</t>
  </si>
  <si>
    <t>штука</t>
  </si>
  <si>
    <t>Организация услуг по доставке грузов</t>
  </si>
  <si>
    <t>Сортировка груза, подготовка к доставке</t>
  </si>
  <si>
    <t>Ячейки заголовков</t>
  </si>
  <si>
    <t>Расчётные ячейки</t>
  </si>
  <si>
    <t>Изменяемые ячейки</t>
  </si>
  <si>
    <t>Ячейки итогов</t>
  </si>
  <si>
    <t>Сокращения</t>
  </si>
  <si>
    <t>ср.</t>
  </si>
  <si>
    <t>з/п</t>
  </si>
  <si>
    <t>заработная плата</t>
  </si>
  <si>
    <t>э/э</t>
  </si>
  <si>
    <t>электроэнергия</t>
  </si>
  <si>
    <t>ФОТ</t>
  </si>
  <si>
    <t>фонд оплаты труда</t>
  </si>
  <si>
    <t>ТМЦ</t>
  </si>
  <si>
    <t>товарно-материальные ценности</t>
  </si>
  <si>
    <t>Промежуточные итоги</t>
  </si>
  <si>
    <r>
      <t xml:space="preserve">уровень инфляции, </t>
    </r>
    <r>
      <rPr>
        <i/>
        <sz val="11"/>
        <color theme="1"/>
        <rFont val="Calibri"/>
        <family val="2"/>
        <charset val="204"/>
        <scheme val="minor"/>
      </rPr>
      <t>i</t>
    </r>
  </si>
  <si>
    <t>https://economy.gov.ru/material/file/3b293732b467e7d0f4e7e4f07a682fde/36804_pkd03i.pdf</t>
  </si>
  <si>
    <t>https://cbr.ru/press/keypr/</t>
  </si>
  <si>
    <r>
      <t xml:space="preserve">ключевая ставка ЦБ, </t>
    </r>
    <r>
      <rPr>
        <i/>
        <sz val="11"/>
        <color theme="1"/>
        <rFont val="Calibri"/>
        <family val="2"/>
        <charset val="204"/>
        <scheme val="minor"/>
      </rPr>
      <t>r</t>
    </r>
    <r>
      <rPr>
        <sz val="11"/>
        <color theme="1"/>
        <rFont val="Calibri"/>
        <family val="2"/>
        <charset val="204"/>
        <scheme val="minor"/>
      </rPr>
      <t xml:space="preserve"> </t>
    </r>
  </si>
  <si>
    <t>Проект</t>
  </si>
  <si>
    <t>Объект</t>
  </si>
  <si>
    <t>Срок строительства, в кварталах</t>
  </si>
  <si>
    <t>Ставка налога на имущество</t>
  </si>
  <si>
    <t>Ставка НДФЛ</t>
  </si>
  <si>
    <t>Ставка НДФЛ с ИРС</t>
  </si>
  <si>
    <t>Ставка взносов от НС и ПЗ</t>
  </si>
  <si>
    <t xml:space="preserve">Ставка взносов на пенсионное страхование </t>
  </si>
  <si>
    <t>Ставка взносов на случай временной нетрудоспособности и материнства</t>
  </si>
  <si>
    <t>Ставка взносов на обязательное медицинское страхование</t>
  </si>
  <si>
    <t>земельный участок</t>
  </si>
  <si>
    <t>срок износа техники для расчета амортизации, лет</t>
  </si>
  <si>
    <t>срок износа помещения для расчета амортизации, лет</t>
  </si>
  <si>
    <t>Темп прироста заработной платы, % в год</t>
  </si>
  <si>
    <t>фактор риска, %</t>
  </si>
  <si>
    <t>Участок</t>
  </si>
  <si>
    <t>Льгота ТОСЭР</t>
  </si>
  <si>
    <t>Чистый денежный поток, млн руб</t>
  </si>
  <si>
    <t>Цены</t>
  </si>
  <si>
    <t>Общий режим</t>
  </si>
  <si>
    <t>Разница в налоге на прибыль, %</t>
  </si>
  <si>
    <t>Расходы на спецодежду, средства защиты, % от ФОТ</t>
  </si>
  <si>
    <t>Расходы на поддерживающие инвестиции, % в год</t>
  </si>
  <si>
    <t>производство</t>
  </si>
  <si>
    <t>помещение</t>
  </si>
  <si>
    <t>https://www.rsholod.ru/katalog/stroitelstvo/bystrovozvodimye-zdaniya/iz-lstk/</t>
  </si>
  <si>
    <t>https://chita.umd-group.ru/complete/</t>
  </si>
  <si>
    <t>https://www.avito.ru/user/fa002c67669d37a6857748c4b44333dc/profile?id=2491872398&amp;src=item&amp;page_from=from_item_card&amp;iid=2491872398</t>
  </si>
  <si>
    <t>https://www.module-house.ru/production/modul/</t>
  </si>
  <si>
    <t>https://chita.smart-module.ru/catalog/bystrovozvodimye-zdaniya/</t>
  </si>
  <si>
    <t>http://www.metalloprokat-m.ru/catalog/k-10038959-bystrovozvodimyye_zdaniya</t>
  </si>
  <si>
    <t>в ТОР</t>
  </si>
  <si>
    <t>без ТОР</t>
  </si>
  <si>
    <t>Налоги и взносы, тыс руб</t>
  </si>
  <si>
    <t>Разница в налогах и взносах при режиме ТОСЭР и без него, тыс руб</t>
  </si>
  <si>
    <t>Соц. Отчисления</t>
  </si>
  <si>
    <t>ставка дисконтирования</t>
  </si>
  <si>
    <t>периоды дисконтирования</t>
  </si>
  <si>
    <t>ед изм</t>
  </si>
  <si>
    <t>тыс руб</t>
  </si>
  <si>
    <t>Стоимость подключения к сетям теплоснабжения</t>
  </si>
  <si>
    <t>Стоимость 1 куб.м. хол. Воды, тыс. руб</t>
  </si>
  <si>
    <t>Стоимость 1 куб.м. водоотведения, тыс.руб.</t>
  </si>
  <si>
    <t>Вывоз ТБО за 1 тонну, тыс. руб.</t>
  </si>
  <si>
    <t>Оборудование</t>
  </si>
  <si>
    <t>https://evrazsteelbox.ru/?yclid=1549708558272370416&amp;utm_source=yandex&amp;utm_medium=cpc:context&amp;utm_term=&amp;utm_campaign=72157342_mk_zdaniya&amp;utm_content=4852280500:12361303001:37099947458:desktop:auto.ru:none:2:213</t>
  </si>
  <si>
    <t>Спецтехника</t>
  </si>
  <si>
    <t>https://auto.ru/autoloader/all/</t>
  </si>
  <si>
    <t>Стоимость для учета земельного налога, тыс руб</t>
  </si>
  <si>
    <t>тонн</t>
  </si>
  <si>
    <t>Прямые расходы, тыс руб</t>
  </si>
  <si>
    <t>Косвенные расходы, тыс руб</t>
  </si>
  <si>
    <t>https://www.brizmotors.ru/equipment/gazogenerator/?name=%D0%93%D0%B0%D0%B7%D0%BE%D0%BF%D0%BE%D1%80%D1%88%D0%BD%D0%B5%D0%B2%D1%8B%D0%B5+%D1%8D%D0%BB%D0%B5%D0%BA%D1%82%D1%80%D0%BE%D1%81%D1%82%D0%B0%D0%BD%D1%86%D0%B8%D0%B8+100+-+2000+%D0%BA%D0%92%D1%82&amp;area=1422%3B2058</t>
  </si>
  <si>
    <t>темп прироста стоимости продукции и расходов, % в год</t>
  </si>
  <si>
    <t>Кадастровая стоимость участка, тыс руб</t>
  </si>
  <si>
    <t>РАСХОДЫ, всего</t>
  </si>
  <si>
    <t>Темп прироста стоимости продукции, % в год</t>
  </si>
  <si>
    <t>Себестоимость, руб/ед</t>
  </si>
  <si>
    <t>Чистая прибыль, млн руб</t>
  </si>
  <si>
    <t>Планируемый объем реализации в год, млн руб</t>
  </si>
  <si>
    <t>ИРС</t>
  </si>
  <si>
    <t>иностранная рабочая сила</t>
  </si>
  <si>
    <t>Косвенные расходы</t>
  </si>
  <si>
    <t>Переработка дикоросов</t>
  </si>
  <si>
    <t>Услуги первичной переработки</t>
  </si>
  <si>
    <t>тыс.руб/тонн</t>
  </si>
  <si>
    <t>тыс.руб/ тонн</t>
  </si>
  <si>
    <t>Планируемый объем загрузки</t>
  </si>
  <si>
    <t>Ответственное хранение (капуста , морковь, лук)</t>
  </si>
  <si>
    <t>Планируемый объем загрузки в год, %</t>
  </si>
  <si>
    <t>Планируемые обороты переработки, хранения, тонн</t>
  </si>
  <si>
    <t>Благоустройство территории, подготовка площадки</t>
  </si>
  <si>
    <t>Строительство здания "Под ключ (с технолологическим оборудованием)</t>
  </si>
  <si>
    <t>Приобретение техники (погрузчик, кара, 3 газели)</t>
  </si>
  <si>
    <t>Подключение к инженерным сетям ( водоотведение, водоснабжение)</t>
  </si>
  <si>
    <t>Приоретение линий первичной перарботки и фасовки овощей, чгод, грибов, орехов</t>
  </si>
  <si>
    <t>Прочие расходы, инвентарь, контейнеры, стеллажи, тара</t>
  </si>
  <si>
    <t>Приоретение линий первичной перарботки и фасовки овощей, ягод, грибов, орехов</t>
  </si>
  <si>
    <t>Технолог</t>
  </si>
  <si>
    <t>Главный бухгалтер</t>
  </si>
  <si>
    <t>Начальник участка</t>
  </si>
  <si>
    <t>Оператор линии</t>
  </si>
  <si>
    <t>Водитель погрузчика</t>
  </si>
  <si>
    <t>Зав. Склад</t>
  </si>
  <si>
    <t>Разнорабочий (уборщик, дворник)</t>
  </si>
  <si>
    <t>Взносы ФСС (нс и пз )</t>
  </si>
  <si>
    <t>Сборщик дикоросов (сборка, переработка, доставка) (3 квартал)</t>
  </si>
  <si>
    <t>Арендная плата за земельный участок, % от кадастровой стоимости</t>
  </si>
  <si>
    <t xml:space="preserve">Расходы на ДТ </t>
  </si>
  <si>
    <t>Расходы на эл. Энергию</t>
  </si>
  <si>
    <t>Коммунальные (в/с, в/о)</t>
  </si>
  <si>
    <t>Стоимость закупа картофеля в выручке от его реализации, %</t>
  </si>
  <si>
    <t>Цена закупа картофеля, тыс руб/тонн</t>
  </si>
  <si>
    <t>Закуп картофеля на реализацию</t>
  </si>
  <si>
    <t>Расходы на ДТ</t>
  </si>
  <si>
    <t>Доля расходов на тару, упаковку</t>
  </si>
  <si>
    <t>Расходы на тару, упаковку</t>
  </si>
  <si>
    <t>Расход воды, куб м/ тонну</t>
  </si>
  <si>
    <t>Обновление основных средств, МБП</t>
  </si>
  <si>
    <t>Итого расходы</t>
  </si>
  <si>
    <t>Себестоимость по прямым расходам, руб/кг</t>
  </si>
  <si>
    <t>Себестоимость полная, руб/кг</t>
  </si>
  <si>
    <t>https://www.rsholod.ru/katalog/agrokompleks/stroitelstvo-ovoshchekhranilishch/</t>
  </si>
  <si>
    <t>https://www.ventall.ru/product/bistrovozvodimie-zdaniya-i-sooryzheniya/stroitelstvo-ovoshchekhranilishch/</t>
  </si>
  <si>
    <t>https://www.toros-holod.ru/stroitelstvo/ovoshehranilish.html</t>
  </si>
  <si>
    <t>среднее</t>
  </si>
  <si>
    <t>доли в выручке</t>
  </si>
  <si>
    <t>Оборудование вентиляции системы микроклимата АГРОНОМ | NIRZ</t>
  </si>
  <si>
    <t>Система микроклимата для овощехранилищ AVENTA (agroserver.ru)</t>
  </si>
  <si>
    <t>Оборудование для овощехранилища (agrovent.com)</t>
  </si>
  <si>
    <t>Кондиционеры для овощехранилища - купить в интернет магазине Ронакс Климат | Москва (ronaxclimate.ru)</t>
  </si>
  <si>
    <t>Каталог и цены | ВегетФан (vegetfan.ru)</t>
  </si>
  <si>
    <t>Климатические системы «Agree»</t>
  </si>
  <si>
    <t>Линия в Астраханской области для приема, инспекции и хранения лука (klinmash.com)</t>
  </si>
  <si>
    <t>Предпродажная подготовка картофеля (interagro.info)</t>
  </si>
  <si>
    <t>Линии для предпродажной подготовки овощей, фруктов, ягод в Москве: покупка и продажа, цены - торговая площадка АгроСервер.ру (agroserver.ru)</t>
  </si>
  <si>
    <t>Мойки для овощей | Оборудование для очистки и подготовки овощей (polag.ru)</t>
  </si>
  <si>
    <t>Результаты поиска в категории ― PROFPOWER.RU</t>
  </si>
  <si>
    <t>Промышленный газовый генератор для дома - купить промышленный генератор на газе мощностью от 18 до 335 кВт в Москве от GazG.ru</t>
  </si>
  <si>
    <t>Промышленные газовые генераторы – продажа газовых генераторов для промышленности по доступным ценам (generator-rus.ru)</t>
  </si>
  <si>
    <t>Мощные промышленные генераторы - каталог дизельных электростанций высокой мощности с ценами и фото (generator-rus.ru)</t>
  </si>
  <si>
    <t>Промышленные дизельные генераторы - купить по выгодным ценам, характеристики (best-generators.ru)</t>
  </si>
  <si>
    <t>Купить Valdai NEXT у официального дилера АВТОЦЕНТРГАЗ Мэйджор Трак Центр в Павловской Слободе новые автомобили 2022 года. (major-gaz.ru)</t>
  </si>
  <si>
    <t>тыс. руб</t>
  </si>
  <si>
    <t>Амортизация инженерной инфраструктуры (газового генератора и сетей электроснабжения)</t>
  </si>
  <si>
    <t xml:space="preserve">Возведение здания "Под ключ" (с технолологическим оборудованием) посекционно в три этапа* </t>
  </si>
  <si>
    <t>*Примечание:</t>
  </si>
  <si>
    <t>Ввод здания осуществляется в три коротких этапа (посекционно)</t>
  </si>
  <si>
    <t>Потери (гниль, брак) *</t>
  </si>
  <si>
    <t>* Потери приняты как упущенная выгода 8% от выручки</t>
  </si>
  <si>
    <t>Расходы на продвижение, тыс руб/в кв.</t>
  </si>
  <si>
    <t xml:space="preserve">Транспортный налог расчитан: </t>
  </si>
  <si>
    <t>Налоговый калькулятор - Расчет транспортного налога | ФНС России | 77 город Москва (nalog.gov.ru)</t>
  </si>
  <si>
    <t>ГАЗ 3тонн,  мощность двигателя 120 л.с.</t>
  </si>
  <si>
    <t>Количество а/м</t>
  </si>
  <si>
    <t>3 шт</t>
  </si>
  <si>
    <t>oborpererovoshch2015.pdf (kormoceh.ru)</t>
  </si>
  <si>
    <t>маржа на цену р-ции картофеля</t>
  </si>
  <si>
    <t>Вентиляторы</t>
  </si>
  <si>
    <t>Система охлаждения</t>
  </si>
  <si>
    <t>Увлажнители и осушители</t>
  </si>
  <si>
    <t>Сохрани картофель - Система Вентиляция (tenteks.ru)</t>
  </si>
  <si>
    <t>в год</t>
  </si>
  <si>
    <t>кол-во, ед.</t>
  </si>
  <si>
    <t>На бытовые нужды персонала</t>
  </si>
  <si>
    <t>В час</t>
  </si>
  <si>
    <t>кВт/часов</t>
  </si>
  <si>
    <t>Система рециркуляции и контроля CO2</t>
  </si>
  <si>
    <t>Освещение помещения, 12 ламп св/диодн.</t>
  </si>
  <si>
    <t>Уличное освещение, 4 лампы св./диодн</t>
  </si>
  <si>
    <t>Укрупненный расчет потребности в электроэнергии</t>
  </si>
  <si>
    <t>Потребляемая мощность, кВт</t>
  </si>
  <si>
    <t xml:space="preserve">Линия переработки овощей </t>
  </si>
  <si>
    <t>в руб (справочно)</t>
  </si>
  <si>
    <t>Фактор дисконтирования</t>
  </si>
  <si>
    <t>FCFF</t>
  </si>
  <si>
    <t>Налог на прибыль ТОСЭР, 12% ч/з 5 лет</t>
  </si>
  <si>
    <t>Расходы на товарооборот (закуп картофеля (август-октябрь))</t>
  </si>
  <si>
    <t>Расход на ДТ при запуске проекта, тыс руб</t>
  </si>
  <si>
    <t>Дисконтированный денежный поток (способ 1)</t>
  </si>
  <si>
    <t>Дисконтированный денежный поток (способ 2)</t>
  </si>
  <si>
    <t>Чистая приведенная стоимость  (ЧПС) Способ 1</t>
  </si>
  <si>
    <t>Чистая приведенная стоимость  (ЧПС) Способ 2</t>
  </si>
  <si>
    <t>Транспортный налог, фиксированный годовой платеж, тыс руб</t>
  </si>
  <si>
    <t>Планируемый объем реализации в год в натуральном выражении, тонн</t>
  </si>
  <si>
    <t>Цена закупа картофеля, тыс руб/тонну</t>
  </si>
  <si>
    <t>т</t>
  </si>
  <si>
    <t>Коммунальные расходы</t>
  </si>
  <si>
    <t>Потребность в эл/энергии, кВт/час в год</t>
  </si>
  <si>
    <t>Стоимость элетроэнергии, тыс. руб/1 кВт*час</t>
  </si>
  <si>
    <t>НДС входящий</t>
  </si>
  <si>
    <t>НДС исходящий</t>
  </si>
  <si>
    <t>Разница НДС</t>
  </si>
  <si>
    <t>Ставка НДС</t>
  </si>
  <si>
    <t>Налог на имущество</t>
  </si>
  <si>
    <t>НДС к уплате</t>
  </si>
  <si>
    <t>Срок окупаемости первоначальных инвестиций (РB), лет</t>
  </si>
  <si>
    <t>Средняя стоимость, руб/кг</t>
  </si>
  <si>
    <t>Приобретение дизельного электрогенератора, для создания резервных мощностей</t>
  </si>
  <si>
    <t>Подключение к инженерным сетям (водоотведение, водоснабжение)</t>
  </si>
  <si>
    <t>Приобретение дизельных электрогенераторов, мощностью 380 кВт, для создания резервных мощностей</t>
  </si>
  <si>
    <t>Ширина, м</t>
  </si>
  <si>
    <t>Высота, м</t>
  </si>
  <si>
    <t>куб. м.</t>
  </si>
  <si>
    <t>тонн на 1 м3:</t>
  </si>
  <si>
    <t>картофель</t>
  </si>
  <si>
    <t>лук репчатый</t>
  </si>
  <si>
    <t>капуста</t>
  </si>
  <si>
    <t>морковь</t>
  </si>
  <si>
    <t>Скачать НТП АПК 1.10.12.001-02 Нормы технологического проектирования предприятий по хранению и обработке картофеля и плодоовощной продукции (ohranatruda.ru)</t>
  </si>
  <si>
    <t>Емкость,тонн (тип хранения -ящики)</t>
  </si>
  <si>
    <t>Расчет емкости овощехранилища:</t>
  </si>
  <si>
    <t>площадь здания, м</t>
  </si>
  <si>
    <t>Длинна, м</t>
  </si>
  <si>
    <t>Вид продукции:</t>
  </si>
  <si>
    <t>тонн при 100% загрузке:</t>
  </si>
  <si>
    <t>с учетом коэф. пересчета в условный груз</t>
  </si>
  <si>
    <t>Структура хранения по видам продукции, %</t>
  </si>
  <si>
    <t>Емкость овощехранилища</t>
  </si>
  <si>
    <t>Планируемые объемы хранения, тонн</t>
  </si>
  <si>
    <t>Общая площадь здания</t>
  </si>
  <si>
    <t>Цех приемки</t>
  </si>
  <si>
    <t>Цех предпродажной подготовки</t>
  </si>
  <si>
    <t>Проезды, подсобные помещения (для изготовления и хранения тары, и пр.), помещения для персонала</t>
  </si>
  <si>
    <t>Площади под хранение</t>
  </si>
  <si>
    <t>м кв.</t>
  </si>
  <si>
    <t>Приобретение техники (2 погрузчика, кара, 3 газели)</t>
  </si>
  <si>
    <t>Расходы на маркетинг</t>
  </si>
  <si>
    <t>Закуп кортофеля:</t>
  </si>
  <si>
    <t>Строительство комплекса овощехранилища</t>
  </si>
  <si>
    <t>Цех переработки и хранения дикорастоущих ресурсов</t>
  </si>
  <si>
    <t>3 Очередь: секция № 3 (площадь 300 кв. м)  цех предпродажной подготовки продукции</t>
  </si>
  <si>
    <t>1 Очередь: секция № 2 (площадь 150 кв. м) цех хранения и переработки дкорастущих ресурсов</t>
  </si>
  <si>
    <t>Справочно: площадь подсобных помещений, проездов, помещений для персонала, зоны приемки, и пр</t>
  </si>
  <si>
    <t>кв. м</t>
  </si>
  <si>
    <t>2 Очередь: секция № 1 (площадь 1100 кв. м) хранение картофеля</t>
  </si>
  <si>
    <t>4 Очередь: секция № 4 (площадь 100 кв. м) хранение лука/капусты/моркови</t>
  </si>
  <si>
    <t xml:space="preserve">Реализация картофеля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</si>
</sst>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164" formatCode="0.0"/>
    <numFmt numFmtId="165" formatCode="0.0000"/>
    <numFmt numFmtId="166" formatCode="0.0%"/>
    <numFmt numFmtId="167" formatCode="#,##0.0"/>
    <numFmt numFmtId="168" formatCode="#,##0.000"/>
    <numFmt numFmtId="169" formatCode="0.000"/>
    <numFmt numFmtId="170" formatCode="#,##0.0000000"/>
    <numFmt numFmtId="171" formatCode="0.000%"/>
  </numFmts>
  <fonts count="61" x14ac:knownFonts="1">
    <font>
      <sz val="11"/>
      <color theme="1"/>
      <name val="Calibri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u/>
      <sz val="7.7"/>
      <color theme="10"/>
      <name val="Calibri"/>
      <family val="2"/>
      <charset val="204"/>
    </font>
    <font>
      <sz val="11"/>
      <color rgb="FF9C0006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1"/>
      <name val="Times New Roman"/>
      <family val="1"/>
      <charset val="204"/>
    </font>
    <font>
      <sz val="12"/>
      <color theme="1"/>
      <name val="Calibri"/>
      <family val="2"/>
      <charset val="204"/>
      <scheme val="minor"/>
    </font>
    <font>
      <sz val="12"/>
      <color theme="0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sz val="12"/>
      <color indexed="2"/>
      <name val="Calibri"/>
      <family val="2"/>
      <charset val="204"/>
      <scheme val="minor"/>
    </font>
    <font>
      <sz val="20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1"/>
      <color indexed="2"/>
      <name val="Calibri"/>
      <family val="2"/>
      <charset val="204"/>
      <scheme val="minor"/>
    </font>
    <font>
      <sz val="11"/>
      <color theme="3"/>
      <name val="Calibri"/>
      <family val="2"/>
      <charset val="204"/>
      <scheme val="minor"/>
    </font>
    <font>
      <sz val="11"/>
      <color rgb="FFC00000"/>
      <name val="Calibri"/>
      <family val="2"/>
      <charset val="204"/>
      <scheme val="minor"/>
    </font>
    <font>
      <b/>
      <sz val="11"/>
      <color theme="3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b/>
      <sz val="11"/>
      <color theme="1"/>
      <name val="Times New Roman"/>
      <family val="1"/>
      <charset val="204"/>
    </font>
    <font>
      <sz val="15"/>
      <name val="Times New Roman"/>
      <family val="1"/>
      <charset val="204"/>
    </font>
    <font>
      <sz val="11"/>
      <color indexed="2"/>
      <name val="Times New Roman"/>
      <family val="1"/>
      <charset val="204"/>
    </font>
    <font>
      <sz val="20"/>
      <color theme="1"/>
      <name val="Times New Roman"/>
      <family val="1"/>
      <charset val="204"/>
    </font>
    <font>
      <sz val="11"/>
      <color theme="0"/>
      <name val="Times New Roman"/>
      <family val="1"/>
      <charset val="204"/>
    </font>
    <font>
      <sz val="14"/>
      <color theme="1"/>
      <name val="Times New Roman"/>
      <family val="1"/>
      <charset val="204"/>
    </font>
    <font>
      <sz val="11"/>
      <color theme="1"/>
      <name val="Calibri"/>
      <family val="2"/>
      <charset val="204"/>
      <scheme val="minor"/>
    </font>
    <font>
      <b/>
      <sz val="9"/>
      <name val="Tahoma"/>
      <family val="2"/>
      <charset val="204"/>
    </font>
    <font>
      <sz val="9"/>
      <name val="Tahoma"/>
      <family val="2"/>
      <charset val="204"/>
    </font>
    <font>
      <b/>
      <sz val="11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i/>
      <sz val="11"/>
      <color theme="1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sz val="20"/>
      <color theme="1"/>
      <name val="Calibri"/>
      <family val="2"/>
      <charset val="204"/>
      <scheme val="minor"/>
    </font>
    <font>
      <sz val="11"/>
      <color rgb="FF9C0006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1"/>
      <color theme="2" tint="-0.89999084444715716"/>
      <name val="Calibri"/>
      <family val="2"/>
      <charset val="204"/>
      <scheme val="minor"/>
    </font>
    <font>
      <b/>
      <i/>
      <sz val="11"/>
      <color theme="1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u/>
      <sz val="7.7"/>
      <color theme="10"/>
      <name val="Calibri"/>
      <family val="2"/>
      <charset val="204"/>
    </font>
    <font>
      <sz val="9"/>
      <color indexed="81"/>
      <name val="Tahoma"/>
      <family val="2"/>
      <charset val="204"/>
    </font>
    <font>
      <b/>
      <sz val="9"/>
      <color indexed="81"/>
      <name val="Tahoma"/>
      <family val="2"/>
      <charset val="204"/>
    </font>
    <font>
      <b/>
      <i/>
      <sz val="9"/>
      <color indexed="81"/>
      <name val="Tahoma"/>
      <family val="2"/>
      <charset val="204"/>
    </font>
  </fonts>
  <fills count="71">
    <fill>
      <patternFill patternType="none"/>
    </fill>
    <fill>
      <patternFill patternType="gray125"/>
    </fill>
    <fill>
      <patternFill patternType="solid">
        <fgColor theme="4" tint="0.79998168889431442"/>
        <bgColor indexed="65"/>
      </patternFill>
    </fill>
    <fill>
      <patternFill patternType="solid">
        <fgColor theme="5"/>
        <bgColor theme="5"/>
      </patternFill>
    </fill>
    <fill>
      <patternFill patternType="solid">
        <fgColor rgb="FFFFC7CE"/>
        <bgColor rgb="FFFFC7CE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rgb="FFC00000"/>
        <bgColor rgb="FFC00000"/>
      </patternFill>
    </fill>
    <fill>
      <patternFill patternType="solid">
        <fgColor theme="9" tint="0.79998168889431442"/>
        <bgColor theme="9" tint="0.79998168889431442"/>
      </patternFill>
    </fill>
    <fill>
      <patternFill patternType="solid">
        <fgColor rgb="FF00B050"/>
        <bgColor rgb="FF00B050"/>
      </patternFill>
    </fill>
    <fill>
      <patternFill patternType="solid">
        <fgColor indexed="5"/>
        <bgColor indexed="5"/>
      </patternFill>
    </fill>
    <fill>
      <patternFill patternType="solid">
        <fgColor rgb="FF92D050"/>
        <bgColor rgb="FF92D050"/>
      </patternFill>
    </fill>
    <fill>
      <patternFill patternType="solid">
        <fgColor theme="4" tint="0.79998168889431442"/>
        <bgColor rgb="FFFFC7CE"/>
      </patternFill>
    </fill>
    <fill>
      <patternFill patternType="solid">
        <fgColor theme="0"/>
        <bgColor theme="0"/>
      </patternFill>
    </fill>
    <fill>
      <patternFill patternType="solid">
        <fgColor theme="0"/>
        <bgColor indexed="5"/>
      </patternFill>
    </fill>
    <fill>
      <patternFill patternType="solid">
        <fgColor theme="2"/>
        <bgColor theme="2"/>
      </patternFill>
    </fill>
    <fill>
      <patternFill patternType="solid">
        <fgColor theme="0"/>
        <bgColor rgb="FF92D050"/>
      </patternFill>
    </fill>
    <fill>
      <patternFill patternType="solid">
        <fgColor theme="3" tint="0.79998168889431442"/>
        <bgColor theme="3" tint="0.79998168889431442"/>
      </patternFill>
    </fill>
    <fill>
      <patternFill patternType="solid">
        <fgColor rgb="FFFFC000"/>
        <bgColor rgb="FFFFC000"/>
      </patternFill>
    </fill>
    <fill>
      <patternFill patternType="solid">
        <fgColor theme="0"/>
        <bgColor rgb="FF7030A0"/>
      </patternFill>
    </fill>
    <fill>
      <patternFill patternType="solid">
        <fgColor indexed="2"/>
        <bgColor indexed="2"/>
      </patternFill>
    </fill>
    <fill>
      <patternFill patternType="solid">
        <fgColor theme="0"/>
        <bgColor theme="8" tint="0.79998168889431442"/>
      </patternFill>
    </fill>
    <fill>
      <patternFill patternType="solid">
        <fgColor theme="0"/>
        <bgColor theme="6" tint="0.59999389629810485"/>
      </patternFill>
    </fill>
    <fill>
      <patternFill patternType="solid">
        <fgColor theme="4" tint="0.79998168889431442"/>
        <bgColor indexed="5"/>
      </patternFill>
    </fill>
    <fill>
      <patternFill patternType="solid">
        <fgColor theme="0"/>
        <bgColor theme="6" tint="0.79998168889431442"/>
      </patternFill>
    </fill>
    <fill>
      <patternFill patternType="solid">
        <fgColor rgb="FFF8CBAD"/>
        <bgColor rgb="FFF8CBAD"/>
      </patternFill>
    </fill>
    <fill>
      <patternFill patternType="solid">
        <fgColor rgb="FF92D050"/>
        <bgColor theme="9" tint="0.39997558519241921"/>
      </patternFill>
    </fill>
    <fill>
      <patternFill patternType="solid">
        <fgColor theme="4" tint="0.79998168889431442"/>
        <bgColor theme="4" tint="0.39997558519241921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92D050"/>
        <bgColor theme="0"/>
      </patternFill>
    </fill>
    <fill>
      <patternFill patternType="solid">
        <fgColor theme="6" tint="0.79998168889431442"/>
        <bgColor theme="0"/>
      </patternFill>
    </fill>
    <fill>
      <patternFill patternType="solid">
        <fgColor theme="6" tint="0.79998168889431442"/>
        <bgColor theme="5" tint="0.79998168889431442"/>
      </patternFill>
    </fill>
    <fill>
      <patternFill patternType="solid">
        <fgColor theme="6" tint="0.79998168889431442"/>
        <bgColor indexed="5"/>
      </patternFill>
    </fill>
    <fill>
      <patternFill patternType="solid">
        <fgColor rgb="FFC00000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rgb="FF92D050"/>
        <bgColor theme="8" tint="0.79998168889431442"/>
      </patternFill>
    </fill>
    <fill>
      <patternFill patternType="solid">
        <fgColor rgb="FFFFFF00"/>
        <bgColor rgb="FF92D050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/>
        <bgColor theme="9" tint="0.79998168889431442"/>
      </patternFill>
    </fill>
    <fill>
      <patternFill patternType="solid">
        <fgColor theme="9" tint="0.59999389629810485"/>
        <bgColor rgb="FF92D050"/>
      </patternFill>
    </fill>
    <fill>
      <patternFill patternType="solid">
        <fgColor theme="0"/>
        <bgColor theme="3" tint="0.79998168889431442"/>
      </patternFill>
    </fill>
    <fill>
      <patternFill patternType="solid">
        <fgColor theme="4" tint="0.79998168889431442"/>
        <bgColor theme="3" tint="0.79998168889431442"/>
      </patternFill>
    </fill>
    <fill>
      <patternFill patternType="solid">
        <fgColor theme="9" tint="0.39997558519241921"/>
        <bgColor rgb="FF92D050"/>
      </patternFill>
    </fill>
    <fill>
      <patternFill patternType="solid">
        <fgColor theme="9" tint="0.39997558519241921"/>
        <bgColor rgb="FF00B0F0"/>
      </patternFill>
    </fill>
    <fill>
      <patternFill patternType="solid">
        <fgColor rgb="FF92D050"/>
        <bgColor rgb="FFFFC000"/>
      </patternFill>
    </fill>
    <fill>
      <patternFill patternType="solid">
        <fgColor rgb="FFFFFF00"/>
        <bgColor indexed="5"/>
      </patternFill>
    </fill>
    <fill>
      <patternFill patternType="solid">
        <fgColor theme="9" tint="0.59999389629810485"/>
        <bgColor rgb="FF00B0F0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rgb="FFFFFF00"/>
        <bgColor theme="9" tint="0.79998168889431442"/>
      </patternFill>
    </fill>
    <fill>
      <patternFill patternType="solid">
        <fgColor rgb="FFFFFF00"/>
        <bgColor theme="0"/>
      </patternFill>
    </fill>
    <fill>
      <patternFill patternType="solid">
        <fgColor theme="9" tint="0.59999389629810485"/>
        <bgColor indexed="5"/>
      </patternFill>
    </fill>
    <fill>
      <patternFill patternType="solid">
        <fgColor theme="9" tint="0.59999389629810485"/>
        <bgColor theme="6" tint="0.79998168889431442"/>
      </patternFill>
    </fill>
    <fill>
      <patternFill patternType="solid">
        <fgColor theme="9" tint="0.59999389629810485"/>
        <bgColor theme="0"/>
      </patternFill>
    </fill>
    <fill>
      <patternFill patternType="solid">
        <fgColor rgb="FF92D050"/>
        <bgColor theme="6" tint="0.59999389629810485"/>
      </patternFill>
    </fill>
    <fill>
      <patternFill patternType="solid">
        <fgColor rgb="FF92D050"/>
        <bgColor theme="6" tint="0.79998168889431442"/>
      </patternFill>
    </fill>
    <fill>
      <patternFill patternType="solid">
        <fgColor theme="4" tint="0.79998168889431442"/>
        <bgColor theme="0"/>
      </patternFill>
    </fill>
    <fill>
      <patternFill patternType="solid">
        <fgColor rgb="FFFFC000"/>
        <bgColor indexed="64"/>
      </patternFill>
    </fill>
    <fill>
      <patternFill patternType="solid">
        <fgColor theme="9" tint="0.39997558519241921"/>
        <bgColor rgb="FFFFC000"/>
      </patternFill>
    </fill>
    <fill>
      <patternFill patternType="solid">
        <fgColor theme="4" tint="0.79998168889431442"/>
        <bgColor theme="9" tint="0.79998168889431442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FF00"/>
        <bgColor theme="3" tint="0.79998168889431442"/>
      </patternFill>
    </fill>
    <fill>
      <patternFill patternType="solid">
        <fgColor theme="0"/>
        <bgColor theme="4" tint="0.39997558519241921"/>
      </patternFill>
    </fill>
    <fill>
      <patternFill patternType="solid">
        <fgColor theme="5" tint="0.39997558519241921"/>
        <bgColor rgb="FFC00000"/>
      </patternFill>
    </fill>
    <fill>
      <patternFill patternType="solid">
        <fgColor theme="0"/>
        <bgColor rgb="FFC00000"/>
      </patternFill>
    </fill>
    <fill>
      <patternFill patternType="solid">
        <fgColor rgb="FFFF0000"/>
        <bgColor indexed="64"/>
      </patternFill>
    </fill>
    <fill>
      <patternFill patternType="solid">
        <fgColor theme="8" tint="0.79998168889431442"/>
        <bgColor theme="0"/>
      </patternFill>
    </fill>
  </fills>
  <borders count="2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</borders>
  <cellStyleXfs count="8">
    <xf numFmtId="0" fontId="0" fillId="0" borderId="0"/>
    <xf numFmtId="0" fontId="44" fillId="2" borderId="0" applyNumberFormat="0" applyBorder="0" applyProtection="0"/>
    <xf numFmtId="0" fontId="20" fillId="3" borderId="0" applyNumberFormat="0" applyBorder="0" applyProtection="0"/>
    <xf numFmtId="0" fontId="21" fillId="0" borderId="0" applyNumberFormat="0" applyFill="0" applyBorder="0" applyProtection="0">
      <alignment vertical="top"/>
      <protection locked="0"/>
    </xf>
    <xf numFmtId="0" fontId="44" fillId="0" borderId="0"/>
    <xf numFmtId="0" fontId="22" fillId="4" borderId="0" applyNumberFormat="0" applyBorder="0" applyProtection="0"/>
    <xf numFmtId="9" fontId="44" fillId="0" borderId="0" applyFont="0" applyFill="0" applyBorder="0" applyProtection="0"/>
    <xf numFmtId="0" fontId="57" fillId="0" borderId="0" applyNumberFormat="0" applyFill="0" applyBorder="0" applyProtection="0">
      <alignment vertical="top"/>
      <protection locked="0"/>
    </xf>
  </cellStyleXfs>
  <cellXfs count="777">
    <xf numFmtId="0" fontId="0" fillId="0" borderId="0" xfId="0"/>
    <xf numFmtId="0" fontId="23" fillId="0" borderId="0" xfId="0" applyFont="1"/>
    <xf numFmtId="0" fontId="0" fillId="10" borderId="0" xfId="0" applyFill="1"/>
    <xf numFmtId="9" fontId="0" fillId="0" borderId="0" xfId="0" applyNumberFormat="1"/>
    <xf numFmtId="10" fontId="0" fillId="11" borderId="0" xfId="5" applyNumberFormat="1" applyFont="1" applyFill="1" applyAlignment="1">
      <alignment horizontal="center" vertical="center"/>
    </xf>
    <xf numFmtId="0" fontId="0" fillId="0" borderId="0" xfId="0" applyAlignment="1">
      <alignment horizontal="left" wrapText="1"/>
    </xf>
    <xf numFmtId="164" fontId="0" fillId="0" borderId="0" xfId="0" applyNumberFormat="1"/>
    <xf numFmtId="3" fontId="0" fillId="0" borderId="0" xfId="0" applyNumberFormat="1"/>
    <xf numFmtId="165" fontId="0" fillId="0" borderId="0" xfId="0" applyNumberFormat="1"/>
    <xf numFmtId="0" fontId="0" fillId="12" borderId="0" xfId="0" applyFill="1"/>
    <xf numFmtId="4" fontId="0" fillId="0" borderId="0" xfId="0" applyNumberFormat="1"/>
    <xf numFmtId="166" fontId="0" fillId="0" borderId="0" xfId="0" applyNumberFormat="1"/>
    <xf numFmtId="0" fontId="25" fillId="0" borderId="0" xfId="0" applyFont="1"/>
    <xf numFmtId="0" fontId="25" fillId="0" borderId="0" xfId="0" applyFont="1" applyAlignment="1">
      <alignment horizontal="left" wrapText="1"/>
    </xf>
    <xf numFmtId="0" fontId="25" fillId="0" borderId="0" xfId="0" applyFont="1" applyAlignment="1">
      <alignment wrapText="1"/>
    </xf>
    <xf numFmtId="0" fontId="25" fillId="0" borderId="1" xfId="0" applyFont="1" applyBorder="1" applyAlignment="1">
      <alignment horizontal="left" wrapText="1"/>
    </xf>
    <xf numFmtId="0" fontId="25" fillId="0" borderId="1" xfId="0" applyFont="1" applyBorder="1" applyAlignment="1">
      <alignment wrapText="1"/>
    </xf>
    <xf numFmtId="0" fontId="25" fillId="0" borderId="0" xfId="0" applyFont="1" applyAlignment="1">
      <alignment horizontal="center" vertical="center" wrapText="1"/>
    </xf>
    <xf numFmtId="0" fontId="25" fillId="5" borderId="1" xfId="0" applyFont="1" applyFill="1" applyBorder="1"/>
    <xf numFmtId="4" fontId="25" fillId="5" borderId="1" xfId="0" applyNumberFormat="1" applyFont="1" applyFill="1" applyBorder="1"/>
    <xf numFmtId="4" fontId="25" fillId="7" borderId="1" xfId="0" applyNumberFormat="1" applyFont="1" applyFill="1" applyBorder="1"/>
    <xf numFmtId="0" fontId="25" fillId="0" borderId="1" xfId="0" applyFont="1" applyBorder="1" applyAlignment="1">
      <alignment horizontal="left" vertical="top" wrapText="1"/>
    </xf>
    <xf numFmtId="167" fontId="25" fillId="7" borderId="1" xfId="0" applyNumberFormat="1" applyFont="1" applyFill="1" applyBorder="1"/>
    <xf numFmtId="166" fontId="26" fillId="6" borderId="1" xfId="0" applyNumberFormat="1" applyFont="1" applyFill="1" applyBorder="1" applyAlignment="1">
      <alignment horizontal="center"/>
    </xf>
    <xf numFmtId="0" fontId="25" fillId="13" borderId="3" xfId="4" applyFont="1" applyFill="1" applyBorder="1" applyAlignment="1">
      <alignment horizontal="left" vertical="center" wrapText="1"/>
    </xf>
    <xf numFmtId="168" fontId="25" fillId="5" borderId="1" xfId="0" applyNumberFormat="1" applyFont="1" applyFill="1" applyBorder="1"/>
    <xf numFmtId="167" fontId="25" fillId="5" borderId="1" xfId="0" applyNumberFormat="1" applyFont="1" applyFill="1" applyBorder="1"/>
    <xf numFmtId="0" fontId="25" fillId="5" borderId="0" xfId="0" applyFont="1" applyFill="1"/>
    <xf numFmtId="168" fontId="25" fillId="0" borderId="1" xfId="0" applyNumberFormat="1" applyFont="1" applyBorder="1"/>
    <xf numFmtId="4" fontId="25" fillId="0" borderId="1" xfId="0" applyNumberFormat="1" applyFont="1" applyBorder="1"/>
    <xf numFmtId="0" fontId="25" fillId="0" borderId="1" xfId="0" applyFont="1" applyBorder="1"/>
    <xf numFmtId="1" fontId="25" fillId="0" borderId="0" xfId="0" applyNumberFormat="1" applyFont="1"/>
    <xf numFmtId="4" fontId="25" fillId="14" borderId="1" xfId="0" applyNumberFormat="1" applyFont="1" applyFill="1" applyBorder="1"/>
    <xf numFmtId="4" fontId="25" fillId="0" borderId="0" xfId="0" applyNumberFormat="1" applyFont="1"/>
    <xf numFmtId="167" fontId="25" fillId="0" borderId="0" xfId="0" applyNumberFormat="1" applyFont="1"/>
    <xf numFmtId="4" fontId="27" fillId="7" borderId="4" xfId="0" applyNumberFormat="1" applyFont="1" applyFill="1" applyBorder="1"/>
    <xf numFmtId="168" fontId="28" fillId="0" borderId="0" xfId="0" applyNumberFormat="1" applyFont="1" applyAlignment="1">
      <alignment horizontal="left" wrapText="1"/>
    </xf>
    <xf numFmtId="0" fontId="25" fillId="0" borderId="1" xfId="0" applyFont="1" applyBorder="1" applyAlignment="1">
      <alignment horizontal="right"/>
    </xf>
    <xf numFmtId="0" fontId="28" fillId="0" borderId="0" xfId="0" applyFont="1" applyAlignment="1">
      <alignment horizontal="left" wrapText="1"/>
    </xf>
    <xf numFmtId="4" fontId="25" fillId="7" borderId="4" xfId="0" applyNumberFormat="1" applyFont="1" applyFill="1" applyBorder="1"/>
    <xf numFmtId="166" fontId="25" fillId="0" borderId="0" xfId="0" applyNumberFormat="1" applyFont="1"/>
    <xf numFmtId="10" fontId="25" fillId="0" borderId="0" xfId="0" applyNumberFormat="1" applyFont="1"/>
    <xf numFmtId="164" fontId="26" fillId="6" borderId="0" xfId="0" applyNumberFormat="1" applyFont="1" applyFill="1"/>
    <xf numFmtId="4" fontId="28" fillId="0" borderId="0" xfId="0" applyNumberFormat="1" applyFont="1"/>
    <xf numFmtId="4" fontId="27" fillId="0" borderId="1" xfId="0" applyNumberFormat="1" applyFont="1" applyBorder="1"/>
    <xf numFmtId="4" fontId="27" fillId="0" borderId="5" xfId="0" applyNumberFormat="1" applyFont="1" applyBorder="1"/>
    <xf numFmtId="4" fontId="25" fillId="12" borderId="1" xfId="0" applyNumberFormat="1" applyFont="1" applyFill="1" applyBorder="1"/>
    <xf numFmtId="2" fontId="25" fillId="8" borderId="1" xfId="0" applyNumberFormat="1" applyFont="1" applyFill="1" applyBorder="1"/>
    <xf numFmtId="2" fontId="25" fillId="7" borderId="1" xfId="0" applyNumberFormat="1" applyFont="1" applyFill="1" applyBorder="1"/>
    <xf numFmtId="2" fontId="25" fillId="7" borderId="5" xfId="0" applyNumberFormat="1" applyFont="1" applyFill="1" applyBorder="1"/>
    <xf numFmtId="2" fontId="25" fillId="7" borderId="2" xfId="0" applyNumberFormat="1" applyFont="1" applyFill="1" applyBorder="1"/>
    <xf numFmtId="0" fontId="0" fillId="0" borderId="0" xfId="0" applyAlignment="1">
      <alignment horizontal="left" vertical="center" wrapText="1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29" fillId="0" borderId="0" xfId="0" applyFont="1" applyAlignment="1">
      <alignment horizontal="center" vertical="top"/>
    </xf>
    <xf numFmtId="167" fontId="30" fillId="0" borderId="0" xfId="0" applyNumberFormat="1" applyFont="1"/>
    <xf numFmtId="167" fontId="0" fillId="0" borderId="0" xfId="0" applyNumberFormat="1"/>
    <xf numFmtId="0" fontId="0" fillId="0" borderId="0" xfId="0" applyAlignment="1">
      <alignment wrapText="1"/>
    </xf>
    <xf numFmtId="0" fontId="0" fillId="0" borderId="1" xfId="0" applyBorder="1" applyAlignment="1">
      <alignment horizontal="left" vertical="center" wrapText="1"/>
    </xf>
    <xf numFmtId="0" fontId="0" fillId="0" borderId="1" xfId="0" applyBorder="1" applyAlignment="1">
      <alignment horizontal="center" vertical="top" wrapText="1"/>
    </xf>
    <xf numFmtId="167" fontId="0" fillId="0" borderId="0" xfId="0" applyNumberFormat="1" applyAlignment="1">
      <alignment wrapText="1"/>
    </xf>
    <xf numFmtId="9" fontId="44" fillId="2" borderId="1" xfId="1" applyNumberFormat="1" applyBorder="1" applyAlignment="1">
      <alignment horizontal="center" vertical="top"/>
    </xf>
    <xf numFmtId="168" fontId="20" fillId="6" borderId="0" xfId="0" applyNumberFormat="1" applyFont="1" applyFill="1" applyAlignment="1">
      <alignment horizontal="center" vertical="center"/>
    </xf>
    <xf numFmtId="167" fontId="0" fillId="0" borderId="1" xfId="0" applyNumberFormat="1" applyBorder="1" applyAlignment="1">
      <alignment horizontal="center" vertical="center" wrapText="1"/>
    </xf>
    <xf numFmtId="167" fontId="0" fillId="0" borderId="0" xfId="0" applyNumberFormat="1" applyAlignment="1">
      <alignment vertical="top"/>
    </xf>
    <xf numFmtId="1" fontId="0" fillId="0" borderId="0" xfId="0" applyNumberFormat="1"/>
    <xf numFmtId="0" fontId="0" fillId="0" borderId="0" xfId="0" applyAlignment="1">
      <alignment horizontal="center" vertical="top" wrapText="1"/>
    </xf>
    <xf numFmtId="167" fontId="0" fillId="0" borderId="0" xfId="0" applyNumberFormat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20" fillId="6" borderId="1" xfId="0" applyFont="1" applyFill="1" applyBorder="1" applyAlignment="1">
      <alignment horizontal="center" vertical="center"/>
    </xf>
    <xf numFmtId="167" fontId="20" fillId="6" borderId="4" xfId="0" applyNumberFormat="1" applyFont="1" applyFill="1" applyBorder="1" applyAlignment="1">
      <alignment horizontal="center" vertical="center" wrapText="1"/>
    </xf>
    <xf numFmtId="9" fontId="20" fillId="6" borderId="1" xfId="0" applyNumberFormat="1" applyFont="1" applyFill="1" applyBorder="1" applyAlignment="1">
      <alignment horizontal="center" vertical="center"/>
    </xf>
    <xf numFmtId="0" fontId="0" fillId="0" borderId="0" xfId="0" applyAlignment="1">
      <alignment horizontal="center" wrapText="1"/>
    </xf>
    <xf numFmtId="0" fontId="0" fillId="0" borderId="0" xfId="0" applyAlignment="1">
      <alignment horizontal="center" vertical="top"/>
    </xf>
    <xf numFmtId="0" fontId="0" fillId="0" borderId="0" xfId="0" applyAlignment="1">
      <alignment vertical="center"/>
    </xf>
    <xf numFmtId="0" fontId="0" fillId="0" borderId="1" xfId="0" applyBorder="1" applyAlignment="1">
      <alignment horizontal="center" wrapText="1"/>
    </xf>
    <xf numFmtId="2" fontId="0" fillId="0" borderId="1" xfId="0" applyNumberFormat="1" applyBorder="1" applyAlignment="1">
      <alignment horizontal="center" vertical="center" wrapText="1"/>
    </xf>
    <xf numFmtId="0" fontId="0" fillId="9" borderId="1" xfId="0" applyFill="1" applyBorder="1" applyAlignment="1">
      <alignment horizontal="center" vertical="top" wrapText="1"/>
    </xf>
    <xf numFmtId="0" fontId="0" fillId="9" borderId="1" xfId="0" applyFill="1" applyBorder="1" applyAlignment="1">
      <alignment horizontal="left" vertical="center" wrapText="1"/>
    </xf>
    <xf numFmtId="2" fontId="0" fillId="9" borderId="1" xfId="0" applyNumberFormat="1" applyFill="1" applyBorder="1" applyAlignment="1">
      <alignment horizontal="center" vertical="center"/>
    </xf>
    <xf numFmtId="167" fontId="0" fillId="9" borderId="1" xfId="0" applyNumberFormat="1" applyFill="1" applyBorder="1" applyAlignment="1">
      <alignment horizontal="center" vertical="center" wrapText="1"/>
    </xf>
    <xf numFmtId="0" fontId="0" fillId="9" borderId="1" xfId="0" applyFill="1" applyBorder="1"/>
    <xf numFmtId="2" fontId="0" fillId="0" borderId="1" xfId="0" applyNumberFormat="1" applyBorder="1" applyAlignment="1">
      <alignment horizontal="center" wrapText="1"/>
    </xf>
    <xf numFmtId="0" fontId="31" fillId="0" borderId="0" xfId="0" applyFont="1" applyAlignment="1">
      <alignment horizontal="center" wrapText="1"/>
    </xf>
    <xf numFmtId="0" fontId="0" fillId="0" borderId="1" xfId="0" applyBorder="1" applyAlignment="1">
      <alignment horizontal="left" wrapText="1"/>
    </xf>
    <xf numFmtId="3" fontId="0" fillId="0" borderId="1" xfId="0" applyNumberFormat="1" applyBorder="1" applyAlignment="1">
      <alignment horizontal="center" wrapText="1"/>
    </xf>
    <xf numFmtId="0" fontId="0" fillId="9" borderId="0" xfId="0" applyFill="1" applyAlignment="1">
      <alignment horizontal="center" wrapText="1"/>
    </xf>
    <xf numFmtId="0" fontId="0" fillId="9" borderId="1" xfId="0" applyFill="1" applyBorder="1" applyAlignment="1">
      <alignment horizontal="left" wrapText="1"/>
    </xf>
    <xf numFmtId="0" fontId="0" fillId="9" borderId="1" xfId="0" applyFill="1" applyBorder="1" applyAlignment="1">
      <alignment horizontal="center" wrapText="1"/>
    </xf>
    <xf numFmtId="3" fontId="32" fillId="9" borderId="1" xfId="0" applyNumberFormat="1" applyFont="1" applyFill="1" applyBorder="1" applyAlignment="1">
      <alignment horizontal="center" wrapText="1"/>
    </xf>
    <xf numFmtId="3" fontId="0" fillId="9" borderId="1" xfId="0" applyNumberFormat="1" applyFill="1" applyBorder="1" applyAlignment="1">
      <alignment horizontal="center" wrapText="1"/>
    </xf>
    <xf numFmtId="0" fontId="0" fillId="17" borderId="0" xfId="0" applyFill="1" applyAlignment="1">
      <alignment horizontal="center" wrapText="1"/>
    </xf>
    <xf numFmtId="0" fontId="0" fillId="17" borderId="1" xfId="0" applyFill="1" applyBorder="1" applyAlignment="1">
      <alignment horizontal="center" wrapText="1"/>
    </xf>
    <xf numFmtId="3" fontId="32" fillId="17" borderId="1" xfId="0" applyNumberFormat="1" applyFont="1" applyFill="1" applyBorder="1" applyAlignment="1">
      <alignment horizontal="center" wrapText="1"/>
    </xf>
    <xf numFmtId="3" fontId="0" fillId="17" borderId="1" xfId="0" applyNumberFormat="1" applyFill="1" applyBorder="1" applyAlignment="1">
      <alignment horizontal="center" wrapText="1"/>
    </xf>
    <xf numFmtId="3" fontId="32" fillId="0" borderId="1" xfId="0" applyNumberFormat="1" applyFont="1" applyBorder="1" applyAlignment="1">
      <alignment horizontal="center" wrapText="1"/>
    </xf>
    <xf numFmtId="0" fontId="0" fillId="12" borderId="1" xfId="0" applyFill="1" applyBorder="1" applyAlignment="1">
      <alignment horizontal="center" wrapText="1"/>
    </xf>
    <xf numFmtId="3" fontId="31" fillId="9" borderId="1" xfId="0" applyNumberFormat="1" applyFont="1" applyFill="1" applyBorder="1" applyAlignment="1">
      <alignment horizontal="center" wrapText="1"/>
    </xf>
    <xf numFmtId="3" fontId="31" fillId="17" borderId="1" xfId="0" applyNumberFormat="1" applyFont="1" applyFill="1" applyBorder="1" applyAlignment="1">
      <alignment horizontal="center" wrapText="1"/>
    </xf>
    <xf numFmtId="0" fontId="0" fillId="10" borderId="0" xfId="0" applyFill="1" applyAlignment="1">
      <alignment horizontal="center" wrapText="1"/>
    </xf>
    <xf numFmtId="0" fontId="0" fillId="10" borderId="1" xfId="0" applyFill="1" applyBorder="1" applyAlignment="1">
      <alignment horizontal="center" wrapText="1"/>
    </xf>
    <xf numFmtId="3" fontId="0" fillId="10" borderId="1" xfId="0" applyNumberFormat="1" applyFill="1" applyBorder="1" applyAlignment="1">
      <alignment horizontal="center" wrapText="1"/>
    </xf>
    <xf numFmtId="0" fontId="30" fillId="0" borderId="0" xfId="0" applyFont="1" applyAlignment="1">
      <alignment horizontal="center" wrapText="1"/>
    </xf>
    <xf numFmtId="0" fontId="30" fillId="0" borderId="1" xfId="0" applyFont="1" applyBorder="1" applyAlignment="1">
      <alignment horizontal="center" wrapText="1"/>
    </xf>
    <xf numFmtId="3" fontId="30" fillId="0" borderId="1" xfId="0" applyNumberFormat="1" applyFont="1" applyBorder="1" applyAlignment="1">
      <alignment horizontal="center" wrapText="1"/>
    </xf>
    <xf numFmtId="166" fontId="20" fillId="6" borderId="0" xfId="0" applyNumberFormat="1" applyFont="1" applyFill="1" applyAlignment="1">
      <alignment horizontal="center" wrapText="1"/>
    </xf>
    <xf numFmtId="0" fontId="33" fillId="0" borderId="0" xfId="0" applyFont="1" applyAlignment="1">
      <alignment wrapText="1"/>
    </xf>
    <xf numFmtId="0" fontId="0" fillId="9" borderId="0" xfId="0" applyFill="1" applyAlignment="1">
      <alignment wrapText="1"/>
    </xf>
    <xf numFmtId="0" fontId="0" fillId="17" borderId="0" xfId="0" applyFill="1" applyAlignment="1">
      <alignment wrapText="1"/>
    </xf>
    <xf numFmtId="0" fontId="0" fillId="10" borderId="0" xfId="0" applyFill="1" applyAlignment="1">
      <alignment wrapText="1"/>
    </xf>
    <xf numFmtId="0" fontId="30" fillId="0" borderId="0" xfId="0" applyFont="1" applyAlignment="1">
      <alignment wrapText="1"/>
    </xf>
    <xf numFmtId="166" fontId="32" fillId="0" borderId="1" xfId="0" applyNumberFormat="1" applyFont="1" applyBorder="1" applyAlignment="1">
      <alignment wrapText="1"/>
    </xf>
    <xf numFmtId="3" fontId="0" fillId="0" borderId="0" xfId="0" applyNumberFormat="1" applyAlignment="1">
      <alignment wrapText="1"/>
    </xf>
    <xf numFmtId="0" fontId="0" fillId="10" borderId="1" xfId="0" applyFill="1" applyBorder="1" applyAlignment="1">
      <alignment wrapText="1"/>
    </xf>
    <xf numFmtId="0" fontId="0" fillId="0" borderId="1" xfId="0" applyBorder="1" applyAlignment="1">
      <alignment wrapText="1"/>
    </xf>
    <xf numFmtId="164" fontId="0" fillId="0" borderId="1" xfId="0" applyNumberFormat="1" applyBorder="1" applyAlignment="1">
      <alignment wrapText="1"/>
    </xf>
    <xf numFmtId="164" fontId="30" fillId="0" borderId="1" xfId="0" applyNumberFormat="1" applyFont="1" applyBorder="1" applyAlignment="1">
      <alignment wrapText="1"/>
    </xf>
    <xf numFmtId="0" fontId="0" fillId="18" borderId="0" xfId="0" applyFill="1"/>
    <xf numFmtId="2" fontId="0" fillId="0" borderId="0" xfId="0" applyNumberFormat="1" applyAlignment="1">
      <alignment wrapText="1"/>
    </xf>
    <xf numFmtId="49" fontId="0" fillId="0" borderId="1" xfId="0" applyNumberFormat="1" applyBorder="1" applyAlignment="1">
      <alignment wrapText="1"/>
    </xf>
    <xf numFmtId="164" fontId="23" fillId="0" borderId="1" xfId="0" applyNumberFormat="1" applyFont="1" applyBorder="1" applyAlignment="1">
      <alignment wrapText="1"/>
    </xf>
    <xf numFmtId="164" fontId="0" fillId="7" borderId="1" xfId="0" applyNumberFormat="1" applyFill="1" applyBorder="1" applyAlignment="1">
      <alignment wrapText="1"/>
    </xf>
    <xf numFmtId="4" fontId="0" fillId="0" borderId="1" xfId="0" applyNumberFormat="1" applyBorder="1" applyAlignment="1">
      <alignment wrapText="1"/>
    </xf>
    <xf numFmtId="4" fontId="0" fillId="12" borderId="1" xfId="0" applyNumberFormat="1" applyFill="1" applyBorder="1" applyAlignment="1">
      <alignment wrapText="1"/>
    </xf>
    <xf numFmtId="2" fontId="30" fillId="0" borderId="0" xfId="0" applyNumberFormat="1" applyFont="1" applyAlignment="1">
      <alignment vertical="top" wrapText="1"/>
    </xf>
    <xf numFmtId="0" fontId="30" fillId="0" borderId="0" xfId="0" applyFont="1" applyAlignment="1">
      <alignment vertical="top" wrapText="1"/>
    </xf>
    <xf numFmtId="4" fontId="35" fillId="6" borderId="0" xfId="0" applyNumberFormat="1" applyFont="1" applyFill="1"/>
    <xf numFmtId="169" fontId="0" fillId="0" borderId="0" xfId="0" applyNumberFormat="1"/>
    <xf numFmtId="2" fontId="0" fillId="0" borderId="0" xfId="0" applyNumberFormat="1"/>
    <xf numFmtId="2" fontId="30" fillId="0" borderId="0" xfId="0" applyNumberFormat="1" applyFont="1" applyAlignment="1">
      <alignment horizontal="center" wrapText="1"/>
    </xf>
    <xf numFmtId="167" fontId="36" fillId="0" borderId="0" xfId="0" applyNumberFormat="1" applyFont="1" applyAlignment="1">
      <alignment vertical="top" wrapText="1"/>
    </xf>
    <xf numFmtId="167" fontId="36" fillId="0" borderId="0" xfId="0" applyNumberFormat="1" applyFont="1" applyAlignment="1">
      <alignment horizontal="center" vertical="top" wrapText="1"/>
    </xf>
    <xf numFmtId="167" fontId="30" fillId="0" borderId="0" xfId="0" applyNumberFormat="1" applyFont="1" applyAlignment="1">
      <alignment horizontal="center" wrapText="1"/>
    </xf>
    <xf numFmtId="167" fontId="37" fillId="0" borderId="0" xfId="0" applyNumberFormat="1" applyFont="1" applyAlignment="1">
      <alignment vertical="top" wrapText="1"/>
    </xf>
    <xf numFmtId="167" fontId="25" fillId="0" borderId="0" xfId="0" applyNumberFormat="1" applyFont="1" applyAlignment="1">
      <alignment vertical="top" wrapText="1"/>
    </xf>
    <xf numFmtId="170" fontId="36" fillId="0" borderId="0" xfId="0" applyNumberFormat="1" applyFont="1" applyAlignment="1">
      <alignment horizontal="right" vertical="top" wrapText="1"/>
    </xf>
    <xf numFmtId="167" fontId="25" fillId="0" borderId="0" xfId="0" applyNumberFormat="1" applyFont="1" applyAlignment="1">
      <alignment vertical="top"/>
    </xf>
    <xf numFmtId="167" fontId="0" fillId="0" borderId="0" xfId="0" applyNumberFormat="1" applyAlignment="1">
      <alignment vertical="top" wrapText="1"/>
    </xf>
    <xf numFmtId="167" fontId="0" fillId="0" borderId="0" xfId="0" applyNumberFormat="1" applyAlignment="1">
      <alignment horizontal="right"/>
    </xf>
    <xf numFmtId="167" fontId="23" fillId="19" borderId="0" xfId="0" applyNumberFormat="1" applyFont="1" applyFill="1" applyAlignment="1">
      <alignment wrapText="1"/>
    </xf>
    <xf numFmtId="2" fontId="30" fillId="0" borderId="0" xfId="0" applyNumberFormat="1" applyFont="1" applyAlignment="1">
      <alignment horizontal="center" vertical="top" wrapText="1"/>
    </xf>
    <xf numFmtId="167" fontId="0" fillId="12" borderId="1" xfId="5" applyNumberFormat="1" applyFont="1" applyFill="1" applyBorder="1" applyAlignment="1">
      <alignment wrapText="1"/>
    </xf>
    <xf numFmtId="3" fontId="0" fillId="0" borderId="18" xfId="0" applyNumberFormat="1" applyBorder="1"/>
    <xf numFmtId="3" fontId="0" fillId="0" borderId="1" xfId="0" applyNumberFormat="1" applyBorder="1"/>
    <xf numFmtId="3" fontId="0" fillId="0" borderId="19" xfId="0" applyNumberFormat="1" applyBorder="1"/>
    <xf numFmtId="3" fontId="0" fillId="0" borderId="20" xfId="0" applyNumberFormat="1" applyBorder="1"/>
    <xf numFmtId="167" fontId="0" fillId="12" borderId="1" xfId="5" applyNumberFormat="1" applyFont="1" applyFill="1" applyBorder="1"/>
    <xf numFmtId="3" fontId="0" fillId="0" borderId="18" xfId="0" applyNumberFormat="1" applyBorder="1" applyAlignment="1">
      <alignment wrapText="1"/>
    </xf>
    <xf numFmtId="3" fontId="0" fillId="0" borderId="22" xfId="0" applyNumberFormat="1" applyBorder="1" applyAlignment="1">
      <alignment wrapText="1"/>
    </xf>
    <xf numFmtId="3" fontId="0" fillId="0" borderId="23" xfId="0" applyNumberFormat="1" applyBorder="1"/>
    <xf numFmtId="3" fontId="0" fillId="0" borderId="24" xfId="0" applyNumberFormat="1" applyBorder="1"/>
    <xf numFmtId="0" fontId="24" fillId="0" borderId="0" xfId="0" applyFont="1" applyAlignment="1">
      <alignment horizontal="center" vertical="center"/>
    </xf>
    <xf numFmtId="0" fontId="24" fillId="0" borderId="0" xfId="0" applyFont="1" applyAlignment="1">
      <alignment horizontal="left" vertical="center" wrapText="1"/>
    </xf>
    <xf numFmtId="0" fontId="24" fillId="0" borderId="1" xfId="0" applyFont="1" applyBorder="1" applyAlignment="1">
      <alignment horizontal="left" vertical="center" wrapText="1"/>
    </xf>
    <xf numFmtId="2" fontId="24" fillId="0" borderId="1" xfId="0" applyNumberFormat="1" applyFont="1" applyBorder="1" applyAlignment="1">
      <alignment horizontal="center" vertical="center"/>
    </xf>
    <xf numFmtId="4" fontId="24" fillId="12" borderId="1" xfId="0" applyNumberFormat="1" applyFont="1" applyFill="1" applyBorder="1" applyAlignment="1">
      <alignment horizontal="center" vertical="center" wrapText="1"/>
    </xf>
    <xf numFmtId="4" fontId="24" fillId="12" borderId="1" xfId="0" applyNumberFormat="1" applyFont="1" applyFill="1" applyBorder="1" applyAlignment="1">
      <alignment horizontal="center" vertical="center"/>
    </xf>
    <xf numFmtId="166" fontId="24" fillId="0" borderId="1" xfId="0" applyNumberFormat="1" applyFont="1" applyBorder="1" applyAlignment="1">
      <alignment horizontal="center" vertical="center" wrapText="1"/>
    </xf>
    <xf numFmtId="4" fontId="24" fillId="0" borderId="1" xfId="0" applyNumberFormat="1" applyFont="1" applyBorder="1" applyAlignment="1">
      <alignment horizontal="center" vertical="center"/>
    </xf>
    <xf numFmtId="0" fontId="24" fillId="0" borderId="1" xfId="0" applyFont="1" applyBorder="1" applyAlignment="1">
      <alignment horizontal="center" vertical="center"/>
    </xf>
    <xf numFmtId="2" fontId="24" fillId="0" borderId="0" xfId="0" applyNumberFormat="1" applyFont="1" applyAlignment="1">
      <alignment horizontal="center" vertical="center"/>
    </xf>
    <xf numFmtId="4" fontId="24" fillId="0" borderId="0" xfId="0" applyNumberFormat="1" applyFont="1" applyAlignment="1">
      <alignment horizontal="center" vertical="center"/>
    </xf>
    <xf numFmtId="1" fontId="0" fillId="12" borderId="0" xfId="0" applyNumberFormat="1" applyFill="1"/>
    <xf numFmtId="0" fontId="0" fillId="20" borderId="0" xfId="0" applyFill="1"/>
    <xf numFmtId="0" fontId="0" fillId="21" borderId="0" xfId="0" applyFill="1"/>
    <xf numFmtId="4" fontId="39" fillId="12" borderId="1" xfId="0" applyNumberFormat="1" applyFont="1" applyFill="1" applyBorder="1" applyAlignment="1">
      <alignment horizontal="left" vertical="center" wrapText="1"/>
    </xf>
    <xf numFmtId="3" fontId="39" fillId="13" borderId="1" xfId="0" applyNumberFormat="1" applyFont="1" applyFill="1" applyBorder="1" applyAlignment="1">
      <alignment horizontal="center" vertical="center" wrapText="1"/>
    </xf>
    <xf numFmtId="10" fontId="39" fillId="22" borderId="1" xfId="0" applyNumberFormat="1" applyFont="1" applyFill="1" applyBorder="1" applyAlignment="1">
      <alignment horizontal="center" vertical="center" wrapText="1"/>
    </xf>
    <xf numFmtId="3" fontId="39" fillId="22" borderId="1" xfId="0" applyNumberFormat="1" applyFont="1" applyFill="1" applyBorder="1" applyAlignment="1">
      <alignment horizontal="center" vertical="center" wrapText="1"/>
    </xf>
    <xf numFmtId="3" fontId="39" fillId="12" borderId="1" xfId="0" applyNumberFormat="1" applyFont="1" applyFill="1" applyBorder="1" applyAlignment="1">
      <alignment horizontal="center" vertical="center" wrapText="1"/>
    </xf>
    <xf numFmtId="4" fontId="39" fillId="12" borderId="1" xfId="0" applyNumberFormat="1" applyFont="1" applyFill="1" applyBorder="1" applyAlignment="1">
      <alignment horizontal="center" vertical="center" wrapText="1"/>
    </xf>
    <xf numFmtId="4" fontId="39" fillId="12" borderId="2" xfId="0" applyNumberFormat="1" applyFont="1" applyFill="1" applyBorder="1" applyAlignment="1">
      <alignment horizontal="center" vertical="center" wrapText="1"/>
    </xf>
    <xf numFmtId="1" fontId="39" fillId="13" borderId="5" xfId="0" applyNumberFormat="1" applyFont="1" applyFill="1" applyBorder="1" applyAlignment="1">
      <alignment horizontal="center" vertical="center" wrapText="1"/>
    </xf>
    <xf numFmtId="4" fontId="39" fillId="12" borderId="6" xfId="0" applyNumberFormat="1" applyFont="1" applyFill="1" applyBorder="1" applyAlignment="1">
      <alignment horizontal="center" vertical="center" wrapText="1"/>
    </xf>
    <xf numFmtId="1" fontId="39" fillId="13" borderId="1" xfId="0" applyNumberFormat="1" applyFont="1" applyFill="1" applyBorder="1" applyAlignment="1">
      <alignment horizontal="center" vertical="center" wrapText="1"/>
    </xf>
    <xf numFmtId="4" fontId="39" fillId="20" borderId="1" xfId="0" applyNumberFormat="1" applyFont="1" applyFill="1" applyBorder="1" applyAlignment="1">
      <alignment vertical="center" wrapText="1"/>
    </xf>
    <xf numFmtId="1" fontId="0" fillId="13" borderId="0" xfId="0" applyNumberFormat="1" applyFill="1"/>
    <xf numFmtId="4" fontId="0" fillId="20" borderId="0" xfId="0" applyNumberFormat="1" applyFill="1"/>
    <xf numFmtId="4" fontId="0" fillId="21" borderId="0" xfId="0" applyNumberFormat="1" applyFill="1"/>
    <xf numFmtId="0" fontId="24" fillId="0" borderId="0" xfId="0" applyFont="1" applyAlignment="1">
      <alignment horizontal="center" vertical="center" wrapText="1"/>
    </xf>
    <xf numFmtId="0" fontId="24" fillId="12" borderId="0" xfId="0" applyFont="1" applyFill="1" applyAlignment="1">
      <alignment horizontal="center" vertical="center"/>
    </xf>
    <xf numFmtId="167" fontId="0" fillId="0" borderId="1" xfId="0" applyNumberFormat="1" applyBorder="1" applyAlignment="1">
      <alignment horizontal="left" vertical="center" wrapText="1"/>
    </xf>
    <xf numFmtId="167" fontId="0" fillId="0" borderId="1" xfId="0" applyNumberFormat="1" applyBorder="1" applyAlignment="1">
      <alignment horizontal="center" vertical="center"/>
    </xf>
    <xf numFmtId="167" fontId="0" fillId="12" borderId="1" xfId="0" applyNumberFormat="1" applyFill="1" applyBorder="1" applyAlignment="1">
      <alignment horizontal="center" vertical="center" wrapText="1"/>
    </xf>
    <xf numFmtId="167" fontId="0" fillId="12" borderId="1" xfId="0" applyNumberFormat="1" applyFill="1" applyBorder="1" applyAlignment="1">
      <alignment horizontal="center" vertical="center"/>
    </xf>
    <xf numFmtId="167" fontId="23" fillId="0" borderId="1" xfId="0" applyNumberFormat="1" applyFont="1" applyBorder="1" applyAlignment="1">
      <alignment horizontal="left" vertical="center" wrapText="1"/>
    </xf>
    <xf numFmtId="0" fontId="40" fillId="0" borderId="0" xfId="0" applyFont="1" applyAlignment="1">
      <alignment horizontal="center" vertical="center"/>
    </xf>
    <xf numFmtId="167" fontId="40" fillId="0" borderId="0" xfId="0" applyNumberFormat="1" applyFont="1" applyAlignment="1">
      <alignment horizontal="center" vertical="center" wrapText="1"/>
    </xf>
    <xf numFmtId="0" fontId="41" fillId="0" borderId="0" xfId="0" applyFont="1" applyAlignment="1">
      <alignment horizontal="center" vertical="center" wrapText="1"/>
    </xf>
    <xf numFmtId="164" fontId="40" fillId="0" borderId="0" xfId="0" applyNumberFormat="1" applyFont="1" applyAlignment="1">
      <alignment horizontal="center" vertical="center" wrapText="1"/>
    </xf>
    <xf numFmtId="164" fontId="24" fillId="0" borderId="0" xfId="0" applyNumberFormat="1" applyFont="1" applyAlignment="1">
      <alignment horizontal="center" vertical="center"/>
    </xf>
    <xf numFmtId="4" fontId="24" fillId="0" borderId="0" xfId="0" applyNumberFormat="1" applyFont="1" applyAlignment="1">
      <alignment horizontal="center" vertical="center" wrapText="1"/>
    </xf>
    <xf numFmtId="4" fontId="40" fillId="0" borderId="0" xfId="0" applyNumberFormat="1" applyFont="1" applyAlignment="1">
      <alignment horizontal="center" vertical="center"/>
    </xf>
    <xf numFmtId="4" fontId="42" fillId="6" borderId="0" xfId="0" applyNumberFormat="1" applyFont="1" applyFill="1" applyAlignment="1">
      <alignment horizontal="center" vertical="center"/>
    </xf>
    <xf numFmtId="0" fontId="40" fillId="12" borderId="0" xfId="0" applyFont="1" applyFill="1" applyAlignment="1">
      <alignment horizontal="center" vertical="center"/>
    </xf>
    <xf numFmtId="167" fontId="24" fillId="0" borderId="0" xfId="0" applyNumberFormat="1" applyFont="1" applyAlignment="1">
      <alignment horizontal="center" vertical="center"/>
    </xf>
    <xf numFmtId="167" fontId="24" fillId="0" borderId="0" xfId="0" applyNumberFormat="1" applyFont="1" applyAlignment="1">
      <alignment horizontal="left" vertical="center"/>
    </xf>
    <xf numFmtId="167" fontId="40" fillId="0" borderId="0" xfId="0" applyNumberFormat="1" applyFont="1" applyAlignment="1">
      <alignment horizontal="center" vertical="center"/>
    </xf>
    <xf numFmtId="167" fontId="24" fillId="0" borderId="0" xfId="0" applyNumberFormat="1" applyFont="1" applyAlignment="1">
      <alignment horizontal="left" vertical="center" wrapText="1"/>
    </xf>
    <xf numFmtId="168" fontId="24" fillId="0" borderId="0" xfId="0" applyNumberFormat="1" applyFont="1" applyAlignment="1">
      <alignment horizontal="left" vertical="center" wrapText="1"/>
    </xf>
    <xf numFmtId="168" fontId="24" fillId="0" borderId="0" xfId="0" applyNumberFormat="1" applyFont="1" applyAlignment="1">
      <alignment horizontal="center" vertical="center"/>
    </xf>
    <xf numFmtId="10" fontId="24" fillId="0" borderId="0" xfId="0" applyNumberFormat="1" applyFont="1" applyAlignment="1">
      <alignment horizontal="center" vertical="center"/>
    </xf>
    <xf numFmtId="166" fontId="24" fillId="0" borderId="0" xfId="0" applyNumberFormat="1" applyFont="1" applyAlignment="1">
      <alignment horizontal="center" vertical="center"/>
    </xf>
    <xf numFmtId="9" fontId="24" fillId="0" borderId="0" xfId="0" applyNumberFormat="1" applyFont="1" applyAlignment="1">
      <alignment horizontal="center" vertical="center"/>
    </xf>
    <xf numFmtId="0" fontId="21" fillId="0" borderId="0" xfId="3" applyAlignment="1" applyProtection="1">
      <alignment horizontal="justify"/>
    </xf>
    <xf numFmtId="0" fontId="43" fillId="0" borderId="0" xfId="0" applyFont="1" applyAlignment="1">
      <alignment horizontal="justify"/>
    </xf>
    <xf numFmtId="1" fontId="0" fillId="0" borderId="0" xfId="0" applyNumberFormat="1" applyAlignment="1">
      <alignment vertical="top"/>
    </xf>
    <xf numFmtId="0" fontId="0" fillId="0" borderId="0" xfId="0" applyAlignment="1">
      <alignment vertical="top"/>
    </xf>
    <xf numFmtId="1" fontId="0" fillId="0" borderId="0" xfId="0" applyNumberFormat="1" applyAlignment="1">
      <alignment horizontal="center" vertical="top"/>
    </xf>
    <xf numFmtId="9" fontId="0" fillId="0" borderId="0" xfId="0" applyNumberFormat="1" applyAlignment="1">
      <alignment horizontal="center" vertical="top"/>
    </xf>
    <xf numFmtId="0" fontId="24" fillId="0" borderId="0" xfId="0" applyFont="1" applyAlignment="1">
      <alignment horizontal="center" vertical="top" wrapText="1"/>
    </xf>
    <xf numFmtId="0" fontId="24" fillId="0" borderId="0" xfId="0" applyFont="1" applyAlignment="1">
      <alignment horizontal="right" vertical="top" wrapText="1"/>
    </xf>
    <xf numFmtId="1" fontId="0" fillId="0" borderId="0" xfId="0" applyNumberFormat="1" applyAlignment="1">
      <alignment horizontal="left" vertical="center" wrapText="1"/>
    </xf>
    <xf numFmtId="2" fontId="24" fillId="0" borderId="0" xfId="0" applyNumberFormat="1" applyFont="1" applyAlignment="1">
      <alignment horizontal="center" vertical="center" wrapText="1"/>
    </xf>
    <xf numFmtId="2" fontId="0" fillId="0" borderId="0" xfId="0" applyNumberFormat="1" applyAlignment="1">
      <alignment horizontal="left" vertical="center" wrapText="1"/>
    </xf>
    <xf numFmtId="0" fontId="0" fillId="0" borderId="1" xfId="0" applyBorder="1"/>
    <xf numFmtId="0" fontId="0" fillId="24" borderId="1" xfId="0" applyFill="1" applyBorder="1"/>
    <xf numFmtId="0" fontId="0" fillId="7" borderId="1" xfId="0" applyFill="1" applyBorder="1"/>
    <xf numFmtId="0" fontId="0" fillId="25" borderId="1" xfId="0" applyFill="1" applyBorder="1"/>
    <xf numFmtId="0" fontId="0" fillId="26" borderId="1" xfId="0" applyFill="1" applyBorder="1"/>
    <xf numFmtId="0" fontId="0" fillId="27" borderId="0" xfId="0" applyFill="1"/>
    <xf numFmtId="0" fontId="19" fillId="0" borderId="0" xfId="0" applyFont="1"/>
    <xf numFmtId="0" fontId="0" fillId="30" borderId="0" xfId="0" applyFill="1"/>
    <xf numFmtId="0" fontId="19" fillId="30" borderId="0" xfId="0" applyFont="1" applyFill="1"/>
    <xf numFmtId="167" fontId="0" fillId="7" borderId="1" xfId="0" applyNumberFormat="1" applyFill="1" applyBorder="1" applyAlignment="1">
      <alignment wrapText="1"/>
    </xf>
    <xf numFmtId="167" fontId="0" fillId="0" borderId="1" xfId="0" applyNumberFormat="1" applyBorder="1" applyAlignment="1">
      <alignment horizontal="right" wrapText="1"/>
    </xf>
    <xf numFmtId="167" fontId="0" fillId="0" borderId="1" xfId="0" applyNumberFormat="1" applyBorder="1" applyAlignment="1">
      <alignment wrapText="1"/>
    </xf>
    <xf numFmtId="167" fontId="0" fillId="0" borderId="5" xfId="0" applyNumberFormat="1" applyBorder="1" applyAlignment="1">
      <alignment wrapText="1"/>
    </xf>
    <xf numFmtId="167" fontId="0" fillId="0" borderId="12" xfId="0" applyNumberFormat="1" applyBorder="1" applyAlignment="1">
      <alignment wrapText="1"/>
    </xf>
    <xf numFmtId="167" fontId="29" fillId="0" borderId="1" xfId="0" applyNumberFormat="1" applyFont="1" applyBorder="1" applyAlignment="1">
      <alignment wrapText="1"/>
    </xf>
    <xf numFmtId="167" fontId="29" fillId="0" borderId="5" xfId="0" applyNumberFormat="1" applyFont="1" applyBorder="1" applyAlignment="1">
      <alignment wrapText="1"/>
    </xf>
    <xf numFmtId="0" fontId="0" fillId="33" borderId="1" xfId="0" applyFill="1" applyBorder="1"/>
    <xf numFmtId="0" fontId="25" fillId="34" borderId="1" xfId="0" applyFont="1" applyFill="1" applyBorder="1"/>
    <xf numFmtId="4" fontId="25" fillId="30" borderId="1" xfId="0" applyNumberFormat="1" applyFont="1" applyFill="1" applyBorder="1"/>
    <xf numFmtId="0" fontId="19" fillId="0" borderId="5" xfId="0" applyFont="1" applyBorder="1" applyAlignment="1">
      <alignment wrapText="1"/>
    </xf>
    <xf numFmtId="0" fontId="19" fillId="0" borderId="1" xfId="0" applyFont="1" applyBorder="1" applyAlignment="1">
      <alignment horizontal="left"/>
    </xf>
    <xf numFmtId="0" fontId="19" fillId="0" borderId="1" xfId="0" applyFont="1" applyBorder="1"/>
    <xf numFmtId="0" fontId="52" fillId="4" borderId="1" xfId="5" applyFont="1" applyBorder="1"/>
    <xf numFmtId="4" fontId="19" fillId="0" borderId="1" xfId="0" applyNumberFormat="1" applyFont="1" applyBorder="1"/>
    <xf numFmtId="4" fontId="19" fillId="12" borderId="1" xfId="0" applyNumberFormat="1" applyFont="1" applyFill="1" applyBorder="1"/>
    <xf numFmtId="4" fontId="47" fillId="0" borderId="1" xfId="0" applyNumberFormat="1" applyFont="1" applyBorder="1"/>
    <xf numFmtId="4" fontId="19" fillId="0" borderId="0" xfId="0" applyNumberFormat="1" applyFont="1"/>
    <xf numFmtId="167" fontId="19" fillId="0" borderId="0" xfId="0" applyNumberFormat="1" applyFont="1"/>
    <xf numFmtId="4" fontId="19" fillId="15" borderId="1" xfId="0" applyNumberFormat="1" applyFont="1" applyFill="1" applyBorder="1"/>
    <xf numFmtId="0" fontId="19" fillId="0" borderId="1" xfId="0" applyFont="1" applyBorder="1" applyAlignment="1">
      <alignment wrapText="1"/>
    </xf>
    <xf numFmtId="2" fontId="19" fillId="0" borderId="1" xfId="0" applyNumberFormat="1" applyFont="1" applyBorder="1"/>
    <xf numFmtId="4" fontId="19" fillId="0" borderId="0" xfId="0" applyNumberFormat="1" applyFont="1" applyAlignment="1">
      <alignment horizontal="left"/>
    </xf>
    <xf numFmtId="4" fontId="19" fillId="12" borderId="0" xfId="0" applyNumberFormat="1" applyFont="1" applyFill="1"/>
    <xf numFmtId="4" fontId="19" fillId="15" borderId="0" xfId="0" applyNumberFormat="1" applyFont="1" applyFill="1"/>
    <xf numFmtId="166" fontId="19" fillId="13" borderId="1" xfId="0" applyNumberFormat="1" applyFont="1" applyFill="1" applyBorder="1"/>
    <xf numFmtId="2" fontId="19" fillId="0" borderId="0" xfId="0" applyNumberFormat="1" applyFont="1"/>
    <xf numFmtId="2" fontId="53" fillId="13" borderId="2" xfId="0" applyNumberFormat="1" applyFont="1" applyFill="1" applyBorder="1"/>
    <xf numFmtId="166" fontId="54" fillId="13" borderId="1" xfId="0" applyNumberFormat="1" applyFont="1" applyFill="1" applyBorder="1"/>
    <xf numFmtId="164" fontId="19" fillId="13" borderId="1" xfId="0" applyNumberFormat="1" applyFont="1" applyFill="1" applyBorder="1"/>
    <xf numFmtId="164" fontId="48" fillId="13" borderId="1" xfId="0" applyNumberFormat="1" applyFont="1" applyFill="1" applyBorder="1"/>
    <xf numFmtId="4" fontId="19" fillId="13" borderId="4" xfId="0" applyNumberFormat="1" applyFont="1" applyFill="1" applyBorder="1"/>
    <xf numFmtId="0" fontId="48" fillId="35" borderId="1" xfId="0" applyFont="1" applyFill="1" applyBorder="1" applyAlignment="1">
      <alignment wrapText="1"/>
    </xf>
    <xf numFmtId="0" fontId="48" fillId="35" borderId="1" xfId="0" applyFont="1" applyFill="1" applyBorder="1"/>
    <xf numFmtId="0" fontId="48" fillId="35" borderId="1" xfId="0" applyFont="1" applyFill="1" applyBorder="1" applyAlignment="1">
      <alignment horizontal="right"/>
    </xf>
    <xf numFmtId="167" fontId="48" fillId="35" borderId="1" xfId="0" applyNumberFormat="1" applyFont="1" applyFill="1" applyBorder="1"/>
    <xf numFmtId="0" fontId="0" fillId="28" borderId="0" xfId="0" applyFill="1"/>
    <xf numFmtId="0" fontId="49" fillId="0" borderId="0" xfId="0" applyFont="1" applyAlignment="1">
      <alignment horizontal="center"/>
    </xf>
    <xf numFmtId="0" fontId="49" fillId="0" borderId="0" xfId="0" applyFont="1" applyAlignment="1">
      <alignment horizontal="right"/>
    </xf>
    <xf numFmtId="0" fontId="0" fillId="0" borderId="0" xfId="0" applyAlignment="1">
      <alignment horizontal="right"/>
    </xf>
    <xf numFmtId="0" fontId="0" fillId="26" borderId="0" xfId="0" applyFill="1" applyAlignment="1">
      <alignment horizontal="center"/>
    </xf>
    <xf numFmtId="0" fontId="0" fillId="29" borderId="0" xfId="0" applyFill="1" applyAlignment="1">
      <alignment horizontal="center"/>
    </xf>
    <xf numFmtId="0" fontId="0" fillId="36" borderId="0" xfId="0" applyFill="1"/>
    <xf numFmtId="0" fontId="18" fillId="0" borderId="0" xfId="0" applyFont="1"/>
    <xf numFmtId="0" fontId="55" fillId="0" borderId="0" xfId="0" applyFont="1" applyAlignment="1">
      <alignment horizontal="left" wrapText="1" indent="2"/>
    </xf>
    <xf numFmtId="167" fontId="0" fillId="31" borderId="1" xfId="0" applyNumberFormat="1" applyFill="1" applyBorder="1" applyAlignment="1">
      <alignment horizontal="left" vertical="center" wrapText="1"/>
    </xf>
    <xf numFmtId="167" fontId="30" fillId="37" borderId="1" xfId="0" applyNumberFormat="1" applyFont="1" applyFill="1" applyBorder="1" applyAlignment="1">
      <alignment horizontal="center" vertical="center" wrapText="1"/>
    </xf>
    <xf numFmtId="0" fontId="24" fillId="31" borderId="0" xfId="0" applyFont="1" applyFill="1" applyAlignment="1">
      <alignment horizontal="center" vertical="center"/>
    </xf>
    <xf numFmtId="167" fontId="0" fillId="38" borderId="1" xfId="0" applyNumberFormat="1" applyFill="1" applyBorder="1" applyAlignment="1">
      <alignment horizontal="left" vertical="center" wrapText="1"/>
    </xf>
    <xf numFmtId="167" fontId="0" fillId="38" borderId="1" xfId="0" applyNumberFormat="1" applyFill="1" applyBorder="1" applyAlignment="1">
      <alignment horizontal="center" vertical="center" wrapText="1"/>
    </xf>
    <xf numFmtId="0" fontId="24" fillId="38" borderId="0" xfId="0" applyFont="1" applyFill="1" applyAlignment="1">
      <alignment horizontal="center" vertical="center"/>
    </xf>
    <xf numFmtId="167" fontId="0" fillId="32" borderId="1" xfId="0" applyNumberFormat="1" applyFill="1" applyBorder="1" applyAlignment="1">
      <alignment horizontal="center" vertical="center" wrapText="1"/>
    </xf>
    <xf numFmtId="167" fontId="0" fillId="39" borderId="1" xfId="0" applyNumberFormat="1" applyFill="1" applyBorder="1" applyAlignment="1">
      <alignment horizontal="left" vertical="center" wrapText="1"/>
    </xf>
    <xf numFmtId="167" fontId="0" fillId="39" borderId="1" xfId="0" applyNumberFormat="1" applyFill="1" applyBorder="1" applyAlignment="1">
      <alignment horizontal="center" vertical="center" wrapText="1"/>
    </xf>
    <xf numFmtId="167" fontId="0" fillId="39" borderId="1" xfId="0" applyNumberFormat="1" applyFill="1" applyBorder="1" applyAlignment="1">
      <alignment horizontal="center" vertical="center"/>
    </xf>
    <xf numFmtId="167" fontId="30" fillId="39" borderId="1" xfId="0" applyNumberFormat="1" applyFont="1" applyFill="1" applyBorder="1" applyAlignment="1">
      <alignment horizontal="center" vertical="center" wrapText="1"/>
    </xf>
    <xf numFmtId="0" fontId="24" fillId="39" borderId="0" xfId="0" applyFont="1" applyFill="1" applyAlignment="1">
      <alignment horizontal="center" vertical="center"/>
    </xf>
    <xf numFmtId="0" fontId="24" fillId="30" borderId="1" xfId="0" applyFont="1" applyFill="1" applyBorder="1" applyAlignment="1">
      <alignment horizontal="center" vertical="center" wrapText="1"/>
    </xf>
    <xf numFmtId="0" fontId="24" fillId="30" borderId="1" xfId="0" applyFont="1" applyFill="1" applyBorder="1" applyAlignment="1">
      <alignment horizontal="left" vertical="center" wrapText="1"/>
    </xf>
    <xf numFmtId="9" fontId="0" fillId="29" borderId="0" xfId="0" applyNumberFormat="1" applyFill="1" applyAlignment="1">
      <alignment horizontal="center"/>
    </xf>
    <xf numFmtId="0" fontId="18" fillId="30" borderId="0" xfId="0" applyFont="1" applyFill="1"/>
    <xf numFmtId="0" fontId="0" fillId="30" borderId="0" xfId="0" applyFill="1" applyAlignment="1">
      <alignment horizontal="center"/>
    </xf>
    <xf numFmtId="0" fontId="0" fillId="5" borderId="0" xfId="0" applyFill="1" applyAlignment="1">
      <alignment horizontal="center"/>
    </xf>
    <xf numFmtId="10" fontId="0" fillId="29" borderId="0" xfId="0" applyNumberFormat="1" applyFill="1" applyAlignment="1">
      <alignment horizontal="center"/>
    </xf>
    <xf numFmtId="10" fontId="0" fillId="0" borderId="0" xfId="0" applyNumberFormat="1" applyAlignment="1">
      <alignment horizontal="center"/>
    </xf>
    <xf numFmtId="167" fontId="0" fillId="5" borderId="0" xfId="0" applyNumberFormat="1" applyFill="1" applyAlignment="1">
      <alignment horizontal="center"/>
    </xf>
    <xf numFmtId="0" fontId="25" fillId="30" borderId="1" xfId="0" applyFont="1" applyFill="1" applyBorder="1" applyAlignment="1">
      <alignment horizontal="left" wrapText="1"/>
    </xf>
    <xf numFmtId="0" fontId="25" fillId="30" borderId="1" xfId="0" applyFont="1" applyFill="1" applyBorder="1" applyAlignment="1">
      <alignment wrapText="1"/>
    </xf>
    <xf numFmtId="0" fontId="25" fillId="30" borderId="1" xfId="0" applyFont="1" applyFill="1" applyBorder="1" applyAlignment="1">
      <alignment horizontal="center" vertical="center" wrapText="1"/>
    </xf>
    <xf numFmtId="0" fontId="25" fillId="30" borderId="1" xfId="0" applyFont="1" applyFill="1" applyBorder="1" applyAlignment="1">
      <alignment horizontal="right"/>
    </xf>
    <xf numFmtId="0" fontId="25" fillId="30" borderId="1" xfId="0" applyFont="1" applyFill="1" applyBorder="1" applyAlignment="1">
      <alignment horizontal="left" vertical="top" wrapText="1"/>
    </xf>
    <xf numFmtId="4" fontId="27" fillId="30" borderId="1" xfId="0" applyNumberFormat="1" applyFont="1" applyFill="1" applyBorder="1"/>
    <xf numFmtId="0" fontId="25" fillId="30" borderId="0" xfId="0" applyFont="1" applyFill="1" applyAlignment="1">
      <alignment horizontal="left" wrapText="1"/>
    </xf>
    <xf numFmtId="4" fontId="27" fillId="30" borderId="5" xfId="0" applyNumberFormat="1" applyFont="1" applyFill="1" applyBorder="1"/>
    <xf numFmtId="0" fontId="27" fillId="30" borderId="1" xfId="0" applyFont="1" applyFill="1" applyBorder="1" applyAlignment="1">
      <alignment horizontal="left" wrapText="1"/>
    </xf>
    <xf numFmtId="0" fontId="25" fillId="30" borderId="1" xfId="0" applyFont="1" applyFill="1" applyBorder="1"/>
    <xf numFmtId="4" fontId="25" fillId="30" borderId="5" xfId="0" applyNumberFormat="1" applyFont="1" applyFill="1" applyBorder="1"/>
    <xf numFmtId="4" fontId="25" fillId="30" borderId="0" xfId="0" applyNumberFormat="1" applyFont="1" applyFill="1"/>
    <xf numFmtId="0" fontId="0" fillId="30" borderId="1" xfId="0" applyFill="1" applyBorder="1" applyAlignment="1">
      <alignment horizontal="center" vertical="top"/>
    </xf>
    <xf numFmtId="0" fontId="0" fillId="30" borderId="1" xfId="0" applyFill="1" applyBorder="1" applyAlignment="1">
      <alignment horizontal="center" vertical="center" wrapText="1"/>
    </xf>
    <xf numFmtId="0" fontId="0" fillId="30" borderId="1" xfId="0" applyFill="1" applyBorder="1" applyAlignment="1">
      <alignment horizontal="left" vertical="center" wrapText="1"/>
    </xf>
    <xf numFmtId="0" fontId="0" fillId="30" borderId="1" xfId="0" applyFill="1" applyBorder="1" applyAlignment="1">
      <alignment horizontal="center" vertical="top" wrapText="1"/>
    </xf>
    <xf numFmtId="0" fontId="0" fillId="30" borderId="0" xfId="0" applyFill="1" applyAlignment="1">
      <alignment horizontal="left" vertical="center" wrapText="1"/>
    </xf>
    <xf numFmtId="0" fontId="0" fillId="30" borderId="0" xfId="0" applyFill="1" applyAlignment="1">
      <alignment wrapText="1"/>
    </xf>
    <xf numFmtId="1" fontId="0" fillId="30" borderId="0" xfId="0" applyNumberFormat="1" applyFill="1"/>
    <xf numFmtId="0" fontId="44" fillId="31" borderId="0" xfId="1" applyFill="1" applyAlignment="1">
      <alignment horizontal="center" vertical="center" wrapText="1"/>
    </xf>
    <xf numFmtId="0" fontId="0" fillId="30" borderId="1" xfId="0" applyFill="1" applyBorder="1" applyAlignment="1">
      <alignment horizontal="center"/>
    </xf>
    <xf numFmtId="0" fontId="0" fillId="30" borderId="1" xfId="0" applyFill="1" applyBorder="1" applyAlignment="1">
      <alignment horizontal="center" vertical="center"/>
    </xf>
    <xf numFmtId="0" fontId="0" fillId="30" borderId="1" xfId="0" applyFill="1" applyBorder="1" applyAlignment="1">
      <alignment horizontal="center" wrapText="1"/>
    </xf>
    <xf numFmtId="167" fontId="0" fillId="41" borderId="1" xfId="0" applyNumberFormat="1" applyFill="1" applyBorder="1" applyAlignment="1">
      <alignment horizontal="center" vertical="center" wrapText="1"/>
    </xf>
    <xf numFmtId="0" fontId="0" fillId="42" borderId="1" xfId="0" applyFill="1" applyBorder="1" applyAlignment="1">
      <alignment horizontal="center" vertical="top" wrapText="1"/>
    </xf>
    <xf numFmtId="0" fontId="0" fillId="42" borderId="1" xfId="0" applyFill="1" applyBorder="1" applyAlignment="1">
      <alignment horizontal="left" vertical="center" wrapText="1"/>
    </xf>
    <xf numFmtId="2" fontId="0" fillId="42" borderId="1" xfId="0" applyNumberFormat="1" applyFill="1" applyBorder="1" applyAlignment="1">
      <alignment vertical="center"/>
    </xf>
    <xf numFmtId="167" fontId="0" fillId="42" borderId="1" xfId="0" applyNumberFormat="1" applyFill="1" applyBorder="1" applyAlignment="1">
      <alignment horizontal="center" vertical="center" wrapText="1"/>
    </xf>
    <xf numFmtId="3" fontId="0" fillId="43" borderId="1" xfId="0" applyNumberFormat="1" applyFill="1" applyBorder="1" applyAlignment="1">
      <alignment horizontal="center" wrapText="1"/>
    </xf>
    <xf numFmtId="0" fontId="0" fillId="28" borderId="1" xfId="0" applyFill="1" applyBorder="1" applyAlignment="1">
      <alignment horizontal="center" wrapText="1"/>
    </xf>
    <xf numFmtId="3" fontId="0" fillId="28" borderId="1" xfId="0" applyNumberFormat="1" applyFill="1" applyBorder="1" applyAlignment="1">
      <alignment horizontal="center" wrapText="1"/>
    </xf>
    <xf numFmtId="0" fontId="0" fillId="28" borderId="0" xfId="0" applyFill="1" applyAlignment="1">
      <alignment horizontal="center" wrapText="1"/>
    </xf>
    <xf numFmtId="0" fontId="0" fillId="30" borderId="0" xfId="0" applyFill="1" applyAlignment="1">
      <alignment horizontal="center" wrapText="1"/>
    </xf>
    <xf numFmtId="0" fontId="0" fillId="45" borderId="1" xfId="0" applyFill="1" applyBorder="1" applyAlignment="1">
      <alignment horizontal="center" wrapText="1"/>
    </xf>
    <xf numFmtId="3" fontId="0" fillId="45" borderId="1" xfId="0" applyNumberFormat="1" applyFill="1" applyBorder="1" applyAlignment="1">
      <alignment horizontal="center" wrapText="1"/>
    </xf>
    <xf numFmtId="0" fontId="0" fillId="45" borderId="0" xfId="0" applyFill="1" applyAlignment="1">
      <alignment horizontal="center" wrapText="1"/>
    </xf>
    <xf numFmtId="0" fontId="0" fillId="46" borderId="1" xfId="0" applyFill="1" applyBorder="1" applyAlignment="1">
      <alignment horizontal="center" wrapText="1"/>
    </xf>
    <xf numFmtId="3" fontId="0" fillId="46" borderId="1" xfId="0" applyNumberFormat="1" applyFill="1" applyBorder="1" applyAlignment="1">
      <alignment horizontal="center" wrapText="1"/>
    </xf>
    <xf numFmtId="0" fontId="0" fillId="46" borderId="0" xfId="0" applyFill="1" applyAlignment="1">
      <alignment horizontal="center" wrapText="1"/>
    </xf>
    <xf numFmtId="0" fontId="0" fillId="39" borderId="1" xfId="0" applyFill="1" applyBorder="1" applyAlignment="1">
      <alignment horizontal="center" wrapText="1"/>
    </xf>
    <xf numFmtId="3" fontId="0" fillId="39" borderId="1" xfId="0" applyNumberFormat="1" applyFill="1" applyBorder="1" applyAlignment="1">
      <alignment horizontal="center" wrapText="1"/>
    </xf>
    <xf numFmtId="0" fontId="0" fillId="39" borderId="0" xfId="0" applyFill="1" applyAlignment="1">
      <alignment horizontal="center" wrapText="1"/>
    </xf>
    <xf numFmtId="0" fontId="0" fillId="47" borderId="1" xfId="0" applyFill="1" applyBorder="1" applyAlignment="1">
      <alignment horizontal="left" wrapText="1"/>
    </xf>
    <xf numFmtId="0" fontId="0" fillId="30" borderId="0" xfId="0" applyFill="1" applyAlignment="1">
      <alignment horizontal="center" vertical="center" wrapText="1"/>
    </xf>
    <xf numFmtId="0" fontId="0" fillId="48" borderId="0" xfId="0" applyFill="1" applyAlignment="1">
      <alignment wrapText="1"/>
    </xf>
    <xf numFmtId="0" fontId="0" fillId="42" borderId="0" xfId="0" applyFill="1" applyAlignment="1">
      <alignment wrapText="1"/>
    </xf>
    <xf numFmtId="0" fontId="0" fillId="49" borderId="0" xfId="0" applyFill="1" applyAlignment="1">
      <alignment wrapText="1"/>
    </xf>
    <xf numFmtId="0" fontId="18" fillId="0" borderId="0" xfId="0" applyFont="1" applyAlignment="1">
      <alignment wrapText="1"/>
    </xf>
    <xf numFmtId="164" fontId="0" fillId="0" borderId="5" xfId="0" applyNumberFormat="1" applyBorder="1" applyAlignment="1">
      <alignment wrapText="1"/>
    </xf>
    <xf numFmtId="0" fontId="18" fillId="30" borderId="1" xfId="0" applyFont="1" applyFill="1" applyBorder="1" applyAlignment="1">
      <alignment horizontal="right" wrapText="1"/>
    </xf>
    <xf numFmtId="4" fontId="0" fillId="50" borderId="1" xfId="0" applyNumberFormat="1" applyFill="1" applyBorder="1" applyAlignment="1">
      <alignment wrapText="1"/>
    </xf>
    <xf numFmtId="164" fontId="0" fillId="51" borderId="1" xfId="0" applyNumberFormat="1" applyFill="1" applyBorder="1" applyAlignment="1">
      <alignment wrapText="1"/>
    </xf>
    <xf numFmtId="0" fontId="0" fillId="51" borderId="0" xfId="0" applyFill="1" applyAlignment="1">
      <alignment wrapText="1"/>
    </xf>
    <xf numFmtId="0" fontId="0" fillId="51" borderId="1" xfId="0" applyFill="1" applyBorder="1" applyAlignment="1">
      <alignment wrapText="1"/>
    </xf>
    <xf numFmtId="2" fontId="18" fillId="0" borderId="0" xfId="0" applyNumberFormat="1" applyFont="1" applyAlignment="1">
      <alignment wrapText="1"/>
    </xf>
    <xf numFmtId="49" fontId="0" fillId="30" borderId="1" xfId="0" applyNumberFormat="1" applyFill="1" applyBorder="1" applyAlignment="1">
      <alignment wrapText="1"/>
    </xf>
    <xf numFmtId="164" fontId="19" fillId="30" borderId="1" xfId="0" applyNumberFormat="1" applyFont="1" applyFill="1" applyBorder="1" applyAlignment="1">
      <alignment wrapText="1"/>
    </xf>
    <xf numFmtId="49" fontId="0" fillId="30" borderId="1" xfId="0" applyNumberFormat="1" applyFill="1" applyBorder="1" applyAlignment="1">
      <alignment horizontal="right" wrapText="1"/>
    </xf>
    <xf numFmtId="167" fontId="0" fillId="31" borderId="1" xfId="5" applyNumberFormat="1" applyFont="1" applyFill="1" applyBorder="1" applyAlignment="1">
      <alignment wrapText="1"/>
    </xf>
    <xf numFmtId="0" fontId="0" fillId="30" borderId="15" xfId="0" applyFill="1" applyBorder="1"/>
    <xf numFmtId="0" fontId="0" fillId="30" borderId="16" xfId="0" applyFill="1" applyBorder="1" applyAlignment="1">
      <alignment wrapText="1"/>
    </xf>
    <xf numFmtId="0" fontId="0" fillId="30" borderId="16" xfId="0" applyFill="1" applyBorder="1"/>
    <xf numFmtId="0" fontId="0" fillId="30" borderId="17" xfId="0" applyFill="1" applyBorder="1"/>
    <xf numFmtId="0" fontId="36" fillId="30" borderId="21" xfId="0" applyFont="1" applyFill="1" applyBorder="1" applyAlignment="1">
      <alignment vertical="top" wrapText="1"/>
    </xf>
    <xf numFmtId="0" fontId="36" fillId="30" borderId="25" xfId="0" applyFont="1" applyFill="1" applyBorder="1" applyAlignment="1">
      <alignment vertical="top" wrapText="1"/>
    </xf>
    <xf numFmtId="0" fontId="37" fillId="0" borderId="26" xfId="0" applyFont="1" applyBorder="1" applyAlignment="1">
      <alignment vertical="top" wrapText="1"/>
    </xf>
    <xf numFmtId="4" fontId="25" fillId="0" borderId="24" xfId="0" applyNumberFormat="1" applyFont="1" applyBorder="1" applyAlignment="1">
      <alignment vertical="top" wrapText="1"/>
    </xf>
    <xf numFmtId="0" fontId="36" fillId="0" borderId="26" xfId="0" applyFont="1" applyBorder="1" applyAlignment="1">
      <alignment vertical="top" wrapText="1"/>
    </xf>
    <xf numFmtId="4" fontId="25" fillId="12" borderId="24" xfId="0" applyNumberFormat="1" applyFont="1" applyFill="1" applyBorder="1" applyAlignment="1">
      <alignment vertical="top"/>
    </xf>
    <xf numFmtId="0" fontId="18" fillId="0" borderId="24" xfId="0" applyFont="1" applyBorder="1" applyAlignment="1">
      <alignment vertical="top" wrapText="1"/>
    </xf>
    <xf numFmtId="0" fontId="18" fillId="0" borderId="24" xfId="0" applyFont="1" applyBorder="1" applyAlignment="1">
      <alignment vertical="top"/>
    </xf>
    <xf numFmtId="3" fontId="0" fillId="50" borderId="21" xfId="0" applyNumberFormat="1" applyFill="1" applyBorder="1"/>
    <xf numFmtId="164" fontId="23" fillId="27" borderId="1" xfId="0" applyNumberFormat="1" applyFont="1" applyFill="1" applyBorder="1" applyAlignment="1">
      <alignment wrapText="1"/>
    </xf>
    <xf numFmtId="167" fontId="0" fillId="52" borderId="1" xfId="0" applyNumberFormat="1" applyFill="1" applyBorder="1" applyAlignment="1">
      <alignment wrapText="1"/>
    </xf>
    <xf numFmtId="167" fontId="0" fillId="48" borderId="1" xfId="0" applyNumberFormat="1" applyFill="1" applyBorder="1" applyAlignment="1">
      <alignment wrapText="1"/>
    </xf>
    <xf numFmtId="167" fontId="0" fillId="27" borderId="1" xfId="0" applyNumberFormat="1" applyFill="1" applyBorder="1" applyAlignment="1">
      <alignment wrapText="1"/>
    </xf>
    <xf numFmtId="49" fontId="0" fillId="27" borderId="1" xfId="0" applyNumberFormat="1" applyFill="1" applyBorder="1" applyAlignment="1">
      <alignment wrapText="1"/>
    </xf>
    <xf numFmtId="4" fontId="0" fillId="27" borderId="1" xfId="0" applyNumberFormat="1" applyFill="1" applyBorder="1" applyAlignment="1">
      <alignment wrapText="1"/>
    </xf>
    <xf numFmtId="4" fontId="0" fillId="53" borderId="1" xfId="0" applyNumberFormat="1" applyFill="1" applyBorder="1" applyAlignment="1">
      <alignment wrapText="1"/>
    </xf>
    <xf numFmtId="164" fontId="0" fillId="54" borderId="1" xfId="0" applyNumberFormat="1" applyFill="1" applyBorder="1"/>
    <xf numFmtId="167" fontId="0" fillId="54" borderId="1" xfId="0" applyNumberFormat="1" applyFill="1" applyBorder="1" applyAlignment="1">
      <alignment wrapText="1"/>
    </xf>
    <xf numFmtId="167" fontId="0" fillId="54" borderId="5" xfId="0" applyNumberFormat="1" applyFill="1" applyBorder="1" applyAlignment="1">
      <alignment wrapText="1"/>
    </xf>
    <xf numFmtId="167" fontId="0" fillId="54" borderId="12" xfId="0" applyNumberFormat="1" applyFill="1" applyBorder="1" applyAlignment="1">
      <alignment wrapText="1"/>
    </xf>
    <xf numFmtId="167" fontId="0" fillId="54" borderId="13" xfId="0" applyNumberFormat="1" applyFill="1" applyBorder="1" applyAlignment="1">
      <alignment wrapText="1"/>
    </xf>
    <xf numFmtId="167" fontId="0" fillId="54" borderId="14" xfId="0" applyNumberFormat="1" applyFill="1" applyBorder="1" applyAlignment="1">
      <alignment wrapText="1"/>
    </xf>
    <xf numFmtId="49" fontId="0" fillId="55" borderId="1" xfId="0" applyNumberFormat="1" applyFill="1" applyBorder="1" applyAlignment="1">
      <alignment wrapText="1"/>
    </xf>
    <xf numFmtId="49" fontId="0" fillId="50" borderId="1" xfId="0" applyNumberFormat="1" applyFill="1" applyBorder="1" applyAlignment="1">
      <alignment wrapText="1"/>
    </xf>
    <xf numFmtId="0" fontId="37" fillId="27" borderId="26" xfId="0" applyFont="1" applyFill="1" applyBorder="1" applyAlignment="1">
      <alignment vertical="top" wrapText="1"/>
    </xf>
    <xf numFmtId="4" fontId="25" fillId="27" borderId="24" xfId="0" applyNumberFormat="1" applyFont="1" applyFill="1" applyBorder="1" applyAlignment="1">
      <alignment vertical="top" wrapText="1"/>
    </xf>
    <xf numFmtId="0" fontId="24" fillId="50" borderId="1" xfId="0" applyFont="1" applyFill="1" applyBorder="1" applyAlignment="1">
      <alignment horizontal="left" vertical="center" wrapText="1"/>
    </xf>
    <xf numFmtId="4" fontId="24" fillId="56" borderId="1" xfId="0" applyNumberFormat="1" applyFont="1" applyFill="1" applyBorder="1" applyAlignment="1">
      <alignment horizontal="center" vertical="center"/>
    </xf>
    <xf numFmtId="0" fontId="24" fillId="50" borderId="1" xfId="0" applyFont="1" applyFill="1" applyBorder="1" applyAlignment="1">
      <alignment horizontal="center" vertical="center"/>
    </xf>
    <xf numFmtId="0" fontId="24" fillId="50" borderId="0" xfId="0" applyFont="1" applyFill="1" applyAlignment="1">
      <alignment horizontal="center" vertical="center"/>
    </xf>
    <xf numFmtId="0" fontId="24" fillId="30" borderId="0" xfId="0" applyFont="1" applyFill="1" applyAlignment="1">
      <alignment horizontal="center" vertical="center"/>
    </xf>
    <xf numFmtId="4" fontId="39" fillId="31" borderId="1" xfId="0" applyNumberFormat="1" applyFont="1" applyFill="1" applyBorder="1" applyAlignment="1">
      <alignment horizontal="center" vertical="center" wrapText="1"/>
    </xf>
    <xf numFmtId="1" fontId="39" fillId="31" borderId="1" xfId="0" applyNumberFormat="1" applyFont="1" applyFill="1" applyBorder="1" applyAlignment="1">
      <alignment horizontal="center" vertical="center" wrapText="1"/>
    </xf>
    <xf numFmtId="4" fontId="39" fillId="37" borderId="2" xfId="0" applyNumberFormat="1" applyFont="1" applyFill="1" applyBorder="1" applyAlignment="1">
      <alignment horizontal="center" vertical="center" wrapText="1"/>
    </xf>
    <xf numFmtId="4" fontId="39" fillId="57" borderId="2" xfId="0" applyNumberFormat="1" applyFont="1" applyFill="1" applyBorder="1" applyAlignment="1">
      <alignment horizontal="center" vertical="center" wrapText="1"/>
    </xf>
    <xf numFmtId="4" fontId="39" fillId="31" borderId="2" xfId="0" applyNumberFormat="1" applyFont="1" applyFill="1" applyBorder="1" applyAlignment="1">
      <alignment horizontal="center" vertical="center" wrapText="1"/>
    </xf>
    <xf numFmtId="0" fontId="24" fillId="28" borderId="0" xfId="0" applyFont="1" applyFill="1" applyAlignment="1">
      <alignment horizontal="center" vertical="center"/>
    </xf>
    <xf numFmtId="0" fontId="38" fillId="56" borderId="0" xfId="0" applyFont="1" applyFill="1" applyAlignment="1">
      <alignment horizontal="center" vertical="center"/>
    </xf>
    <xf numFmtId="0" fontId="19" fillId="30" borderId="0" xfId="0" applyFont="1" applyFill="1" applyAlignment="1">
      <alignment wrapText="1"/>
    </xf>
    <xf numFmtId="0" fontId="19" fillId="30" borderId="1" xfId="0" applyFont="1" applyFill="1" applyBorder="1" applyAlignment="1">
      <alignment horizontal="right"/>
    </xf>
    <xf numFmtId="0" fontId="19" fillId="30" borderId="1" xfId="0" applyFont="1" applyFill="1" applyBorder="1"/>
    <xf numFmtId="0" fontId="47" fillId="30" borderId="1" xfId="0" applyFont="1" applyFill="1" applyBorder="1"/>
    <xf numFmtId="166" fontId="19" fillId="13" borderId="1" xfId="0" applyNumberFormat="1" applyFont="1" applyFill="1" applyBorder="1" applyAlignment="1">
      <alignment horizontal="right"/>
    </xf>
    <xf numFmtId="0" fontId="44" fillId="0" borderId="0" xfId="4"/>
    <xf numFmtId="0" fontId="20" fillId="3" borderId="1" xfId="2" applyBorder="1" applyAlignment="1">
      <alignment wrapText="1"/>
    </xf>
    <xf numFmtId="0" fontId="20" fillId="3" borderId="5" xfId="2" applyBorder="1" applyAlignment="1">
      <alignment wrapText="1"/>
    </xf>
    <xf numFmtId="0" fontId="19" fillId="29" borderId="5" xfId="0" applyFont="1" applyFill="1" applyBorder="1" applyAlignment="1">
      <alignment wrapText="1"/>
    </xf>
    <xf numFmtId="4" fontId="19" fillId="29" borderId="1" xfId="0" applyNumberFormat="1" applyFont="1" applyFill="1" applyBorder="1"/>
    <xf numFmtId="4" fontId="19" fillId="59" borderId="1" xfId="0" applyNumberFormat="1" applyFont="1" applyFill="1" applyBorder="1"/>
    <xf numFmtId="167" fontId="0" fillId="28" borderId="1" xfId="0" applyNumberFormat="1" applyFill="1" applyBorder="1" applyAlignment="1">
      <alignment horizontal="center" vertical="center" wrapText="1"/>
    </xf>
    <xf numFmtId="0" fontId="17" fillId="0" borderId="0" xfId="0" applyFont="1"/>
    <xf numFmtId="4" fontId="25" fillId="28" borderId="1" xfId="0" applyNumberFormat="1" applyFont="1" applyFill="1" applyBorder="1"/>
    <xf numFmtId="0" fontId="25" fillId="28" borderId="1" xfId="0" applyFont="1" applyFill="1" applyBorder="1" applyAlignment="1">
      <alignment horizontal="left" vertical="top" wrapText="1"/>
    </xf>
    <xf numFmtId="4" fontId="25" fillId="41" borderId="1" xfId="0" applyNumberFormat="1" applyFont="1" applyFill="1" applyBorder="1"/>
    <xf numFmtId="0" fontId="25" fillId="28" borderId="0" xfId="0" applyFont="1" applyFill="1"/>
    <xf numFmtId="0" fontId="25" fillId="28" borderId="1" xfId="0" applyFont="1" applyFill="1" applyBorder="1" applyAlignment="1">
      <alignment horizontal="left" wrapText="1"/>
    </xf>
    <xf numFmtId="4" fontId="27" fillId="41" borderId="1" xfId="0" applyNumberFormat="1" applyFont="1" applyFill="1" applyBorder="1"/>
    <xf numFmtId="4" fontId="27" fillId="28" borderId="1" xfId="0" applyNumberFormat="1" applyFont="1" applyFill="1" applyBorder="1"/>
    <xf numFmtId="0" fontId="25" fillId="30" borderId="2" xfId="0" applyFont="1" applyFill="1" applyBorder="1" applyAlignment="1">
      <alignment horizontal="center" wrapText="1"/>
    </xf>
    <xf numFmtId="0" fontId="25" fillId="30" borderId="1" xfId="0" applyFont="1" applyFill="1" applyBorder="1" applyAlignment="1">
      <alignment horizontal="center"/>
    </xf>
    <xf numFmtId="0" fontId="25" fillId="30" borderId="0" xfId="0" applyFont="1" applyFill="1" applyAlignment="1">
      <alignment horizontal="center" wrapText="1"/>
    </xf>
    <xf numFmtId="167" fontId="17" fillId="30" borderId="0" xfId="0" applyNumberFormat="1" applyFont="1" applyFill="1"/>
    <xf numFmtId="167" fontId="0" fillId="30" borderId="0" xfId="0" applyNumberFormat="1" applyFill="1"/>
    <xf numFmtId="167" fontId="18" fillId="0" borderId="0" xfId="0" applyNumberFormat="1" applyFont="1"/>
    <xf numFmtId="167" fontId="17" fillId="0" borderId="0" xfId="0" applyNumberFormat="1" applyFont="1" applyAlignment="1">
      <alignment wrapText="1"/>
    </xf>
    <xf numFmtId="167" fontId="17" fillId="0" borderId="0" xfId="0" applyNumberFormat="1" applyFont="1"/>
    <xf numFmtId="167" fontId="23" fillId="30" borderId="0" xfId="0" applyNumberFormat="1" applyFont="1" applyFill="1" applyAlignment="1">
      <alignment wrapText="1"/>
    </xf>
    <xf numFmtId="167" fontId="16" fillId="30" borderId="0" xfId="0" applyNumberFormat="1" applyFont="1" applyFill="1" applyAlignment="1">
      <alignment wrapText="1"/>
    </xf>
    <xf numFmtId="167" fontId="16" fillId="30" borderId="0" xfId="0" applyNumberFormat="1" applyFont="1" applyFill="1"/>
    <xf numFmtId="167" fontId="23" fillId="0" borderId="0" xfId="0" applyNumberFormat="1" applyFont="1" applyAlignment="1">
      <alignment wrapText="1"/>
    </xf>
    <xf numFmtId="167" fontId="16" fillId="0" borderId="0" xfId="0" applyNumberFormat="1" applyFont="1" applyAlignment="1">
      <alignment wrapText="1"/>
    </xf>
    <xf numFmtId="167" fontId="16" fillId="0" borderId="0" xfId="0" applyNumberFormat="1" applyFont="1"/>
    <xf numFmtId="167" fontId="16" fillId="39" borderId="0" xfId="0" applyNumberFormat="1" applyFont="1" applyFill="1"/>
    <xf numFmtId="0" fontId="16" fillId="0" borderId="0" xfId="0" applyFont="1"/>
    <xf numFmtId="167" fontId="18" fillId="30" borderId="0" xfId="0" applyNumberFormat="1" applyFont="1" applyFill="1"/>
    <xf numFmtId="167" fontId="0" fillId="39" borderId="0" xfId="0" applyNumberFormat="1" applyFill="1"/>
    <xf numFmtId="167" fontId="0" fillId="28" borderId="1" xfId="0" applyNumberFormat="1" applyFill="1" applyBorder="1" applyAlignment="1">
      <alignment horizontal="left" vertical="center" wrapText="1"/>
    </xf>
    <xf numFmtId="167" fontId="0" fillId="28" borderId="1" xfId="0" applyNumberFormat="1" applyFill="1" applyBorder="1" applyAlignment="1">
      <alignment horizontal="center" vertical="center"/>
    </xf>
    <xf numFmtId="167" fontId="0" fillId="28" borderId="0" xfId="0" applyNumberFormat="1" applyFill="1"/>
    <xf numFmtId="167" fontId="17" fillId="27" borderId="0" xfId="0" applyNumberFormat="1" applyFont="1" applyFill="1" applyAlignment="1">
      <alignment wrapText="1"/>
    </xf>
    <xf numFmtId="167" fontId="16" fillId="27" borderId="0" xfId="0" applyNumberFormat="1" applyFont="1" applyFill="1" applyAlignment="1">
      <alignment wrapText="1"/>
    </xf>
    <xf numFmtId="167" fontId="16" fillId="27" borderId="0" xfId="0" applyNumberFormat="1" applyFont="1" applyFill="1"/>
    <xf numFmtId="0" fontId="20" fillId="6" borderId="1" xfId="0" applyFont="1" applyFill="1" applyBorder="1" applyAlignment="1">
      <alignment horizontal="center"/>
    </xf>
    <xf numFmtId="167" fontId="23" fillId="39" borderId="0" xfId="0" applyNumberFormat="1" applyFont="1" applyFill="1"/>
    <xf numFmtId="167" fontId="0" fillId="27" borderId="0" xfId="0" applyNumberFormat="1" applyFill="1"/>
    <xf numFmtId="167" fontId="17" fillId="60" borderId="0" xfId="0" applyNumberFormat="1" applyFont="1" applyFill="1" applyAlignment="1">
      <alignment wrapText="1"/>
    </xf>
    <xf numFmtId="167" fontId="0" fillId="60" borderId="0" xfId="0" applyNumberFormat="1" applyFill="1"/>
    <xf numFmtId="167" fontId="18" fillId="27" borderId="0" xfId="0" applyNumberFormat="1" applyFont="1" applyFill="1"/>
    <xf numFmtId="167" fontId="23" fillId="27" borderId="0" xfId="0" applyNumberFormat="1" applyFont="1" applyFill="1"/>
    <xf numFmtId="167" fontId="16" fillId="60" borderId="0" xfId="0" applyNumberFormat="1" applyFont="1" applyFill="1" applyAlignment="1">
      <alignment wrapText="1"/>
    </xf>
    <xf numFmtId="167" fontId="0" fillId="30" borderId="0" xfId="0" applyNumberFormat="1" applyFill="1" applyAlignment="1">
      <alignment horizontal="center"/>
    </xf>
    <xf numFmtId="167" fontId="23" fillId="60" borderId="0" xfId="0" applyNumberFormat="1" applyFont="1" applyFill="1" applyAlignment="1">
      <alignment wrapText="1"/>
    </xf>
    <xf numFmtId="167" fontId="35" fillId="35" borderId="0" xfId="0" applyNumberFormat="1" applyFont="1" applyFill="1"/>
    <xf numFmtId="0" fontId="20" fillId="35" borderId="1" xfId="0" applyFont="1" applyFill="1" applyBorder="1" applyAlignment="1">
      <alignment wrapText="1"/>
    </xf>
    <xf numFmtId="3" fontId="0" fillId="48" borderId="1" xfId="0" applyNumberFormat="1" applyFill="1" applyBorder="1" applyAlignment="1">
      <alignment horizontal="center" wrapText="1"/>
    </xf>
    <xf numFmtId="0" fontId="0" fillId="48" borderId="1" xfId="0" applyFill="1" applyBorder="1" applyAlignment="1">
      <alignment horizontal="center" wrapText="1"/>
    </xf>
    <xf numFmtId="3" fontId="0" fillId="27" borderId="1" xfId="0" applyNumberFormat="1" applyFill="1" applyBorder="1" applyAlignment="1">
      <alignment horizontal="center" wrapText="1"/>
    </xf>
    <xf numFmtId="0" fontId="0" fillId="61" borderId="1" xfId="0" applyFill="1" applyBorder="1" applyAlignment="1">
      <alignment horizontal="center" wrapText="1"/>
    </xf>
    <xf numFmtId="0" fontId="44" fillId="2" borderId="1" xfId="1" applyBorder="1" applyAlignment="1">
      <alignment horizontal="left" vertical="center" wrapText="1"/>
    </xf>
    <xf numFmtId="168" fontId="44" fillId="2" borderId="1" xfId="1" applyNumberFormat="1" applyBorder="1" applyAlignment="1">
      <alignment horizontal="center" vertical="center" wrapText="1"/>
    </xf>
    <xf numFmtId="167" fontId="44" fillId="2" borderId="1" xfId="1" applyNumberFormat="1" applyBorder="1" applyAlignment="1">
      <alignment horizontal="center" vertical="center" wrapText="1"/>
    </xf>
    <xf numFmtId="168" fontId="0" fillId="0" borderId="1" xfId="0" applyNumberFormat="1" applyBorder="1" applyAlignment="1">
      <alignment horizontal="center" vertical="center" wrapText="1"/>
    </xf>
    <xf numFmtId="9" fontId="44" fillId="2" borderId="1" xfId="1" applyNumberFormat="1" applyBorder="1" applyAlignment="1">
      <alignment horizontal="center" vertical="center"/>
    </xf>
    <xf numFmtId="167" fontId="0" fillId="29" borderId="1" xfId="0" applyNumberFormat="1" applyFill="1" applyBorder="1" applyAlignment="1">
      <alignment horizontal="center" vertical="center" wrapText="1"/>
    </xf>
    <xf numFmtId="167" fontId="0" fillId="29" borderId="0" xfId="0" applyNumberFormat="1" applyFill="1" applyAlignment="1">
      <alignment horizontal="center"/>
    </xf>
    <xf numFmtId="0" fontId="15" fillId="0" borderId="0" xfId="0" applyFont="1"/>
    <xf numFmtId="0" fontId="24" fillId="13" borderId="3" xfId="4" applyFont="1" applyFill="1" applyBorder="1" applyAlignment="1">
      <alignment horizontal="left" vertical="center" wrapText="1"/>
    </xf>
    <xf numFmtId="3" fontId="0" fillId="5" borderId="0" xfId="0" applyNumberFormat="1" applyFill="1" applyAlignment="1">
      <alignment horizontal="center"/>
    </xf>
    <xf numFmtId="4" fontId="25" fillId="62" borderId="1" xfId="0" applyNumberFormat="1" applyFont="1" applyFill="1" applyBorder="1"/>
    <xf numFmtId="4" fontId="25" fillId="63" borderId="1" xfId="0" applyNumberFormat="1" applyFont="1" applyFill="1" applyBorder="1"/>
    <xf numFmtId="0" fontId="25" fillId="64" borderId="1" xfId="0" applyFont="1" applyFill="1" applyBorder="1" applyAlignment="1">
      <alignment horizontal="left" wrapText="1"/>
    </xf>
    <xf numFmtId="4" fontId="25" fillId="64" borderId="1" xfId="0" applyNumberFormat="1" applyFont="1" applyFill="1" applyBorder="1"/>
    <xf numFmtId="0" fontId="25" fillId="64" borderId="0" xfId="0" applyFont="1" applyFill="1"/>
    <xf numFmtId="0" fontId="0" fillId="28" borderId="0" xfId="0" applyFill="1" applyAlignment="1">
      <alignment horizontal="center"/>
    </xf>
    <xf numFmtId="3" fontId="40" fillId="16" borderId="1" xfId="0" applyNumberFormat="1" applyFont="1" applyFill="1" applyBorder="1" applyAlignment="1">
      <alignment horizontal="center" wrapText="1"/>
    </xf>
    <xf numFmtId="1" fontId="0" fillId="0" borderId="1" xfId="0" applyNumberFormat="1" applyBorder="1" applyAlignment="1">
      <alignment horizontal="center" wrapText="1"/>
    </xf>
    <xf numFmtId="1" fontId="0" fillId="9" borderId="1" xfId="0" applyNumberFormat="1" applyFill="1" applyBorder="1" applyAlignment="1">
      <alignment horizontal="center" wrapText="1"/>
    </xf>
    <xf numFmtId="1" fontId="0" fillId="12" borderId="1" xfId="0" applyNumberFormat="1" applyFill="1" applyBorder="1" applyAlignment="1">
      <alignment horizontal="center" wrapText="1"/>
    </xf>
    <xf numFmtId="4" fontId="24" fillId="59" borderId="1" xfId="0" applyNumberFormat="1" applyFont="1" applyFill="1" applyBorder="1" applyAlignment="1">
      <alignment horizontal="center" vertical="center"/>
    </xf>
    <xf numFmtId="167" fontId="15" fillId="39" borderId="0" xfId="0" applyNumberFormat="1" applyFont="1" applyFill="1" applyAlignment="1">
      <alignment wrapText="1"/>
    </xf>
    <xf numFmtId="166" fontId="0" fillId="29" borderId="0" xfId="0" applyNumberFormat="1" applyFill="1" applyAlignment="1">
      <alignment horizontal="center"/>
    </xf>
    <xf numFmtId="10" fontId="15" fillId="5" borderId="0" xfId="0" applyNumberFormat="1" applyFont="1" applyFill="1" applyAlignment="1">
      <alignment horizontal="center" vertical="center"/>
    </xf>
    <xf numFmtId="164" fontId="15" fillId="30" borderId="1" xfId="0" applyNumberFormat="1" applyFont="1" applyFill="1" applyBorder="1" applyAlignment="1">
      <alignment horizontal="left" vertical="center" wrapText="1"/>
    </xf>
    <xf numFmtId="164" fontId="15" fillId="0" borderId="1" xfId="0" applyNumberFormat="1" applyFont="1" applyBorder="1" applyAlignment="1">
      <alignment horizontal="left" vertical="center" wrapText="1"/>
    </xf>
    <xf numFmtId="164" fontId="15" fillId="0" borderId="1" xfId="0" applyNumberFormat="1" applyFont="1" applyBorder="1" applyAlignment="1">
      <alignment horizontal="center" vertical="center"/>
    </xf>
    <xf numFmtId="167" fontId="15" fillId="0" borderId="1" xfId="0" applyNumberFormat="1" applyFont="1" applyBorder="1" applyAlignment="1">
      <alignment horizontal="center" vertical="center"/>
    </xf>
    <xf numFmtId="167" fontId="15" fillId="0" borderId="1" xfId="0" applyNumberFormat="1" applyFont="1" applyBorder="1" applyAlignment="1">
      <alignment horizontal="center" vertical="center" wrapText="1"/>
    </xf>
    <xf numFmtId="164" fontId="15" fillId="0" borderId="1" xfId="0" applyNumberFormat="1" applyFont="1" applyBorder="1" applyAlignment="1">
      <alignment horizontal="center" vertical="center" wrapText="1"/>
    </xf>
    <xf numFmtId="164" fontId="15" fillId="0" borderId="2" xfId="0" applyNumberFormat="1" applyFont="1" applyBorder="1" applyAlignment="1">
      <alignment horizontal="left" vertical="center" wrapText="1"/>
    </xf>
    <xf numFmtId="168" fontId="23" fillId="30" borderId="4" xfId="0" applyNumberFormat="1" applyFont="1" applyFill="1" applyBorder="1" applyAlignment="1">
      <alignment horizontal="left" vertical="center" wrapText="1"/>
    </xf>
    <xf numFmtId="0" fontId="15" fillId="30" borderId="11" xfId="0" applyFont="1" applyFill="1" applyBorder="1" applyAlignment="1">
      <alignment horizontal="center" vertical="center" wrapText="1"/>
    </xf>
    <xf numFmtId="168" fontId="15" fillId="0" borderId="1" xfId="0" applyNumberFormat="1" applyFont="1" applyBorder="1" applyAlignment="1">
      <alignment horizontal="left" vertical="center" wrapText="1"/>
    </xf>
    <xf numFmtId="4" fontId="15" fillId="0" borderId="11" xfId="0" applyNumberFormat="1" applyFont="1" applyBorder="1" applyAlignment="1">
      <alignment horizontal="center" vertical="center" wrapText="1"/>
    </xf>
    <xf numFmtId="4" fontId="15" fillId="0" borderId="11" xfId="0" applyNumberFormat="1" applyFont="1" applyBorder="1" applyAlignment="1">
      <alignment horizontal="center" vertical="center"/>
    </xf>
    <xf numFmtId="4" fontId="15" fillId="0" borderId="1" xfId="0" applyNumberFormat="1" applyFont="1" applyBorder="1" applyAlignment="1">
      <alignment horizontal="center" vertical="center"/>
    </xf>
    <xf numFmtId="168" fontId="15" fillId="50" borderId="1" xfId="0" applyNumberFormat="1" applyFont="1" applyFill="1" applyBorder="1" applyAlignment="1">
      <alignment horizontal="left" vertical="center" wrapText="1"/>
    </xf>
    <xf numFmtId="4" fontId="15" fillId="50" borderId="1" xfId="0" applyNumberFormat="1" applyFont="1" applyFill="1" applyBorder="1" applyAlignment="1">
      <alignment horizontal="center" vertical="center"/>
    </xf>
    <xf numFmtId="0" fontId="49" fillId="28" borderId="0" xfId="0" applyFont="1" applyFill="1" applyAlignment="1">
      <alignment horizontal="right"/>
    </xf>
    <xf numFmtId="0" fontId="0" fillId="66" borderId="0" xfId="0" applyFill="1" applyAlignment="1">
      <alignment horizontal="center"/>
    </xf>
    <xf numFmtId="0" fontId="44" fillId="2" borderId="1" xfId="1" applyBorder="1" applyAlignment="1">
      <alignment horizontal="center" vertical="top" wrapText="1"/>
    </xf>
    <xf numFmtId="167" fontId="44" fillId="2" borderId="0" xfId="1" applyNumberFormat="1" applyAlignment="1">
      <alignment horizontal="center" vertical="center" wrapText="1"/>
    </xf>
    <xf numFmtId="167" fontId="0" fillId="0" borderId="0" xfId="0" applyNumberFormat="1" applyAlignment="1">
      <alignment horizontal="center" vertical="center"/>
    </xf>
    <xf numFmtId="167" fontId="35" fillId="6" borderId="1" xfId="0" applyNumberFormat="1" applyFont="1" applyFill="1" applyBorder="1" applyAlignment="1">
      <alignment horizontal="center" vertical="center" wrapText="1"/>
    </xf>
    <xf numFmtId="167" fontId="20" fillId="67" borderId="1" xfId="0" applyNumberFormat="1" applyFont="1" applyFill="1" applyBorder="1" applyAlignment="1">
      <alignment horizontal="center" vertical="center" wrapText="1"/>
    </xf>
    <xf numFmtId="9" fontId="24" fillId="5" borderId="1" xfId="6" applyFont="1" applyFill="1" applyBorder="1" applyAlignment="1">
      <alignment horizontal="center" vertical="center" wrapText="1"/>
    </xf>
    <xf numFmtId="0" fontId="14" fillId="0" borderId="1" xfId="0" applyFont="1" applyBorder="1" applyAlignment="1">
      <alignment horizontal="left" vertical="center" wrapText="1"/>
    </xf>
    <xf numFmtId="1" fontId="44" fillId="2" borderId="1" xfId="1" applyNumberFormat="1" applyBorder="1" applyAlignment="1">
      <alignment horizontal="center" vertical="center"/>
    </xf>
    <xf numFmtId="0" fontId="14" fillId="0" borderId="1" xfId="0" applyFont="1" applyBorder="1" applyAlignment="1">
      <alignment horizontal="center" vertical="center" wrapText="1"/>
    </xf>
    <xf numFmtId="9" fontId="0" fillId="30" borderId="0" xfId="0" applyNumberFormat="1" applyFill="1" applyAlignment="1">
      <alignment horizontal="center"/>
    </xf>
    <xf numFmtId="0" fontId="0" fillId="28" borderId="0" xfId="0" applyFill="1" applyAlignment="1">
      <alignment wrapText="1"/>
    </xf>
    <xf numFmtId="0" fontId="14" fillId="2" borderId="1" xfId="1" applyFont="1" applyBorder="1" applyAlignment="1">
      <alignment horizontal="left" vertical="center" wrapText="1"/>
    </xf>
    <xf numFmtId="167" fontId="0" fillId="30" borderId="1" xfId="0" applyNumberFormat="1" applyFill="1" applyBorder="1" applyAlignment="1">
      <alignment horizontal="center" vertical="top" wrapText="1"/>
    </xf>
    <xf numFmtId="167" fontId="0" fillId="30" borderId="1" xfId="0" applyNumberFormat="1" applyFill="1" applyBorder="1" applyAlignment="1">
      <alignment horizontal="left" vertical="center" wrapText="1"/>
    </xf>
    <xf numFmtId="167" fontId="0" fillId="30" borderId="1" xfId="0" applyNumberFormat="1" applyFill="1" applyBorder="1" applyAlignment="1">
      <alignment horizontal="center" vertical="center" wrapText="1"/>
    </xf>
    <xf numFmtId="167" fontId="0" fillId="9" borderId="1" xfId="0" applyNumberFormat="1" applyFill="1" applyBorder="1" applyAlignment="1">
      <alignment horizontal="center" vertical="top" wrapText="1"/>
    </xf>
    <xf numFmtId="167" fontId="0" fillId="9" borderId="1" xfId="0" applyNumberFormat="1" applyFill="1" applyBorder="1" applyAlignment="1">
      <alignment horizontal="left" vertical="center" wrapText="1"/>
    </xf>
    <xf numFmtId="167" fontId="0" fillId="9" borderId="1" xfId="0" applyNumberFormat="1" applyFill="1" applyBorder="1" applyAlignment="1">
      <alignment horizontal="center" vertical="center"/>
    </xf>
    <xf numFmtId="167" fontId="0" fillId="42" borderId="1" xfId="0" applyNumberFormat="1" applyFill="1" applyBorder="1" applyAlignment="1">
      <alignment horizontal="center" vertical="top" wrapText="1"/>
    </xf>
    <xf numFmtId="167" fontId="0" fillId="42" borderId="1" xfId="0" applyNumberFormat="1" applyFill="1" applyBorder="1" applyAlignment="1">
      <alignment horizontal="left" vertical="center" wrapText="1"/>
    </xf>
    <xf numFmtId="167" fontId="0" fillId="42" borderId="1" xfId="0" applyNumberFormat="1" applyFill="1" applyBorder="1" applyAlignment="1">
      <alignment vertical="center"/>
    </xf>
    <xf numFmtId="167" fontId="0" fillId="42" borderId="1" xfId="0" applyNumberFormat="1" applyFill="1" applyBorder="1" applyAlignment="1">
      <alignment horizontal="right" vertical="center" wrapText="1"/>
    </xf>
    <xf numFmtId="167" fontId="14" fillId="0" borderId="1" xfId="0" applyNumberFormat="1" applyFont="1" applyBorder="1" applyAlignment="1">
      <alignment horizontal="center" vertical="center" wrapText="1"/>
    </xf>
    <xf numFmtId="0" fontId="0" fillId="30" borderId="9" xfId="0" applyFill="1" applyBorder="1" applyAlignment="1">
      <alignment vertical="center"/>
    </xf>
    <xf numFmtId="167" fontId="0" fillId="0" borderId="1" xfId="0" applyNumberFormat="1" applyBorder="1" applyAlignment="1">
      <alignment horizontal="center" vertical="top"/>
    </xf>
    <xf numFmtId="0" fontId="14" fillId="30" borderId="0" xfId="0" applyFont="1" applyFill="1"/>
    <xf numFmtId="1" fontId="0" fillId="27" borderId="1" xfId="0" applyNumberFormat="1" applyFill="1" applyBorder="1" applyAlignment="1">
      <alignment horizontal="center" wrapText="1"/>
    </xf>
    <xf numFmtId="0" fontId="0" fillId="13" borderId="1" xfId="0" applyFill="1" applyBorder="1" applyAlignment="1">
      <alignment horizontal="left" wrapText="1"/>
    </xf>
    <xf numFmtId="1" fontId="0" fillId="13" borderId="1" xfId="0" applyNumberFormat="1" applyFill="1" applyBorder="1" applyAlignment="1">
      <alignment horizontal="center" wrapText="1"/>
    </xf>
    <xf numFmtId="1" fontId="0" fillId="28" borderId="1" xfId="0" applyNumberFormat="1" applyFill="1" applyBorder="1" applyAlignment="1">
      <alignment horizontal="center" wrapText="1"/>
    </xf>
    <xf numFmtId="1" fontId="0" fillId="50" borderId="1" xfId="0" applyNumberFormat="1" applyFill="1" applyBorder="1" applyAlignment="1">
      <alignment horizontal="center" wrapText="1"/>
    </xf>
    <xf numFmtId="10" fontId="0" fillId="5" borderId="0" xfId="0" applyNumberFormat="1" applyFill="1" applyAlignment="1">
      <alignment horizontal="center"/>
    </xf>
    <xf numFmtId="167" fontId="13" fillId="0" borderId="0" xfId="0" applyNumberFormat="1" applyFont="1"/>
    <xf numFmtId="167" fontId="13" fillId="27" borderId="0" xfId="0" applyNumberFormat="1" applyFont="1" applyFill="1"/>
    <xf numFmtId="167" fontId="17" fillId="27" borderId="0" xfId="0" applyNumberFormat="1" applyFont="1" applyFill="1"/>
    <xf numFmtId="167" fontId="0" fillId="29" borderId="0" xfId="0" applyNumberFormat="1" applyFill="1" applyAlignment="1">
      <alignment wrapText="1"/>
    </xf>
    <xf numFmtId="167" fontId="16" fillId="29" borderId="0" xfId="0" applyNumberFormat="1" applyFont="1" applyFill="1" applyAlignment="1">
      <alignment wrapText="1"/>
    </xf>
    <xf numFmtId="167" fontId="13" fillId="28" borderId="1" xfId="0" applyNumberFormat="1" applyFont="1" applyFill="1" applyBorder="1" applyAlignment="1">
      <alignment horizontal="left" vertical="center" wrapText="1"/>
    </xf>
    <xf numFmtId="167" fontId="0" fillId="53" borderId="1" xfId="5" applyNumberFormat="1" applyFont="1" applyFill="1" applyBorder="1" applyAlignment="1">
      <alignment wrapText="1"/>
    </xf>
    <xf numFmtId="167" fontId="0" fillId="64" borderId="1" xfId="0" applyNumberFormat="1" applyFill="1" applyBorder="1" applyAlignment="1">
      <alignment horizontal="center" vertical="center" wrapText="1"/>
    </xf>
    <xf numFmtId="167" fontId="33" fillId="35" borderId="1" xfId="0" applyNumberFormat="1" applyFont="1" applyFill="1" applyBorder="1" applyAlignment="1">
      <alignment horizontal="center" vertical="center" wrapText="1"/>
    </xf>
    <xf numFmtId="166" fontId="20" fillId="35" borderId="1" xfId="0" applyNumberFormat="1" applyFont="1" applyFill="1" applyBorder="1" applyAlignment="1">
      <alignment horizontal="center" vertical="center" wrapText="1"/>
    </xf>
    <xf numFmtId="168" fontId="56" fillId="68" borderId="1" xfId="0" applyNumberFormat="1" applyFont="1" applyFill="1" applyBorder="1" applyAlignment="1">
      <alignment horizontal="center" vertical="center"/>
    </xf>
    <xf numFmtId="0" fontId="57" fillId="0" borderId="0" xfId="7" applyProtection="1">
      <alignment vertical="top"/>
    </xf>
    <xf numFmtId="0" fontId="12" fillId="0" borderId="0" xfId="0" applyFont="1" applyAlignment="1">
      <alignment horizontal="center"/>
    </xf>
    <xf numFmtId="167" fontId="11" fillId="29" borderId="0" xfId="0" applyNumberFormat="1" applyFont="1" applyFill="1" applyAlignment="1">
      <alignment wrapText="1"/>
    </xf>
    <xf numFmtId="167" fontId="11" fillId="0" borderId="0" xfId="0" applyNumberFormat="1" applyFont="1"/>
    <xf numFmtId="0" fontId="11" fillId="0" borderId="0" xfId="0" applyFont="1"/>
    <xf numFmtId="0" fontId="21" fillId="0" borderId="0" xfId="3" applyProtection="1">
      <alignment vertical="top"/>
    </xf>
    <xf numFmtId="0" fontId="10" fillId="2" borderId="0" xfId="1" applyFont="1" applyAlignment="1">
      <alignment horizontal="left" vertical="center" wrapText="1"/>
    </xf>
    <xf numFmtId="166" fontId="0" fillId="0" borderId="0" xfId="6" applyNumberFormat="1" applyFont="1"/>
    <xf numFmtId="0" fontId="25" fillId="0" borderId="0" xfId="0" applyFont="1" applyAlignment="1">
      <alignment horizontal="left"/>
    </xf>
    <xf numFmtId="167" fontId="27" fillId="30" borderId="0" xfId="0" applyNumberFormat="1" applyFont="1" applyFill="1" applyAlignment="1">
      <alignment horizontal="left" wrapText="1"/>
    </xf>
    <xf numFmtId="2" fontId="25" fillId="0" borderId="0" xfId="0" applyNumberFormat="1" applyFont="1" applyAlignment="1">
      <alignment horizontal="left" wrapText="1"/>
    </xf>
    <xf numFmtId="164" fontId="25" fillId="0" borderId="0" xfId="0" applyNumberFormat="1" applyFont="1" applyAlignment="1">
      <alignment horizontal="left" wrapText="1"/>
    </xf>
    <xf numFmtId="0" fontId="27" fillId="30" borderId="0" xfId="0" applyFont="1" applyFill="1" applyAlignment="1">
      <alignment horizontal="left" wrapText="1"/>
    </xf>
    <xf numFmtId="4" fontId="47" fillId="0" borderId="0" xfId="0" applyNumberFormat="1" applyFont="1"/>
    <xf numFmtId="4" fontId="19" fillId="69" borderId="1" xfId="0" applyNumberFormat="1" applyFont="1" applyFill="1" applyBorder="1"/>
    <xf numFmtId="0" fontId="9" fillId="27" borderId="5" xfId="0" applyFont="1" applyFill="1" applyBorder="1" applyAlignment="1">
      <alignment wrapText="1"/>
    </xf>
    <xf numFmtId="4" fontId="19" fillId="27" borderId="1" xfId="0" applyNumberFormat="1" applyFont="1" applyFill="1" applyBorder="1"/>
    <xf numFmtId="1" fontId="0" fillId="39" borderId="1" xfId="0" applyNumberFormat="1" applyFill="1" applyBorder="1" applyAlignment="1">
      <alignment horizontal="center" wrapText="1"/>
    </xf>
    <xf numFmtId="164" fontId="32" fillId="30" borderId="1" xfId="0" applyNumberFormat="1" applyFont="1" applyFill="1" applyBorder="1" applyAlignment="1">
      <alignment horizontal="center" vertical="center" wrapText="1"/>
    </xf>
    <xf numFmtId="164" fontId="32" fillId="29" borderId="1" xfId="0" applyNumberFormat="1" applyFont="1" applyFill="1" applyBorder="1" applyAlignment="1">
      <alignment wrapText="1"/>
    </xf>
    <xf numFmtId="164" fontId="32" fillId="5" borderId="1" xfId="0" applyNumberFormat="1" applyFont="1" applyFill="1" applyBorder="1" applyAlignment="1">
      <alignment wrapText="1"/>
    </xf>
    <xf numFmtId="164" fontId="32" fillId="0" borderId="1" xfId="0" applyNumberFormat="1" applyFont="1" applyBorder="1" applyAlignment="1">
      <alignment wrapText="1"/>
    </xf>
    <xf numFmtId="164" fontId="32" fillId="9" borderId="1" xfId="0" applyNumberFormat="1" applyFont="1" applyFill="1" applyBorder="1" applyAlignment="1">
      <alignment wrapText="1"/>
    </xf>
    <xf numFmtId="164" fontId="32" fillId="17" borderId="1" xfId="0" applyNumberFormat="1" applyFont="1" applyFill="1" applyBorder="1" applyAlignment="1">
      <alignment wrapText="1"/>
    </xf>
    <xf numFmtId="164" fontId="32" fillId="0" borderId="1" xfId="0" applyNumberFormat="1" applyFont="1" applyBorder="1" applyAlignment="1">
      <alignment horizontal="left" wrapText="1"/>
    </xf>
    <xf numFmtId="164" fontId="32" fillId="29" borderId="1" xfId="0" applyNumberFormat="1" applyFont="1" applyFill="1" applyBorder="1" applyAlignment="1">
      <alignment horizontal="left" wrapText="1"/>
    </xf>
    <xf numFmtId="164" fontId="32" fillId="48" borderId="1" xfId="0" applyNumberFormat="1" applyFont="1" applyFill="1" applyBorder="1" applyAlignment="1">
      <alignment wrapText="1"/>
    </xf>
    <xf numFmtId="164" fontId="32" fillId="38" borderId="1" xfId="0" applyNumberFormat="1" applyFont="1" applyFill="1" applyBorder="1" applyAlignment="1">
      <alignment wrapText="1"/>
    </xf>
    <xf numFmtId="164" fontId="34" fillId="17" borderId="1" xfId="0" applyNumberFormat="1" applyFont="1" applyFill="1" applyBorder="1" applyAlignment="1">
      <alignment wrapText="1"/>
    </xf>
    <xf numFmtId="164" fontId="32" fillId="42" borderId="1" xfId="0" applyNumberFormat="1" applyFont="1" applyFill="1" applyBorder="1" applyAlignment="1">
      <alignment wrapText="1"/>
    </xf>
    <xf numFmtId="164" fontId="32" fillId="49" borderId="1" xfId="0" applyNumberFormat="1" applyFont="1" applyFill="1" applyBorder="1" applyAlignment="1">
      <alignment wrapText="1"/>
    </xf>
    <xf numFmtId="164" fontId="0" fillId="10" borderId="1" xfId="0" applyNumberFormat="1" applyFill="1" applyBorder="1" applyAlignment="1">
      <alignment wrapText="1"/>
    </xf>
    <xf numFmtId="164" fontId="0" fillId="10" borderId="1" xfId="0" applyNumberFormat="1" applyFill="1" applyBorder="1" applyAlignment="1">
      <alignment horizontal="center" vertical="top" wrapText="1"/>
    </xf>
    <xf numFmtId="164" fontId="33" fillId="0" borderId="1" xfId="0" applyNumberFormat="1" applyFont="1" applyBorder="1" applyAlignment="1">
      <alignment wrapText="1"/>
    </xf>
    <xf numFmtId="164" fontId="0" fillId="10" borderId="0" xfId="0" applyNumberFormat="1" applyFill="1" applyAlignment="1">
      <alignment horizontal="center" vertical="top" wrapText="1"/>
    </xf>
    <xf numFmtId="164" fontId="0" fillId="0" borderId="0" xfId="0" applyNumberFormat="1" applyAlignment="1">
      <alignment wrapText="1"/>
    </xf>
    <xf numFmtId="3" fontId="0" fillId="30" borderId="1" xfId="0" applyNumberFormat="1" applyFill="1" applyBorder="1" applyAlignment="1">
      <alignment horizontal="left" wrapText="1"/>
    </xf>
    <xf numFmtId="3" fontId="0" fillId="30" borderId="1" xfId="0" applyNumberFormat="1" applyFill="1" applyBorder="1" applyAlignment="1">
      <alignment horizontal="center" wrapText="1"/>
    </xf>
    <xf numFmtId="3" fontId="32" fillId="30" borderId="1" xfId="0" applyNumberFormat="1" applyFont="1" applyFill="1" applyBorder="1" applyAlignment="1">
      <alignment horizontal="center" wrapText="1"/>
    </xf>
    <xf numFmtId="3" fontId="0" fillId="44" borderId="1" xfId="0" applyNumberFormat="1" applyFill="1" applyBorder="1" applyAlignment="1">
      <alignment horizontal="left" wrapText="1"/>
    </xf>
    <xf numFmtId="3" fontId="24" fillId="16" borderId="1" xfId="0" applyNumberFormat="1" applyFont="1" applyFill="1" applyBorder="1" applyAlignment="1">
      <alignment horizontal="center" wrapText="1"/>
    </xf>
    <xf numFmtId="3" fontId="0" fillId="9" borderId="1" xfId="0" applyNumberFormat="1" applyFill="1" applyBorder="1" applyAlignment="1">
      <alignment horizontal="left" wrapText="1"/>
    </xf>
    <xf numFmtId="3" fontId="0" fillId="17" borderId="1" xfId="0" applyNumberFormat="1" applyFill="1" applyBorder="1" applyAlignment="1">
      <alignment horizontal="left" wrapText="1"/>
    </xf>
    <xf numFmtId="3" fontId="0" fillId="0" borderId="1" xfId="0" applyNumberFormat="1" applyBorder="1" applyAlignment="1">
      <alignment horizontal="left" wrapText="1"/>
    </xf>
    <xf numFmtId="3" fontId="0" fillId="65" borderId="1" xfId="0" applyNumberFormat="1" applyFill="1" applyBorder="1" applyAlignment="1">
      <alignment horizontal="left" wrapText="1"/>
    </xf>
    <xf numFmtId="3" fontId="31" fillId="0" borderId="1" xfId="0" applyNumberFormat="1" applyFont="1" applyBorder="1" applyAlignment="1">
      <alignment horizontal="center" wrapText="1"/>
    </xf>
    <xf numFmtId="3" fontId="0" fillId="44" borderId="1" xfId="0" applyNumberFormat="1" applyFill="1" applyBorder="1" applyAlignment="1">
      <alignment horizontal="center" wrapText="1"/>
    </xf>
    <xf numFmtId="3" fontId="31" fillId="44" borderId="1" xfId="0" applyNumberFormat="1" applyFont="1" applyFill="1" applyBorder="1" applyAlignment="1">
      <alignment horizontal="center" wrapText="1"/>
    </xf>
    <xf numFmtId="3" fontId="0" fillId="16" borderId="1" xfId="0" applyNumberFormat="1" applyFill="1" applyBorder="1" applyAlignment="1">
      <alignment horizontal="left" wrapText="1"/>
    </xf>
    <xf numFmtId="3" fontId="0" fillId="16" borderId="1" xfId="0" applyNumberFormat="1" applyFill="1" applyBorder="1" applyAlignment="1">
      <alignment horizontal="center" wrapText="1"/>
    </xf>
    <xf numFmtId="3" fontId="31" fillId="16" borderId="1" xfId="0" applyNumberFormat="1" applyFont="1" applyFill="1" applyBorder="1" applyAlignment="1">
      <alignment horizontal="center" wrapText="1"/>
    </xf>
    <xf numFmtId="3" fontId="23" fillId="17" borderId="1" xfId="0" applyNumberFormat="1" applyFont="1" applyFill="1" applyBorder="1" applyAlignment="1">
      <alignment horizontal="center" wrapText="1"/>
    </xf>
    <xf numFmtId="3" fontId="0" fillId="45" borderId="1" xfId="0" applyNumberFormat="1" applyFill="1" applyBorder="1" applyAlignment="1">
      <alignment horizontal="left" wrapText="1"/>
    </xf>
    <xf numFmtId="3" fontId="31" fillId="45" borderId="1" xfId="0" applyNumberFormat="1" applyFont="1" applyFill="1" applyBorder="1" applyAlignment="1">
      <alignment horizontal="center" wrapText="1"/>
    </xf>
    <xf numFmtId="3" fontId="30" fillId="0" borderId="1" xfId="0" applyNumberFormat="1" applyFont="1" applyBorder="1" applyAlignment="1">
      <alignment horizontal="left" wrapText="1"/>
    </xf>
    <xf numFmtId="3" fontId="0" fillId="46" borderId="1" xfId="0" applyNumberFormat="1" applyFill="1" applyBorder="1" applyAlignment="1">
      <alignment horizontal="left" wrapText="1"/>
    </xf>
    <xf numFmtId="3" fontId="31" fillId="46" borderId="1" xfId="0" applyNumberFormat="1" applyFont="1" applyFill="1" applyBorder="1" applyAlignment="1">
      <alignment horizontal="center" wrapText="1"/>
    </xf>
    <xf numFmtId="3" fontId="0" fillId="39" borderId="1" xfId="0" applyNumberFormat="1" applyFill="1" applyBorder="1" applyAlignment="1">
      <alignment horizontal="left" wrapText="1"/>
    </xf>
    <xf numFmtId="3" fontId="0" fillId="10" borderId="1" xfId="0" applyNumberFormat="1" applyFill="1" applyBorder="1" applyAlignment="1">
      <alignment horizontal="left" wrapText="1"/>
    </xf>
    <xf numFmtId="3" fontId="31" fillId="10" borderId="1" xfId="0" applyNumberFormat="1" applyFont="1" applyFill="1" applyBorder="1" applyAlignment="1">
      <alignment horizontal="center" wrapText="1"/>
    </xf>
    <xf numFmtId="3" fontId="14" fillId="0" borderId="1" xfId="0" applyNumberFormat="1" applyFont="1" applyBorder="1" applyAlignment="1">
      <alignment horizontal="left" wrapText="1"/>
    </xf>
    <xf numFmtId="3" fontId="0" fillId="12" borderId="1" xfId="0" applyNumberFormat="1" applyFill="1" applyBorder="1" applyAlignment="1">
      <alignment horizontal="center" wrapText="1"/>
    </xf>
    <xf numFmtId="3" fontId="0" fillId="0" borderId="0" xfId="0" applyNumberFormat="1" applyAlignment="1">
      <alignment horizontal="center" wrapText="1"/>
    </xf>
    <xf numFmtId="3" fontId="0" fillId="0" borderId="0" xfId="0" applyNumberFormat="1" applyAlignment="1">
      <alignment horizontal="left" wrapText="1"/>
    </xf>
    <xf numFmtId="3" fontId="20" fillId="6" borderId="0" xfId="0" applyNumberFormat="1" applyFont="1" applyFill="1" applyAlignment="1">
      <alignment horizontal="center" wrapText="1"/>
    </xf>
    <xf numFmtId="166" fontId="0" fillId="5" borderId="1" xfId="0" applyNumberFormat="1" applyFill="1" applyBorder="1" applyAlignment="1">
      <alignment wrapText="1"/>
    </xf>
    <xf numFmtId="166" fontId="0" fillId="0" borderId="1" xfId="0" applyNumberFormat="1" applyBorder="1" applyAlignment="1">
      <alignment wrapText="1"/>
    </xf>
    <xf numFmtId="9" fontId="0" fillId="5" borderId="1" xfId="6" applyFont="1" applyFill="1" applyBorder="1"/>
    <xf numFmtId="167" fontId="32" fillId="30" borderId="1" xfId="0" applyNumberFormat="1" applyFont="1" applyFill="1" applyBorder="1" applyAlignment="1">
      <alignment horizontal="center" vertical="center" wrapText="1"/>
    </xf>
    <xf numFmtId="167" fontId="32" fillId="0" borderId="1" xfId="0" applyNumberFormat="1" applyFont="1" applyBorder="1" applyAlignment="1">
      <alignment wrapText="1"/>
    </xf>
    <xf numFmtId="167" fontId="32" fillId="9" borderId="1" xfId="0" applyNumberFormat="1" applyFont="1" applyFill="1" applyBorder="1" applyAlignment="1">
      <alignment wrapText="1"/>
    </xf>
    <xf numFmtId="167" fontId="32" fillId="17" borderId="1" xfId="0" applyNumberFormat="1" applyFont="1" applyFill="1" applyBorder="1" applyAlignment="1">
      <alignment wrapText="1"/>
    </xf>
    <xf numFmtId="167" fontId="32" fillId="48" borderId="1" xfId="0" applyNumberFormat="1" applyFont="1" applyFill="1" applyBorder="1" applyAlignment="1">
      <alignment wrapText="1"/>
    </xf>
    <xf numFmtId="167" fontId="32" fillId="42" borderId="1" xfId="0" applyNumberFormat="1" applyFont="1" applyFill="1" applyBorder="1" applyAlignment="1">
      <alignment wrapText="1"/>
    </xf>
    <xf numFmtId="167" fontId="32" fillId="10" borderId="1" xfId="0" applyNumberFormat="1" applyFont="1" applyFill="1" applyBorder="1" applyAlignment="1">
      <alignment wrapText="1"/>
    </xf>
    <xf numFmtId="167" fontId="32" fillId="49" borderId="1" xfId="0" applyNumberFormat="1" applyFont="1" applyFill="1" applyBorder="1" applyAlignment="1">
      <alignment wrapText="1"/>
    </xf>
    <xf numFmtId="167" fontId="20" fillId="35" borderId="1" xfId="0" applyNumberFormat="1" applyFont="1" applyFill="1" applyBorder="1" applyAlignment="1">
      <alignment wrapText="1"/>
    </xf>
    <xf numFmtId="167" fontId="32" fillId="27" borderId="1" xfId="0" applyNumberFormat="1" applyFont="1" applyFill="1" applyBorder="1" applyAlignment="1">
      <alignment wrapText="1"/>
    </xf>
    <xf numFmtId="167" fontId="32" fillId="60" borderId="1" xfId="0" applyNumberFormat="1" applyFont="1" applyFill="1" applyBorder="1" applyAlignment="1">
      <alignment wrapText="1"/>
    </xf>
    <xf numFmtId="0" fontId="8" fillId="0" borderId="1" xfId="0" applyFont="1" applyBorder="1" applyAlignment="1">
      <alignment horizontal="left" vertical="center" wrapText="1"/>
    </xf>
    <xf numFmtId="166" fontId="0" fillId="5" borderId="1" xfId="6" applyNumberFormat="1" applyFont="1" applyFill="1" applyBorder="1"/>
    <xf numFmtId="167" fontId="24" fillId="0" borderId="1" xfId="0" applyNumberFormat="1" applyFont="1" applyBorder="1" applyAlignment="1">
      <alignment horizontal="center" vertical="center" wrapText="1"/>
    </xf>
    <xf numFmtId="167" fontId="24" fillId="40" borderId="1" xfId="0" applyNumberFormat="1" applyFont="1" applyFill="1" applyBorder="1" applyAlignment="1">
      <alignment horizontal="center" vertical="center" wrapText="1"/>
    </xf>
    <xf numFmtId="164" fontId="15" fillId="30" borderId="1" xfId="0" applyNumberFormat="1" applyFont="1" applyFill="1" applyBorder="1" applyAlignment="1">
      <alignment horizontal="center" vertical="center" wrapText="1"/>
    </xf>
    <xf numFmtId="164" fontId="15" fillId="23" borderId="1" xfId="0" applyNumberFormat="1" applyFont="1" applyFill="1" applyBorder="1" applyAlignment="1">
      <alignment horizontal="center" vertical="center"/>
    </xf>
    <xf numFmtId="164" fontId="15" fillId="23" borderId="1" xfId="0" applyNumberFormat="1" applyFont="1" applyFill="1" applyBorder="1" applyAlignment="1">
      <alignment horizontal="center" vertical="center" wrapText="1"/>
    </xf>
    <xf numFmtId="164" fontId="15" fillId="10" borderId="2" xfId="0" applyNumberFormat="1" applyFont="1" applyFill="1" applyBorder="1" applyAlignment="1">
      <alignment horizontal="center" vertical="center"/>
    </xf>
    <xf numFmtId="164" fontId="8" fillId="0" borderId="1" xfId="0" applyNumberFormat="1" applyFont="1" applyBorder="1" applyAlignment="1">
      <alignment horizontal="left" vertical="center" wrapText="1"/>
    </xf>
    <xf numFmtId="167" fontId="15" fillId="40" borderId="1" xfId="0" applyNumberFormat="1" applyFont="1" applyFill="1" applyBorder="1" applyAlignment="1">
      <alignment horizontal="center" vertical="center" wrapText="1"/>
    </xf>
    <xf numFmtId="167" fontId="24" fillId="0" borderId="0" xfId="0" applyNumberFormat="1" applyFont="1" applyAlignment="1">
      <alignment horizontal="center" vertical="center" wrapText="1"/>
    </xf>
    <xf numFmtId="0" fontId="0" fillId="26" borderId="0" xfId="0" applyFill="1" applyAlignment="1">
      <alignment horizontal="center" vertical="top"/>
    </xf>
    <xf numFmtId="167" fontId="8" fillId="0" borderId="0" xfId="0" quotePrefix="1" applyNumberFormat="1" applyFont="1"/>
    <xf numFmtId="0" fontId="23" fillId="58" borderId="1" xfId="0" applyFont="1" applyFill="1" applyBorder="1" applyAlignment="1">
      <alignment horizontal="left" vertical="center" wrapText="1"/>
    </xf>
    <xf numFmtId="0" fontId="8" fillId="58" borderId="1" xfId="0" applyFont="1" applyFill="1" applyBorder="1" applyAlignment="1">
      <alignment horizontal="center" vertical="center" wrapText="1"/>
    </xf>
    <xf numFmtId="0" fontId="8" fillId="28" borderId="1" xfId="0" applyFont="1" applyFill="1" applyBorder="1" applyAlignment="1">
      <alignment horizontal="left" vertical="center" wrapText="1"/>
    </xf>
    <xf numFmtId="167" fontId="8" fillId="41" borderId="1" xfId="0" applyNumberFormat="1" applyFont="1" applyFill="1" applyBorder="1" applyAlignment="1">
      <alignment horizontal="center" vertical="center"/>
    </xf>
    <xf numFmtId="167" fontId="8" fillId="28" borderId="11" xfId="0" applyNumberFormat="1" applyFont="1" applyFill="1" applyBorder="1" applyAlignment="1">
      <alignment horizontal="center" vertical="center" wrapText="1"/>
    </xf>
    <xf numFmtId="4" fontId="8" fillId="28" borderId="11" xfId="0" applyNumberFormat="1" applyFont="1" applyFill="1" applyBorder="1" applyAlignment="1">
      <alignment horizontal="center" vertical="center" wrapText="1"/>
    </xf>
    <xf numFmtId="167" fontId="8" fillId="41" borderId="11" xfId="0" applyNumberFormat="1" applyFont="1" applyFill="1" applyBorder="1" applyAlignment="1">
      <alignment horizontal="center" vertical="center" wrapText="1"/>
    </xf>
    <xf numFmtId="4" fontId="8" fillId="12" borderId="11" xfId="0" applyNumberFormat="1" applyFont="1" applyFill="1" applyBorder="1" applyAlignment="1">
      <alignment horizontal="center" vertical="center" wrapText="1"/>
    </xf>
    <xf numFmtId="0" fontId="8" fillId="12" borderId="1" xfId="0" applyFont="1" applyFill="1" applyBorder="1" applyAlignment="1">
      <alignment horizontal="left" vertical="center" wrapText="1"/>
    </xf>
    <xf numFmtId="164" fontId="8" fillId="12" borderId="11" xfId="0" applyNumberFormat="1" applyFont="1" applyFill="1" applyBorder="1" applyAlignment="1">
      <alignment horizontal="center" vertical="center" wrapText="1"/>
    </xf>
    <xf numFmtId="167" fontId="8" fillId="12" borderId="11" xfId="0" applyNumberFormat="1" applyFont="1" applyFill="1" applyBorder="1" applyAlignment="1">
      <alignment horizontal="center" vertical="center" wrapText="1"/>
    </xf>
    <xf numFmtId="167" fontId="8" fillId="12" borderId="1" xfId="0" applyNumberFormat="1" applyFont="1" applyFill="1" applyBorder="1" applyAlignment="1">
      <alignment horizontal="center" vertical="center" wrapText="1"/>
    </xf>
    <xf numFmtId="167" fontId="8" fillId="13" borderId="11" xfId="0" applyNumberFormat="1" applyFont="1" applyFill="1" applyBorder="1" applyAlignment="1">
      <alignment horizontal="center" vertical="center" wrapText="1"/>
    </xf>
    <xf numFmtId="167" fontId="8" fillId="0" borderId="11" xfId="0" applyNumberFormat="1" applyFont="1" applyBorder="1" applyAlignment="1">
      <alignment horizontal="center" vertical="center" wrapText="1"/>
    </xf>
    <xf numFmtId="167" fontId="8" fillId="32" borderId="11" xfId="0" applyNumberFormat="1" applyFont="1" applyFill="1" applyBorder="1" applyAlignment="1">
      <alignment horizontal="center" vertical="center" wrapText="1"/>
    </xf>
    <xf numFmtId="0" fontId="23" fillId="56" borderId="1" xfId="0" applyFont="1" applyFill="1" applyBorder="1" applyAlignment="1">
      <alignment horizontal="left" vertical="center" wrapText="1"/>
    </xf>
    <xf numFmtId="2" fontId="23" fillId="56" borderId="11" xfId="0" applyNumberFormat="1" applyFont="1" applyFill="1" applyBorder="1" applyAlignment="1">
      <alignment horizontal="center" vertical="center" wrapText="1"/>
    </xf>
    <xf numFmtId="164" fontId="23" fillId="56" borderId="11" xfId="0" applyNumberFormat="1" applyFont="1" applyFill="1" applyBorder="1" applyAlignment="1">
      <alignment horizontal="center" vertical="center" wrapText="1"/>
    </xf>
    <xf numFmtId="167" fontId="23" fillId="56" borderId="1" xfId="0" applyNumberFormat="1" applyFont="1" applyFill="1" applyBorder="1" applyAlignment="1">
      <alignment horizontal="center" vertical="center" wrapText="1"/>
    </xf>
    <xf numFmtId="2" fontId="8" fillId="12" borderId="11" xfId="0" applyNumberFormat="1" applyFont="1" applyFill="1" applyBorder="1" applyAlignment="1">
      <alignment horizontal="center" vertical="center" wrapText="1"/>
    </xf>
    <xf numFmtId="2" fontId="8" fillId="0" borderId="11" xfId="0" applyNumberFormat="1" applyFont="1" applyBorder="1" applyAlignment="1">
      <alignment horizontal="center" vertical="center"/>
    </xf>
    <xf numFmtId="167" fontId="8" fillId="0" borderId="11" xfId="0" applyNumberFormat="1" applyFont="1" applyBorder="1" applyAlignment="1">
      <alignment horizontal="center" vertical="center"/>
    </xf>
    <xf numFmtId="167" fontId="8" fillId="0" borderId="1" xfId="0" applyNumberFormat="1" applyFont="1" applyBorder="1" applyAlignment="1">
      <alignment horizontal="center" vertical="center"/>
    </xf>
    <xf numFmtId="2" fontId="23" fillId="0" borderId="11" xfId="0" applyNumberFormat="1" applyFont="1" applyBorder="1" applyAlignment="1">
      <alignment horizontal="center" vertical="center" wrapText="1"/>
    </xf>
    <xf numFmtId="167" fontId="23" fillId="0" borderId="1" xfId="0" applyNumberFormat="1" applyFont="1" applyBorder="1" applyAlignment="1">
      <alignment horizontal="center" vertical="center" wrapText="1"/>
    </xf>
    <xf numFmtId="167" fontId="23" fillId="0" borderId="11" xfId="0" applyNumberFormat="1" applyFont="1" applyBorder="1" applyAlignment="1">
      <alignment horizontal="center" vertical="center" wrapText="1"/>
    </xf>
    <xf numFmtId="167" fontId="8" fillId="70" borderId="11" xfId="0" applyNumberFormat="1" applyFont="1" applyFill="1" applyBorder="1" applyAlignment="1">
      <alignment horizontal="center" vertical="center" wrapText="1"/>
    </xf>
    <xf numFmtId="0" fontId="8" fillId="0" borderId="5" xfId="0" applyFont="1" applyBorder="1" applyAlignment="1">
      <alignment wrapText="1"/>
    </xf>
    <xf numFmtId="0" fontId="8" fillId="27" borderId="5" xfId="0" applyFont="1" applyFill="1" applyBorder="1" applyAlignment="1">
      <alignment wrapText="1"/>
    </xf>
    <xf numFmtId="4" fontId="19" fillId="40" borderId="1" xfId="0" applyNumberFormat="1" applyFont="1" applyFill="1" applyBorder="1"/>
    <xf numFmtId="4" fontId="19" fillId="70" borderId="1" xfId="0" applyNumberFormat="1" applyFont="1" applyFill="1" applyBorder="1"/>
    <xf numFmtId="0" fontId="8" fillId="40" borderId="5" xfId="0" applyFont="1" applyFill="1" applyBorder="1" applyAlignment="1">
      <alignment wrapText="1"/>
    </xf>
    <xf numFmtId="167" fontId="20" fillId="3" borderId="1" xfId="2" applyNumberFormat="1" applyBorder="1" applyAlignment="1">
      <alignment wrapText="1"/>
    </xf>
    <xf numFmtId="0" fontId="8" fillId="0" borderId="0" xfId="0" applyFont="1"/>
    <xf numFmtId="167" fontId="8" fillId="0" borderId="0" xfId="0" applyNumberFormat="1" applyFont="1"/>
    <xf numFmtId="167" fontId="8" fillId="0" borderId="0" xfId="0" applyNumberFormat="1" applyFont="1" applyAlignment="1">
      <alignment wrapText="1"/>
    </xf>
    <xf numFmtId="0" fontId="8" fillId="30" borderId="0" xfId="0" applyFont="1" applyFill="1"/>
    <xf numFmtId="0" fontId="8" fillId="28" borderId="0" xfId="0" applyFont="1" applyFill="1"/>
    <xf numFmtId="164" fontId="15" fillId="40" borderId="1" xfId="0" applyNumberFormat="1" applyFont="1" applyFill="1" applyBorder="1" applyAlignment="1">
      <alignment horizontal="left" vertical="center" wrapText="1"/>
    </xf>
    <xf numFmtId="164" fontId="15" fillId="40" borderId="1" xfId="0" applyNumberFormat="1" applyFont="1" applyFill="1" applyBorder="1" applyAlignment="1">
      <alignment horizontal="center" vertical="center"/>
    </xf>
    <xf numFmtId="167" fontId="15" fillId="27" borderId="1" xfId="0" applyNumberFormat="1" applyFont="1" applyFill="1" applyBorder="1" applyAlignment="1">
      <alignment horizontal="left" vertical="center" wrapText="1"/>
    </xf>
    <xf numFmtId="167" fontId="0" fillId="27" borderId="1" xfId="0" applyNumberFormat="1" applyFill="1" applyBorder="1" applyAlignment="1">
      <alignment horizontal="center" vertical="center" wrapText="1"/>
    </xf>
    <xf numFmtId="0" fontId="24" fillId="27" borderId="0" xfId="0" applyFont="1" applyFill="1" applyAlignment="1">
      <alignment horizontal="center" vertical="center"/>
    </xf>
    <xf numFmtId="167" fontId="0" fillId="27" borderId="1" xfId="0" applyNumberFormat="1" applyFill="1" applyBorder="1" applyAlignment="1">
      <alignment horizontal="left" vertical="center" wrapText="1"/>
    </xf>
    <xf numFmtId="167" fontId="0" fillId="53" borderId="1" xfId="0" applyNumberFormat="1" applyFill="1" applyBorder="1" applyAlignment="1">
      <alignment horizontal="center" vertical="center" wrapText="1"/>
    </xf>
    <xf numFmtId="0" fontId="24" fillId="53" borderId="0" xfId="0" applyFont="1" applyFill="1" applyAlignment="1">
      <alignment horizontal="center" vertical="center"/>
    </xf>
    <xf numFmtId="167" fontId="13" fillId="27" borderId="1" xfId="0" applyNumberFormat="1" applyFont="1" applyFill="1" applyBorder="1" applyAlignment="1">
      <alignment horizontal="left" vertical="center" wrapText="1"/>
    </xf>
    <xf numFmtId="0" fontId="7" fillId="0" borderId="0" xfId="0" applyFont="1" applyAlignment="1">
      <alignment wrapText="1"/>
    </xf>
    <xf numFmtId="0" fontId="7" fillId="0" borderId="0" xfId="0" applyFont="1"/>
    <xf numFmtId="167" fontId="7" fillId="0" borderId="1" xfId="0" applyNumberFormat="1" applyFont="1" applyBorder="1" applyAlignment="1">
      <alignment horizontal="left" vertical="center" wrapText="1"/>
    </xf>
    <xf numFmtId="167" fontId="24" fillId="40" borderId="0" xfId="0" applyNumberFormat="1" applyFont="1" applyFill="1" applyAlignment="1">
      <alignment horizontal="center" vertical="center" wrapText="1"/>
    </xf>
    <xf numFmtId="4" fontId="19" fillId="31" borderId="1" xfId="0" applyNumberFormat="1" applyFont="1" applyFill="1" applyBorder="1"/>
    <xf numFmtId="0" fontId="6" fillId="27" borderId="5" xfId="0" applyFont="1" applyFill="1" applyBorder="1" applyAlignment="1">
      <alignment wrapText="1"/>
    </xf>
    <xf numFmtId="166" fontId="25" fillId="0" borderId="0" xfId="6" applyNumberFormat="1" applyFont="1"/>
    <xf numFmtId="167" fontId="5" fillId="27" borderId="1" xfId="0" applyNumberFormat="1" applyFont="1" applyFill="1" applyBorder="1" applyAlignment="1">
      <alignment horizontal="left" vertical="center" wrapText="1"/>
    </xf>
    <xf numFmtId="10" fontId="40" fillId="0" borderId="0" xfId="6" applyNumberFormat="1" applyFont="1"/>
    <xf numFmtId="171" fontId="40" fillId="0" borderId="0" xfId="6" applyNumberFormat="1" applyFont="1"/>
    <xf numFmtId="167" fontId="36" fillId="27" borderId="0" xfId="0" applyNumberFormat="1" applyFont="1" applyFill="1" applyAlignment="1">
      <alignment vertical="top" wrapText="1"/>
    </xf>
    <xf numFmtId="0" fontId="0" fillId="0" borderId="18" xfId="0" applyBorder="1" applyAlignment="1">
      <alignment horizontal="right"/>
    </xf>
    <xf numFmtId="9" fontId="0" fillId="0" borderId="0" xfId="6" applyFont="1" applyBorder="1"/>
    <xf numFmtId="1" fontId="0" fillId="0" borderId="20" xfId="0" applyNumberFormat="1" applyBorder="1"/>
    <xf numFmtId="167" fontId="25" fillId="0" borderId="22" xfId="0" applyNumberFormat="1" applyFont="1" applyBorder="1" applyAlignment="1">
      <alignment vertical="top" wrapText="1"/>
    </xf>
    <xf numFmtId="167" fontId="25" fillId="0" borderId="23" xfId="0" applyNumberFormat="1" applyFont="1" applyBorder="1" applyAlignment="1">
      <alignment vertical="top" wrapText="1"/>
    </xf>
    <xf numFmtId="3" fontId="27" fillId="27" borderId="24" xfId="0" applyNumberFormat="1" applyFont="1" applyFill="1" applyBorder="1" applyAlignment="1">
      <alignment vertical="top" wrapText="1"/>
    </xf>
    <xf numFmtId="0" fontId="0" fillId="0" borderId="15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6" xfId="0" applyBorder="1" applyAlignment="1">
      <alignment horizontal="center" vertical="center" wrapText="1"/>
    </xf>
    <xf numFmtId="0" fontId="3" fillId="0" borderId="17" xfId="0" applyFont="1" applyBorder="1" applyAlignment="1">
      <alignment horizontal="center" vertical="center" wrapText="1"/>
    </xf>
    <xf numFmtId="0" fontId="3" fillId="0" borderId="0" xfId="0" applyFont="1"/>
    <xf numFmtId="0" fontId="3" fillId="0" borderId="18" xfId="0" applyFont="1" applyBorder="1"/>
    <xf numFmtId="0" fontId="3" fillId="0" borderId="22" xfId="0" applyFont="1" applyBorder="1" applyAlignment="1">
      <alignment wrapText="1"/>
    </xf>
    <xf numFmtId="0" fontId="0" fillId="0" borderId="23" xfId="0" applyBorder="1"/>
    <xf numFmtId="0" fontId="3" fillId="27" borderId="15" xfId="0" applyFont="1" applyFill="1" applyBorder="1"/>
    <xf numFmtId="0" fontId="0" fillId="27" borderId="16" xfId="0" applyFill="1" applyBorder="1"/>
    <xf numFmtId="0" fontId="0" fillId="0" borderId="20" xfId="0" applyBorder="1" applyAlignment="1">
      <alignment horizontal="left"/>
    </xf>
    <xf numFmtId="0" fontId="0" fillId="0" borderId="24" xfId="0" applyBorder="1" applyAlignment="1">
      <alignment horizontal="left"/>
    </xf>
    <xf numFmtId="0" fontId="23" fillId="27" borderId="17" xfId="0" applyFont="1" applyFill="1" applyBorder="1" applyAlignment="1">
      <alignment horizontal="left"/>
    </xf>
    <xf numFmtId="0" fontId="3" fillId="0" borderId="18" xfId="0" applyFont="1" applyBorder="1" applyAlignment="1">
      <alignment wrapText="1"/>
    </xf>
    <xf numFmtId="167" fontId="0" fillId="0" borderId="0" xfId="0" applyNumberFormat="1" applyAlignment="1">
      <alignment vertical="center"/>
    </xf>
    <xf numFmtId="167" fontId="3" fillId="28" borderId="1" xfId="0" applyNumberFormat="1" applyFont="1" applyFill="1" applyBorder="1" applyAlignment="1">
      <alignment horizontal="left" vertical="center" wrapText="1"/>
    </xf>
    <xf numFmtId="167" fontId="23" fillId="27" borderId="0" xfId="0" applyNumberFormat="1" applyFont="1" applyFill="1" applyAlignment="1">
      <alignment horizontal="left"/>
    </xf>
    <xf numFmtId="167" fontId="25" fillId="0" borderId="17" xfId="0" applyNumberFormat="1" applyFont="1" applyBorder="1" applyAlignment="1">
      <alignment horizontal="center" vertical="center" wrapText="1"/>
    </xf>
    <xf numFmtId="167" fontId="25" fillId="0" borderId="20" xfId="0" applyNumberFormat="1" applyFont="1" applyBorder="1" applyAlignment="1">
      <alignment horizontal="center" vertical="center" wrapText="1"/>
    </xf>
    <xf numFmtId="167" fontId="25" fillId="0" borderId="24" xfId="0" applyNumberFormat="1" applyFont="1" applyBorder="1" applyAlignment="1">
      <alignment horizontal="center" vertical="center" wrapText="1"/>
    </xf>
    <xf numFmtId="0" fontId="25" fillId="0" borderId="20" xfId="0" applyFont="1" applyBorder="1" applyAlignment="1">
      <alignment horizontal="center" vertical="center"/>
    </xf>
    <xf numFmtId="164" fontId="25" fillId="0" borderId="0" xfId="0" applyNumberFormat="1" applyFont="1"/>
    <xf numFmtId="0" fontId="2" fillId="2" borderId="1" xfId="1" applyFont="1" applyBorder="1" applyAlignment="1">
      <alignment horizontal="left" vertical="center" wrapText="1"/>
    </xf>
    <xf numFmtId="167" fontId="27" fillId="27" borderId="23" xfId="0" applyNumberFormat="1" applyFont="1" applyFill="1" applyBorder="1" applyAlignment="1">
      <alignment horizontal="center" vertical="top" wrapText="1"/>
    </xf>
    <xf numFmtId="0" fontId="19" fillId="0" borderId="0" xfId="0" applyFont="1" applyAlignment="1">
      <alignment horizontal="left" wrapText="1"/>
    </xf>
    <xf numFmtId="0" fontId="0" fillId="0" borderId="0" xfId="0" applyAlignment="1">
      <alignment horizontal="left" wrapText="1"/>
    </xf>
    <xf numFmtId="0" fontId="19" fillId="0" borderId="0" xfId="0" applyFont="1" applyAlignment="1">
      <alignment horizontal="left" vertical="top" wrapText="1"/>
    </xf>
    <xf numFmtId="0" fontId="11" fillId="0" borderId="0" xfId="0" applyFont="1" applyAlignment="1">
      <alignment horizontal="left" vertical="top" wrapText="1"/>
    </xf>
    <xf numFmtId="0" fontId="15" fillId="0" borderId="0" xfId="0" applyFont="1" applyAlignment="1">
      <alignment horizontal="left" vertical="top" wrapText="1"/>
    </xf>
    <xf numFmtId="0" fontId="3" fillId="0" borderId="0" xfId="0" applyFont="1" applyAlignment="1">
      <alignment horizontal="left" vertical="top" wrapText="1"/>
    </xf>
    <xf numFmtId="0" fontId="8" fillId="0" borderId="0" xfId="0" applyFont="1" applyAlignment="1">
      <alignment horizontal="left" vertical="top" wrapText="1"/>
    </xf>
    <xf numFmtId="0" fontId="13" fillId="0" borderId="0" xfId="0" applyFont="1" applyAlignment="1">
      <alignment horizontal="left" wrapText="1"/>
    </xf>
    <xf numFmtId="0" fontId="17" fillId="0" borderId="0" xfId="0" applyFont="1" applyAlignment="1">
      <alignment horizontal="left" wrapText="1"/>
    </xf>
    <xf numFmtId="167" fontId="18" fillId="0" borderId="28" xfId="0" applyNumberFormat="1" applyFont="1" applyBorder="1" applyAlignment="1">
      <alignment horizontal="left" vertical="center" wrapText="1"/>
    </xf>
    <xf numFmtId="167" fontId="0" fillId="0" borderId="0" xfId="0" applyNumberFormat="1" applyAlignment="1">
      <alignment horizontal="left" vertical="center" wrapText="1"/>
    </xf>
    <xf numFmtId="0" fontId="13" fillId="0" borderId="0" xfId="0" applyFont="1" applyAlignment="1">
      <alignment horizontal="left" vertical="top" wrapText="1"/>
    </xf>
    <xf numFmtId="0" fontId="8" fillId="51" borderId="0" xfId="0" applyFont="1" applyFill="1" applyAlignment="1">
      <alignment horizontal="left" vertical="top" wrapText="1"/>
    </xf>
    <xf numFmtId="0" fontId="23" fillId="30" borderId="0" xfId="0" applyFont="1" applyFill="1" applyAlignment="1">
      <alignment horizontal="left" wrapText="1"/>
    </xf>
    <xf numFmtId="0" fontId="4" fillId="0" borderId="0" xfId="0" applyFont="1" applyAlignment="1">
      <alignment horizontal="left" vertical="top" wrapText="1"/>
    </xf>
    <xf numFmtId="0" fontId="14" fillId="0" borderId="0" xfId="0" applyFont="1" applyAlignment="1">
      <alignment horizontal="left" wrapText="1"/>
    </xf>
    <xf numFmtId="0" fontId="0" fillId="0" borderId="0" xfId="0" applyAlignment="1">
      <alignment horizontal="center"/>
    </xf>
    <xf numFmtId="167" fontId="25" fillId="0" borderId="15" xfId="0" applyNumberFormat="1" applyFont="1" applyBorder="1" applyAlignment="1">
      <alignment horizontal="left" vertical="center" wrapText="1"/>
    </xf>
    <xf numFmtId="167" fontId="25" fillId="0" borderId="16" xfId="0" applyNumberFormat="1" applyFont="1" applyBorder="1" applyAlignment="1">
      <alignment horizontal="left" vertical="center" wrapText="1"/>
    </xf>
    <xf numFmtId="0" fontId="2" fillId="0" borderId="18" xfId="0" applyFont="1" applyBorder="1" applyAlignment="1">
      <alignment horizontal="left" vertical="center" wrapText="1"/>
    </xf>
    <xf numFmtId="0" fontId="0" fillId="0" borderId="0" xfId="0" applyAlignment="1">
      <alignment horizontal="left" vertical="center" wrapText="1"/>
    </xf>
    <xf numFmtId="0" fontId="0" fillId="0" borderId="18" xfId="0" applyBorder="1" applyAlignment="1">
      <alignment horizontal="left" vertical="center" wrapText="1"/>
    </xf>
    <xf numFmtId="0" fontId="2" fillId="0" borderId="22" xfId="0" applyFont="1" applyBorder="1" applyAlignment="1">
      <alignment horizontal="left" wrapText="1"/>
    </xf>
    <xf numFmtId="0" fontId="0" fillId="0" borderId="23" xfId="0" applyBorder="1" applyAlignment="1">
      <alignment horizontal="left" wrapText="1"/>
    </xf>
    <xf numFmtId="0" fontId="0" fillId="30" borderId="5" xfId="0" applyFill="1" applyBorder="1" applyAlignment="1">
      <alignment horizontal="center" vertical="center" wrapText="1"/>
    </xf>
    <xf numFmtId="0" fontId="0" fillId="30" borderId="10" xfId="0" applyFill="1" applyBorder="1" applyAlignment="1">
      <alignment horizontal="center" vertical="center" wrapText="1"/>
    </xf>
    <xf numFmtId="0" fontId="0" fillId="30" borderId="11" xfId="0" applyFill="1" applyBorder="1" applyAlignment="1">
      <alignment horizontal="center" vertical="center" wrapText="1"/>
    </xf>
    <xf numFmtId="0" fontId="0" fillId="30" borderId="6" xfId="0" applyFill="1" applyBorder="1" applyAlignment="1">
      <alignment horizontal="center" vertical="center" wrapText="1"/>
    </xf>
    <xf numFmtId="0" fontId="0" fillId="30" borderId="8" xfId="0" applyFill="1" applyBorder="1" applyAlignment="1">
      <alignment horizontal="center" vertical="center" wrapText="1"/>
    </xf>
    <xf numFmtId="0" fontId="0" fillId="30" borderId="9" xfId="0" applyFill="1" applyBorder="1" applyAlignment="1">
      <alignment horizontal="center" vertical="center"/>
    </xf>
    <xf numFmtId="167" fontId="14" fillId="30" borderId="5" xfId="0" applyNumberFormat="1" applyFont="1" applyFill="1" applyBorder="1" applyAlignment="1">
      <alignment horizontal="center" vertical="center" wrapText="1"/>
    </xf>
    <xf numFmtId="167" fontId="0" fillId="30" borderId="10" xfId="0" applyNumberFormat="1" applyFill="1" applyBorder="1" applyAlignment="1">
      <alignment horizontal="center" vertical="center" wrapText="1"/>
    </xf>
    <xf numFmtId="167" fontId="0" fillId="30" borderId="11" xfId="0" applyNumberFormat="1" applyFill="1" applyBorder="1" applyAlignment="1">
      <alignment horizontal="center" vertical="center" wrapText="1"/>
    </xf>
    <xf numFmtId="0" fontId="0" fillId="30" borderId="5" xfId="0" applyFill="1" applyBorder="1" applyAlignment="1">
      <alignment horizontal="center" vertical="center"/>
    </xf>
    <xf numFmtId="0" fontId="0" fillId="30" borderId="10" xfId="0" applyFill="1" applyBorder="1" applyAlignment="1">
      <alignment horizontal="center" vertical="center"/>
    </xf>
    <xf numFmtId="0" fontId="0" fillId="30" borderId="11" xfId="0" applyFill="1" applyBorder="1" applyAlignment="1">
      <alignment horizontal="center" vertical="center"/>
    </xf>
    <xf numFmtId="0" fontId="18" fillId="30" borderId="7" xfId="0" applyFont="1" applyFill="1" applyBorder="1" applyAlignment="1">
      <alignment horizontal="center" vertical="top" wrapText="1"/>
    </xf>
    <xf numFmtId="0" fontId="0" fillId="30" borderId="9" xfId="0" applyFill="1" applyBorder="1" applyAlignment="1">
      <alignment horizontal="center" vertical="top" wrapText="1"/>
    </xf>
    <xf numFmtId="0" fontId="0" fillId="30" borderId="1" xfId="0" applyFill="1" applyBorder="1" applyAlignment="1">
      <alignment horizontal="center" vertical="center" wrapText="1"/>
    </xf>
    <xf numFmtId="167" fontId="14" fillId="30" borderId="0" xfId="0" applyNumberFormat="1" applyFont="1" applyFill="1" applyAlignment="1">
      <alignment horizontal="center" vertical="center" wrapText="1"/>
    </xf>
    <xf numFmtId="167" fontId="0" fillId="30" borderId="0" xfId="0" applyNumberFormat="1" applyFill="1" applyAlignment="1">
      <alignment horizontal="center" vertical="center" wrapText="1"/>
    </xf>
    <xf numFmtId="0" fontId="0" fillId="30" borderId="28" xfId="0" applyFill="1" applyBorder="1" applyAlignment="1">
      <alignment horizontal="center" vertical="center" wrapText="1"/>
    </xf>
    <xf numFmtId="0" fontId="0" fillId="30" borderId="0" xfId="0" applyFill="1" applyAlignment="1">
      <alignment horizontal="center" vertical="center" wrapText="1"/>
    </xf>
    <xf numFmtId="0" fontId="31" fillId="0" borderId="0" xfId="0" applyFont="1" applyAlignment="1">
      <alignment horizontal="left" wrapText="1"/>
    </xf>
    <xf numFmtId="0" fontId="25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2" fontId="30" fillId="0" borderId="0" xfId="0" applyNumberFormat="1" applyFont="1" applyAlignment="1">
      <alignment horizontal="center" vertical="top" wrapText="1"/>
    </xf>
    <xf numFmtId="0" fontId="30" fillId="0" borderId="0" xfId="0" applyFont="1" applyAlignment="1">
      <alignment horizontal="center" vertical="top" wrapText="1"/>
    </xf>
    <xf numFmtId="0" fontId="23" fillId="0" borderId="9" xfId="0" applyFont="1" applyBorder="1" applyAlignment="1">
      <alignment horizontal="left"/>
    </xf>
    <xf numFmtId="0" fontId="41" fillId="0" borderId="1" xfId="0" applyFont="1" applyBorder="1" applyAlignment="1">
      <alignment horizontal="center" vertical="center" wrapText="1"/>
    </xf>
    <xf numFmtId="0" fontId="43" fillId="0" borderId="0" xfId="0" applyFont="1" applyAlignment="1">
      <alignment horizontal="center" wrapText="1"/>
    </xf>
    <xf numFmtId="4" fontId="39" fillId="12" borderId="2" xfId="0" applyNumberFormat="1" applyFont="1" applyFill="1" applyBorder="1" applyAlignment="1">
      <alignment horizontal="center" vertical="center" wrapText="1"/>
    </xf>
    <xf numFmtId="4" fontId="39" fillId="12" borderId="27" xfId="0" applyNumberFormat="1" applyFont="1" applyFill="1" applyBorder="1" applyAlignment="1">
      <alignment horizontal="center" vertical="center" wrapText="1"/>
    </xf>
    <xf numFmtId="4" fontId="39" fillId="12" borderId="4" xfId="0" applyNumberFormat="1" applyFont="1" applyFill="1" applyBorder="1" applyAlignment="1">
      <alignment horizontal="center" vertical="center" wrapText="1"/>
    </xf>
    <xf numFmtId="4" fontId="39" fillId="21" borderId="2" xfId="0" applyNumberFormat="1" applyFont="1" applyFill="1" applyBorder="1" applyAlignment="1">
      <alignment horizontal="center" vertical="center" wrapText="1"/>
    </xf>
    <xf numFmtId="4" fontId="39" fillId="21" borderId="27" xfId="0" applyNumberFormat="1" applyFont="1" applyFill="1" applyBorder="1" applyAlignment="1">
      <alignment horizontal="center" vertical="center" wrapText="1"/>
    </xf>
    <xf numFmtId="4" fontId="39" fillId="21" borderId="4" xfId="0" applyNumberFormat="1" applyFont="1" applyFill="1" applyBorder="1" applyAlignment="1">
      <alignment horizontal="center" vertical="center" wrapText="1"/>
    </xf>
    <xf numFmtId="4" fontId="39" fillId="20" borderId="2" xfId="0" applyNumberFormat="1" applyFont="1" applyFill="1" applyBorder="1" applyAlignment="1">
      <alignment horizontal="center" vertical="center" wrapText="1"/>
    </xf>
    <xf numFmtId="4" fontId="39" fillId="20" borderId="4" xfId="0" applyNumberFormat="1" applyFont="1" applyFill="1" applyBorder="1" applyAlignment="1">
      <alignment horizontal="center" vertical="center" wrapText="1"/>
    </xf>
    <xf numFmtId="4" fontId="39" fillId="31" borderId="5" xfId="0" applyNumberFormat="1" applyFont="1" applyFill="1" applyBorder="1" applyAlignment="1">
      <alignment horizontal="center" vertical="center" wrapText="1"/>
    </xf>
    <xf numFmtId="4" fontId="39" fillId="31" borderId="11" xfId="0" applyNumberFormat="1" applyFont="1" applyFill="1" applyBorder="1" applyAlignment="1">
      <alignment horizontal="center" vertical="center" wrapText="1"/>
    </xf>
    <xf numFmtId="0" fontId="51" fillId="0" borderId="1" xfId="0" applyFont="1" applyBorder="1" applyAlignment="1">
      <alignment horizontal="center"/>
    </xf>
  </cellXfs>
  <cellStyles count="8">
    <cellStyle name="20% — акцент1" xfId="1" builtinId="30"/>
    <cellStyle name="Акцент2" xfId="2" builtinId="33"/>
    <cellStyle name="Гиперссылка" xfId="3" builtinId="8"/>
    <cellStyle name="Гиперссылка 2" xfId="7" xr:uid="{8660ED80-E48A-4096-9E6B-4B23F1C567E3}"/>
    <cellStyle name="Обычный" xfId="0" builtinId="0"/>
    <cellStyle name="Обычный 2" xfId="4" xr:uid="{00000000-0005-0000-0000-000004000000}"/>
    <cellStyle name="Плохой" xfId="5" builtinId="27"/>
    <cellStyle name="Процентный" xfId="6" builtinId="5"/>
  </cellStyles>
  <dxfs count="0"/>
  <tableStyles count="0" defaultTableStyle="TableStyleMedium2" defaultPivotStyle="PivotStyleLight16"/>
  <colors>
    <mruColors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microsoft.com/office/2017/10/relationships/person" Target="persons/perso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styles" Target="styles.xml"/><Relationship Id="rId8" Type="http://schemas.openxmlformats.org/officeDocument/2006/relationships/worksheet" Target="worksheets/sheet8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'объем работ 100% загр'!$C$29:$H$29</c:f>
              <c:strCache>
                <c:ptCount val="6"/>
                <c:pt idx="0">
                  <c:v>Планируемый объем реализации в год, млн руб</c:v>
                </c:pt>
              </c:strCache>
            </c:strRef>
          </c:tx>
          <c:spPr bwMode="auto">
            <a:prstGeom prst="rect">
              <a:avLst/>
            </a:prstGeom>
            <a:solidFill>
              <a:schemeClr val="accent1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 bwMode="auto">
              <a:solidFill>
                <a:schemeClr val="dk1">
                  <a:lumMod val="65000"/>
                  <a:lumOff val="35000"/>
                  <a:alpha val="75000"/>
                </a:schemeClr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  <a:noFill/>
                  <a:ln>
                    <a:noFill/>
                  </a:ln>
                </c15:spPr>
                <c15:showLeaderLines val="0"/>
              </c:ext>
            </c:extLst>
          </c:dLbls>
          <c:cat>
            <c:strRef>
              <c:f>'объем работ 100% загр'!$C$30:$M$30</c:f>
              <c:strCache>
                <c:ptCount val="11"/>
                <c:pt idx="0">
                  <c:v>1 год</c:v>
                </c:pt>
                <c:pt idx="1">
                  <c:v>2 год</c:v>
                </c:pt>
                <c:pt idx="2">
                  <c:v>3 год</c:v>
                </c:pt>
                <c:pt idx="3">
                  <c:v>4 год</c:v>
                </c:pt>
                <c:pt idx="4">
                  <c:v>5 год</c:v>
                </c:pt>
                <c:pt idx="5">
                  <c:v>6 год </c:v>
                </c:pt>
                <c:pt idx="6">
                  <c:v>7 год</c:v>
                </c:pt>
                <c:pt idx="7">
                  <c:v>8 год</c:v>
                </c:pt>
                <c:pt idx="8">
                  <c:v>9 год</c:v>
                </c:pt>
                <c:pt idx="9">
                  <c:v>10 год</c:v>
                </c:pt>
                <c:pt idx="10">
                  <c:v>11 год</c:v>
                </c:pt>
              </c:strCache>
            </c:strRef>
          </c:cat>
          <c:val>
            <c:numRef>
              <c:f>'объем работ 100% загр'!$C$31:$M$31</c:f>
              <c:numCache>
                <c:formatCode>#\ ##0.0</c:formatCode>
                <c:ptCount val="11"/>
                <c:pt idx="0">
                  <c:v>65.066666666666677</c:v>
                </c:pt>
                <c:pt idx="1">
                  <c:v>160.54904000000002</c:v>
                </c:pt>
                <c:pt idx="2">
                  <c:v>170.18198240000001</c:v>
                </c:pt>
                <c:pt idx="3">
                  <c:v>180.39290134400002</c:v>
                </c:pt>
                <c:pt idx="4">
                  <c:v>191.21647542464001</c:v>
                </c:pt>
                <c:pt idx="5">
                  <c:v>202.68946395011844</c:v>
                </c:pt>
                <c:pt idx="6">
                  <c:v>214.85083178712554</c:v>
                </c:pt>
                <c:pt idx="7">
                  <c:v>227.74188169435311</c:v>
                </c:pt>
                <c:pt idx="8">
                  <c:v>241.40639459601428</c:v>
                </c:pt>
                <c:pt idx="9">
                  <c:v>255.89077827177516</c:v>
                </c:pt>
                <c:pt idx="10">
                  <c:v>271.24422496808171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60C-4D06-90A3-F31F6C5D9487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65"/>
        <c:axId val="2001684416"/>
        <c:axId val="2015665872"/>
      </c:barChart>
      <c:catAx>
        <c:axId val="20016844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 bwMode="auto">
          <a:prstGeom prst="rect">
            <a:avLst/>
          </a:prstGeom>
          <a:noFill/>
          <a:ln w="19050" cap="flat" cmpd="sng" algn="ctr">
            <a:solidFill>
              <a:schemeClr val="dk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cap="all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2015665872"/>
        <c:crosses val="autoZero"/>
        <c:auto val="1"/>
        <c:lblAlgn val="ctr"/>
        <c:lblOffset val="100"/>
        <c:noMultiLvlLbl val="0"/>
      </c:catAx>
      <c:valAx>
        <c:axId val="2015665872"/>
        <c:scaling>
          <c:orientation val="minMax"/>
        </c:scaling>
        <c:delete val="1"/>
        <c:axPos val="l"/>
        <c:majorGridlines>
          <c:spPr bwMode="auto">
            <a:prstGeom prst="rect">
              <a:avLst/>
            </a:prstGeom>
            <a:ln w="9525" cap="flat" cmpd="sng" algn="ctr">
              <a:gradFill>
                <a:gsLst>
                  <a:gs pos="0">
                    <a:schemeClr val="lt1">
                      <a:lumMod val="75000"/>
                      <a:alpha val="36000"/>
                    </a:schemeClr>
                  </a:gs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#\ ##0.0" sourceLinked="1"/>
        <c:majorTickMark val="none"/>
        <c:minorTickMark val="none"/>
        <c:tickLblPos val="nextTo"/>
        <c:crossAx val="2001684416"/>
        <c:crosses val="autoZero"/>
        <c:crossBetween val="between"/>
      </c:valAx>
      <c:spPr>
        <a:prstGeom prst="rect">
          <a:avLst/>
        </a:prstGeom>
        <a:noFill/>
        <a:ln>
          <a:noFill/>
        </a:ln>
        <a:effectLst/>
      </c:spPr>
    </c:plotArea>
    <c:legend>
      <c:legendPos val="t"/>
      <c:overlay val="0"/>
      <c:spPr bwMode="auto">
        <a:prstGeom prst="rect">
          <a:avLst/>
        </a:prstGeom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legend>
    <c:plotVisOnly val="1"/>
    <c:dispBlanksAs val="gap"/>
    <c:showDLblsOverMax val="0"/>
  </c:chart>
  <c:spPr bwMode="auto">
    <a:xfrm>
      <a:off x="0" y="0"/>
      <a:ext cx="0" cy="0"/>
    </a:xfrm>
    <a:prstGeom prst="rect">
      <a:avLst/>
    </a:prstGeom>
    <a:gradFill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'объем работ 100% загр'!$C$33:$M$33</c:f>
              <c:strCache>
                <c:ptCount val="11"/>
                <c:pt idx="0">
                  <c:v>Планируемый объем загрузки в год, %</c:v>
                </c:pt>
              </c:strCache>
            </c:strRef>
          </c:tx>
          <c:spPr bwMode="auto">
            <a:prstGeom prst="rect">
              <a:avLst/>
            </a:prstGeom>
            <a:solidFill>
              <a:schemeClr val="accent1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 bwMode="auto">
              <a:solidFill>
                <a:schemeClr val="dk1">
                  <a:lumMod val="65000"/>
                  <a:lumOff val="35000"/>
                  <a:alpha val="75000"/>
                </a:schemeClr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  <a:noFill/>
                  <a:ln>
                    <a:noFill/>
                  </a:ln>
                </c15:spPr>
                <c15:showLeaderLines val="0"/>
              </c:ext>
            </c:extLst>
          </c:dLbls>
          <c:cat>
            <c:strRef>
              <c:f>'объем работ 100% загр'!$C$34:$M$34</c:f>
              <c:strCache>
                <c:ptCount val="11"/>
                <c:pt idx="0">
                  <c:v>1 год</c:v>
                </c:pt>
                <c:pt idx="1">
                  <c:v>2 год</c:v>
                </c:pt>
                <c:pt idx="2">
                  <c:v>3 год</c:v>
                </c:pt>
                <c:pt idx="3">
                  <c:v>4 год</c:v>
                </c:pt>
                <c:pt idx="4">
                  <c:v>5 год</c:v>
                </c:pt>
                <c:pt idx="5">
                  <c:v>6 год </c:v>
                </c:pt>
                <c:pt idx="6">
                  <c:v>7 год</c:v>
                </c:pt>
                <c:pt idx="7">
                  <c:v>8 год</c:v>
                </c:pt>
                <c:pt idx="8">
                  <c:v>9 год</c:v>
                </c:pt>
                <c:pt idx="9">
                  <c:v>10 год</c:v>
                </c:pt>
                <c:pt idx="10">
                  <c:v>11 год</c:v>
                </c:pt>
              </c:strCache>
            </c:strRef>
          </c:cat>
          <c:val>
            <c:numRef>
              <c:f>'объем работ 100% загр'!$C$35:$M$35</c:f>
              <c:numCache>
                <c:formatCode>0%</c:formatCode>
                <c:ptCount val="11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425-4AD2-9706-772339C6061A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65"/>
        <c:axId val="1929864416"/>
        <c:axId val="1934812544"/>
      </c:barChart>
      <c:catAx>
        <c:axId val="19298644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 bwMode="auto">
          <a:prstGeom prst="rect">
            <a:avLst/>
          </a:prstGeom>
          <a:noFill/>
          <a:ln w="19050" cap="flat" cmpd="sng" algn="ctr">
            <a:solidFill>
              <a:schemeClr val="dk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cap="all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1934812544"/>
        <c:crosses val="autoZero"/>
        <c:auto val="1"/>
        <c:lblAlgn val="ctr"/>
        <c:lblOffset val="100"/>
        <c:noMultiLvlLbl val="0"/>
      </c:catAx>
      <c:valAx>
        <c:axId val="1934812544"/>
        <c:scaling>
          <c:orientation val="minMax"/>
        </c:scaling>
        <c:delete val="1"/>
        <c:axPos val="l"/>
        <c:majorGridlines>
          <c:spPr bwMode="auto">
            <a:prstGeom prst="rect">
              <a:avLst/>
            </a:prstGeom>
            <a:ln w="9525" cap="flat" cmpd="sng" algn="ctr">
              <a:gradFill>
                <a:gsLst>
                  <a:gs pos="0">
                    <a:schemeClr val="lt1">
                      <a:lumMod val="75000"/>
                      <a:alpha val="36000"/>
                    </a:schemeClr>
                  </a:gs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1929864416"/>
        <c:crosses val="autoZero"/>
        <c:crossBetween val="between"/>
      </c:valAx>
      <c:spPr>
        <a:prstGeom prst="rect">
          <a:avLst/>
        </a:prstGeom>
        <a:noFill/>
        <a:ln>
          <a:noFill/>
        </a:ln>
        <a:effectLst/>
      </c:spPr>
    </c:plotArea>
    <c:legend>
      <c:legendPos val="t"/>
      <c:overlay val="0"/>
      <c:spPr bwMode="auto">
        <a:prstGeom prst="rect">
          <a:avLst/>
        </a:prstGeom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legend>
    <c:plotVisOnly val="1"/>
    <c:dispBlanksAs val="gap"/>
    <c:showDLblsOverMax val="0"/>
  </c:chart>
  <c:spPr bwMode="auto">
    <a:xfrm>
      <a:off x="0" y="0"/>
      <a:ext cx="0" cy="0"/>
    </a:xfrm>
    <a:prstGeom prst="rect">
      <a:avLst/>
    </a:prstGeom>
    <a:gradFill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spc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ru-RU"/>
              <a:t>Структура источников финансирования, %</a:t>
            </a:r>
          </a:p>
        </c:rich>
      </c:tx>
      <c:overlay val="0"/>
      <c:spPr>
        <a:prstGeom prst="rect">
          <a:avLst/>
        </a:prstGeom>
        <a:noFill/>
        <a:ln>
          <a:noFill/>
        </a:ln>
        <a:effectLst/>
      </c:sp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prstGeom prst="rect">
                <a:avLst/>
              </a:prstGeom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03C-4893-A634-E14F72EBD98D}"/>
              </c:ext>
            </c:extLst>
          </c:dPt>
          <c:dPt>
            <c:idx val="1"/>
            <c:bubble3D val="0"/>
            <c:spPr>
              <a:prstGeom prst="rect">
                <a:avLst/>
              </a:prstGeom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03C-4893-A634-E14F72EBD98D}"/>
              </c:ext>
            </c:extLst>
          </c:dPt>
          <c:dLbls>
            <c:dLbl>
              <c:idx val="0"/>
              <c:layout>
                <c:manualLayout>
                  <c:x val="4.8611104856787393E-2"/>
                  <c:y val="-0.10752688172043008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E03C-4893-A634-E14F72EBD98D}"/>
                </c:ext>
              </c:extLst>
            </c:dLbl>
            <c:dLbl>
              <c:idx val="1"/>
              <c:layout>
                <c:manualLayout>
                  <c:x val="-0.13775038049634794"/>
                  <c:y val="0.11963913490848437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E03C-4893-A634-E14F72EBD98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prstGeom prst="rect">
                  <a:avLst/>
                </a:prstGeom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</c:ext>
            </c:extLst>
          </c:dLbls>
          <c:cat>
            <c:strRef>
              <c:f>'Расходы на П, строит-во, ввод'!$V$16:$V$18</c:f>
              <c:strCache>
                <c:ptCount val="3"/>
                <c:pt idx="0">
                  <c:v>Собственные средства</c:v>
                </c:pt>
                <c:pt idx="1">
                  <c:v>Заемные средства</c:v>
                </c:pt>
                <c:pt idx="2">
                  <c:v>Господдержка</c:v>
                </c:pt>
              </c:strCache>
            </c:strRef>
          </c:cat>
          <c:val>
            <c:numRef>
              <c:f>'Расходы на П, строит-во, ввод'!$AB$16:$AB$17</c:f>
              <c:numCache>
                <c:formatCode>0.0%</c:formatCode>
                <c:ptCount val="2"/>
                <c:pt idx="0">
                  <c:v>0.43019433156685699</c:v>
                </c:pt>
                <c:pt idx="1">
                  <c:v>0.56980566843314306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E03C-4893-A634-E14F72EBD98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prstGeom prst="rect">
          <a:avLst/>
        </a:prstGeom>
        <a:noFill/>
        <a:ln>
          <a:noFill/>
        </a:ln>
        <a:effectLst/>
      </c:spPr>
    </c:plotArea>
    <c:legend>
      <c:legendPos val="b"/>
      <c:overlay val="0"/>
      <c:spPr>
        <a:prstGeom prst="rect">
          <a:avLst/>
        </a:prstGeom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legend>
    <c:plotVisOnly val="1"/>
    <c:dispBlanksAs val="gap"/>
    <c:showDLblsOverMax val="0"/>
  </c:chart>
  <c:spPr>
    <a:xfrm>
      <a:off x="0" y="0"/>
      <a:ext cx="0" cy="0"/>
    </a:xfrm>
    <a:prstGeom prst="rect">
      <a:avLst/>
    </a:prstGeom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ru-RU"/>
              <a:t>Структура персонала</a:t>
            </a:r>
          </a:p>
        </c:rich>
      </c:tx>
      <c:overlay val="0"/>
      <c:spPr>
        <a:prstGeom prst="rect">
          <a:avLst/>
        </a:prstGeom>
        <a:noFill/>
        <a:ln>
          <a:noFill/>
        </a:ln>
        <a:effectLst/>
      </c:sp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prstGeom prst="rect">
                <a:avLst/>
              </a:prstGeom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7D41-4BA0-99A8-118424AD9B7B}"/>
              </c:ext>
            </c:extLst>
          </c:dPt>
          <c:dPt>
            <c:idx val="1"/>
            <c:bubble3D val="0"/>
            <c:spPr>
              <a:prstGeom prst="rect">
                <a:avLst/>
              </a:prstGeom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7D41-4BA0-99A8-118424AD9B7B}"/>
              </c:ext>
            </c:extLst>
          </c:dPt>
          <c:dLbls>
            <c:dLbl>
              <c:idx val="0"/>
              <c:layout>
                <c:manualLayout>
                  <c:x val="9.7222222222222224E-2"/>
                  <c:y val="-6.0185185185185161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7D41-4BA0-99A8-118424AD9B7B}"/>
                </c:ext>
              </c:extLst>
            </c:dLbl>
            <c:dLbl>
              <c:idx val="1"/>
              <c:layout>
                <c:manualLayout>
                  <c:x val="-0.12777777777777782"/>
                  <c:y val="2.777777777777777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7D41-4BA0-99A8-118424AD9B7B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prstGeom prst="rect">
                  <a:avLst/>
                </a:prstGeom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</c:ext>
            </c:extLst>
          </c:dLbls>
          <c:cat>
            <c:strRef>
              <c:f>'Расходы на ЗП ОТ'!$N$80:$N$81</c:f>
              <c:strCache>
                <c:ptCount val="2"/>
                <c:pt idx="0">
                  <c:v>АУП</c:v>
                </c:pt>
                <c:pt idx="1">
                  <c:v>Производственные рабочие</c:v>
                </c:pt>
              </c:strCache>
            </c:strRef>
          </c:cat>
          <c:val>
            <c:numRef>
              <c:f>'Расходы на ЗП ОТ'!$O$80:$O$81</c:f>
              <c:numCache>
                <c:formatCode>0.0%</c:formatCode>
                <c:ptCount val="2"/>
                <c:pt idx="0">
                  <c:v>0.15384615384615385</c:v>
                </c:pt>
                <c:pt idx="1">
                  <c:v>0.84615384615384615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7D41-4BA0-99A8-118424AD9B7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prstGeom prst="rect">
          <a:avLst/>
        </a:prstGeom>
        <a:noFill/>
        <a:ln>
          <a:noFill/>
        </a:ln>
        <a:effectLst/>
      </c:spPr>
    </c:plotArea>
    <c:legend>
      <c:legendPos val="b"/>
      <c:overlay val="0"/>
      <c:spPr>
        <a:prstGeom prst="rect">
          <a:avLst/>
        </a:prstGeom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legend>
    <c:plotVisOnly val="1"/>
    <c:dispBlanksAs val="gap"/>
    <c:showDLblsOverMax val="0"/>
  </c:chart>
  <c:spPr>
    <a:xfrm>
      <a:off x="0" y="0"/>
      <a:ext cx="0" cy="0"/>
    </a:xfrm>
    <a:prstGeom prst="rect">
      <a:avLst/>
    </a:prstGeom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ru-RU"/>
              <a:t>График вложений</a:t>
            </a:r>
            <a:r>
              <a:rPr lang="ru-RU" baseline="0"/>
              <a:t> </a:t>
            </a:r>
            <a:r>
              <a:rPr lang="en-US" baseline="0"/>
              <a:t>(CAPEX+OPEX)</a:t>
            </a:r>
            <a:r>
              <a:rPr lang="ru-RU"/>
              <a:t>, млн руб</a:t>
            </a:r>
          </a:p>
        </c:rich>
      </c:tx>
      <c:overlay val="0"/>
      <c:spPr>
        <a:prstGeom prst="rect">
          <a:avLst/>
        </a:prstGeom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prstGeom prst="rect">
              <a:avLst/>
            </a:prstGeom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0"/>
              </c:ext>
            </c:extLst>
          </c:dLbls>
          <c:cat>
            <c:strRef>
              <c:f>'Расходы на П, строит-во, ввод'!$W$1:$Z$1</c:f>
              <c:strCache>
                <c:ptCount val="4"/>
                <c:pt idx="0">
                  <c:v>1 год</c:v>
                </c:pt>
                <c:pt idx="1">
                  <c:v>2 год</c:v>
                </c:pt>
                <c:pt idx="2">
                  <c:v>3 год</c:v>
                </c:pt>
                <c:pt idx="3">
                  <c:v>4 год</c:v>
                </c:pt>
              </c:strCache>
            </c:strRef>
          </c:cat>
          <c:val>
            <c:numRef>
              <c:f>'Расходы на П, строит-во, ввод'!$W$20:$Z$20</c:f>
              <c:numCache>
                <c:formatCode>0.0</c:formatCode>
                <c:ptCount val="4"/>
                <c:pt idx="0">
                  <c:v>-140.3987436979782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7BE-4BB3-A2B8-E4B897915E3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65638607"/>
        <c:axId val="165639023"/>
      </c:barChart>
      <c:catAx>
        <c:axId val="16563860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high"/>
        <c:spPr>
          <a:prstGeom prst="rect">
            <a:avLst/>
          </a:prstGeom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165639023"/>
        <c:crosses val="autoZero"/>
        <c:auto val="1"/>
        <c:lblAlgn val="ctr"/>
        <c:lblOffset val="100"/>
        <c:noMultiLvlLbl val="0"/>
      </c:catAx>
      <c:valAx>
        <c:axId val="165639023"/>
        <c:scaling>
          <c:orientation val="minMax"/>
        </c:scaling>
        <c:delete val="0"/>
        <c:axPos val="l"/>
        <c:majorGridlines>
          <c:spPr>
            <a:prstGeom prst="rect">
              <a:avLst/>
            </a:prstGeom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1"/>
        <c:majorTickMark val="none"/>
        <c:minorTickMark val="none"/>
        <c:tickLblPos val="nextTo"/>
        <c:spPr>
          <a:prstGeom prst="rect">
            <a:avLst/>
          </a:prstGeom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165638607"/>
        <c:crosses val="autoZero"/>
        <c:crossBetween val="between"/>
      </c:valAx>
      <c:spPr>
        <a:prstGeom prst="rect">
          <a:avLst/>
        </a:prstGeom>
        <a:noFill/>
        <a:ln>
          <a:noFill/>
        </a:ln>
        <a:effectLst/>
      </c:spPr>
    </c:plotArea>
    <c:plotVisOnly val="1"/>
    <c:dispBlanksAs val="gap"/>
    <c:showDLblsOverMax val="0"/>
  </c:chart>
  <c:spPr>
    <a:xfrm>
      <a:off x="0" y="0"/>
      <a:ext cx="0" cy="0"/>
    </a:xfrm>
    <a:prstGeom prst="rect">
      <a:avLst/>
    </a:prstGeom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ru-RU"/>
              <a:t>Чистый денежный поток, млн руб.</a:t>
            </a:r>
          </a:p>
        </c:rich>
      </c:tx>
      <c:overlay val="0"/>
      <c:spPr>
        <a:prstGeom prst="rect">
          <a:avLst/>
        </a:prstGeom>
        <a:noFill/>
        <a:ln>
          <a:noFill/>
        </a:ln>
        <a:effectLst/>
      </c:sp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spPr>
            <a:prstGeom prst="rect">
              <a:avLst/>
            </a:prstGeom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2"/>
            <c:invertIfNegative val="0"/>
            <c:bubble3D val="0"/>
            <c:spPr>
              <a:prstGeom prst="rect">
                <a:avLst/>
              </a:prstGeom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5920-41C5-A374-FAA0C79958BB}"/>
              </c:ext>
            </c:extLst>
          </c:dPt>
          <c:dPt>
            <c:idx val="3"/>
            <c:invertIfNegative val="0"/>
            <c:bubble3D val="0"/>
            <c:spPr>
              <a:prstGeom prst="rect">
                <a:avLst/>
              </a:prstGeom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5920-41C5-A374-FAA0C79958BB}"/>
              </c:ext>
            </c:extLst>
          </c:dPt>
          <c:dLbls>
            <c:dLbl>
              <c:idx val="0"/>
              <c:layout>
                <c:manualLayout>
                  <c:x val="-2.3651140096690331E-3"/>
                  <c:y val="-0.16326079031787694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5920-41C5-A374-FAA0C79958BB}"/>
                </c:ext>
              </c:extLst>
            </c:dLbl>
            <c:dLbl>
              <c:idx val="3"/>
              <c:layout>
                <c:manualLayout>
                  <c:x val="-4.3359922613072868E-17"/>
                  <c:y val="-2.7262321376494689E-2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5920-41C5-A374-FAA0C79958BB}"/>
                </c:ext>
              </c:extLst>
            </c:dLbl>
            <c:dLbl>
              <c:idx val="4"/>
              <c:layout>
                <c:manualLayout>
                  <c:x val="-2.3651140096690331E-3"/>
                  <c:y val="-4.3137941090696998E-2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5920-41C5-A374-FAA0C79958BB}"/>
                </c:ext>
              </c:extLst>
            </c:dLbl>
            <c:dLbl>
              <c:idx val="5"/>
              <c:layout>
                <c:manualLayout>
                  <c:x val="2.3651140096690331E-3"/>
                  <c:y val="-5.9128390201224845E-2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8-5920-41C5-A374-FAA0C79958BB}"/>
                </c:ext>
              </c:extLst>
            </c:dLbl>
            <c:dLbl>
              <c:idx val="6"/>
              <c:layout>
                <c:manualLayout>
                  <c:x val="4.7302280193379795E-3"/>
                  <c:y val="-0.11828630796150481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A-5920-41C5-A374-FAA0C79958BB}"/>
                </c:ext>
              </c:extLst>
            </c:dLbl>
            <c:dLbl>
              <c:idx val="7"/>
              <c:layout>
                <c:manualLayout>
                  <c:x val="-8.6719845226145736E-17"/>
                  <c:y val="-0.15348498104403621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5920-41C5-A374-FAA0C79958BB}"/>
                </c:ext>
              </c:extLst>
            </c:dLbl>
            <c:dLbl>
              <c:idx val="8"/>
              <c:layout>
                <c:manualLayout>
                  <c:x val="2.3651140096690331E-3"/>
                  <c:y val="-0.19127624671916016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C-5920-41C5-A374-FAA0C79958BB}"/>
                </c:ext>
              </c:extLst>
            </c:dLbl>
            <c:dLbl>
              <c:idx val="9"/>
              <c:layout>
                <c:manualLayout>
                  <c:x val="0"/>
                  <c:y val="-0.23063867016622921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5920-41C5-A374-FAA0C79958BB}"/>
                </c:ext>
              </c:extLst>
            </c:dLbl>
            <c:dLbl>
              <c:idx val="10"/>
              <c:layout>
                <c:manualLayout>
                  <c:x val="0"/>
                  <c:y val="-0.23455526392534268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E-5920-41C5-A374-FAA0C79958BB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0"/>
              </c:ext>
            </c:extLst>
          </c:dLbls>
          <c:cat>
            <c:numRef>
              <c:f>'NPV, IRR, DPI ТОР'!$B$3:$L$3</c:f>
              <c:numCache>
                <c:formatCode>General</c:formatCode>
                <c:ptCount val="11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</c:numCache>
            </c:numRef>
          </c:cat>
          <c:val>
            <c:numRef>
              <c:f>'NPV, IRR, DPI ТОР'!$B$34:$L$34</c:f>
              <c:numCache>
                <c:formatCode>#\ ##0.0</c:formatCode>
                <c:ptCount val="11"/>
                <c:pt idx="0">
                  <c:v>-133.15474895398992</c:v>
                </c:pt>
                <c:pt idx="1">
                  <c:v>43.98752100001937</c:v>
                </c:pt>
                <c:pt idx="2">
                  <c:v>47.521022501523376</c:v>
                </c:pt>
                <c:pt idx="3">
                  <c:v>52.754039733117608</c:v>
                </c:pt>
                <c:pt idx="4">
                  <c:v>57.835036833807493</c:v>
                </c:pt>
                <c:pt idx="5">
                  <c:v>72.870217773157307</c:v>
                </c:pt>
                <c:pt idx="6">
                  <c:v>80.670005241648056</c:v>
                </c:pt>
                <c:pt idx="7">
                  <c:v>86.414580255053863</c:v>
                </c:pt>
                <c:pt idx="8">
                  <c:v>92.365967962640624</c:v>
                </c:pt>
                <c:pt idx="9">
                  <c:v>99.108600128230577</c:v>
                </c:pt>
                <c:pt idx="10">
                  <c:v>115.02508833174615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5920-41C5-A374-FAA0C79958B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100"/>
        <c:axId val="267662367"/>
        <c:axId val="267663615"/>
      </c:barChart>
      <c:catAx>
        <c:axId val="26766236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prstGeom prst="rect">
            <a:avLst/>
          </a:prstGeom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267663615"/>
        <c:crosses val="autoZero"/>
        <c:auto val="1"/>
        <c:lblAlgn val="ctr"/>
        <c:lblOffset val="100"/>
        <c:noMultiLvlLbl val="0"/>
      </c:catAx>
      <c:valAx>
        <c:axId val="267663615"/>
        <c:scaling>
          <c:orientation val="minMax"/>
        </c:scaling>
        <c:delete val="0"/>
        <c:axPos val="l"/>
        <c:majorGridlines>
          <c:spPr>
            <a:prstGeom prst="rect">
              <a:avLst/>
            </a:prstGeom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\ ##0.0" sourceLinked="1"/>
        <c:majorTickMark val="none"/>
        <c:minorTickMark val="none"/>
        <c:tickLblPos val="nextTo"/>
        <c:spPr>
          <a:prstGeom prst="rect">
            <a:avLst/>
          </a:prstGeom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267662367"/>
        <c:crosses val="autoZero"/>
        <c:crossBetween val="between"/>
      </c:valAx>
      <c:spPr>
        <a:prstGeom prst="rect">
          <a:avLst/>
        </a:prstGeom>
        <a:noFill/>
        <a:ln>
          <a:noFill/>
        </a:ln>
        <a:effectLst/>
      </c:spPr>
    </c:plotArea>
    <c:plotVisOnly val="1"/>
    <c:dispBlanksAs val="gap"/>
    <c:showDLblsOverMax val="0"/>
  </c:chart>
  <c:spPr>
    <a:xfrm>
      <a:off x="0" y="0"/>
      <a:ext cx="0" cy="0"/>
    </a:xfrm>
    <a:prstGeom prst="rect">
      <a:avLst/>
    </a:prstGeom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ru-RU"/>
              <a:t>Налоги и взносы, млн руб.</a:t>
            </a:r>
          </a:p>
        </c:rich>
      </c:tx>
      <c:overlay val="0"/>
      <c:spPr>
        <a:prstGeom prst="rect">
          <a:avLst/>
        </a:prstGeom>
        <a:noFill/>
        <a:ln>
          <a:noFill/>
        </a:ln>
        <a:effectLst/>
      </c:sp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'Налоги ТОР'!$A$26</c:f>
              <c:strCache>
                <c:ptCount val="1"/>
                <c:pt idx="0">
                  <c:v>ФБ</c:v>
                </c:pt>
              </c:strCache>
            </c:strRef>
          </c:tx>
          <c:spPr>
            <a:prstGeom prst="rect">
              <a:avLst/>
            </a:prstGeom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'Налоги ТОР'!$C$25:$L$25</c:f>
              <c:strCache>
                <c:ptCount val="10"/>
                <c:pt idx="0">
                  <c:v>2 год</c:v>
                </c:pt>
                <c:pt idx="1">
                  <c:v>3 год</c:v>
                </c:pt>
                <c:pt idx="2">
                  <c:v>4 год</c:v>
                </c:pt>
                <c:pt idx="3">
                  <c:v>5 год</c:v>
                </c:pt>
                <c:pt idx="4">
                  <c:v>6 год</c:v>
                </c:pt>
                <c:pt idx="5">
                  <c:v>7 год</c:v>
                </c:pt>
                <c:pt idx="6">
                  <c:v>8 год</c:v>
                </c:pt>
                <c:pt idx="7">
                  <c:v>9 год</c:v>
                </c:pt>
                <c:pt idx="8">
                  <c:v>10 год</c:v>
                </c:pt>
                <c:pt idx="9">
                  <c:v>11 год</c:v>
                </c:pt>
              </c:strCache>
            </c:strRef>
          </c:cat>
          <c:val>
            <c:numRef>
              <c:f>'Налоги ТОР'!$C$26:$L$26</c:f>
              <c:numCache>
                <c:formatCode>0.0</c:formatCode>
                <c:ptCount val="10"/>
                <c:pt idx="0" formatCode="General">
                  <c:v>0</c:v>
                </c:pt>
                <c:pt idx="1">
                  <c:v>24.189225352976003</c:v>
                </c:pt>
                <c:pt idx="2">
                  <c:v>25.766028962754561</c:v>
                </c:pt>
                <c:pt idx="3">
                  <c:v>27.432104897919839</c:v>
                </c:pt>
                <c:pt idx="4">
                  <c:v>30.211683699841782</c:v>
                </c:pt>
                <c:pt idx="5">
                  <c:v>32.125991228784187</c:v>
                </c:pt>
                <c:pt idx="6">
                  <c:v>34.198940222751908</c:v>
                </c:pt>
                <c:pt idx="7">
                  <c:v>36.391292331068918</c:v>
                </c:pt>
                <c:pt idx="8">
                  <c:v>41.085747924768654</c:v>
                </c:pt>
                <c:pt idx="9">
                  <c:v>41.294015138001861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82A-4097-B13B-2831A4058985}"/>
            </c:ext>
          </c:extLst>
        </c:ser>
        <c:ser>
          <c:idx val="1"/>
          <c:order val="1"/>
          <c:tx>
            <c:strRef>
              <c:f>'Налоги ТОР'!$A$27</c:f>
              <c:strCache>
                <c:ptCount val="1"/>
                <c:pt idx="0">
                  <c:v>РБ</c:v>
                </c:pt>
              </c:strCache>
            </c:strRef>
          </c:tx>
          <c:spPr>
            <a:prstGeom prst="rect">
              <a:avLst/>
            </a:prstGeom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'Налоги ТОР'!$C$25:$L$25</c:f>
              <c:strCache>
                <c:ptCount val="10"/>
                <c:pt idx="0">
                  <c:v>2 год</c:v>
                </c:pt>
                <c:pt idx="1">
                  <c:v>3 год</c:v>
                </c:pt>
                <c:pt idx="2">
                  <c:v>4 год</c:v>
                </c:pt>
                <c:pt idx="3">
                  <c:v>5 год</c:v>
                </c:pt>
                <c:pt idx="4">
                  <c:v>6 год</c:v>
                </c:pt>
                <c:pt idx="5">
                  <c:v>7 год</c:v>
                </c:pt>
                <c:pt idx="6">
                  <c:v>8 год</c:v>
                </c:pt>
                <c:pt idx="7">
                  <c:v>9 год</c:v>
                </c:pt>
                <c:pt idx="8">
                  <c:v>10 год</c:v>
                </c:pt>
                <c:pt idx="9">
                  <c:v>11 год</c:v>
                </c:pt>
              </c:strCache>
            </c:strRef>
          </c:cat>
          <c:val>
            <c:numRef>
              <c:f>'Налоги ТОР'!$C$27:$L$27</c:f>
              <c:numCache>
                <c:formatCode>0.0</c:formatCode>
                <c:ptCount val="10"/>
                <c:pt idx="0" formatCode="General">
                  <c:v>0</c:v>
                </c:pt>
                <c:pt idx="1">
                  <c:v>2.1377855939999999</c:v>
                </c:pt>
                <c:pt idx="2">
                  <c:v>2.2281195296400003</c:v>
                </c:pt>
                <c:pt idx="3">
                  <c:v>2.3612667014184003</c:v>
                </c:pt>
                <c:pt idx="4">
                  <c:v>7.8698992567372645</c:v>
                </c:pt>
                <c:pt idx="5">
                  <c:v>9.0924914599009927</c:v>
                </c:pt>
                <c:pt idx="6">
                  <c:v>9.6123739093587677</c:v>
                </c:pt>
                <c:pt idx="7">
                  <c:v>10.163330831679783</c:v>
                </c:pt>
                <c:pt idx="8">
                  <c:v>15.273210889333454</c:v>
                </c:pt>
                <c:pt idx="9">
                  <c:v>12.825161804504329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82A-4097-B13B-2831A4058985}"/>
            </c:ext>
          </c:extLst>
        </c:ser>
        <c:ser>
          <c:idx val="2"/>
          <c:order val="2"/>
          <c:tx>
            <c:strRef>
              <c:f>'Налоги ТОР'!$A$28</c:f>
              <c:strCache>
                <c:ptCount val="1"/>
                <c:pt idx="0">
                  <c:v>МБ</c:v>
                </c:pt>
              </c:strCache>
            </c:strRef>
          </c:tx>
          <c:spPr>
            <a:prstGeom prst="rect">
              <a:avLst/>
            </a:prstGeom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strRef>
              <c:f>'Налоги ТОР'!$C$25:$L$25</c:f>
              <c:strCache>
                <c:ptCount val="10"/>
                <c:pt idx="0">
                  <c:v>2 год</c:v>
                </c:pt>
                <c:pt idx="1">
                  <c:v>3 год</c:v>
                </c:pt>
                <c:pt idx="2">
                  <c:v>4 год</c:v>
                </c:pt>
                <c:pt idx="3">
                  <c:v>5 год</c:v>
                </c:pt>
                <c:pt idx="4">
                  <c:v>6 год</c:v>
                </c:pt>
                <c:pt idx="5">
                  <c:v>7 год</c:v>
                </c:pt>
                <c:pt idx="6">
                  <c:v>8 год</c:v>
                </c:pt>
                <c:pt idx="7">
                  <c:v>9 год</c:v>
                </c:pt>
                <c:pt idx="8">
                  <c:v>10 год</c:v>
                </c:pt>
                <c:pt idx="9">
                  <c:v>11 год</c:v>
                </c:pt>
              </c:strCache>
            </c:strRef>
          </c:cat>
          <c:val>
            <c:numRef>
              <c:f>'Налоги ТОР'!$C$28:$L$28</c:f>
              <c:numCache>
                <c:formatCode>0.000</c:formatCode>
                <c:ptCount val="10"/>
                <c:pt idx="0" formatCode="General">
                  <c:v>0</c:v>
                </c:pt>
                <c:pt idx="1">
                  <c:v>0.37566804599999998</c:v>
                </c:pt>
                <c:pt idx="2">
                  <c:v>0.39160932876000004</c:v>
                </c:pt>
                <c:pt idx="3">
                  <c:v>0.41510588848560009</c:v>
                </c:pt>
                <c:pt idx="4">
                  <c:v>0.44001224179473614</c:v>
                </c:pt>
                <c:pt idx="5">
                  <c:v>0.46641297630242023</c:v>
                </c:pt>
                <c:pt idx="6">
                  <c:v>0.49222391247736552</c:v>
                </c:pt>
                <c:pt idx="7">
                  <c:v>0.52175734722600753</c:v>
                </c:pt>
                <c:pt idx="8">
                  <c:v>0.55306278805956799</c:v>
                </c:pt>
                <c:pt idx="9">
                  <c:v>0.58624655534314207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82A-4097-B13B-2831A4058985}"/>
            </c:ext>
          </c:extLst>
        </c:ser>
        <c:ser>
          <c:idx val="3"/>
          <c:order val="3"/>
          <c:tx>
            <c:strRef>
              <c:f>'Налоги ТОР'!$A$29</c:f>
              <c:strCache>
                <c:ptCount val="1"/>
                <c:pt idx="0">
                  <c:v>Соц. Отчисления</c:v>
                </c:pt>
              </c:strCache>
            </c:strRef>
          </c:tx>
          <c:spPr>
            <a:prstGeom prst="rect">
              <a:avLst/>
            </a:prstGeom>
            <a:solidFill>
              <a:schemeClr val="accent4"/>
            </a:solidFill>
            <a:ln>
              <a:noFill/>
            </a:ln>
            <a:effectLst/>
          </c:spPr>
          <c:invertIfNegative val="0"/>
          <c:cat>
            <c:strRef>
              <c:f>'Налоги ТОР'!$C$25:$L$25</c:f>
              <c:strCache>
                <c:ptCount val="10"/>
                <c:pt idx="0">
                  <c:v>2 год</c:v>
                </c:pt>
                <c:pt idx="1">
                  <c:v>3 год</c:v>
                </c:pt>
                <c:pt idx="2">
                  <c:v>4 год</c:v>
                </c:pt>
                <c:pt idx="3">
                  <c:v>5 год</c:v>
                </c:pt>
                <c:pt idx="4">
                  <c:v>6 год</c:v>
                </c:pt>
                <c:pt idx="5">
                  <c:v>7 год</c:v>
                </c:pt>
                <c:pt idx="6">
                  <c:v>8 год</c:v>
                </c:pt>
                <c:pt idx="7">
                  <c:v>9 год</c:v>
                </c:pt>
                <c:pt idx="8">
                  <c:v>10 год</c:v>
                </c:pt>
                <c:pt idx="9">
                  <c:v>11 год</c:v>
                </c:pt>
              </c:strCache>
            </c:strRef>
          </c:cat>
          <c:val>
            <c:numRef>
              <c:f>'Налоги ТОР'!$C$29:$L$29</c:f>
              <c:numCache>
                <c:formatCode>0.00</c:formatCode>
                <c:ptCount val="10"/>
                <c:pt idx="0" formatCode="General">
                  <c:v>0</c:v>
                </c:pt>
                <c:pt idx="1">
                  <c:v>6.0492187920000005</c:v>
                </c:pt>
                <c:pt idx="2">
                  <c:v>6.3059143195200003</c:v>
                </c:pt>
                <c:pt idx="3">
                  <c:v>6.684269178691201</c:v>
                </c:pt>
                <c:pt idx="4">
                  <c:v>7.0853253294126732</c:v>
                </c:pt>
                <c:pt idx="5">
                  <c:v>7.5104448491774338</c:v>
                </c:pt>
                <c:pt idx="6">
                  <c:v>7.9260671034816816</c:v>
                </c:pt>
                <c:pt idx="7">
                  <c:v>8.4016311296905819</c:v>
                </c:pt>
                <c:pt idx="8">
                  <c:v>8.9057289974720177</c:v>
                </c:pt>
                <c:pt idx="9">
                  <c:v>9.440072737320337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A82A-4097-B13B-2831A405898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329222399"/>
        <c:axId val="329215327"/>
      </c:barChart>
      <c:lineChart>
        <c:grouping val="stacked"/>
        <c:varyColors val="0"/>
        <c:ser>
          <c:idx val="4"/>
          <c:order val="4"/>
          <c:tx>
            <c:strRef>
              <c:f>'Налоги ТОР'!$A$30</c:f>
              <c:strCache>
                <c:ptCount val="1"/>
                <c:pt idx="0">
                  <c:v>ИТОГО</c:v>
                </c:pt>
              </c:strCache>
            </c:strRef>
          </c:tx>
          <c:spPr>
            <a:prstGeom prst="rect">
              <a:avLst/>
            </a:prstGeom>
            <a:ln w="28575" cap="rnd">
              <a:solidFill>
                <a:schemeClr val="accent5"/>
              </a:solidFill>
              <a:round/>
            </a:ln>
            <a:effectLst/>
          </c:spPr>
          <c:marker>
            <c:symbol val="circle"/>
            <c:size val="5"/>
            <c:spPr>
              <a:prstGeom prst="rect">
                <a:avLst/>
              </a:prstGeom>
              <a:solidFill>
                <a:schemeClr val="accent5"/>
              </a:solidFill>
              <a:ln w="9525">
                <a:solidFill>
                  <a:schemeClr val="accent5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0"/>
              </c:ext>
            </c:extLst>
          </c:dLbls>
          <c:cat>
            <c:strRef>
              <c:f>'Налоги ТОР'!$C$25:$L$25</c:f>
              <c:strCache>
                <c:ptCount val="10"/>
                <c:pt idx="0">
                  <c:v>2 год</c:v>
                </c:pt>
                <c:pt idx="1">
                  <c:v>3 год</c:v>
                </c:pt>
                <c:pt idx="2">
                  <c:v>4 год</c:v>
                </c:pt>
                <c:pt idx="3">
                  <c:v>5 год</c:v>
                </c:pt>
                <c:pt idx="4">
                  <c:v>6 год</c:v>
                </c:pt>
                <c:pt idx="5">
                  <c:v>7 год</c:v>
                </c:pt>
                <c:pt idx="6">
                  <c:v>8 год</c:v>
                </c:pt>
                <c:pt idx="7">
                  <c:v>9 год</c:v>
                </c:pt>
                <c:pt idx="8">
                  <c:v>10 год</c:v>
                </c:pt>
                <c:pt idx="9">
                  <c:v>11 год</c:v>
                </c:pt>
              </c:strCache>
            </c:strRef>
          </c:cat>
          <c:val>
            <c:numRef>
              <c:f>'Налоги ТОР'!$C$30:$L$30</c:f>
              <c:numCache>
                <c:formatCode>0.00</c:formatCode>
                <c:ptCount val="10"/>
                <c:pt idx="0">
                  <c:v>0</c:v>
                </c:pt>
                <c:pt idx="1">
                  <c:v>32.751897784976002</c:v>
                </c:pt>
                <c:pt idx="2">
                  <c:v>34.691672140674562</c:v>
                </c:pt>
                <c:pt idx="3">
                  <c:v>36.892746666515038</c:v>
                </c:pt>
                <c:pt idx="4">
                  <c:v>45.606920527786457</c:v>
                </c:pt>
                <c:pt idx="5">
                  <c:v>49.195340514165032</c:v>
                </c:pt>
                <c:pt idx="6">
                  <c:v>52.229605148069723</c:v>
                </c:pt>
                <c:pt idx="7">
                  <c:v>55.478011639665283</c:v>
                </c:pt>
                <c:pt idx="8">
                  <c:v>65.817750599633698</c:v>
                </c:pt>
                <c:pt idx="9">
                  <c:v>64.145496235169674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8-A82A-4097-B13B-2831A405898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29222399"/>
        <c:axId val="329215327"/>
      </c:lineChart>
      <c:catAx>
        <c:axId val="32922239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prstGeom prst="rect">
            <a:avLst/>
          </a:prstGeom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329215327"/>
        <c:crosses val="autoZero"/>
        <c:auto val="1"/>
        <c:lblAlgn val="ctr"/>
        <c:lblOffset val="100"/>
        <c:noMultiLvlLbl val="0"/>
      </c:catAx>
      <c:valAx>
        <c:axId val="329215327"/>
        <c:scaling>
          <c:orientation val="minMax"/>
        </c:scaling>
        <c:delete val="0"/>
        <c:axPos val="l"/>
        <c:majorGridlines>
          <c:spPr>
            <a:prstGeom prst="rect">
              <a:avLst/>
            </a:prstGeom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prstGeom prst="rect">
            <a:avLst/>
          </a:prstGeom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329222399"/>
        <c:crosses val="autoZero"/>
        <c:crossBetween val="between"/>
      </c:valAx>
      <c:spPr>
        <a:prstGeom prst="rect">
          <a:avLst/>
        </a:prstGeom>
        <a:noFill/>
        <a:ln>
          <a:noFill/>
        </a:ln>
        <a:effectLst/>
      </c:spPr>
    </c:plotArea>
    <c:legend>
      <c:legendPos val="b"/>
      <c:overlay val="0"/>
      <c:spPr>
        <a:prstGeom prst="rect">
          <a:avLst/>
        </a:prstGeom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legend>
    <c:plotVisOnly val="1"/>
    <c:dispBlanksAs val="gap"/>
    <c:showDLblsOverMax val="0"/>
  </c:chart>
  <c:spPr>
    <a:xfrm>
      <a:off x="0" y="0"/>
      <a:ext cx="0" cy="0"/>
    </a:xfrm>
    <a:prstGeom prst="rect">
      <a:avLst/>
    </a:prstGeom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'NPV, IRR, DPI ТОР'!$A$38</c:f>
              <c:strCache>
                <c:ptCount val="1"/>
                <c:pt idx="0">
                  <c:v>Чистая прибыль, млн руб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'NPV, IRR, DPI ТОР'!$B$37:$L$37</c:f>
              <c:strCache>
                <c:ptCount val="11"/>
                <c:pt idx="0">
                  <c:v>1 год</c:v>
                </c:pt>
                <c:pt idx="1">
                  <c:v>2 год</c:v>
                </c:pt>
                <c:pt idx="2">
                  <c:v>3 год</c:v>
                </c:pt>
                <c:pt idx="3">
                  <c:v>4 год</c:v>
                </c:pt>
                <c:pt idx="4">
                  <c:v>5 год</c:v>
                </c:pt>
                <c:pt idx="5">
                  <c:v>6 год</c:v>
                </c:pt>
                <c:pt idx="6">
                  <c:v>7 год</c:v>
                </c:pt>
                <c:pt idx="7">
                  <c:v>8 год</c:v>
                </c:pt>
                <c:pt idx="8">
                  <c:v>9 год</c:v>
                </c:pt>
                <c:pt idx="9">
                  <c:v>10 год</c:v>
                </c:pt>
                <c:pt idx="10">
                  <c:v>11 год</c:v>
                </c:pt>
              </c:strCache>
            </c:strRef>
          </c:cat>
          <c:val>
            <c:numRef>
              <c:f>'NPV, IRR, DPI ТОР'!$B$38:$L$38</c:f>
              <c:numCache>
                <c:formatCode>#\ ##0.0</c:formatCode>
                <c:ptCount val="11"/>
                <c:pt idx="0">
                  <c:v>-8.3089337748751309</c:v>
                </c:pt>
                <c:pt idx="1">
                  <c:v>58.569372932871019</c:v>
                </c:pt>
                <c:pt idx="2">
                  <c:v>63.234901496056118</c:v>
                </c:pt>
                <c:pt idx="3">
                  <c:v>69.687827992105113</c:v>
                </c:pt>
                <c:pt idx="4">
                  <c:v>76.083439083817922</c:v>
                </c:pt>
                <c:pt idx="5">
                  <c:v>76.046481157660182</c:v>
                </c:pt>
                <c:pt idx="6">
                  <c:v>80.670005241648056</c:v>
                </c:pt>
                <c:pt idx="7">
                  <c:v>86.414580255053863</c:v>
                </c:pt>
                <c:pt idx="8">
                  <c:v>92.365967962640624</c:v>
                </c:pt>
                <c:pt idx="9">
                  <c:v>99.108600128230577</c:v>
                </c:pt>
                <c:pt idx="10">
                  <c:v>115.02508833174615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938-4F6F-90ED-3327C8FA6AC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394783311"/>
        <c:axId val="139310159"/>
      </c:barChart>
      <c:catAx>
        <c:axId val="39478331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139310159"/>
        <c:crosses val="autoZero"/>
        <c:auto val="1"/>
        <c:lblAlgn val="ctr"/>
        <c:lblOffset val="100"/>
        <c:noMultiLvlLbl val="0"/>
      </c:catAx>
      <c:valAx>
        <c:axId val="13931015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\ ##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394783311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ru-RU"/>
              <a:t>Структура выручки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'выручка по кв и годам'!$P$15</c:f>
              <c:strCache>
                <c:ptCount val="1"/>
                <c:pt idx="0">
                  <c:v>доли в выручке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8460-4849-941D-9E3F2C357AD1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8460-4849-941D-9E3F2C357AD1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8460-4849-941D-9E3F2C357AD1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8460-4849-941D-9E3F2C357AD1}"/>
              </c:ext>
            </c:extLst>
          </c:dPt>
          <c:dLbls>
            <c:dLbl>
              <c:idx val="0"/>
              <c:layout>
                <c:manualLayout>
                  <c:x val="0.10555555555555556"/>
                  <c:y val="-8.3333333333333356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8460-4849-941D-9E3F2C357AD1}"/>
                </c:ext>
              </c:extLst>
            </c:dLbl>
            <c:dLbl>
              <c:idx val="1"/>
              <c:layout>
                <c:manualLayout>
                  <c:x val="0.05"/>
                  <c:y val="0.1111111111111111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8460-4849-941D-9E3F2C357AD1}"/>
                </c:ext>
              </c:extLst>
            </c:dLbl>
            <c:dLbl>
              <c:idx val="2"/>
              <c:layout>
                <c:manualLayout>
                  <c:x val="-0.19722222222222222"/>
                  <c:y val="-3.2407407407407447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8460-4849-941D-9E3F2C357AD1}"/>
                </c:ext>
              </c:extLst>
            </c:dLbl>
            <c:dLbl>
              <c:idx val="3"/>
              <c:layout>
                <c:manualLayout>
                  <c:x val="-5.5555555555555558E-3"/>
                  <c:y val="-9.7222222222222238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8460-4849-941D-9E3F2C357AD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'выручка по кв и годам'!$B$16:$B$19</c:f>
              <c:strCache>
                <c:ptCount val="4"/>
                <c:pt idx="0">
                  <c:v>Ответственное хранение (капуста , морковь, лук)</c:v>
                </c:pt>
                <c:pt idx="1">
                  <c:v>Реализация картофеля </c:v>
                </c:pt>
                <c:pt idx="2">
                  <c:v>Переработка дикоросов</c:v>
                </c:pt>
                <c:pt idx="3">
                  <c:v>Услуги первичной переработки</c:v>
                </c:pt>
              </c:strCache>
            </c:strRef>
          </c:cat>
          <c:val>
            <c:numRef>
              <c:f>'выручка по кв и годам'!$P$16:$P$19</c:f>
              <c:numCache>
                <c:formatCode>0.0%</c:formatCode>
                <c:ptCount val="4"/>
                <c:pt idx="0">
                  <c:v>0.17579235481034208</c:v>
                </c:pt>
                <c:pt idx="1">
                  <c:v>0.60544231875676346</c:v>
                </c:pt>
                <c:pt idx="2">
                  <c:v>0.11256856602857675</c:v>
                </c:pt>
                <c:pt idx="3">
                  <c:v>0.10619676040431769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460-4849-941D-9E3F2C357AD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22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ru-RU"/>
              <a:t>Структура</a:t>
            </a:r>
            <a:r>
              <a:rPr lang="ru-RU" baseline="0"/>
              <a:t> вложений, %</a:t>
            </a:r>
            <a:endParaRPr lang="ru-RU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title>
    <c:autoTitleDeleted val="0"/>
    <c:plotArea>
      <c:layout>
        <c:manualLayout>
          <c:layoutTarget val="inner"/>
          <c:xMode val="edge"/>
          <c:yMode val="edge"/>
          <c:x val="0.31160749167064217"/>
          <c:y val="0.21521135328284333"/>
          <c:w val="0.47888024250405786"/>
          <c:h val="0.62767843143298874"/>
        </c:manualLayout>
      </c:layout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F366-4CA1-96E7-29A175D4E86A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F366-4CA1-96E7-29A175D4E86A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F366-4CA1-96E7-29A175D4E86A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F366-4CA1-96E7-29A175D4E86A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F366-4CA1-96E7-29A175D4E86A}"/>
              </c:ext>
            </c:extLst>
          </c:dPt>
          <c:dPt>
            <c:idx val="5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B-F366-4CA1-96E7-29A175D4E86A}"/>
              </c:ext>
            </c:extLst>
          </c:dPt>
          <c:dPt>
            <c:idx val="6"/>
            <c:bubble3D val="0"/>
            <c:spPr>
              <a:solidFill>
                <a:schemeClr val="accent1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D-F366-4CA1-96E7-29A175D4E86A}"/>
              </c:ext>
            </c:extLst>
          </c:dPt>
          <c:dPt>
            <c:idx val="7"/>
            <c:bubble3D val="0"/>
            <c:spPr>
              <a:solidFill>
                <a:schemeClr val="accent2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F-F366-4CA1-96E7-29A175D4E86A}"/>
              </c:ext>
            </c:extLst>
          </c:dPt>
          <c:dLbls>
            <c:dLbl>
              <c:idx val="0"/>
              <c:layout>
                <c:manualLayout>
                  <c:x val="0.11885712859607006"/>
                  <c:y val="-0.12383192010718051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F366-4CA1-96E7-29A175D4E86A}"/>
                </c:ext>
              </c:extLst>
            </c:dLbl>
            <c:dLbl>
              <c:idx val="1"/>
              <c:layout>
                <c:manualLayout>
                  <c:x val="0.1400911996482026"/>
                  <c:y val="-0.1314293361130284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F366-4CA1-96E7-29A175D4E86A}"/>
                </c:ext>
              </c:extLst>
            </c:dLbl>
            <c:dLbl>
              <c:idx val="2"/>
              <c:layout>
                <c:manualLayout>
                  <c:x val="1.9723214484874942E-2"/>
                  <c:y val="0.13453501148032848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F366-4CA1-96E7-29A175D4E86A}"/>
                </c:ext>
              </c:extLst>
            </c:dLbl>
            <c:dLbl>
              <c:idx val="3"/>
              <c:layout>
                <c:manualLayout>
                  <c:x val="-0.10514284452729275"/>
                  <c:y val="0.10385902976731254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F366-4CA1-96E7-29A175D4E86A}"/>
                </c:ext>
              </c:extLst>
            </c:dLbl>
            <c:dLbl>
              <c:idx val="4"/>
              <c:layout>
                <c:manualLayout>
                  <c:x val="-0.17828569289410512"/>
                  <c:y val="6.1915960053590104E-2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F366-4CA1-96E7-29A175D4E86A}"/>
                </c:ext>
              </c:extLst>
            </c:dLbl>
            <c:dLbl>
              <c:idx val="5"/>
              <c:layout>
                <c:manualLayout>
                  <c:x val="-0.20114283300873395"/>
                  <c:y val="-1.5978312271894259E-2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F366-4CA1-96E7-29A175D4E86A}"/>
                </c:ext>
              </c:extLst>
            </c:dLbl>
            <c:dLbl>
              <c:idx val="6"/>
              <c:layout>
                <c:manualLayout>
                  <c:x val="-0.19941188654534331"/>
                  <c:y val="-0.15737487850572607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F366-4CA1-96E7-29A175D4E86A}"/>
                </c:ext>
              </c:extLst>
            </c:dLbl>
            <c:dLbl>
              <c:idx val="7"/>
              <c:layout>
                <c:manualLayout>
                  <c:x val="-7.9238085730713378E-2"/>
                  <c:y val="-0.13581565431110121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F366-4CA1-96E7-29A175D4E86A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('Расходы на П, строит-во, ввод'!$V$2:$V$8,'Расходы на П, строит-во, ввод'!$V$13)</c:f>
              <c:strCache>
                <c:ptCount val="8"/>
                <c:pt idx="0">
                  <c:v>Благоустройство территории, подготовка площадки</c:v>
                </c:pt>
                <c:pt idx="1">
                  <c:v>Возведение здания "Под ключ" (с технолологическим оборудованием) посекционно в три этапа* </c:v>
                </c:pt>
                <c:pt idx="2">
                  <c:v>Приобретение техники (погрузчик, кара, 3 газели)</c:v>
                </c:pt>
                <c:pt idx="3">
                  <c:v>Подключение к инженерным сетям (водоотведение, водоснабжение)</c:v>
                </c:pt>
                <c:pt idx="4">
                  <c:v>Приобретение дизельного электрогенератора, для создания резервных мощностей</c:v>
                </c:pt>
                <c:pt idx="5">
                  <c:v>Приоретение линий первичной перарботки и фасовки овощей, ягод, грибов, орехов</c:v>
                </c:pt>
                <c:pt idx="6">
                  <c:v>Прочие расходы, инвентарь, контейнеры, стеллажи, тара</c:v>
                </c:pt>
                <c:pt idx="7">
                  <c:v>Операционные р-ды</c:v>
                </c:pt>
              </c:strCache>
            </c:strRef>
          </c:cat>
          <c:val>
            <c:numRef>
              <c:f>('Расходы на П, строит-во, ввод'!$AB$2:$AB$8,'Расходы на П, строит-во, ввод'!$AB$13)</c:f>
              <c:numCache>
                <c:formatCode>0.0%</c:formatCode>
                <c:ptCount val="8"/>
                <c:pt idx="0">
                  <c:v>2.1367712566242862E-2</c:v>
                </c:pt>
                <c:pt idx="1">
                  <c:v>0.49145738902358588</c:v>
                </c:pt>
                <c:pt idx="2">
                  <c:v>8.9032135692678593E-2</c:v>
                </c:pt>
                <c:pt idx="3">
                  <c:v>8.5470850264971449E-2</c:v>
                </c:pt>
                <c:pt idx="4">
                  <c:v>8.5470850264971449E-2</c:v>
                </c:pt>
                <c:pt idx="5">
                  <c:v>2.4928997993950007E-2</c:v>
                </c:pt>
                <c:pt idx="6">
                  <c:v>1.0683856283121431E-2</c:v>
                </c:pt>
                <c:pt idx="7">
                  <c:v>0.19158820791047823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F366-4CA1-96E7-29A175D4E86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2074335654068758"/>
          <c:y val="0.21575667984030733"/>
          <c:w val="0.45252702587838933"/>
          <c:h val="0.58892086765016438"/>
        </c:manualLayout>
      </c:layout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B-A0C4-4889-8038-F3DB87DAF2C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A0C4-4889-8038-F3DB87DAF2C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0C4-4889-8038-F3DB87DAF2C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D-A0C4-4889-8038-F3DB87DAF2C2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4-A0C4-4889-8038-F3DB87DAF2C2}"/>
              </c:ext>
            </c:extLst>
          </c:dPt>
          <c:dPt>
            <c:idx val="5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0C4-4889-8038-F3DB87DAF2C2}"/>
              </c:ext>
            </c:extLst>
          </c:dPt>
          <c:dPt>
            <c:idx val="6"/>
            <c:bubble3D val="0"/>
            <c:spPr>
              <a:solidFill>
                <a:schemeClr val="accent1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6-A0C4-4889-8038-F3DB87DAF2C2}"/>
              </c:ext>
            </c:extLst>
          </c:dPt>
          <c:dPt>
            <c:idx val="7"/>
            <c:bubble3D val="0"/>
            <c:spPr>
              <a:solidFill>
                <a:schemeClr val="accent2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8-A0C4-4889-8038-F3DB87DAF2C2}"/>
              </c:ext>
            </c:extLst>
          </c:dPt>
          <c:dPt>
            <c:idx val="8"/>
            <c:bubble3D val="0"/>
            <c:spPr>
              <a:solidFill>
                <a:schemeClr val="accent3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A0C4-4889-8038-F3DB87DAF2C2}"/>
              </c:ext>
            </c:extLst>
          </c:dPt>
          <c:dPt>
            <c:idx val="9"/>
            <c:bubble3D val="0"/>
            <c:spPr>
              <a:solidFill>
                <a:schemeClr val="accent4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0C4-4889-8038-F3DB87DAF2C2}"/>
              </c:ext>
            </c:extLst>
          </c:dPt>
          <c:dPt>
            <c:idx val="10"/>
            <c:bubble3D val="0"/>
            <c:spPr>
              <a:solidFill>
                <a:schemeClr val="accent5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A-A0C4-4889-8038-F3DB87DAF2C2}"/>
              </c:ext>
            </c:extLst>
          </c:dPt>
          <c:dPt>
            <c:idx val="11"/>
            <c:bubble3D val="0"/>
            <c:spPr>
              <a:solidFill>
                <a:schemeClr val="accent6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C-A0C4-4889-8038-F3DB87DAF2C2}"/>
              </c:ext>
            </c:extLst>
          </c:dPt>
          <c:dPt>
            <c:idx val="12"/>
            <c:bubble3D val="0"/>
            <c:spPr>
              <a:solidFill>
                <a:schemeClr val="accent1">
                  <a:lumMod val="80000"/>
                  <a:lumOff val="2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A0C4-4889-8038-F3DB87DAF2C2}"/>
              </c:ext>
            </c:extLst>
          </c:dPt>
          <c:dLbls>
            <c:dLbl>
              <c:idx val="0"/>
              <c:layout>
                <c:manualLayout>
                  <c:x val="1.1348812387451862E-2"/>
                  <c:y val="-0.17552732194548454"/>
                </c:manualLayout>
              </c:layout>
              <c:tx>
                <c:rich>
                  <a:bodyPr/>
                  <a:lstStyle/>
                  <a:p>
                    <a:fld id="{C5C807C7-518C-4AD5-B40E-24C5E5718C71}" type="CATEGORYNAME">
                      <a:rPr lang="ru-RU"/>
                      <a:pPr/>
                      <a:t>[ИМЯ КАТЕГОРИИ]</a:t>
                    </a:fld>
                    <a:r>
                      <a:rPr lang="ru-RU" baseline="0"/>
                      <a:t>
0,029%</a:t>
                    </a:r>
                  </a:p>
                </c:rich>
              </c:tx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0"/>
                </c:ext>
                <c:ext xmlns:c16="http://schemas.microsoft.com/office/drawing/2014/chart" uri="{C3380CC4-5D6E-409C-BE32-E72D297353CC}">
                  <c16:uniqueId val="{0000000B-A0C4-4889-8038-F3DB87DAF2C2}"/>
                </c:ext>
              </c:extLst>
            </c:dLbl>
            <c:dLbl>
              <c:idx val="1"/>
              <c:layout>
                <c:manualLayout>
                  <c:x val="0.13542688910696762"/>
                  <c:y val="0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A0C4-4889-8038-F3DB87DAF2C2}"/>
                </c:ext>
              </c:extLst>
            </c:dLbl>
            <c:dLbl>
              <c:idx val="2"/>
              <c:layout>
                <c:manualLayout>
                  <c:x val="0.28851815505397432"/>
                  <c:y val="4.8531289910600253E-2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A0C4-4889-8038-F3DB87DAF2C2}"/>
                </c:ext>
              </c:extLst>
            </c:dLbl>
            <c:dLbl>
              <c:idx val="3"/>
              <c:layout>
                <c:manualLayout>
                  <c:x val="-0.15701668302257116"/>
                  <c:y val="0.10472541507024266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A0C4-4889-8038-F3DB87DAF2C2}"/>
                </c:ext>
              </c:extLst>
            </c:dLbl>
            <c:dLbl>
              <c:idx val="4"/>
              <c:layout>
                <c:manualLayout>
                  <c:x val="-0.17271835132482827"/>
                  <c:y val="8.6845466155810985E-2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A0C4-4889-8038-F3DB87DAF2C2}"/>
                </c:ext>
              </c:extLst>
            </c:dLbl>
            <c:dLbl>
              <c:idx val="5"/>
              <c:layout>
                <c:manualLayout>
                  <c:x val="-0.15112855740922473"/>
                  <c:y val="7.151979565772669E-2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0C4-4889-8038-F3DB87DAF2C2}"/>
                </c:ext>
              </c:extLst>
            </c:dLbl>
            <c:dLbl>
              <c:idx val="6"/>
              <c:layout>
                <c:manualLayout>
                  <c:x val="-0.17075564278704614"/>
                  <c:y val="5.108556832694764E-2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A0C4-4889-8038-F3DB87DAF2C2}"/>
                </c:ext>
              </c:extLst>
            </c:dLbl>
            <c:dLbl>
              <c:idx val="7"/>
              <c:layout>
                <c:manualLayout>
                  <c:x val="-0.17860647693817469"/>
                  <c:y val="2.554278416347382E-3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8-A0C4-4889-8038-F3DB87DAF2C2}"/>
                </c:ext>
              </c:extLst>
            </c:dLbl>
            <c:dLbl>
              <c:idx val="8"/>
              <c:layout>
                <c:manualLayout>
                  <c:x val="-0.19306541999534427"/>
                  <c:y val="-0.10710024797715843"/>
                </c:manualLayout>
              </c:layout>
              <c:tx>
                <c:rich>
                  <a:bodyPr/>
                  <a:lstStyle/>
                  <a:p>
                    <a:fld id="{55B431EE-1A1F-4F83-B957-FD297FE55E14}" type="CATEGORYNAME">
                      <a:rPr lang="ru-RU"/>
                      <a:pPr/>
                      <a:t>[ИМЯ КАТЕГОРИИ]</a:t>
                    </a:fld>
                    <a:r>
                      <a:rPr lang="ru-RU" baseline="0"/>
                      <a:t>
0,35%</a:t>
                    </a:r>
                  </a:p>
                </c:rich>
              </c:tx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0"/>
                </c:ext>
                <c:ext xmlns:c16="http://schemas.microsoft.com/office/drawing/2014/chart" uri="{C3380CC4-5D6E-409C-BE32-E72D297353CC}">
                  <c16:uniqueId val="{00000009-A0C4-4889-8038-F3DB87DAF2C2}"/>
                </c:ext>
              </c:extLst>
            </c:dLbl>
            <c:dLbl>
              <c:idx val="9"/>
              <c:layout>
                <c:manualLayout>
                  <c:x val="-0.20205674230407569"/>
                  <c:y val="-0.21766333065787841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A0C4-4889-8038-F3DB87DAF2C2}"/>
                </c:ext>
              </c:extLst>
            </c:dLbl>
            <c:dLbl>
              <c:idx val="10"/>
              <c:layout>
                <c:manualLayout>
                  <c:x val="-2.8452646676101555E-2"/>
                  <c:y val="-9.2954298602278468E-2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A-A0C4-4889-8038-F3DB87DAF2C2}"/>
                </c:ext>
              </c:extLst>
            </c:dLbl>
            <c:dLbl>
              <c:idx val="11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C-A0C4-4889-8038-F3DB87DAF2C2}"/>
                </c:ext>
              </c:extLst>
            </c:dLbl>
            <c:dLbl>
              <c:idx val="12"/>
              <c:layout>
                <c:manualLayout>
                  <c:x val="0.3042198233562316"/>
                  <c:y val="-3.5759897828863373E-2"/>
                </c:manualLayout>
              </c:layout>
              <c:tx>
                <c:rich>
                  <a:bodyPr/>
                  <a:lstStyle/>
                  <a:p>
                    <a:fld id="{A1B96253-5004-412E-BC73-9A815B3EC3DD}" type="CATEGORYNAME">
                      <a:rPr lang="ru-RU"/>
                      <a:pPr/>
                      <a:t>[ИМЯ КАТЕГОРИИ]</a:t>
                    </a:fld>
                    <a:r>
                      <a:rPr lang="ru-RU" baseline="0"/>
                      <a:t>
0,04%</a:t>
                    </a:r>
                  </a:p>
                </c:rich>
              </c:tx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0"/>
                </c:ext>
                <c:ext xmlns:c16="http://schemas.microsoft.com/office/drawing/2014/chart" uri="{C3380CC4-5D6E-409C-BE32-E72D297353CC}">
                  <c16:uniqueId val="{00000002-A0C4-4889-8038-F3DB87DAF2C2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5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('Расходы ТОР'!$A$25:$A$36,'Расходы ТОР'!$A$40)</c:f>
              <c:strCache>
                <c:ptCount val="13"/>
                <c:pt idx="0">
                  <c:v>Арендная плата за зем. Участок</c:v>
                </c:pt>
                <c:pt idx="1">
                  <c:v>Заработная плата и страховые взносы</c:v>
                </c:pt>
                <c:pt idx="2">
                  <c:v>Запасные части, комлектующие, обслуживание оборудования</c:v>
                </c:pt>
                <c:pt idx="3">
                  <c:v>Расходы на спецодежду, средства защиты</c:v>
                </c:pt>
                <c:pt idx="4">
                  <c:v>Расходы на товарооборот (закуп картофеля (август-октябрь))</c:v>
                </c:pt>
                <c:pt idx="5">
                  <c:v>Расходы на ДТ </c:v>
                </c:pt>
                <c:pt idx="6">
                  <c:v>Расходы на эл. Энергию</c:v>
                </c:pt>
                <c:pt idx="7">
                  <c:v>Коммунальные (в/с, в/о)</c:v>
                </c:pt>
                <c:pt idx="8">
                  <c:v>Расходы на маркетинг</c:v>
                </c:pt>
                <c:pt idx="9">
                  <c:v>Расходы на тару, упаковку</c:v>
                </c:pt>
                <c:pt idx="10">
                  <c:v>Амортизация</c:v>
                </c:pt>
                <c:pt idx="11">
                  <c:v> Налоги</c:v>
                </c:pt>
                <c:pt idx="12">
                  <c:v>Обновление основных средств, МБП</c:v>
                </c:pt>
              </c:strCache>
            </c:strRef>
          </c:cat>
          <c:val>
            <c:numRef>
              <c:f>('Расходы ТОР'!$G$25:$G$36,'Расходы ТОР'!$G$40)</c:f>
              <c:numCache>
                <c:formatCode>0.0</c:formatCode>
                <c:ptCount val="13"/>
                <c:pt idx="0">
                  <c:v>10.769648399999999</c:v>
                </c:pt>
                <c:pt idx="1">
                  <c:v>29650.055677860681</c:v>
                </c:pt>
                <c:pt idx="2">
                  <c:v>1232</c:v>
                </c:pt>
                <c:pt idx="3">
                  <c:v>1779.0033406716407</c:v>
                </c:pt>
                <c:pt idx="4">
                  <c:v>38219.722496256007</c:v>
                </c:pt>
                <c:pt idx="5">
                  <c:v>2811.4606242424575</c:v>
                </c:pt>
                <c:pt idx="6">
                  <c:v>8331.639650000001</c:v>
                </c:pt>
                <c:pt idx="7">
                  <c:v>445.8768</c:v>
                </c:pt>
                <c:pt idx="8">
                  <c:v>140</c:v>
                </c:pt>
                <c:pt idx="9">
                  <c:v>2008.1861601731844</c:v>
                </c:pt>
                <c:pt idx="10">
                  <c:v>4288.181818181818</c:v>
                </c:pt>
                <c:pt idx="11">
                  <c:v>299.80500000000001</c:v>
                </c:pt>
                <c:pt idx="12">
                  <c:v>246.25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0C4-4889-8038-F3DB87DAF2C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5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cap="all"/>
  </cs:categoryAxis>
  <cs:chartArea>
    <cs:lnRef idx="0"/>
    <cs:fillRef idx="0"/>
    <cs:effectRef idx="0"/>
    <cs:fontRef idx="minor">
      <a:schemeClr val="dk1"/>
    </cs:fontRef>
    <cs:spPr bwMode="auto">
      <a:prstGeom prst="rect">
        <a:avLst/>
      </a:prstGeom>
      <a:gradFill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/>
  </cs:chartArea>
  <cs:dataLabel>
    <cs:lnRef idx="0"/>
    <cs:fillRef idx="0"/>
    <cs:effectRef idx="0"/>
    <cs:fontRef idx="minor">
      <a:schemeClr val="lt1"/>
    </cs:fontRef>
    <cs:defRPr sz="900" b="1" i="0" u="none" strike="noStrike"/>
  </cs:dataLabel>
  <cs:dataLabelCallout>
    <cs:lnRef idx="0"/>
    <cs:fillRef idx="0"/>
    <cs:effectRef idx="0"/>
    <cs:fontRef idx="minor">
      <a:schemeClr val="lt1"/>
    </cs:fontRef>
    <cs:spPr bwMode="auto">
      <a:prstGeom prst="rect">
        <a:avLst/>
      </a:prstGeom>
      <a:solidFill>
        <a:schemeClr val="dk1">
          <a:lumMod val="65000"/>
          <a:lumOff val="35000"/>
          <a:alpha val="75000"/>
        </a:schemeClr>
      </a:solidFill>
    </cs:spPr>
    <cs:defRPr sz="900" b="1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 bwMode="auto">
      <a:prstGeom prst="rect">
        <a:avLst/>
      </a:prstGeom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 bwMode="auto">
      <a:prstGeom prst="rect">
        <a:avLst/>
      </a:prstGeom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 bwMode="auto">
      <a:prstGeom prst="rect">
        <a:avLst/>
      </a:prstGeom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 bwMode="auto">
      <a:prstGeom prst="rect">
        <a:avLst/>
      </a:prstGeom>
      <a:solidFill>
        <a:schemeClr val="phClr">
          <a:alpha val="85000"/>
        </a:schemeClr>
      </a:solidFill>
    </cs:spPr>
  </cs:dataPointMarker>
  <cs:dataPointMarkerLayout/>
  <cs:dataPointWireframe>
    <cs:lnRef idx="0">
      <cs:styleClr val="auto"/>
    </cs:lnRef>
    <cs:fillRef idx="0"/>
    <cs:effectRef idx="0"/>
    <cs:fontRef idx="minor">
      <a:schemeClr val="dk1"/>
    </cs:fontRef>
    <cs:spPr bwMode="auto">
      <a:prstGeom prst="rect">
        <a:avLst/>
      </a:prstGeom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ln w="9525">
        <a:solidFill>
          <a:schemeClr val="dk1">
            <a:lumMod val="35000"/>
            <a:lumOff val="6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 bwMode="auto">
      <a:prstGeom prst="rect">
        <a:avLst/>
      </a:prstGeom>
      <a:ln w="9525" cap="flat" cmpd="sng" algn="ctr">
        <a:gradFill>
          <a:gsLst>
            <a:gs pos="0">
              <a:schemeClr val="lt1">
                <a:lumMod val="75000"/>
                <a:alpha val="36000"/>
              </a:schemeClr>
            </a:gs>
            <a:gs pos="100000">
              <a:schemeClr val="dk1">
                <a:lumMod val="95000"/>
                <a:lumOff val="5000"/>
                <a:alpha val="42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 bwMode="auto">
      <a:prstGeom prst="rect">
        <a:avLst/>
      </a:prstGeom>
      <a:ln>
        <a:gradFill>
          <a:gsLst>
            <a:gs pos="0">
              <a:schemeClr val="lt1">
                <a:lumMod val="75000"/>
                <a:alpha val="36000"/>
              </a:schemeClr>
            </a:gs>
            <a:gs pos="100000">
              <a:schemeClr val="dk1">
                <a:lumMod val="95000"/>
                <a:lumOff val="5000"/>
                <a:alpha val="42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solidFill>
        <a:schemeClr val="lt1">
          <a:lumMod val="95000"/>
          <a:alpha val="39000"/>
        </a:schemeClr>
      </a:solidFill>
    </cs:spPr>
    <cs:defRPr sz="9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/>
  </cs:title>
  <cs:trendline>
    <cs:lnRef idx="0">
      <cs:styleClr val="auto"/>
    </cs:lnRef>
    <cs:fillRef idx="0"/>
    <cs:effectRef idx="0"/>
    <cs:fontRef idx="minor">
      <a:schemeClr val="dk1"/>
    </cs:fontRef>
    <cs:spPr bwMode="auto">
      <a:prstGeom prst="rect">
        <a:avLst/>
      </a:prstGeom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/>
  </cs:trendlineLabel>
  <cs:up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ln>
        <a:noFill/>
      </a:ln>
    </cs:spPr>
    <cs:defRPr sz="900"/>
  </cs:valueAxis>
  <cs:wall>
    <cs:lnRef idx="0"/>
    <cs:fillRef idx="0"/>
    <cs:effectRef idx="0"/>
    <cs:fontRef idx="minor">
      <a:schemeClr val="dk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05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cap="all"/>
  </cs:categoryAxis>
  <cs:chartArea>
    <cs:lnRef idx="0"/>
    <cs:fillRef idx="0"/>
    <cs:effectRef idx="0"/>
    <cs:fontRef idx="minor">
      <a:schemeClr val="dk1"/>
    </cs:fontRef>
    <cs:spPr bwMode="auto">
      <a:prstGeom prst="rect">
        <a:avLst/>
      </a:prstGeom>
      <a:gradFill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/>
  </cs:chartArea>
  <cs:dataLabel>
    <cs:lnRef idx="0"/>
    <cs:fillRef idx="0"/>
    <cs:effectRef idx="0"/>
    <cs:fontRef idx="minor">
      <a:schemeClr val="lt1"/>
    </cs:fontRef>
    <cs:defRPr sz="900" b="1" i="0" u="none" strike="noStrike"/>
  </cs:dataLabel>
  <cs:dataLabelCallout>
    <cs:lnRef idx="0"/>
    <cs:fillRef idx="0"/>
    <cs:effectRef idx="0"/>
    <cs:fontRef idx="minor">
      <a:schemeClr val="lt1"/>
    </cs:fontRef>
    <cs:spPr bwMode="auto">
      <a:prstGeom prst="rect">
        <a:avLst/>
      </a:prstGeom>
      <a:solidFill>
        <a:schemeClr val="dk1">
          <a:lumMod val="65000"/>
          <a:lumOff val="35000"/>
          <a:alpha val="75000"/>
        </a:schemeClr>
      </a:solidFill>
    </cs:spPr>
    <cs:defRPr sz="900" b="1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 bwMode="auto">
      <a:prstGeom prst="rect">
        <a:avLst/>
      </a:prstGeom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 bwMode="auto">
      <a:prstGeom prst="rect">
        <a:avLst/>
      </a:prstGeom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 bwMode="auto">
      <a:prstGeom prst="rect">
        <a:avLst/>
      </a:prstGeom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 bwMode="auto">
      <a:prstGeom prst="rect">
        <a:avLst/>
      </a:prstGeom>
      <a:solidFill>
        <a:schemeClr val="phClr">
          <a:alpha val="85000"/>
        </a:schemeClr>
      </a:solidFill>
    </cs:spPr>
  </cs:dataPointMarker>
  <cs:dataPointMarkerLayout/>
  <cs:dataPointWireframe>
    <cs:lnRef idx="0">
      <cs:styleClr val="auto"/>
    </cs:lnRef>
    <cs:fillRef idx="0"/>
    <cs:effectRef idx="0"/>
    <cs:fontRef idx="minor">
      <a:schemeClr val="dk1"/>
    </cs:fontRef>
    <cs:spPr bwMode="auto">
      <a:prstGeom prst="rect">
        <a:avLst/>
      </a:prstGeom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ln w="9525">
        <a:solidFill>
          <a:schemeClr val="dk1">
            <a:lumMod val="35000"/>
            <a:lumOff val="6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 bwMode="auto">
      <a:prstGeom prst="rect">
        <a:avLst/>
      </a:prstGeom>
      <a:ln w="9525" cap="flat" cmpd="sng" algn="ctr">
        <a:gradFill>
          <a:gsLst>
            <a:gs pos="0">
              <a:schemeClr val="lt1">
                <a:lumMod val="75000"/>
                <a:alpha val="36000"/>
              </a:schemeClr>
            </a:gs>
            <a:gs pos="100000">
              <a:schemeClr val="dk1">
                <a:lumMod val="95000"/>
                <a:lumOff val="5000"/>
                <a:alpha val="42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 bwMode="auto">
      <a:prstGeom prst="rect">
        <a:avLst/>
      </a:prstGeom>
      <a:ln>
        <a:gradFill>
          <a:gsLst>
            <a:gs pos="0">
              <a:schemeClr val="lt1">
                <a:lumMod val="75000"/>
                <a:alpha val="36000"/>
              </a:schemeClr>
            </a:gs>
            <a:gs pos="100000">
              <a:schemeClr val="dk1">
                <a:lumMod val="95000"/>
                <a:lumOff val="5000"/>
                <a:alpha val="42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solidFill>
        <a:schemeClr val="lt1">
          <a:lumMod val="95000"/>
          <a:alpha val="39000"/>
        </a:schemeClr>
      </a:solidFill>
    </cs:spPr>
    <cs:defRPr sz="9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/>
  </cs:title>
  <cs:trendline>
    <cs:lnRef idx="0">
      <cs:styleClr val="auto"/>
    </cs:lnRef>
    <cs:fillRef idx="0"/>
    <cs:effectRef idx="0"/>
    <cs:fontRef idx="minor">
      <a:schemeClr val="dk1"/>
    </cs:fontRef>
    <cs:spPr bwMode="auto">
      <a:prstGeom prst="rect">
        <a:avLst/>
      </a:prstGeom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/>
  </cs:trendlineLabel>
  <cs:up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ln>
        <a:noFill/>
      </a:ln>
    </cs:spPr>
    <cs:defRPr sz="900"/>
  </cs:valueAxis>
  <cs:wall>
    <cs:lnRef idx="0"/>
    <cs:fillRef idx="0"/>
    <cs:effectRef idx="0"/>
    <cs:fontRef idx="minor">
      <a:schemeClr val="dk1"/>
    </cs:fontRef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chart" Target="../charts/chart8.xml"/><Relationship Id="rId3" Type="http://schemas.openxmlformats.org/officeDocument/2006/relationships/chart" Target="../charts/chart3.xml"/><Relationship Id="rId7" Type="http://schemas.openxmlformats.org/officeDocument/2006/relationships/chart" Target="../charts/chart7.xml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chart" Target="../charts/chart6.xml"/><Relationship Id="rId5" Type="http://schemas.openxmlformats.org/officeDocument/2006/relationships/chart" Target="../charts/chart5.xml"/><Relationship Id="rId10" Type="http://schemas.openxmlformats.org/officeDocument/2006/relationships/chart" Target="../charts/chart10.xml"/><Relationship Id="rId4" Type="http://schemas.openxmlformats.org/officeDocument/2006/relationships/chart" Target="../charts/chart4.xml"/><Relationship Id="rId9" Type="http://schemas.openxmlformats.org/officeDocument/2006/relationships/chart" Target="../charts/chart9.xml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.xml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3" Type="http://schemas.openxmlformats.org/officeDocument/2006/relationships/image" Target="../media/image7.png"/><Relationship Id="rId21" Type="http://schemas.openxmlformats.org/officeDocument/2006/relationships/image" Target="../media/image25.png"/><Relationship Id="rId7" Type="http://schemas.openxmlformats.org/officeDocument/2006/relationships/image" Target="../media/image11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15.png"/><Relationship Id="rId5" Type="http://schemas.openxmlformats.org/officeDocument/2006/relationships/image" Target="../media/image9.png"/><Relationship Id="rId15" Type="http://schemas.openxmlformats.org/officeDocument/2006/relationships/image" Target="../media/image19.png"/><Relationship Id="rId10" Type="http://schemas.openxmlformats.org/officeDocument/2006/relationships/image" Target="../media/image14.png"/><Relationship Id="rId19" Type="http://schemas.openxmlformats.org/officeDocument/2006/relationships/image" Target="../media/image23.png"/><Relationship Id="rId4" Type="http://schemas.openxmlformats.org/officeDocument/2006/relationships/image" Target="../media/image8.png"/><Relationship Id="rId9" Type="http://schemas.openxmlformats.org/officeDocument/2006/relationships/image" Target="../media/image13.png"/><Relationship Id="rId14" Type="http://schemas.openxmlformats.org/officeDocument/2006/relationships/image" Target="../media/image1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57150</xdr:colOff>
      <xdr:row>43</xdr:row>
      <xdr:rowOff>161925</xdr:rowOff>
    </xdr:from>
    <xdr:to>
      <xdr:col>1</xdr:col>
      <xdr:colOff>1362075</xdr:colOff>
      <xdr:row>47</xdr:row>
      <xdr:rowOff>76200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3950" y="8353425"/>
          <a:ext cx="1304925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47</xdr:row>
      <xdr:rowOff>152400</xdr:rowOff>
    </xdr:from>
    <xdr:to>
      <xdr:col>1</xdr:col>
      <xdr:colOff>1143000</xdr:colOff>
      <xdr:row>49</xdr:row>
      <xdr:rowOff>133350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0150" y="9867900"/>
          <a:ext cx="1009650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94</xdr:row>
      <xdr:rowOff>0</xdr:rowOff>
    </xdr:from>
    <xdr:to>
      <xdr:col>4</xdr:col>
      <xdr:colOff>622529</xdr:colOff>
      <xdr:row>122</xdr:row>
      <xdr:rowOff>36399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D8620FBB-1C0D-4096-BD68-54A73A505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23098125"/>
          <a:ext cx="6647092" cy="6799149"/>
        </a:xfrm>
        <a:prstGeom prst="rect">
          <a:avLst/>
        </a:prstGeom>
      </xdr:spPr>
    </xdr:pic>
    <xdr:clientData/>
  </xdr:twoCellAnchor>
  <xdr:twoCellAnchor editAs="oneCell">
    <xdr:from>
      <xdr:col>10</xdr:col>
      <xdr:colOff>111123</xdr:colOff>
      <xdr:row>78</xdr:row>
      <xdr:rowOff>111124</xdr:rowOff>
    </xdr:from>
    <xdr:to>
      <xdr:col>18</xdr:col>
      <xdr:colOff>441254</xdr:colOff>
      <xdr:row>92</xdr:row>
      <xdr:rowOff>76229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A5436C83-C45D-06E5-AA8E-834DF56FE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573248" y="17843499"/>
          <a:ext cx="5156131" cy="58864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255337</xdr:colOff>
      <xdr:row>0</xdr:row>
      <xdr:rowOff>8164</xdr:rowOff>
    </xdr:from>
    <xdr:to>
      <xdr:col>11</xdr:col>
      <xdr:colOff>464343</xdr:colOff>
      <xdr:row>12</xdr:row>
      <xdr:rowOff>0</xdr:rowOff>
    </xdr:to>
    <xdr:graphicFrame macro="">
      <xdr:nvGraphicFramePr>
        <xdr:cNvPr id="2" name="Диаграмма 2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11</xdr:col>
      <xdr:colOff>437810</xdr:colOff>
      <xdr:row>0</xdr:row>
      <xdr:rowOff>11904</xdr:rowOff>
    </xdr:from>
    <xdr:to>
      <xdr:col>18</xdr:col>
      <xdr:colOff>285750</xdr:colOff>
      <xdr:row>12</xdr:row>
      <xdr:rowOff>17623</xdr:rowOff>
    </xdr:to>
    <xdr:graphicFrame macro="">
      <xdr:nvGraphicFramePr>
        <xdr:cNvPr id="3" name="Диаграмма 1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4</xdr:col>
      <xdr:colOff>95249</xdr:colOff>
      <xdr:row>13</xdr:row>
      <xdr:rowOff>39685</xdr:rowOff>
    </xdr:from>
    <xdr:to>
      <xdr:col>9</xdr:col>
      <xdr:colOff>561975</xdr:colOff>
      <xdr:row>28</xdr:row>
      <xdr:rowOff>58736</xdr:rowOff>
    </xdr:to>
    <xdr:graphicFrame macro="">
      <xdr:nvGraphicFramePr>
        <xdr:cNvPr id="4" name="Диаграмма 2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4</xdr:col>
      <xdr:colOff>39688</xdr:colOff>
      <xdr:row>29</xdr:row>
      <xdr:rowOff>46567</xdr:rowOff>
    </xdr:from>
    <xdr:to>
      <xdr:col>9</xdr:col>
      <xdr:colOff>583406</xdr:colOff>
      <xdr:row>43</xdr:row>
      <xdr:rowOff>122767</xdr:rowOff>
    </xdr:to>
    <xdr:graphicFrame macro="">
      <xdr:nvGraphicFramePr>
        <xdr:cNvPr id="9" name="Диаграмма 1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12</xdr:col>
      <xdr:colOff>324302</xdr:colOff>
      <xdr:row>45</xdr:row>
      <xdr:rowOff>90601</xdr:rowOff>
    </xdr:from>
    <xdr:to>
      <xdr:col>19</xdr:col>
      <xdr:colOff>559594</xdr:colOff>
      <xdr:row>59</xdr:row>
      <xdr:rowOff>166801</xdr:rowOff>
    </xdr:to>
    <xdr:graphicFrame macro="">
      <xdr:nvGraphicFramePr>
        <xdr:cNvPr id="10" name="Диаграмма 1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67468</xdr:colOff>
      <xdr:row>28</xdr:row>
      <xdr:rowOff>124618</xdr:rowOff>
    </xdr:from>
    <xdr:to>
      <xdr:col>3</xdr:col>
      <xdr:colOff>496094</xdr:colOff>
      <xdr:row>43</xdr:row>
      <xdr:rowOff>10318</xdr:rowOff>
    </xdr:to>
    <xdr:graphicFrame macro="">
      <xdr:nvGraphicFramePr>
        <xdr:cNvPr id="11" name="Диаграмма 1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0</xdr:col>
      <xdr:colOff>71437</xdr:colOff>
      <xdr:row>44</xdr:row>
      <xdr:rowOff>180182</xdr:rowOff>
    </xdr:from>
    <xdr:to>
      <xdr:col>3</xdr:col>
      <xdr:colOff>500062</xdr:colOff>
      <xdr:row>55</xdr:row>
      <xdr:rowOff>142875</xdr:rowOff>
    </xdr:to>
    <xdr:graphicFrame macro="">
      <xdr:nvGraphicFramePr>
        <xdr:cNvPr id="12" name="Диаграмма 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4</xdr:col>
      <xdr:colOff>77600</xdr:colOff>
      <xdr:row>45</xdr:row>
      <xdr:rowOff>24093</xdr:rowOff>
    </xdr:from>
    <xdr:to>
      <xdr:col>11</xdr:col>
      <xdr:colOff>382401</xdr:colOff>
      <xdr:row>60</xdr:row>
      <xdr:rowOff>62193</xdr:rowOff>
    </xdr:to>
    <xdr:graphicFrame macro="">
      <xdr:nvGraphicFramePr>
        <xdr:cNvPr id="6" name="Диаграмма 1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18</xdr:col>
      <xdr:colOff>408214</xdr:colOff>
      <xdr:row>0</xdr:row>
      <xdr:rowOff>38441</xdr:rowOff>
    </xdr:from>
    <xdr:to>
      <xdr:col>25</xdr:col>
      <xdr:colOff>546099</xdr:colOff>
      <xdr:row>12</xdr:row>
      <xdr:rowOff>76200</xdr:rowOff>
    </xdr:to>
    <xdr:graphicFrame macro="">
      <xdr:nvGraphicFramePr>
        <xdr:cNvPr id="7" name="Диаграмма 1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10</xdr:col>
      <xdr:colOff>35717</xdr:colOff>
      <xdr:row>13</xdr:row>
      <xdr:rowOff>1</xdr:rowOff>
    </xdr:from>
    <xdr:to>
      <xdr:col>24</xdr:col>
      <xdr:colOff>571499</xdr:colOff>
      <xdr:row>43</xdr:row>
      <xdr:rowOff>79375</xdr:rowOff>
    </xdr:to>
    <xdr:graphicFrame macro="">
      <xdr:nvGraphicFramePr>
        <xdr:cNvPr id="8" name="Диаграмма 7">
          <a:extLst>
            <a:ext uri="{FF2B5EF4-FFF2-40B4-BE49-F238E27FC236}">
              <a16:creationId xmlns:a16="http://schemas.microsoft.com/office/drawing/2014/main" id="{8DCAEAE1-FBE7-4089-80B0-A32236A553A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753535</xdr:colOff>
      <xdr:row>26</xdr:row>
      <xdr:rowOff>552451</xdr:rowOff>
    </xdr:from>
    <xdr:to>
      <xdr:col>18</xdr:col>
      <xdr:colOff>442384</xdr:colOff>
      <xdr:row>42</xdr:row>
      <xdr:rowOff>152401</xdr:rowOff>
    </xdr:to>
    <xdr:graphicFrame macro="">
      <xdr:nvGraphicFramePr>
        <xdr:cNvPr id="2" name="Диаграмма 1">
          <a:extLst>
            <a:ext uri="{FF2B5EF4-FFF2-40B4-BE49-F238E27FC236}">
              <a16:creationId xmlns:a16="http://schemas.microsoft.com/office/drawing/2014/main" id="{9A608C90-1D41-4024-BAB9-E058FA7C80C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121</xdr:row>
      <xdr:rowOff>142875</xdr:rowOff>
    </xdr:from>
    <xdr:to>
      <xdr:col>8</xdr:col>
      <xdr:colOff>574376</xdr:colOff>
      <xdr:row>479</xdr:row>
      <xdr:rowOff>82550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F060A4FB-0793-EDD7-038C-F07702BC9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4225250"/>
          <a:ext cx="9512001" cy="6813867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428946</xdr:colOff>
      <xdr:row>20</xdr:row>
      <xdr:rowOff>19050</xdr:rowOff>
    </xdr:from>
    <xdr:to>
      <xdr:col>24</xdr:col>
      <xdr:colOff>479101</xdr:colOff>
      <xdr:row>46</xdr:row>
      <xdr:rowOff>38100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4CDB5E12-95DF-45BB-9EC9-2276A1BAC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5534" t="3242" r="24079" b="10406"/>
        <a:stretch/>
      </xdr:blipFill>
      <xdr:spPr bwMode="auto">
        <a:xfrm>
          <a:off x="14221146" y="4867275"/>
          <a:ext cx="7212955" cy="4972050"/>
        </a:xfrm>
        <a:prstGeom prst="rect">
          <a:avLst/>
        </a:prstGeom>
      </xdr:spPr>
    </xdr:pic>
    <xdr:clientData/>
  </xdr:twoCellAnchor>
  <xdr:twoCellAnchor editAs="oneCell">
    <xdr:from>
      <xdr:col>25</xdr:col>
      <xdr:colOff>299944</xdr:colOff>
      <xdr:row>20</xdr:row>
      <xdr:rowOff>45244</xdr:rowOff>
    </xdr:from>
    <xdr:to>
      <xdr:col>37</xdr:col>
      <xdr:colOff>226195</xdr:colOff>
      <xdr:row>57</xdr:row>
      <xdr:rowOff>114301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B521B97-A512-47D9-A37A-5A8600E13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5795" t="3010" r="51296" b="21864"/>
        <a:stretch/>
      </xdr:blipFill>
      <xdr:spPr bwMode="auto">
        <a:xfrm>
          <a:off x="21864544" y="4893469"/>
          <a:ext cx="7241451" cy="7117557"/>
        </a:xfrm>
        <a:prstGeom prst="rect">
          <a:avLst/>
        </a:prstGeom>
      </xdr:spPr>
    </xdr:pic>
    <xdr:clientData/>
  </xdr:twoCellAnchor>
  <xdr:twoCellAnchor editAs="oneCell">
    <xdr:from>
      <xdr:col>38</xdr:col>
      <xdr:colOff>500062</xdr:colOff>
      <xdr:row>20</xdr:row>
      <xdr:rowOff>57150</xdr:rowOff>
    </xdr:from>
    <xdr:to>
      <xdr:col>58</xdr:col>
      <xdr:colOff>390516</xdr:colOff>
      <xdr:row>58</xdr:row>
      <xdr:rowOff>67630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B613507B-B51F-4415-BEF7-88979EAC2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5521" t="2264" r="15412" b="13397"/>
        <a:stretch/>
      </xdr:blipFill>
      <xdr:spPr bwMode="auto">
        <a:xfrm>
          <a:off x="29989462" y="4905375"/>
          <a:ext cx="12082454" cy="7249480"/>
        </a:xfrm>
        <a:prstGeom prst="rect">
          <a:avLst/>
        </a:prstGeom>
      </xdr:spPr>
    </xdr:pic>
    <xdr:clientData/>
  </xdr:twoCellAnchor>
  <xdr:twoCellAnchor editAs="oneCell">
    <xdr:from>
      <xdr:col>25</xdr:col>
      <xdr:colOff>247705</xdr:colOff>
      <xdr:row>58</xdr:row>
      <xdr:rowOff>76200</xdr:rowOff>
    </xdr:from>
    <xdr:to>
      <xdr:col>42</xdr:col>
      <xdr:colOff>214312</xdr:colOff>
      <xdr:row>95</xdr:row>
      <xdr:rowOff>95249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69401A7-8F9A-4103-B34D-295303447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6044" t="2963" r="26760" b="16286"/>
        <a:stretch/>
      </xdr:blipFill>
      <xdr:spPr bwMode="auto">
        <a:xfrm>
          <a:off x="21812305" y="12163425"/>
          <a:ext cx="10329807" cy="7067549"/>
        </a:xfrm>
        <a:prstGeom prst="rect">
          <a:avLst/>
        </a:prstGeom>
      </xdr:spPr>
    </xdr:pic>
    <xdr:clientData/>
  </xdr:twoCellAnchor>
  <xdr:twoCellAnchor editAs="oneCell">
    <xdr:from>
      <xdr:col>38</xdr:col>
      <xdr:colOff>501650</xdr:colOff>
      <xdr:row>60</xdr:row>
      <xdr:rowOff>33338</xdr:rowOff>
    </xdr:from>
    <xdr:to>
      <xdr:col>60</xdr:col>
      <xdr:colOff>79375</xdr:colOff>
      <xdr:row>103</xdr:row>
      <xdr:rowOff>103189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7AE417C9-D2B4-48AE-9DC0-0993214F0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7523" t="3592" r="15879" b="9843"/>
        <a:stretch/>
      </xdr:blipFill>
      <xdr:spPr bwMode="auto">
        <a:xfrm>
          <a:off x="29991050" y="12501563"/>
          <a:ext cx="12988925" cy="8261351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571497</xdr:colOff>
      <xdr:row>106</xdr:row>
      <xdr:rowOff>14286</xdr:rowOff>
    </xdr:from>
    <xdr:to>
      <xdr:col>15</xdr:col>
      <xdr:colOff>373089</xdr:colOff>
      <xdr:row>147</xdr:row>
      <xdr:rowOff>160565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0F38809-4BBE-48B7-8DE4-7705DBE3F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5078" t="3935" r="34757" b="10867"/>
        <a:stretch/>
      </xdr:blipFill>
      <xdr:spPr bwMode="auto">
        <a:xfrm>
          <a:off x="5486397" y="21255036"/>
          <a:ext cx="9917142" cy="7956779"/>
        </a:xfrm>
        <a:prstGeom prst="rect">
          <a:avLst/>
        </a:prstGeom>
      </xdr:spPr>
    </xdr:pic>
    <xdr:clientData/>
  </xdr:twoCellAnchor>
  <xdr:twoCellAnchor editAs="oneCell">
    <xdr:from>
      <xdr:col>12</xdr:col>
      <xdr:colOff>142875</xdr:colOff>
      <xdr:row>205</xdr:row>
      <xdr:rowOff>119062</xdr:rowOff>
    </xdr:from>
    <xdr:to>
      <xdr:col>31</xdr:col>
      <xdr:colOff>238125</xdr:colOff>
      <xdr:row>253</xdr:row>
      <xdr:rowOff>142876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133B3A9-B3C3-4FB5-965B-46F068D94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6381" t="3704" r="14703" b="7164"/>
        <a:stretch/>
      </xdr:blipFill>
      <xdr:spPr bwMode="auto">
        <a:xfrm>
          <a:off x="11172825" y="40209787"/>
          <a:ext cx="14287500" cy="9167814"/>
        </a:xfrm>
        <a:prstGeom prst="rect">
          <a:avLst/>
        </a:prstGeom>
      </xdr:spPr>
    </xdr:pic>
    <xdr:clientData/>
  </xdr:twoCellAnchor>
  <xdr:twoCellAnchor editAs="oneCell">
    <xdr:from>
      <xdr:col>1</xdr:col>
      <xdr:colOff>2181916</xdr:colOff>
      <xdr:row>35</xdr:row>
      <xdr:rowOff>154780</xdr:rowOff>
    </xdr:from>
    <xdr:to>
      <xdr:col>12</xdr:col>
      <xdr:colOff>1695450</xdr:colOff>
      <xdr:row>74</xdr:row>
      <xdr:rowOff>95249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AD4F363-1AD4-4FB8-AD90-658FEF8B2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8252" t="3334" r="22239" b="7543"/>
        <a:stretch/>
      </xdr:blipFill>
      <xdr:spPr bwMode="auto">
        <a:xfrm>
          <a:off x="2515291" y="7870030"/>
          <a:ext cx="10193440" cy="7369969"/>
        </a:xfrm>
        <a:prstGeom prst="rect">
          <a:avLst/>
        </a:prstGeom>
      </xdr:spPr>
    </xdr:pic>
    <xdr:clientData/>
  </xdr:twoCellAnchor>
  <xdr:twoCellAnchor editAs="oneCell">
    <xdr:from>
      <xdr:col>4</xdr:col>
      <xdr:colOff>552449</xdr:colOff>
      <xdr:row>74</xdr:row>
      <xdr:rowOff>76200</xdr:rowOff>
    </xdr:from>
    <xdr:to>
      <xdr:col>15</xdr:col>
      <xdr:colOff>631794</xdr:colOff>
      <xdr:row>103</xdr:row>
      <xdr:rowOff>19050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6CC7C5BD-61BE-4448-99FD-8F3D2412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4182" t="4556" r="19593" b="22771"/>
        <a:stretch/>
      </xdr:blipFill>
      <xdr:spPr bwMode="auto">
        <a:xfrm>
          <a:off x="5467349" y="15220950"/>
          <a:ext cx="10194895" cy="5467350"/>
        </a:xfrm>
        <a:prstGeom prst="rect">
          <a:avLst/>
        </a:prstGeom>
      </xdr:spPr>
    </xdr:pic>
    <xdr:clientData/>
  </xdr:twoCellAnchor>
  <xdr:twoCellAnchor editAs="oneCell">
    <xdr:from>
      <xdr:col>13</xdr:col>
      <xdr:colOff>38099</xdr:colOff>
      <xdr:row>47</xdr:row>
      <xdr:rowOff>76200</xdr:rowOff>
    </xdr:from>
    <xdr:to>
      <xdr:col>24</xdr:col>
      <xdr:colOff>533400</xdr:colOff>
      <xdr:row>74</xdr:row>
      <xdr:rowOff>3126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776EE59B-5EBE-4681-824F-B0DB308DA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6376" t="4667" r="19989" b="8876"/>
        <a:stretch/>
      </xdr:blipFill>
      <xdr:spPr bwMode="auto">
        <a:xfrm>
          <a:off x="13830299" y="10067925"/>
          <a:ext cx="7658101" cy="5070426"/>
        </a:xfrm>
        <a:prstGeom prst="rect">
          <a:avLst/>
        </a:prstGeom>
      </xdr:spPr>
    </xdr:pic>
    <xdr:clientData/>
  </xdr:twoCellAnchor>
  <xdr:twoCellAnchor editAs="oneCell">
    <xdr:from>
      <xdr:col>25</xdr:col>
      <xdr:colOff>420932</xdr:colOff>
      <xdr:row>2</xdr:row>
      <xdr:rowOff>213360</xdr:rowOff>
    </xdr:from>
    <xdr:to>
      <xdr:col>37</xdr:col>
      <xdr:colOff>350520</xdr:colOff>
      <xdr:row>41</xdr:row>
      <xdr:rowOff>476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43D10AE4-895C-4B7A-9C9B-27D524D08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1985532" y="594360"/>
          <a:ext cx="7244788" cy="8254841"/>
        </a:xfrm>
        <a:prstGeom prst="rect">
          <a:avLst/>
        </a:prstGeom>
      </xdr:spPr>
    </xdr:pic>
    <xdr:clientData/>
  </xdr:twoCellAnchor>
  <xdr:twoCellAnchor editAs="oneCell">
    <xdr:from>
      <xdr:col>16</xdr:col>
      <xdr:colOff>666750</xdr:colOff>
      <xdr:row>0</xdr:row>
      <xdr:rowOff>10584</xdr:rowOff>
    </xdr:from>
    <xdr:to>
      <xdr:col>29</xdr:col>
      <xdr:colOff>216111</xdr:colOff>
      <xdr:row>21</xdr:row>
      <xdr:rowOff>175062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913D238-3006-4E8C-98D1-FA70C6475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6541750" y="10584"/>
          <a:ext cx="7751444" cy="5212728"/>
        </a:xfrm>
        <a:prstGeom prst="rect">
          <a:avLst/>
        </a:prstGeom>
      </xdr:spPr>
    </xdr:pic>
    <xdr:clientData/>
  </xdr:twoCellAnchor>
  <xdr:twoCellAnchor editAs="oneCell">
    <xdr:from>
      <xdr:col>10</xdr:col>
      <xdr:colOff>381000</xdr:colOff>
      <xdr:row>0</xdr:row>
      <xdr:rowOff>25400</xdr:rowOff>
    </xdr:from>
    <xdr:to>
      <xdr:col>16</xdr:col>
      <xdr:colOff>634365</xdr:colOff>
      <xdr:row>19</xdr:row>
      <xdr:rowOff>69947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CCECD35-B53F-4809-8EFB-675E4FD66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534650" y="25400"/>
          <a:ext cx="5949315" cy="4702272"/>
        </a:xfrm>
        <a:prstGeom prst="rect">
          <a:avLst/>
        </a:prstGeom>
      </xdr:spPr>
    </xdr:pic>
    <xdr:clientData/>
  </xdr:twoCellAnchor>
  <xdr:twoCellAnchor editAs="oneCell">
    <xdr:from>
      <xdr:col>64</xdr:col>
      <xdr:colOff>114300</xdr:colOff>
      <xdr:row>2</xdr:row>
      <xdr:rowOff>133350</xdr:rowOff>
    </xdr:from>
    <xdr:to>
      <xdr:col>80</xdr:col>
      <xdr:colOff>476250</xdr:colOff>
      <xdr:row>69</xdr:row>
      <xdr:rowOff>24264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329382C2-3B2A-4740-8174-53EF1193A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5453300" y="514350"/>
          <a:ext cx="10115550" cy="13692639"/>
        </a:xfrm>
        <a:prstGeom prst="rect">
          <a:avLst/>
        </a:prstGeom>
      </xdr:spPr>
    </xdr:pic>
    <xdr:clientData/>
  </xdr:twoCellAnchor>
  <xdr:twoCellAnchor editAs="oneCell">
    <xdr:from>
      <xdr:col>45</xdr:col>
      <xdr:colOff>419100</xdr:colOff>
      <xdr:row>1</xdr:row>
      <xdr:rowOff>76200</xdr:rowOff>
    </xdr:from>
    <xdr:to>
      <xdr:col>63</xdr:col>
      <xdr:colOff>47625</xdr:colOff>
      <xdr:row>54</xdr:row>
      <xdr:rowOff>132093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C7C56FBF-F402-4427-8007-47416DA4A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4175700" y="266700"/>
          <a:ext cx="10601325" cy="11190618"/>
        </a:xfrm>
        <a:prstGeom prst="rect">
          <a:avLst/>
        </a:prstGeom>
      </xdr:spPr>
    </xdr:pic>
    <xdr:clientData/>
  </xdr:twoCellAnchor>
  <xdr:twoCellAnchor editAs="oneCell">
    <xdr:from>
      <xdr:col>16</xdr:col>
      <xdr:colOff>42389</xdr:colOff>
      <xdr:row>106</xdr:row>
      <xdr:rowOff>38100</xdr:rowOff>
    </xdr:from>
    <xdr:to>
      <xdr:col>40</xdr:col>
      <xdr:colOff>161925</xdr:colOff>
      <xdr:row>416</xdr:row>
      <xdr:rowOff>171449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5D6C5EFE-D7F7-4270-8822-78CE05D01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911039" y="21278850"/>
          <a:ext cx="14978536" cy="59188349"/>
        </a:xfrm>
        <a:prstGeom prst="rect">
          <a:avLst/>
        </a:prstGeom>
      </xdr:spPr>
    </xdr:pic>
    <xdr:clientData/>
  </xdr:twoCellAnchor>
  <xdr:twoCellAnchor editAs="oneCell">
    <xdr:from>
      <xdr:col>73</xdr:col>
      <xdr:colOff>333375</xdr:colOff>
      <xdr:row>53</xdr:row>
      <xdr:rowOff>85725</xdr:rowOff>
    </xdr:from>
    <xdr:to>
      <xdr:col>95</xdr:col>
      <xdr:colOff>304800</xdr:colOff>
      <xdr:row>239</xdr:row>
      <xdr:rowOff>161926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F057FCF9-11D7-4B40-9E21-BDEEE2753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816000" y="11182350"/>
          <a:ext cx="13592175" cy="35509201"/>
        </a:xfrm>
        <a:prstGeom prst="rect">
          <a:avLst/>
        </a:prstGeom>
      </xdr:spPr>
    </xdr:pic>
    <xdr:clientData/>
  </xdr:twoCellAnchor>
  <xdr:twoCellAnchor editAs="oneCell">
    <xdr:from>
      <xdr:col>97</xdr:col>
      <xdr:colOff>190499</xdr:colOff>
      <xdr:row>49</xdr:row>
      <xdr:rowOff>95250</xdr:rowOff>
    </xdr:from>
    <xdr:to>
      <xdr:col>120</xdr:col>
      <xdr:colOff>380999</xdr:colOff>
      <xdr:row>224</xdr:row>
      <xdr:rowOff>19051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C119809-7F38-4FAB-8CBA-B9C95B59F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6532124" y="10429875"/>
          <a:ext cx="14430375" cy="33261301"/>
        </a:xfrm>
        <a:prstGeom prst="rect">
          <a:avLst/>
        </a:prstGeom>
      </xdr:spPr>
    </xdr:pic>
    <xdr:clientData/>
  </xdr:twoCellAnchor>
  <xdr:twoCellAnchor editAs="oneCell">
    <xdr:from>
      <xdr:col>121</xdr:col>
      <xdr:colOff>285750</xdr:colOff>
      <xdr:row>4</xdr:row>
      <xdr:rowOff>0</xdr:rowOff>
    </xdr:from>
    <xdr:to>
      <xdr:col>134</xdr:col>
      <xdr:colOff>316706</xdr:colOff>
      <xdr:row>678</xdr:row>
      <xdr:rowOff>152400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AA8249D-5165-B257-4CD1-98C97D5AF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6295250" y="1143000"/>
          <a:ext cx="7460456" cy="129120900"/>
        </a:xfrm>
        <a:prstGeom prst="rect">
          <a:avLst/>
        </a:prstGeom>
      </xdr:spPr>
    </xdr:pic>
    <xdr:clientData/>
  </xdr:twoCellAnchor>
  <xdr:twoCellAnchor editAs="oneCell">
    <xdr:from>
      <xdr:col>48</xdr:col>
      <xdr:colOff>465666</xdr:colOff>
      <xdr:row>0</xdr:row>
      <xdr:rowOff>105834</xdr:rowOff>
    </xdr:from>
    <xdr:to>
      <xdr:col>69</xdr:col>
      <xdr:colOff>384112</xdr:colOff>
      <xdr:row>145</xdr:row>
      <xdr:rowOff>54660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E52D236E-685F-FE67-62AD-6E418A907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6205583" y="105834"/>
          <a:ext cx="12808946" cy="28619076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Татьяна" id="{1E9CECF3-830F-4805-E288-AB8559039FC6}"/>
  <person displayName="Автор" id="{10F9DCC5-A38C-81A5-4889-60F3C36BA471}"/>
</personList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Arial"/>
        <a:cs typeface="Arial"/>
      </a:majorFont>
      <a:minorFont>
        <a:latin typeface="Calibri"/>
        <a:ea typeface="Arial"/>
        <a:cs typeface="Arial"/>
      </a:minorFont>
    </a:fontScheme>
    <a:fmtScheme name="Стандартная">
      <a:fillStyleLst>
        <a:solidFill>
          <a:schemeClr val="phClr"/>
        </a:solidFill>
        <a:gradFill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gradFill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/>
        </a:gradFill>
        <a:gradFill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/>
        </a:gradFill>
      </a:bgFillStyleLst>
    </a:fmtScheme>
  </a:themeElements>
  <a:objectDefaults/>
  <a:extraClrSchemeLst/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B37" personId="{1E9CECF3-830F-4805-E288-AB8559039FC6}" id="{001E000B-00DB-439C-A31E-002B0021009E}" done="0">
    <text xml:space="preserve">кВт/тонну
</text>
  </threadedComment>
  <threadedComment ref="B38" personId="{1E9CECF3-830F-4805-E288-AB8559039FC6}" id="{00620084-00B7-4E7D-BB4B-008000CF007E}" done="0">
    <text xml:space="preserve">куб м/тонну
</text>
  </threadedComment>
  <threadedComment ref="B39" personId="{1E9CECF3-830F-4805-E288-AB8559039FC6}" id="{00A2004D-0091-4291-8568-00350057001F}" done="0">
    <text xml:space="preserve">тонн/тонну
</text>
  </threadedComment>
</ThreadedComments>
</file>

<file path=xl/threadedComments/threadedComment2.xml><?xml version="1.0" encoding="utf-8"?>
<ThreadedComments xmlns="http://schemas.microsoft.com/office/spreadsheetml/2018/threadedcomments" xmlns:x="http://schemas.openxmlformats.org/spreadsheetml/2006/main">
  <threadedComment ref="A1" personId="{10F9DCC5-A38C-81A5-4889-60F3C36BA471}" id="{00780033-00BE-488E-A84B-001A00D700EE}" done="0">
    <text xml:space="preserve">нет льгот по взносам
</text>
  </threadedComment>
</ThreadedComments>
</file>

<file path=xl/threadedComments/threadedComment3.xml><?xml version="1.0" encoding="utf-8"?>
<ThreadedComments xmlns="http://schemas.microsoft.com/office/spreadsheetml/2018/threadedcomments" xmlns:x="http://schemas.openxmlformats.org/spreadsheetml/2006/main">
  <threadedComment ref="N75" personId="{10F9DCC5-A38C-81A5-4889-60F3C36BA471}" id="{006E0050-0026-4680-9ABD-00380023000B}" done="0">
    <text xml:space="preserve">сумма взносов ТОР за 10 лет
</text>
  </threadedComment>
  <threadedComment ref="N77" personId="{10F9DCC5-A38C-81A5-4889-60F3C36BA471}" id="{00F70035-0092-4761-BB1B-00CC0005007B}" done="0">
    <text xml:space="preserve">разница во взносах
</text>
  </threadedComment>
  <threadedComment ref="N76" personId="{10F9DCC5-A38C-81A5-4889-60F3C36BA471}" id="{006F00A1-0007-49FD-8BFE-00D900D100E7}" done="0">
    <text xml:space="preserve">сумма взносов без ТОР
</text>
  </threadedComment>
</ThreadedComments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.bin"/><Relationship Id="rId2" Type="http://schemas.openxmlformats.org/officeDocument/2006/relationships/hyperlink" Target="https://ohranatruda.ru/upload/iblock/710/4294817608.pdf?ysclid=lgqetikeiy980888400" TargetMode="External"/><Relationship Id="rId1" Type="http://schemas.openxmlformats.org/officeDocument/2006/relationships/hyperlink" Target="https://www.nalog.gov.ru/rn77/service/calc_transport/?ysclid=lg3wpfz380117140785" TargetMode="External"/><Relationship Id="rId4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1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5.bin"/><Relationship Id="rId2" Type="http://schemas.openxmlformats.org/officeDocument/2006/relationships/hyperlink" Target="https://ronaxclimate.ru/type/konditsionery-dlya-ovoschehranilischa?ysclid=lg52gvbuk5920929183" TargetMode="External"/><Relationship Id="rId1" Type="http://schemas.openxmlformats.org/officeDocument/2006/relationships/hyperlink" Target="https://tenteks.ru/product/kartofel-vent/" TargetMode="Externa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Relationship Id="rId4" Type="http://schemas.microsoft.com/office/2017/10/relationships/threadedComment" Target="../threadedComments/threadedComment2.xml"/></Relationships>
</file>

<file path=xl/worksheets/_rels/sheet9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3.xml"/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7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comments" Target="../comments3.xml"/><Relationship Id="rId1" Type="http://schemas.openxmlformats.org/officeDocument/2006/relationships/vmlDrawing" Target="../drawings/vmlDrawing3.vm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https://interagro.info/services/predprodazhnaya-podgotovka-ovoshchey-i-fruktov/podgotovka-kartofelya/?ysclid=lfze16kc5f631169590" TargetMode="External"/><Relationship Id="rId13" Type="http://schemas.openxmlformats.org/officeDocument/2006/relationships/hyperlink" Target="https://generator-rus.ru/catalog/generatory/gazovye/promyshlennye/?ysclid=lfzh1w89k618543807" TargetMode="External"/><Relationship Id="rId18" Type="http://schemas.openxmlformats.org/officeDocument/2006/relationships/hyperlink" Target="https://tenteks.ru/product/kartofel-vent/" TargetMode="External"/><Relationship Id="rId3" Type="http://schemas.openxmlformats.org/officeDocument/2006/relationships/hyperlink" Target="https://agrovent.com/oborudovanie/oborudovanie-dlya-ovoshchekhranilishcha/" TargetMode="External"/><Relationship Id="rId7" Type="http://schemas.openxmlformats.org/officeDocument/2006/relationships/hyperlink" Target="https://klinmash.com/engineering/liniya-v-astrahanskoj-oblasti-dlya-priema-inspekczii-i-hraneniya-luka-s-oborudovaniem-dlya-predprodazhnoj-podgotovki-i-fasovki/" TargetMode="External"/><Relationship Id="rId12" Type="http://schemas.openxmlformats.org/officeDocument/2006/relationships/hyperlink" Target="https://www.gazg.ru/gazogeneratory_promyshlenye/?ysclid=lfzh1v305t194333800" TargetMode="External"/><Relationship Id="rId17" Type="http://schemas.openxmlformats.org/officeDocument/2006/relationships/hyperlink" Target="http://kormoceh.ru/d/968268/d/oborpererovoshch2015.pdf?ysclid=lg4tdeh572126514924" TargetMode="External"/><Relationship Id="rId2" Type="http://schemas.openxmlformats.org/officeDocument/2006/relationships/hyperlink" Target="https://agroserver.ru/b/sistema-mikroklimata-dlya-ovoshhekhranilishh-aventa-1213599.htm?ysclid=lfzdgs7xyg488003601" TargetMode="External"/><Relationship Id="rId16" Type="http://schemas.openxmlformats.org/officeDocument/2006/relationships/hyperlink" Target="https://major-gaz.ru/models/valdai-next/" TargetMode="External"/><Relationship Id="rId20" Type="http://schemas.openxmlformats.org/officeDocument/2006/relationships/drawing" Target="../drawings/drawing4.xml"/><Relationship Id="rId1" Type="http://schemas.openxmlformats.org/officeDocument/2006/relationships/hyperlink" Target="https://nirz.ru/ventilyatsiya/" TargetMode="External"/><Relationship Id="rId6" Type="http://schemas.openxmlformats.org/officeDocument/2006/relationships/hyperlink" Target="https://agree.com.ru/?ysclid=lfzdh63yf3770275930" TargetMode="External"/><Relationship Id="rId11" Type="http://schemas.openxmlformats.org/officeDocument/2006/relationships/hyperlink" Target="https://www.profpower.ru/category_search/" TargetMode="External"/><Relationship Id="rId5" Type="http://schemas.openxmlformats.org/officeDocument/2006/relationships/hyperlink" Target="https://vegetfan.ru/prices/" TargetMode="External"/><Relationship Id="rId15" Type="http://schemas.openxmlformats.org/officeDocument/2006/relationships/hyperlink" Target="http://www.best-generators.ru/catalog/dizelnye-generatory/diesel-promyshlennye/?ysclid=lfzh63g5li50059887" TargetMode="External"/><Relationship Id="rId10" Type="http://schemas.openxmlformats.org/officeDocument/2006/relationships/hyperlink" Target="https://polag.ru/product-category/oborudovanie-dlya-sortirovki-ochistki-i-predprodazhnoj-podgotovki-ovoshhej/mojki/" TargetMode="External"/><Relationship Id="rId19" Type="http://schemas.openxmlformats.org/officeDocument/2006/relationships/printerSettings" Target="../printerSettings/printerSettings8.bin"/><Relationship Id="rId4" Type="http://schemas.openxmlformats.org/officeDocument/2006/relationships/hyperlink" Target="https://ronaxclimate.ru/type/konditsionery-dlya-ovoschehranilischa?ysclid=lfzdgzemk6337613949" TargetMode="External"/><Relationship Id="rId9" Type="http://schemas.openxmlformats.org/officeDocument/2006/relationships/hyperlink" Target="https://agroserver.ru/linii-dlya-predprodazhnoy-podgotovki-ovoshhey-fruktov-yagod/p1-city-559.htm" TargetMode="External"/><Relationship Id="rId14" Type="http://schemas.openxmlformats.org/officeDocument/2006/relationships/hyperlink" Target="https://generator-rus.ru/catalog/generatory/dizelnye/promyshlennye/?ysclid=lfzh5zj9v1515174302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C19"/>
  <sheetViews>
    <sheetView workbookViewId="0">
      <selection activeCell="G19" sqref="G19"/>
    </sheetView>
  </sheetViews>
  <sheetFormatPr defaultRowHeight="15" x14ac:dyDescent="0.25"/>
  <cols>
    <col min="2" max="2" width="27.7109375" customWidth="1"/>
    <col min="3" max="3" width="41.5703125" customWidth="1"/>
  </cols>
  <sheetData>
    <row r="2" spans="2:3" x14ac:dyDescent="0.25">
      <c r="B2" t="s">
        <v>319</v>
      </c>
      <c r="C2" s="218"/>
    </row>
    <row r="3" spans="2:3" x14ac:dyDescent="0.25">
      <c r="B3" t="s">
        <v>320</v>
      </c>
      <c r="C3" s="215"/>
    </row>
    <row r="4" spans="2:3" x14ac:dyDescent="0.25">
      <c r="B4" t="s">
        <v>321</v>
      </c>
      <c r="C4" s="219"/>
    </row>
    <row r="5" spans="2:3" x14ac:dyDescent="0.25">
      <c r="B5" t="s">
        <v>322</v>
      </c>
      <c r="C5" s="216"/>
    </row>
    <row r="6" spans="2:3" x14ac:dyDescent="0.25">
      <c r="B6" t="s">
        <v>333</v>
      </c>
      <c r="C6" s="220"/>
    </row>
    <row r="7" spans="2:3" x14ac:dyDescent="0.25">
      <c r="B7" s="221" t="s">
        <v>354</v>
      </c>
      <c r="C7" s="231"/>
    </row>
    <row r="8" spans="2:3" x14ac:dyDescent="0.25">
      <c r="C8" s="217"/>
    </row>
    <row r="9" spans="2:3" x14ac:dyDescent="0.25">
      <c r="B9" s="267" t="s">
        <v>357</v>
      </c>
      <c r="C9" s="266"/>
    </row>
    <row r="12" spans="2:3" x14ac:dyDescent="0.25">
      <c r="B12" t="s">
        <v>323</v>
      </c>
    </row>
    <row r="13" spans="2:3" x14ac:dyDescent="0.25">
      <c r="B13" t="s">
        <v>324</v>
      </c>
      <c r="C13" t="s">
        <v>53</v>
      </c>
    </row>
    <row r="14" spans="2:3" x14ac:dyDescent="0.25">
      <c r="B14" t="s">
        <v>325</v>
      </c>
      <c r="C14" t="s">
        <v>326</v>
      </c>
    </row>
    <row r="15" spans="2:3" x14ac:dyDescent="0.25">
      <c r="B15" t="s">
        <v>327</v>
      </c>
      <c r="C15" t="s">
        <v>328</v>
      </c>
    </row>
    <row r="16" spans="2:3" x14ac:dyDescent="0.25">
      <c r="B16" t="s">
        <v>329</v>
      </c>
      <c r="C16" t="s">
        <v>330</v>
      </c>
    </row>
    <row r="17" spans="2:3" x14ac:dyDescent="0.25">
      <c r="B17" t="s">
        <v>331</v>
      </c>
      <c r="C17" t="s">
        <v>332</v>
      </c>
    </row>
    <row r="18" spans="2:3" x14ac:dyDescent="0.25">
      <c r="B18" s="458" t="s">
        <v>398</v>
      </c>
      <c r="C18" s="458" t="s">
        <v>399</v>
      </c>
    </row>
    <row r="19" spans="2:3" x14ac:dyDescent="0.25">
      <c r="B19" s="660" t="s">
        <v>504</v>
      </c>
      <c r="C19" s="660" t="s">
        <v>298</v>
      </c>
    </row>
  </sheetData>
  <pageMargins left="0.7" right="0.7" top="0.75" bottom="0.75" header="0.3" footer="0.3"/>
  <pageSetup paperSize="9" orientation="portrait" horizontalDpi="300" verticalDpi="30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0"/>
  </sheetPr>
  <dimension ref="A1:K99"/>
  <sheetViews>
    <sheetView topLeftCell="A58" zoomScale="50" zoomScaleNormal="50" workbookViewId="0">
      <selection activeCell="J86" sqref="J86:J88"/>
    </sheetView>
  </sheetViews>
  <sheetFormatPr defaultRowHeight="15" x14ac:dyDescent="0.25"/>
  <cols>
    <col min="1" max="1" width="16" customWidth="1"/>
    <col min="2" max="2" width="33.7109375" customWidth="1"/>
    <col min="3" max="3" width="21.5703125" customWidth="1"/>
    <col min="4" max="4" width="19" customWidth="1"/>
    <col min="5" max="5" width="37.85546875" customWidth="1"/>
    <col min="6" max="6" width="21.7109375" customWidth="1"/>
    <col min="7" max="7" width="21.42578125" customWidth="1"/>
    <col min="8" max="8" width="18.5703125" customWidth="1"/>
    <col min="9" max="9" width="13.7109375" customWidth="1"/>
    <col min="10" max="10" width="13.140625" customWidth="1"/>
  </cols>
  <sheetData>
    <row r="1" spans="1:3" ht="36.75" customHeight="1" x14ac:dyDescent="0.25">
      <c r="A1" t="s">
        <v>338</v>
      </c>
      <c r="B1" s="728" t="s">
        <v>547</v>
      </c>
      <c r="C1" s="728"/>
    </row>
    <row r="2" spans="1:3" x14ac:dyDescent="0.25">
      <c r="A2" t="s">
        <v>339</v>
      </c>
      <c r="B2" s="221" t="s">
        <v>348</v>
      </c>
      <c r="C2" s="265"/>
    </row>
    <row r="4" spans="1:3" x14ac:dyDescent="0.25">
      <c r="A4" t="s">
        <v>340</v>
      </c>
      <c r="C4" s="265">
        <v>6</v>
      </c>
    </row>
    <row r="6" spans="1:3" x14ac:dyDescent="0.25">
      <c r="A6" t="s">
        <v>378</v>
      </c>
      <c r="C6" s="289">
        <v>7794.17</v>
      </c>
    </row>
    <row r="7" spans="1:3" x14ac:dyDescent="0.25">
      <c r="B7" s="260"/>
      <c r="C7" s="466"/>
    </row>
    <row r="8" spans="1:3" x14ac:dyDescent="0.25">
      <c r="B8" s="260"/>
      <c r="C8" s="466"/>
    </row>
    <row r="9" spans="1:3" ht="31.5" customHeight="1" x14ac:dyDescent="0.25">
      <c r="A9" s="715" t="s">
        <v>391</v>
      </c>
      <c r="B9" s="715"/>
      <c r="C9" s="283">
        <v>0.03</v>
      </c>
    </row>
    <row r="13" spans="1:3" x14ac:dyDescent="0.25">
      <c r="A13" s="458"/>
    </row>
    <row r="14" spans="1:3" x14ac:dyDescent="0.25">
      <c r="A14" s="2" t="s">
        <v>0</v>
      </c>
      <c r="B14" s="2"/>
      <c r="C14" s="2"/>
    </row>
    <row r="15" spans="1:3" x14ac:dyDescent="0.25">
      <c r="A15" s="458"/>
      <c r="C15" s="265"/>
    </row>
    <row r="16" spans="1:3" x14ac:dyDescent="0.25">
      <c r="A16" s="221" t="s">
        <v>349</v>
      </c>
      <c r="C16" s="265">
        <v>22</v>
      </c>
    </row>
    <row r="17" spans="1:3" ht="30" customHeight="1" x14ac:dyDescent="0.25">
      <c r="A17" s="715" t="s">
        <v>350</v>
      </c>
      <c r="B17" s="715"/>
      <c r="C17" s="265">
        <v>25</v>
      </c>
    </row>
    <row r="18" spans="1:3" x14ac:dyDescent="0.25">
      <c r="A18" s="2" t="s">
        <v>1</v>
      </c>
      <c r="C18" s="265"/>
    </row>
    <row r="19" spans="1:3" x14ac:dyDescent="0.25">
      <c r="A19" s="675" t="s">
        <v>511</v>
      </c>
      <c r="C19" s="287">
        <v>0.2</v>
      </c>
    </row>
    <row r="20" spans="1:3" x14ac:dyDescent="0.25">
      <c r="A20" s="221" t="s">
        <v>341</v>
      </c>
      <c r="C20" s="287">
        <v>2.1999999999999999E-2</v>
      </c>
    </row>
    <row r="21" spans="1:3" x14ac:dyDescent="0.25">
      <c r="A21" s="221" t="s">
        <v>342</v>
      </c>
      <c r="C21" s="283">
        <v>0.13</v>
      </c>
    </row>
    <row r="22" spans="1:3" x14ac:dyDescent="0.25">
      <c r="A22" s="221" t="s">
        <v>343</v>
      </c>
      <c r="C22" s="283">
        <v>0.3</v>
      </c>
    </row>
    <row r="23" spans="1:3" x14ac:dyDescent="0.25">
      <c r="A23" s="221" t="s">
        <v>344</v>
      </c>
      <c r="C23" s="287">
        <v>1.4E-2</v>
      </c>
    </row>
    <row r="24" spans="1:3" x14ac:dyDescent="0.25">
      <c r="A24" s="221" t="s">
        <v>345</v>
      </c>
      <c r="C24" s="283">
        <v>0.22</v>
      </c>
    </row>
    <row r="25" spans="1:3" ht="30" customHeight="1" x14ac:dyDescent="0.25">
      <c r="A25" s="715" t="s">
        <v>346</v>
      </c>
      <c r="B25" s="715"/>
      <c r="C25" s="287">
        <v>2.9000000000000001E-2</v>
      </c>
    </row>
    <row r="26" spans="1:3" ht="30.75" customHeight="1" x14ac:dyDescent="0.25">
      <c r="A26" s="715" t="s">
        <v>347</v>
      </c>
      <c r="B26" s="715"/>
      <c r="C26" s="287">
        <v>5.0999999999999997E-2</v>
      </c>
    </row>
    <row r="27" spans="1:3" x14ac:dyDescent="0.25">
      <c r="A27" s="223" t="s">
        <v>353</v>
      </c>
    </row>
    <row r="28" spans="1:3" ht="27.75" customHeight="1" x14ac:dyDescent="0.25">
      <c r="A28" s="730" t="s">
        <v>425</v>
      </c>
      <c r="B28" s="715"/>
      <c r="C28" s="287">
        <v>1E-4</v>
      </c>
    </row>
    <row r="29" spans="1:3" x14ac:dyDescent="0.25">
      <c r="A29" t="s">
        <v>2</v>
      </c>
      <c r="B29" s="260"/>
      <c r="C29" s="289">
        <v>58100</v>
      </c>
    </row>
    <row r="30" spans="1:3" x14ac:dyDescent="0.25">
      <c r="A30" s="426" t="s">
        <v>392</v>
      </c>
      <c r="B30" s="260"/>
      <c r="C30" s="289">
        <v>26924.120999999999</v>
      </c>
    </row>
    <row r="31" spans="1:3" x14ac:dyDescent="0.25">
      <c r="A31" s="403" t="s">
        <v>386</v>
      </c>
      <c r="C31" s="457">
        <v>0</v>
      </c>
    </row>
    <row r="33" spans="1:4" x14ac:dyDescent="0.25">
      <c r="B33" s="221"/>
      <c r="C33" s="260"/>
    </row>
    <row r="34" spans="1:4" x14ac:dyDescent="0.25">
      <c r="A34" s="267" t="s">
        <v>360</v>
      </c>
      <c r="C34" s="474">
        <v>0.01</v>
      </c>
    </row>
    <row r="36" spans="1:4" x14ac:dyDescent="0.25">
      <c r="A36" s="221" t="s">
        <v>351</v>
      </c>
      <c r="C36" s="283">
        <v>0.06</v>
      </c>
    </row>
    <row r="37" spans="1:4" x14ac:dyDescent="0.25">
      <c r="A37" s="426" t="s">
        <v>394</v>
      </c>
      <c r="C37" s="501">
        <v>0.06</v>
      </c>
    </row>
    <row r="38" spans="1:4" x14ac:dyDescent="0.25">
      <c r="A38" s="222" t="s">
        <v>3</v>
      </c>
      <c r="B38" s="222"/>
      <c r="C38" s="222"/>
    </row>
    <row r="39" spans="1:4" x14ac:dyDescent="0.25">
      <c r="A39" s="221" t="s">
        <v>334</v>
      </c>
      <c r="C39" s="474">
        <v>0.06</v>
      </c>
      <c r="D39" t="s">
        <v>335</v>
      </c>
    </row>
    <row r="40" spans="1:4" x14ac:dyDescent="0.25">
      <c r="A40" s="221" t="s">
        <v>337</v>
      </c>
      <c r="C40" s="4">
        <v>7.4999999999999997E-2</v>
      </c>
      <c r="D40" t="s">
        <v>336</v>
      </c>
    </row>
    <row r="42" spans="1:4" ht="29.25" customHeight="1" x14ac:dyDescent="0.25">
      <c r="A42" s="715" t="s">
        <v>5</v>
      </c>
      <c r="B42" s="716"/>
      <c r="C42" s="283">
        <v>0.15</v>
      </c>
    </row>
    <row r="43" spans="1:4" x14ac:dyDescent="0.25">
      <c r="A43" t="s">
        <v>6</v>
      </c>
      <c r="C43" s="288">
        <f>(1+C40)/(1+C39)-1+C42</f>
        <v>0.16415094339622635</v>
      </c>
    </row>
    <row r="44" spans="1:4" x14ac:dyDescent="0.25">
      <c r="A44" t="s">
        <v>4</v>
      </c>
    </row>
    <row r="51" spans="1:6" x14ac:dyDescent="0.25">
      <c r="A51" s="221" t="s">
        <v>352</v>
      </c>
      <c r="C51" s="283">
        <v>0.15</v>
      </c>
    </row>
    <row r="54" spans="1:6" ht="17.25" customHeight="1" x14ac:dyDescent="0.25">
      <c r="A54" s="663" t="s">
        <v>505</v>
      </c>
      <c r="B54" s="222"/>
      <c r="C54" s="285"/>
      <c r="D54" s="52"/>
      <c r="F54" s="72"/>
    </row>
    <row r="55" spans="1:6" x14ac:dyDescent="0.25">
      <c r="A55" s="268" t="s">
        <v>356</v>
      </c>
      <c r="C55" s="52"/>
      <c r="D55" s="52"/>
      <c r="F55" s="72"/>
    </row>
    <row r="56" spans="1:6" x14ac:dyDescent="0.25">
      <c r="A56" s="723" t="s">
        <v>379</v>
      </c>
      <c r="B56" s="716" t="s">
        <v>54</v>
      </c>
      <c r="C56" s="264">
        <v>5.5169999999999997E-2</v>
      </c>
      <c r="D56" s="261"/>
    </row>
    <row r="57" spans="1:6" x14ac:dyDescent="0.25">
      <c r="A57" s="723"/>
      <c r="B57" s="716"/>
      <c r="C57" s="491"/>
      <c r="D57" s="490"/>
    </row>
    <row r="58" spans="1:6" x14ac:dyDescent="0.25">
      <c r="A58" s="723" t="s">
        <v>380</v>
      </c>
      <c r="B58" s="716" t="s">
        <v>54</v>
      </c>
      <c r="C58" s="264">
        <v>4.2610000000000002E-2</v>
      </c>
      <c r="D58" s="262"/>
    </row>
    <row r="59" spans="1:6" x14ac:dyDescent="0.25">
      <c r="A59" s="722" t="s">
        <v>435</v>
      </c>
      <c r="B59" s="716"/>
      <c r="C59" s="264">
        <v>2.5</v>
      </c>
      <c r="D59" s="263"/>
    </row>
    <row r="60" spans="1:6" x14ac:dyDescent="0.25">
      <c r="A60" s="715"/>
      <c r="B60" s="716"/>
      <c r="C60" s="491"/>
      <c r="D60" s="263"/>
    </row>
    <row r="61" spans="1:6" x14ac:dyDescent="0.25">
      <c r="A61" s="723" t="s">
        <v>381</v>
      </c>
      <c r="B61" s="723"/>
      <c r="C61" s="264">
        <v>0.69098000000000004</v>
      </c>
      <c r="D61" s="263"/>
    </row>
    <row r="62" spans="1:6" x14ac:dyDescent="0.25">
      <c r="A62" t="s">
        <v>430</v>
      </c>
      <c r="C62" s="264">
        <v>5.8</v>
      </c>
    </row>
    <row r="63" spans="1:6" x14ac:dyDescent="0.25">
      <c r="A63" s="664" t="s">
        <v>507</v>
      </c>
      <c r="C63" s="52">
        <f>4/1000</f>
        <v>4.0000000000000001E-3</v>
      </c>
    </row>
    <row r="64" spans="1:6" x14ac:dyDescent="0.25">
      <c r="A64" s="724" t="s">
        <v>359</v>
      </c>
      <c r="B64" s="725"/>
      <c r="C64" s="283">
        <v>0.06</v>
      </c>
    </row>
    <row r="65" spans="1:9" x14ac:dyDescent="0.25">
      <c r="A65" s="726" t="s">
        <v>433</v>
      </c>
      <c r="B65" s="717"/>
      <c r="C65" s="473">
        <v>0.01</v>
      </c>
      <c r="E65" s="403"/>
    </row>
    <row r="66" spans="1:9" x14ac:dyDescent="0.25">
      <c r="A66" s="718" t="s">
        <v>432</v>
      </c>
      <c r="B66" s="717"/>
      <c r="C66" s="473">
        <v>1.4E-2</v>
      </c>
    </row>
    <row r="67" spans="1:9" ht="33" customHeight="1" x14ac:dyDescent="0.25">
      <c r="A67" s="717" t="s">
        <v>237</v>
      </c>
      <c r="B67" s="717"/>
      <c r="C67" s="473">
        <v>1.0999999999999999E-2</v>
      </c>
    </row>
    <row r="68" spans="1:9" ht="30.75" customHeight="1" thickBot="1" x14ac:dyDescent="0.3">
      <c r="A68" s="721" t="s">
        <v>496</v>
      </c>
      <c r="B68" s="717"/>
      <c r="C68" s="625">
        <v>50</v>
      </c>
      <c r="G68" s="695" t="s">
        <v>543</v>
      </c>
    </row>
    <row r="69" spans="1:9" ht="32.25" customHeight="1" x14ac:dyDescent="0.25">
      <c r="A69" s="717" t="s">
        <v>429</v>
      </c>
      <c r="B69" s="717"/>
      <c r="C69" s="523">
        <f>5.8/34.8</f>
        <v>0.16666666666666669</v>
      </c>
      <c r="E69" s="699" t="s">
        <v>538</v>
      </c>
      <c r="F69" s="700"/>
      <c r="G69" s="703">
        <f>G70+G71+G72+G73+G74</f>
        <v>2300</v>
      </c>
    </row>
    <row r="70" spans="1:9" ht="15" customHeight="1" x14ac:dyDescent="0.25">
      <c r="A70" s="284" t="s">
        <v>400</v>
      </c>
      <c r="B70" s="284"/>
      <c r="C70" s="286"/>
      <c r="E70" s="696" t="s">
        <v>542</v>
      </c>
      <c r="G70" s="701">
        <f>G78</f>
        <v>1600</v>
      </c>
    </row>
    <row r="71" spans="1:9" x14ac:dyDescent="0.25">
      <c r="A71" s="718" t="s">
        <v>468</v>
      </c>
      <c r="B71" s="717"/>
      <c r="C71" s="286">
        <v>35</v>
      </c>
      <c r="E71" s="696" t="s">
        <v>539</v>
      </c>
      <c r="G71" s="701">
        <v>150</v>
      </c>
    </row>
    <row r="72" spans="1:9" x14ac:dyDescent="0.25">
      <c r="A72" s="403"/>
      <c r="C72" s="286"/>
      <c r="E72" s="696" t="s">
        <v>540</v>
      </c>
      <c r="G72" s="701">
        <v>300</v>
      </c>
    </row>
    <row r="73" spans="1:9" ht="30" x14ac:dyDescent="0.25">
      <c r="A73" s="403"/>
      <c r="C73" s="286"/>
      <c r="E73" s="704" t="s">
        <v>548</v>
      </c>
      <c r="G73" s="701">
        <v>150</v>
      </c>
    </row>
    <row r="74" spans="1:9" ht="45.75" thickBot="1" x14ac:dyDescent="0.3">
      <c r="A74" s="267"/>
      <c r="C74" s="286"/>
      <c r="E74" s="697" t="s">
        <v>541</v>
      </c>
      <c r="F74" s="698"/>
      <c r="G74" s="702">
        <v>100</v>
      </c>
    </row>
    <row r="75" spans="1:9" x14ac:dyDescent="0.25">
      <c r="A75" s="403"/>
      <c r="C75" s="286"/>
      <c r="D75" s="403"/>
      <c r="F75" s="403"/>
    </row>
    <row r="76" spans="1:9" x14ac:dyDescent="0.25">
      <c r="A76" s="426"/>
      <c r="C76" s="286"/>
    </row>
    <row r="77" spans="1:9" x14ac:dyDescent="0.25">
      <c r="A77" s="517" t="s">
        <v>382</v>
      </c>
      <c r="C77" s="536" t="s">
        <v>461</v>
      </c>
      <c r="E77" s="220" t="s">
        <v>529</v>
      </c>
      <c r="I77" s="540" t="s">
        <v>527</v>
      </c>
    </row>
    <row r="78" spans="1:9" ht="31.5" customHeight="1" x14ac:dyDescent="0.25">
      <c r="A78" s="719" t="s">
        <v>409</v>
      </c>
      <c r="B78" s="717" t="s">
        <v>409</v>
      </c>
      <c r="C78" s="460">
        <v>3000</v>
      </c>
      <c r="E78" t="s">
        <v>530</v>
      </c>
      <c r="G78">
        <f>G79*G80</f>
        <v>1600</v>
      </c>
    </row>
    <row r="79" spans="1:9" ht="34.5" customHeight="1" x14ac:dyDescent="0.25">
      <c r="A79" s="719" t="s">
        <v>410</v>
      </c>
      <c r="B79" s="717" t="s">
        <v>410</v>
      </c>
      <c r="C79" s="460">
        <f>G69*30</f>
        <v>69000</v>
      </c>
      <c r="E79" t="s">
        <v>531</v>
      </c>
      <c r="G79">
        <v>80</v>
      </c>
    </row>
    <row r="80" spans="1:9" ht="29.25" customHeight="1" x14ac:dyDescent="0.25">
      <c r="A80" s="720" t="s">
        <v>544</v>
      </c>
      <c r="B80" s="717" t="s">
        <v>411</v>
      </c>
      <c r="C80" s="460">
        <v>12500</v>
      </c>
      <c r="E80" t="s">
        <v>519</v>
      </c>
      <c r="G80">
        <v>20</v>
      </c>
    </row>
    <row r="81" spans="1:11" ht="34.5" customHeight="1" x14ac:dyDescent="0.25">
      <c r="A81" s="719" t="s">
        <v>412</v>
      </c>
      <c r="B81" s="717" t="s">
        <v>412</v>
      </c>
      <c r="C81" s="460">
        <v>12000</v>
      </c>
      <c r="E81" t="s">
        <v>520</v>
      </c>
      <c r="G81">
        <v>8.5</v>
      </c>
    </row>
    <row r="82" spans="1:11" ht="56.25" customHeight="1" x14ac:dyDescent="0.25">
      <c r="A82" s="729" t="s">
        <v>518</v>
      </c>
      <c r="B82" s="717"/>
      <c r="C82" s="460">
        <v>12000</v>
      </c>
      <c r="E82" t="s">
        <v>521</v>
      </c>
      <c r="G82">
        <f>G79*G80*G81</f>
        <v>13600</v>
      </c>
    </row>
    <row r="83" spans="1:11" ht="33" customHeight="1" thickBot="1" x14ac:dyDescent="0.3">
      <c r="A83" s="719" t="s">
        <v>413</v>
      </c>
      <c r="B83" s="717" t="s">
        <v>413</v>
      </c>
      <c r="C83" s="460">
        <v>3500</v>
      </c>
      <c r="E83" t="s">
        <v>528</v>
      </c>
    </row>
    <row r="84" spans="1:11" ht="61.5" customHeight="1" x14ac:dyDescent="0.25">
      <c r="A84" s="719" t="s">
        <v>414</v>
      </c>
      <c r="B84" s="717"/>
      <c r="C84" s="460">
        <v>1500</v>
      </c>
      <c r="E84" s="691" t="s">
        <v>532</v>
      </c>
      <c r="F84" s="692" t="s">
        <v>522</v>
      </c>
      <c r="G84" s="693" t="s">
        <v>533</v>
      </c>
      <c r="H84" s="693" t="s">
        <v>534</v>
      </c>
      <c r="I84" s="693" t="s">
        <v>535</v>
      </c>
      <c r="J84" s="694" t="s">
        <v>537</v>
      </c>
    </row>
    <row r="85" spans="1:11" x14ac:dyDescent="0.25">
      <c r="A85" s="719"/>
      <c r="B85" s="717"/>
      <c r="C85" s="7">
        <f>SUM(C78:C84)</f>
        <v>113500</v>
      </c>
      <c r="E85" s="685" t="s">
        <v>523</v>
      </c>
      <c r="F85">
        <v>0.5</v>
      </c>
      <c r="G85">
        <f>F85*G82</f>
        <v>6800</v>
      </c>
      <c r="H85" s="6">
        <f>G85*0.7</f>
        <v>4760</v>
      </c>
      <c r="I85" s="686">
        <v>0.5</v>
      </c>
      <c r="J85" s="687">
        <f>I85*H85</f>
        <v>2380</v>
      </c>
    </row>
    <row r="86" spans="1:11" x14ac:dyDescent="0.25">
      <c r="E86" s="685" t="s">
        <v>524</v>
      </c>
      <c r="F86">
        <v>0.38</v>
      </c>
      <c r="G86">
        <f>F86*G82</f>
        <v>5168</v>
      </c>
      <c r="H86" s="6">
        <f>G86*0.92</f>
        <v>4754.5600000000004</v>
      </c>
      <c r="I86" s="686">
        <v>0.3</v>
      </c>
      <c r="J86" s="687">
        <f t="shared" ref="J86:J88" si="0">I86*H86</f>
        <v>1426.3680000000002</v>
      </c>
    </row>
    <row r="87" spans="1:11" ht="30" customHeight="1" x14ac:dyDescent="0.25">
      <c r="A87" s="727" t="s">
        <v>501</v>
      </c>
      <c r="B87" s="727"/>
      <c r="C87" s="460">
        <v>9</v>
      </c>
      <c r="E87" s="685" t="s">
        <v>525</v>
      </c>
      <c r="F87">
        <v>0.3</v>
      </c>
      <c r="G87">
        <f>F87*G82</f>
        <v>4080</v>
      </c>
      <c r="H87" s="6">
        <f>G87*1.17</f>
        <v>4773.5999999999995</v>
      </c>
      <c r="I87" s="686">
        <v>0.1</v>
      </c>
      <c r="J87" s="687">
        <f t="shared" si="0"/>
        <v>477.35999999999996</v>
      </c>
    </row>
    <row r="88" spans="1:11" x14ac:dyDescent="0.25">
      <c r="E88" s="685" t="s">
        <v>526</v>
      </c>
      <c r="F88">
        <v>0.36</v>
      </c>
      <c r="G88">
        <f>F88*G82</f>
        <v>4896</v>
      </c>
      <c r="H88" s="6">
        <f>G88*0.97</f>
        <v>4749.12</v>
      </c>
      <c r="I88" s="686">
        <v>0.1</v>
      </c>
      <c r="J88" s="687">
        <f t="shared" si="0"/>
        <v>474.91200000000003</v>
      </c>
    </row>
    <row r="89" spans="1:11" ht="33" customHeight="1" thickBot="1" x14ac:dyDescent="0.3">
      <c r="A89" s="130" t="s">
        <v>469</v>
      </c>
      <c r="B89" s="134"/>
      <c r="C89" s="134"/>
      <c r="D89" s="134"/>
      <c r="E89" s="688"/>
      <c r="F89" s="689"/>
      <c r="G89" s="689"/>
      <c r="H89" s="714" t="s">
        <v>536</v>
      </c>
      <c r="I89" s="714"/>
      <c r="J89" s="690">
        <f>SUM(J85:J88)</f>
        <v>4758.6400000000003</v>
      </c>
      <c r="K89" s="134"/>
    </row>
    <row r="90" spans="1:11" ht="15.75" x14ac:dyDescent="0.25">
      <c r="A90" s="540" t="s">
        <v>470</v>
      </c>
      <c r="B90" s="134"/>
      <c r="C90" s="134"/>
      <c r="D90" s="134"/>
      <c r="E90" s="134"/>
      <c r="F90" s="134"/>
      <c r="G90" s="134"/>
      <c r="H90" s="134"/>
      <c r="I90" s="134"/>
      <c r="J90" s="134"/>
      <c r="K90" s="134"/>
    </row>
    <row r="91" spans="1:11" ht="63" x14ac:dyDescent="0.25">
      <c r="A91" s="130" t="s">
        <v>471</v>
      </c>
      <c r="B91" s="130"/>
      <c r="C91" s="135"/>
      <c r="D91" s="135"/>
      <c r="E91" s="135"/>
      <c r="F91" s="135"/>
      <c r="G91" s="134"/>
      <c r="H91" s="134"/>
      <c r="I91" s="134"/>
      <c r="J91" s="134"/>
      <c r="K91" s="134"/>
    </row>
    <row r="92" spans="1:11" ht="32.25" thickBot="1" x14ac:dyDescent="0.3">
      <c r="A92" s="130" t="s">
        <v>472</v>
      </c>
      <c r="B92" s="130" t="s">
        <v>473</v>
      </c>
      <c r="C92" s="135"/>
      <c r="D92" s="135"/>
      <c r="E92" s="135"/>
      <c r="F92" s="135"/>
      <c r="G92" s="134"/>
      <c r="H92" s="134" t="s">
        <v>552</v>
      </c>
      <c r="I92" s="134"/>
      <c r="J92" s="134"/>
      <c r="K92" s="134"/>
    </row>
    <row r="93" spans="1:11" ht="47.25" customHeight="1" x14ac:dyDescent="0.25">
      <c r="A93" s="133"/>
      <c r="B93" s="130"/>
      <c r="C93" s="134"/>
      <c r="D93" s="134"/>
      <c r="E93" s="134"/>
      <c r="F93" s="732" t="s">
        <v>550</v>
      </c>
      <c r="G93" s="733"/>
      <c r="H93" s="708">
        <v>150</v>
      </c>
      <c r="I93" s="134"/>
      <c r="J93" s="134"/>
      <c r="K93" s="134"/>
    </row>
    <row r="94" spans="1:11" ht="15.75" x14ac:dyDescent="0.25">
      <c r="F94" s="734" t="s">
        <v>553</v>
      </c>
      <c r="G94" s="735"/>
      <c r="H94" s="711">
        <v>1100</v>
      </c>
    </row>
    <row r="95" spans="1:11" ht="75" customHeight="1" x14ac:dyDescent="0.25">
      <c r="F95" s="736" t="s">
        <v>549</v>
      </c>
      <c r="G95" s="735"/>
      <c r="H95" s="711">
        <v>300</v>
      </c>
    </row>
    <row r="96" spans="1:11" ht="36" customHeight="1" x14ac:dyDescent="0.25">
      <c r="F96" s="734" t="s">
        <v>554</v>
      </c>
      <c r="G96" s="735"/>
      <c r="H96" s="709">
        <v>500</v>
      </c>
    </row>
    <row r="97" spans="6:8" ht="47.25" customHeight="1" thickBot="1" x14ac:dyDescent="0.3">
      <c r="F97" s="737" t="s">
        <v>551</v>
      </c>
      <c r="G97" s="738"/>
      <c r="H97" s="710">
        <v>250</v>
      </c>
    </row>
    <row r="98" spans="6:8" x14ac:dyDescent="0.25">
      <c r="F98" s="731"/>
      <c r="G98" s="731"/>
      <c r="H98" s="707">
        <f>SUM(H93:H97)</f>
        <v>2300</v>
      </c>
    </row>
    <row r="99" spans="6:8" x14ac:dyDescent="0.25">
      <c r="F99" s="731"/>
      <c r="G99" s="731"/>
    </row>
  </sheetData>
  <mergeCells count="37">
    <mergeCell ref="F98:G98"/>
    <mergeCell ref="F99:G99"/>
    <mergeCell ref="F93:G93"/>
    <mergeCell ref="F94:G94"/>
    <mergeCell ref="F95:G95"/>
    <mergeCell ref="F96:G96"/>
    <mergeCell ref="F97:G97"/>
    <mergeCell ref="B1:C1"/>
    <mergeCell ref="A83:B83"/>
    <mergeCell ref="A82:B82"/>
    <mergeCell ref="A84:B84"/>
    <mergeCell ref="A85:B85"/>
    <mergeCell ref="A9:B9"/>
    <mergeCell ref="A56:B56"/>
    <mergeCell ref="A57:B57"/>
    <mergeCell ref="A58:B58"/>
    <mergeCell ref="A81:B81"/>
    <mergeCell ref="A17:B17"/>
    <mergeCell ref="A28:B28"/>
    <mergeCell ref="A78:B78"/>
    <mergeCell ref="A25:B25"/>
    <mergeCell ref="A26:B26"/>
    <mergeCell ref="H89:I89"/>
    <mergeCell ref="A42:B42"/>
    <mergeCell ref="A69:B69"/>
    <mergeCell ref="A71:B71"/>
    <mergeCell ref="A79:B79"/>
    <mergeCell ref="A80:B80"/>
    <mergeCell ref="A68:B68"/>
    <mergeCell ref="A59:B59"/>
    <mergeCell ref="A61:B61"/>
    <mergeCell ref="A64:B64"/>
    <mergeCell ref="A66:B66"/>
    <mergeCell ref="A67:B67"/>
    <mergeCell ref="A65:B65"/>
    <mergeCell ref="A60:B60"/>
    <mergeCell ref="A87:B87"/>
  </mergeCells>
  <hyperlinks>
    <hyperlink ref="A90" r:id="rId1" display="https://www.nalog.gov.ru/rn77/service/calc_transport/?ysclid=lg3wpfz380117140785" xr:uid="{F41B98CA-773A-48D0-985A-C54CA35DC43C}"/>
    <hyperlink ref="I77" r:id="rId2" display="https://ohranatruda.ru/upload/iblock/710/4294817608.pdf?ysclid=lgqetikeiy980888400" xr:uid="{B44FB903-A74B-4092-B57B-3D5D4D81057D}"/>
  </hyperlinks>
  <pageMargins left="0.7" right="0.7" top="0.75" bottom="0.75" header="0.3" footer="0.3"/>
  <pageSetup paperSize="9" firstPageNumber="2147483648" orientation="portrait" r:id="rId3"/>
  <drawing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D44"/>
  <sheetViews>
    <sheetView tabSelected="1" zoomScale="80" zoomScaleNormal="80" workbookViewId="0">
      <selection activeCell="B7" sqref="B7"/>
    </sheetView>
  </sheetViews>
  <sheetFormatPr defaultRowHeight="15" x14ac:dyDescent="0.25"/>
  <cols>
    <col min="1" max="1" width="48.28515625" customWidth="1"/>
    <col min="2" max="2" width="16.7109375" customWidth="1"/>
    <col min="20" max="20" width="10.28515625" customWidth="1"/>
  </cols>
  <sheetData>
    <row r="1" spans="1:4" x14ac:dyDescent="0.25">
      <c r="A1" t="s">
        <v>7</v>
      </c>
    </row>
    <row r="2" spans="1:4" ht="45.75" customHeight="1" x14ac:dyDescent="0.25">
      <c r="A2" s="5" t="s">
        <v>8</v>
      </c>
      <c r="B2" s="7">
        <f>'объем работ 100% загр'!N14</f>
        <v>6176.5515151515156</v>
      </c>
    </row>
    <row r="3" spans="1:4" x14ac:dyDescent="0.25">
      <c r="A3" s="660" t="s">
        <v>506</v>
      </c>
      <c r="B3" s="7">
        <f>'Расходы на П, строит-во, ввод'!E67</f>
        <v>2450482.25</v>
      </c>
    </row>
    <row r="4" spans="1:4" x14ac:dyDescent="0.25">
      <c r="A4" t="s">
        <v>515</v>
      </c>
      <c r="B4" s="6">
        <f>'объем работ 100% загр'!N7</f>
        <v>217.36074680953413</v>
      </c>
      <c r="C4" s="8"/>
      <c r="D4" s="6"/>
    </row>
    <row r="5" spans="1:4" x14ac:dyDescent="0.25">
      <c r="A5" t="s">
        <v>9</v>
      </c>
      <c r="B5">
        <f>'Расходы на ЗП ОТ'!B66</f>
        <v>39</v>
      </c>
    </row>
    <row r="6" spans="1:4" x14ac:dyDescent="0.25">
      <c r="A6" t="s">
        <v>10</v>
      </c>
      <c r="B6" s="6">
        <f>'Расходы на ЗП ОТ'!C66</f>
        <v>56.666666666666664</v>
      </c>
    </row>
    <row r="7" spans="1:4" x14ac:dyDescent="0.25">
      <c r="A7" s="9" t="s">
        <v>11</v>
      </c>
      <c r="B7" s="6">
        <f>'Расходы на ЗП ТОР'!BG54/1000</f>
        <v>37.267923256937046</v>
      </c>
    </row>
    <row r="8" spans="1:4" x14ac:dyDescent="0.25">
      <c r="A8" s="426" t="s">
        <v>395</v>
      </c>
      <c r="B8" s="6">
        <f>Себестоимость!M51</f>
        <v>13.919855256118717</v>
      </c>
    </row>
    <row r="9" spans="1:4" x14ac:dyDescent="0.25">
      <c r="A9" t="s">
        <v>12</v>
      </c>
      <c r="B9" s="10">
        <f>'Расходы на П, строит-во, ввод'!AA14</f>
        <v>140398.74369797821</v>
      </c>
    </row>
    <row r="10" spans="1:4" x14ac:dyDescent="0.25">
      <c r="A10" t="str">
        <f>'Расходы ТОР'!A51</f>
        <v>Разница в ЧП с ТОСЭР и без, тыс.руб.</v>
      </c>
      <c r="B10" s="10">
        <f>'Расходы ТОР'!L53</f>
        <v>73879.112127062603</v>
      </c>
    </row>
    <row r="11" spans="1:4" x14ac:dyDescent="0.25">
      <c r="A11" t="s">
        <v>13</v>
      </c>
      <c r="B11" s="10">
        <f>'NPV, IRR, DPI ТОР'!N7</f>
        <v>69387.224247520833</v>
      </c>
    </row>
    <row r="13" spans="1:4" x14ac:dyDescent="0.25">
      <c r="B13" s="11"/>
    </row>
    <row r="14" spans="1:4" x14ac:dyDescent="0.25">
      <c r="A14" t="str">
        <f>'NPV, IRR, DPI ТОР'!A21</f>
        <v>Чистая приведенная стоимость  (ЧПС) Способ 1</v>
      </c>
      <c r="B14" s="10">
        <f>'NPV, IRR, DPI ТОР'!B21</f>
        <v>236326.57003275922</v>
      </c>
    </row>
    <row r="15" spans="1:4" x14ac:dyDescent="0.25">
      <c r="A15" t="str">
        <f>'NPV, IRR, DPI ТОР'!A23</f>
        <v>Рентабельность продаж, %</v>
      </c>
      <c r="B15" s="11">
        <f>'NPV, IRR, DPI ТОР'!B23</f>
        <v>0.37815470855985206</v>
      </c>
    </row>
    <row r="16" spans="1:4" x14ac:dyDescent="0.25">
      <c r="A16" t="str">
        <f>'NPV, IRR, DPI ТОР'!A24</f>
        <v>Рентабельность продукции, %</v>
      </c>
      <c r="B16" s="11">
        <f>'NPV, IRR, DPI ТОР'!B24</f>
        <v>0.63974128878358938</v>
      </c>
    </row>
    <row r="17" spans="1:2" x14ac:dyDescent="0.25">
      <c r="A17" t="str">
        <f>'NPV, IRR, DPI ТОР'!A25</f>
        <v>Индекс доходности (PI)</v>
      </c>
      <c r="B17" s="10">
        <f>'NPV, IRR, DPI ТОР'!B25</f>
        <v>2.0821724231961163</v>
      </c>
    </row>
    <row r="18" spans="1:2" x14ac:dyDescent="0.25">
      <c r="A18" t="str">
        <f>'NPV, IRR, DPI ТОР'!A26</f>
        <v>Внутренняя норма доходности (IRR), %</v>
      </c>
      <c r="B18" s="11">
        <f>'NPV, IRR, DPI ТОР'!B26</f>
        <v>0.41184438190553219</v>
      </c>
    </row>
    <row r="19" spans="1:2" ht="30" x14ac:dyDescent="0.25">
      <c r="A19" s="57" t="str">
        <f>'NPV, IRR, DPI ТОР'!A27</f>
        <v>Срок окупаемости первоначальных инвестиций (РB), лет</v>
      </c>
      <c r="B19" s="10">
        <f>'NPV, IRR, DPI ТОР'!B27</f>
        <v>4.6357478084887553</v>
      </c>
    </row>
    <row r="20" spans="1:2" x14ac:dyDescent="0.25">
      <c r="B20" s="10"/>
    </row>
    <row r="21" spans="1:2" x14ac:dyDescent="0.25">
      <c r="A21" t="str">
        <f>'NPV, IRR, DPI ТОР'!A29</f>
        <v>Финансовый результат (+/- прибыль/убыток)</v>
      </c>
      <c r="B21" s="10">
        <f>'NPV, IRR, DPI ТОР'!B29</f>
        <v>748552.07976094447</v>
      </c>
    </row>
    <row r="22" spans="1:2" x14ac:dyDescent="0.25">
      <c r="A22" t="str">
        <f>'NPV, IRR, DPI ТОР'!A30</f>
        <v> Средняя норма рентабельности - ARR, % </v>
      </c>
      <c r="B22" s="11">
        <f>'NPV, IRR, DPI ТОР'!B30</f>
        <v>0.61134118279754035</v>
      </c>
    </row>
    <row r="23" spans="1:2" x14ac:dyDescent="0.25">
      <c r="A23" t="str">
        <f>'NPV, IRR, DPI ТОР'!A31</f>
        <v>Рентабельность инвестиций, ROI, %</v>
      </c>
      <c r="B23" s="11">
        <f>'NPV, IRR, DPI ТОР'!B31</f>
        <v>7.1268487295766922</v>
      </c>
    </row>
    <row r="24" spans="1:2" x14ac:dyDescent="0.25">
      <c r="B24" s="11"/>
    </row>
    <row r="25" spans="1:2" x14ac:dyDescent="0.25">
      <c r="B25" s="11"/>
    </row>
    <row r="26" spans="1:2" x14ac:dyDescent="0.25">
      <c r="B26" s="11"/>
    </row>
    <row r="27" spans="1:2" x14ac:dyDescent="0.25">
      <c r="A27" t="s">
        <v>14</v>
      </c>
      <c r="B27" s="10">
        <f>'Налоги ТОР'!AA24/1000</f>
        <v>130.57681248205438</v>
      </c>
    </row>
    <row r="44" spans="3:3" x14ac:dyDescent="0.25">
      <c r="C44" t="s">
        <v>15</v>
      </c>
    </row>
  </sheetData>
  <pageMargins left="0.7" right="0.7" top="0.75" bottom="0.75" header="0.3" footer="0.3"/>
  <pageSetup paperSize="9" firstPageNumber="2147483648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1">
    <tabColor theme="0"/>
    <pageSetUpPr fitToPage="1"/>
  </sheetPr>
  <dimension ref="A1:AJ41"/>
  <sheetViews>
    <sheetView zoomScale="60" zoomScaleNormal="60" workbookViewId="0">
      <pane xSplit="1" topLeftCell="B1" activePane="topRight" state="frozen"/>
      <selection activeCell="B28" sqref="B28"/>
      <selection pane="topRight" activeCell="S25" sqref="S25"/>
    </sheetView>
  </sheetViews>
  <sheetFormatPr defaultColWidth="9.140625" defaultRowHeight="15" x14ac:dyDescent="0.25"/>
  <cols>
    <col min="1" max="1" width="26.5703125" style="51" customWidth="1"/>
    <col min="2" max="2" width="13.85546875" style="52" customWidth="1"/>
    <col min="3" max="11" width="13" style="53" customWidth="1"/>
    <col min="12" max="12" width="14.140625" style="53" customWidth="1"/>
    <col min="13" max="15" width="12.85546875" customWidth="1"/>
    <col min="16" max="16" width="10" bestFit="1" customWidth="1"/>
    <col min="17" max="17" width="12.42578125" bestFit="1" customWidth="1"/>
    <col min="18" max="19" width="12.42578125" customWidth="1"/>
    <col min="20" max="20" width="13" customWidth="1"/>
    <col min="21" max="21" width="12.85546875" customWidth="1"/>
    <col min="22" max="22" width="13.42578125" customWidth="1"/>
    <col min="23" max="24" width="15.28515625" customWidth="1"/>
    <col min="25" max="25" width="18.28515625" customWidth="1"/>
    <col min="26" max="26" width="14" customWidth="1"/>
    <col min="27" max="27" width="15.5703125" customWidth="1"/>
    <col min="28" max="30" width="10.5703125" bestFit="1" customWidth="1"/>
    <col min="31" max="31" width="11.42578125" customWidth="1"/>
    <col min="32" max="32" width="11.85546875" style="53" customWidth="1"/>
    <col min="33" max="36" width="13" style="53" customWidth="1"/>
  </cols>
  <sheetData>
    <row r="1" spans="1:32" ht="26.25" x14ac:dyDescent="0.25">
      <c r="A1" s="739" t="s">
        <v>283</v>
      </c>
      <c r="B1" s="740"/>
      <c r="C1" s="740"/>
      <c r="D1" s="740"/>
      <c r="E1" s="740"/>
      <c r="F1" s="740"/>
      <c r="G1" s="740"/>
      <c r="H1" s="740"/>
      <c r="I1" s="740"/>
      <c r="J1" s="740"/>
      <c r="K1" s="740"/>
      <c r="L1" s="740"/>
      <c r="M1" s="741"/>
      <c r="N1" s="55"/>
      <c r="P1" s="742" t="s">
        <v>39</v>
      </c>
      <c r="Q1" s="743"/>
      <c r="R1" s="743"/>
      <c r="S1" s="743"/>
      <c r="T1" s="743"/>
      <c r="U1" s="743"/>
      <c r="V1" s="743"/>
      <c r="W1" s="743"/>
      <c r="X1" s="743"/>
      <c r="Y1" s="743"/>
      <c r="Z1" s="743"/>
      <c r="AA1" s="54"/>
      <c r="AB1" s="54"/>
      <c r="AC1" s="54"/>
      <c r="AD1" s="54"/>
    </row>
    <row r="2" spans="1:32" ht="18" customHeight="1" x14ac:dyDescent="0.25">
      <c r="A2" s="304" t="s">
        <v>40</v>
      </c>
      <c r="B2" s="305" t="s">
        <v>41</v>
      </c>
      <c r="C2" s="302" t="s">
        <v>42</v>
      </c>
      <c r="D2" s="302" t="s">
        <v>43</v>
      </c>
      <c r="E2" s="302" t="s">
        <v>44</v>
      </c>
      <c r="F2" s="302" t="s">
        <v>45</v>
      </c>
      <c r="G2" s="302" t="s">
        <v>46</v>
      </c>
      <c r="H2" s="303" t="s">
        <v>47</v>
      </c>
      <c r="I2" s="303" t="s">
        <v>48</v>
      </c>
      <c r="J2" s="303" t="s">
        <v>49</v>
      </c>
      <c r="K2" s="303" t="s">
        <v>50</v>
      </c>
      <c r="L2" s="303" t="s">
        <v>51</v>
      </c>
      <c r="M2" s="303" t="s">
        <v>52</v>
      </c>
      <c r="N2" s="307" t="s">
        <v>53</v>
      </c>
      <c r="O2" s="56"/>
      <c r="P2" s="61">
        <v>1</v>
      </c>
      <c r="Q2" s="61">
        <v>1</v>
      </c>
      <c r="R2" s="61">
        <v>1</v>
      </c>
      <c r="S2" s="61">
        <v>1</v>
      </c>
      <c r="T2" s="61">
        <v>1</v>
      </c>
      <c r="U2" s="61">
        <v>1</v>
      </c>
      <c r="V2" s="61">
        <v>1</v>
      </c>
      <c r="W2" s="61">
        <v>1</v>
      </c>
      <c r="X2" s="61">
        <v>1</v>
      </c>
      <c r="Y2" s="61">
        <v>1</v>
      </c>
      <c r="Z2" s="61">
        <v>1</v>
      </c>
      <c r="AA2" s="67"/>
      <c r="AB2" s="67"/>
      <c r="AC2" s="67"/>
      <c r="AE2" s="57"/>
      <c r="AF2" s="57"/>
    </row>
    <row r="3" spans="1:32" s="57" customFormat="1" ht="30" x14ac:dyDescent="0.25">
      <c r="A3" s="503" t="s">
        <v>406</v>
      </c>
      <c r="B3" s="492" t="s">
        <v>403</v>
      </c>
      <c r="C3" s="452">
        <v>11</v>
      </c>
      <c r="D3" s="452">
        <v>11</v>
      </c>
      <c r="E3" s="454">
        <f>D3*(1+допущения!$C$37)</f>
        <v>11.66</v>
      </c>
      <c r="F3" s="454">
        <f>E3*(1+допущения!$C$37)</f>
        <v>12.3596</v>
      </c>
      <c r="G3" s="454">
        <f>F3*(1+допущения!$C$37)</f>
        <v>13.101176000000001</v>
      </c>
      <c r="H3" s="454">
        <f>G3*(1+допущения!$C$37)</f>
        <v>13.887246560000001</v>
      </c>
      <c r="I3" s="454">
        <f>H3*(1+допущения!$C$37)</f>
        <v>14.720481353600002</v>
      </c>
      <c r="J3" s="454">
        <f>I3*(1+допущения!$C$37)</f>
        <v>15.603710234816003</v>
      </c>
      <c r="K3" s="454">
        <f>J3*(1+допущения!$C$37)</f>
        <v>16.539932848904964</v>
      </c>
      <c r="L3" s="454">
        <f>K3*(1+допущения!$C$37)</f>
        <v>17.532328819839265</v>
      </c>
      <c r="M3" s="454">
        <f>L3*(1+допущения!$C$37)</f>
        <v>18.58426854902962</v>
      </c>
      <c r="N3" s="534">
        <f>AVERAGE(C3:L3)</f>
        <v>13.740447581716023</v>
      </c>
      <c r="O3" s="60"/>
      <c r="P3" s="63">
        <v>50</v>
      </c>
      <c r="Q3" s="63">
        <f>Q2*$Y$3</f>
        <v>198.22000000000003</v>
      </c>
      <c r="R3" s="63">
        <f t="shared" ref="R3:X3" si="0">R2*$Y$3</f>
        <v>198.22000000000003</v>
      </c>
      <c r="S3" s="63">
        <f t="shared" si="0"/>
        <v>198.22000000000003</v>
      </c>
      <c r="T3" s="63">
        <f t="shared" si="0"/>
        <v>198.22000000000003</v>
      </c>
      <c r="U3" s="63">
        <f t="shared" si="0"/>
        <v>198.22000000000003</v>
      </c>
      <c r="V3" s="63">
        <f t="shared" si="0"/>
        <v>198.22000000000003</v>
      </c>
      <c r="W3" s="63">
        <f t="shared" si="0"/>
        <v>198.22000000000003</v>
      </c>
      <c r="X3" s="63">
        <f t="shared" si="0"/>
        <v>198.22000000000003</v>
      </c>
      <c r="Y3" s="456">
        <f>(допущения!J86+допущения!J87+допущения!J88)/12</f>
        <v>198.22000000000003</v>
      </c>
      <c r="Z3" s="63">
        <f>Y3*Z2</f>
        <v>198.22000000000003</v>
      </c>
      <c r="AA3" s="67"/>
      <c r="AB3" s="67"/>
      <c r="AC3" s="67"/>
    </row>
    <row r="4" spans="1:32" x14ac:dyDescent="0.25">
      <c r="A4" s="713" t="s">
        <v>555</v>
      </c>
      <c r="B4" s="492" t="s">
        <v>404</v>
      </c>
      <c r="C4" s="453">
        <f>11*4</f>
        <v>44</v>
      </c>
      <c r="D4" s="453">
        <f>11*4</f>
        <v>44</v>
      </c>
      <c r="E4" s="454">
        <f>D4*(1+допущения!$C$37)</f>
        <v>46.64</v>
      </c>
      <c r="F4" s="454">
        <f>E4*(1+допущения!$C$37)</f>
        <v>49.438400000000001</v>
      </c>
      <c r="G4" s="454">
        <f>F4*(1+допущения!$C$37)</f>
        <v>52.404704000000002</v>
      </c>
      <c r="H4" s="454">
        <f>G4*(1+допущения!$C$37)</f>
        <v>55.548986240000005</v>
      </c>
      <c r="I4" s="454">
        <f>H4*(1+допущения!$C$37)</f>
        <v>58.881925414400008</v>
      </c>
      <c r="J4" s="454">
        <f>I4*(1+допущения!$C$37)</f>
        <v>62.41484093926401</v>
      </c>
      <c r="K4" s="454">
        <f>J4*(1+допущения!$C$37)</f>
        <v>66.159731395619858</v>
      </c>
      <c r="L4" s="454">
        <f>K4*(1+допущения!$C$37)</f>
        <v>70.129315279357058</v>
      </c>
      <c r="M4" s="454">
        <f>L4*(1+допущения!$C$37)</f>
        <v>74.337074196118479</v>
      </c>
      <c r="N4" s="534">
        <f>AVERAGE(C4:L4)</f>
        <v>54.96179032686409</v>
      </c>
      <c r="O4" s="138"/>
      <c r="P4" s="63">
        <f t="shared" ref="P4:Q6" si="1">X4*$Q$2</f>
        <v>198.33333333333334</v>
      </c>
      <c r="Q4" s="63">
        <f t="shared" si="1"/>
        <v>198.33333333333334</v>
      </c>
      <c r="R4" s="63">
        <f>Y4*$R$2</f>
        <v>198.33333333333334</v>
      </c>
      <c r="S4" s="63">
        <f>Y4*$S$2</f>
        <v>198.33333333333334</v>
      </c>
      <c r="T4" s="63">
        <f>Y4*$T$2</f>
        <v>198.33333333333334</v>
      </c>
      <c r="U4" s="63">
        <f>Y4*$U$2</f>
        <v>198.33333333333334</v>
      </c>
      <c r="V4" s="63">
        <f>Y4*$V$2</f>
        <v>198.33333333333334</v>
      </c>
      <c r="W4" s="63">
        <f>Y4*$W$2</f>
        <v>198.33333333333334</v>
      </c>
      <c r="X4" s="63">
        <f>Y4*$X$2</f>
        <v>198.33333333333334</v>
      </c>
      <c r="Y4" s="456">
        <f>допущения!J85/12</f>
        <v>198.33333333333334</v>
      </c>
      <c r="Z4" s="63">
        <f>Y4</f>
        <v>198.33333333333334</v>
      </c>
      <c r="AA4" s="67"/>
      <c r="AB4" s="67"/>
      <c r="AC4" s="67"/>
      <c r="AE4" s="57"/>
      <c r="AF4" s="57"/>
    </row>
    <row r="5" spans="1:32" ht="33" customHeight="1" x14ac:dyDescent="0.25">
      <c r="A5" s="451" t="s">
        <v>401</v>
      </c>
      <c r="B5" s="492" t="s">
        <v>404</v>
      </c>
      <c r="C5" s="453">
        <v>600</v>
      </c>
      <c r="D5" s="454">
        <f>C5*(1+допущения!$C$37)</f>
        <v>636</v>
      </c>
      <c r="E5" s="454">
        <f>D5*(1+допущения!$C$37)</f>
        <v>674.16000000000008</v>
      </c>
      <c r="F5" s="454">
        <f>E5*(1+допущения!$C$37)</f>
        <v>714.60960000000011</v>
      </c>
      <c r="G5" s="454">
        <f>F5*(1+допущения!$C$37)</f>
        <v>757.48617600000011</v>
      </c>
      <c r="H5" s="454">
        <f>G5*(1+допущения!$C$37)</f>
        <v>802.9353465600002</v>
      </c>
      <c r="I5" s="454">
        <f>H5*(1+допущения!$C$37)</f>
        <v>851.11146735360023</v>
      </c>
      <c r="J5" s="454">
        <f>I5*(1+допущения!$C$37)</f>
        <v>902.17815539481626</v>
      </c>
      <c r="K5" s="454">
        <f>J5*(1+допущения!$C$37)</f>
        <v>956.30884471850527</v>
      </c>
      <c r="L5" s="454">
        <f>K5*(1+допущения!$C$37)</f>
        <v>1013.6873754016157</v>
      </c>
      <c r="M5" s="454">
        <f>L5*(1+допущения!$C$37)</f>
        <v>1074.5086179257128</v>
      </c>
      <c r="N5" s="534">
        <f>AVERAGE(C5:L5)</f>
        <v>790.84769654285378</v>
      </c>
      <c r="O5" s="138"/>
      <c r="P5" s="63">
        <f t="shared" si="1"/>
        <v>2</v>
      </c>
      <c r="Q5" s="63">
        <f t="shared" si="1"/>
        <v>2</v>
      </c>
      <c r="R5" s="63">
        <f>Y5*$R$2</f>
        <v>2</v>
      </c>
      <c r="S5" s="63">
        <f>Y5*$S$2</f>
        <v>2</v>
      </c>
      <c r="T5" s="63">
        <f>Y5*$T$2</f>
        <v>2</v>
      </c>
      <c r="U5" s="63">
        <f>Y5*$U$2</f>
        <v>2</v>
      </c>
      <c r="V5" s="63">
        <f>Y5*$V$2</f>
        <v>2</v>
      </c>
      <c r="W5" s="63">
        <f>Y5*$W$2</f>
        <v>2</v>
      </c>
      <c r="X5" s="63">
        <f>Y5*$X$2</f>
        <v>2</v>
      </c>
      <c r="Y5" s="456">
        <v>2</v>
      </c>
      <c r="Z5" s="63">
        <f t="shared" ref="Z5:Z6" si="2">Y5</f>
        <v>2</v>
      </c>
      <c r="AA5" s="67"/>
      <c r="AB5" s="67"/>
      <c r="AC5" s="67"/>
    </row>
    <row r="6" spans="1:32" ht="35.25" customHeight="1" x14ac:dyDescent="0.25">
      <c r="A6" s="451" t="s">
        <v>402</v>
      </c>
      <c r="B6" s="492" t="s">
        <v>404</v>
      </c>
      <c r="C6" s="453">
        <v>7</v>
      </c>
      <c r="D6" s="454">
        <v>8</v>
      </c>
      <c r="E6" s="454">
        <f>D6*(1+допущения!$C$37)</f>
        <v>8.48</v>
      </c>
      <c r="F6" s="454">
        <f>E6*(1+допущения!$C$37)</f>
        <v>8.9888000000000012</v>
      </c>
      <c r="G6" s="454">
        <f>F6*(1+допущения!$C$37)</f>
        <v>9.5281280000000024</v>
      </c>
      <c r="H6" s="454">
        <f>G6*(1+допущения!$C$37)</f>
        <v>10.099815680000003</v>
      </c>
      <c r="I6" s="454">
        <f>H6*(1+допущения!$C$37)</f>
        <v>10.705804620800004</v>
      </c>
      <c r="J6" s="454">
        <f>I6*(1+допущения!$C$37)</f>
        <v>11.348152898048005</v>
      </c>
      <c r="K6" s="454">
        <f>J6*(1+допущения!$C$37)</f>
        <v>12.029042071930885</v>
      </c>
      <c r="L6" s="454">
        <f>K6*(1+допущения!$C$37)</f>
        <v>12.750784596246739</v>
      </c>
      <c r="M6" s="454">
        <f>L6*(1+допущения!$C$37)</f>
        <v>13.515831672021543</v>
      </c>
      <c r="N6" s="534">
        <f>AVERAGE(C6:L6)</f>
        <v>9.8930527867025635</v>
      </c>
      <c r="O6" s="138"/>
      <c r="P6" s="63">
        <f t="shared" si="1"/>
        <v>150</v>
      </c>
      <c r="Q6" s="63">
        <f t="shared" si="1"/>
        <v>150</v>
      </c>
      <c r="R6" s="63">
        <f>Y6*$R$2</f>
        <v>150</v>
      </c>
      <c r="S6" s="63">
        <f>Y6*$S$2</f>
        <v>150</v>
      </c>
      <c r="T6" s="63">
        <f>Y6*$T$2</f>
        <v>150</v>
      </c>
      <c r="U6" s="63">
        <f>Y6*$U$2</f>
        <v>150</v>
      </c>
      <c r="V6" s="63">
        <f>Y6*$V$2</f>
        <v>150</v>
      </c>
      <c r="W6" s="63">
        <f>Y6*$W$2</f>
        <v>150</v>
      </c>
      <c r="X6" s="63">
        <f>Y6*$X$2</f>
        <v>150</v>
      </c>
      <c r="Y6" s="456">
        <v>150</v>
      </c>
      <c r="Z6" s="63">
        <f t="shared" si="2"/>
        <v>150</v>
      </c>
      <c r="AA6" s="67"/>
      <c r="AB6" s="67"/>
      <c r="AC6" s="67"/>
    </row>
    <row r="7" spans="1:32" ht="40.5" customHeight="1" x14ac:dyDescent="0.25">
      <c r="A7" s="541" t="s">
        <v>475</v>
      </c>
      <c r="B7" s="66"/>
      <c r="C7" s="493"/>
      <c r="D7" s="493">
        <v>4</v>
      </c>
      <c r="E7" s="494">
        <f>D7</f>
        <v>4</v>
      </c>
      <c r="F7" s="494">
        <f t="shared" ref="F7:M7" si="3">E7</f>
        <v>4</v>
      </c>
      <c r="G7" s="494">
        <f t="shared" si="3"/>
        <v>4</v>
      </c>
      <c r="H7" s="494">
        <f t="shared" si="3"/>
        <v>4</v>
      </c>
      <c r="I7" s="494">
        <f t="shared" si="3"/>
        <v>4</v>
      </c>
      <c r="J7" s="494">
        <f t="shared" si="3"/>
        <v>4</v>
      </c>
      <c r="K7" s="494">
        <f t="shared" si="3"/>
        <v>4</v>
      </c>
      <c r="L7" s="494">
        <f t="shared" si="3"/>
        <v>4</v>
      </c>
      <c r="M7" s="494">
        <f t="shared" si="3"/>
        <v>4</v>
      </c>
      <c r="N7" s="62">
        <f>AVERAGE(N3:N6)</f>
        <v>217.36074680953413</v>
      </c>
      <c r="O7" s="56"/>
      <c r="P7" s="65"/>
      <c r="Q7" s="65"/>
      <c r="R7" s="65"/>
      <c r="S7" s="65"/>
      <c r="U7" s="67"/>
      <c r="V7" s="67"/>
      <c r="W7" s="67"/>
      <c r="X7" s="67"/>
      <c r="Y7" s="67"/>
      <c r="Z7" s="67"/>
      <c r="AA7" s="67"/>
      <c r="AB7" s="67"/>
      <c r="AC7" s="67"/>
      <c r="AD7" s="67"/>
    </row>
    <row r="8" spans="1:32" ht="40.5" customHeight="1" x14ac:dyDescent="0.25">
      <c r="A8" s="306"/>
      <c r="B8" s="285"/>
      <c r="C8" s="751" t="s">
        <v>55</v>
      </c>
      <c r="D8" s="752"/>
      <c r="E8" s="752"/>
      <c r="F8" s="752"/>
      <c r="G8" s="752"/>
      <c r="H8" s="752"/>
      <c r="I8" s="752"/>
      <c r="J8" s="752"/>
      <c r="K8" s="752"/>
      <c r="L8" s="752"/>
      <c r="M8" s="752"/>
      <c r="N8" s="308" t="s">
        <v>56</v>
      </c>
      <c r="O8" s="56"/>
      <c r="P8" s="753" t="s">
        <v>57</v>
      </c>
      <c r="Q8" s="753"/>
      <c r="R8" s="753"/>
      <c r="S8" s="753"/>
      <c r="T8" s="753"/>
      <c r="U8" s="753"/>
      <c r="V8" s="753"/>
      <c r="W8" s="753"/>
      <c r="X8" s="753"/>
      <c r="Y8" s="753"/>
      <c r="Z8" s="753"/>
      <c r="AA8" s="67"/>
      <c r="AB8" s="67"/>
      <c r="AC8" s="67"/>
      <c r="AD8" s="67"/>
    </row>
    <row r="9" spans="1:32" ht="18" customHeight="1" x14ac:dyDescent="0.25">
      <c r="A9" s="306" t="str">
        <f>A2</f>
        <v xml:space="preserve">Наименование </v>
      </c>
      <c r="B9" s="285" t="s">
        <v>41</v>
      </c>
      <c r="C9" s="302" t="str">
        <f t="shared" ref="C9:M9" si="4">C2</f>
        <v>1 год</v>
      </c>
      <c r="D9" s="302" t="str">
        <f t="shared" si="4"/>
        <v>2 год</v>
      </c>
      <c r="E9" s="302" t="str">
        <f t="shared" si="4"/>
        <v>3 год</v>
      </c>
      <c r="F9" s="302" t="str">
        <f t="shared" si="4"/>
        <v>4 год</v>
      </c>
      <c r="G9" s="302" t="str">
        <f t="shared" si="4"/>
        <v>5 год</v>
      </c>
      <c r="H9" s="302" t="str">
        <f t="shared" si="4"/>
        <v>6 год</v>
      </c>
      <c r="I9" s="302" t="str">
        <f t="shared" si="4"/>
        <v>7 год</v>
      </c>
      <c r="J9" s="302" t="str">
        <f t="shared" si="4"/>
        <v>8 год</v>
      </c>
      <c r="K9" s="302" t="str">
        <f t="shared" si="4"/>
        <v>9 год</v>
      </c>
      <c r="L9" s="302" t="str">
        <f t="shared" si="4"/>
        <v>10 год</v>
      </c>
      <c r="M9" s="302" t="str">
        <f t="shared" si="4"/>
        <v>11 год</v>
      </c>
      <c r="N9" s="56"/>
      <c r="O9" s="56"/>
      <c r="P9" s="302" t="str">
        <f>C9</f>
        <v>1 год</v>
      </c>
      <c r="Q9" s="302" t="str">
        <f t="shared" ref="Q9:Z9" si="5">D9</f>
        <v>2 год</v>
      </c>
      <c r="R9" s="302" t="str">
        <f t="shared" si="5"/>
        <v>3 год</v>
      </c>
      <c r="S9" s="302" t="str">
        <f t="shared" si="5"/>
        <v>4 год</v>
      </c>
      <c r="T9" s="302" t="str">
        <f t="shared" si="5"/>
        <v>5 год</v>
      </c>
      <c r="U9" s="302" t="str">
        <f t="shared" si="5"/>
        <v>6 год</v>
      </c>
      <c r="V9" s="302" t="str">
        <f t="shared" si="5"/>
        <v>7 год</v>
      </c>
      <c r="W9" s="302" t="str">
        <f t="shared" si="5"/>
        <v>8 год</v>
      </c>
      <c r="X9" s="302" t="str">
        <f t="shared" si="5"/>
        <v>9 год</v>
      </c>
      <c r="Y9" s="302" t="str">
        <f t="shared" si="5"/>
        <v>10 год</v>
      </c>
      <c r="Z9" s="302" t="str">
        <f t="shared" si="5"/>
        <v>11 год</v>
      </c>
      <c r="AA9" s="67"/>
      <c r="AB9" s="67"/>
      <c r="AC9" s="67"/>
      <c r="AD9" s="67"/>
    </row>
    <row r="10" spans="1:32" ht="30" x14ac:dyDescent="0.25">
      <c r="A10" s="58" t="str">
        <f>A3</f>
        <v>Ответственное хранение (капуста , морковь, лук)</v>
      </c>
      <c r="B10" s="514" t="s">
        <v>387</v>
      </c>
      <c r="C10" s="63">
        <f t="shared" ref="C10:E11" si="6">C16*P3*P10</f>
        <v>200</v>
      </c>
      <c r="D10" s="63">
        <f t="shared" si="6"/>
        <v>2378.6400000000003</v>
      </c>
      <c r="E10" s="63">
        <f t="shared" si="6"/>
        <v>2378.6400000000003</v>
      </c>
      <c r="F10" s="63">
        <f t="shared" ref="D10:M13" si="7">F16*S3*S10</f>
        <v>2378.6400000000003</v>
      </c>
      <c r="G10" s="63">
        <f t="shared" si="7"/>
        <v>2378.6400000000003</v>
      </c>
      <c r="H10" s="63">
        <f t="shared" si="7"/>
        <v>2378.6400000000003</v>
      </c>
      <c r="I10" s="63">
        <f t="shared" si="7"/>
        <v>2378.6400000000003</v>
      </c>
      <c r="J10" s="63">
        <f t="shared" si="7"/>
        <v>2378.6400000000003</v>
      </c>
      <c r="K10" s="63">
        <f t="shared" si="7"/>
        <v>2378.6400000000003</v>
      </c>
      <c r="L10" s="63">
        <f t="shared" si="7"/>
        <v>2378.6400000000003</v>
      </c>
      <c r="M10" s="63">
        <f t="shared" si="7"/>
        <v>2378.6400000000003</v>
      </c>
      <c r="N10" s="496">
        <f>AVERAGE(C10:M10)</f>
        <v>2180.5818181818181</v>
      </c>
      <c r="O10" s="56"/>
      <c r="P10" s="499">
        <v>4</v>
      </c>
      <c r="Q10" s="499">
        <v>12</v>
      </c>
      <c r="R10" s="499">
        <v>12</v>
      </c>
      <c r="S10" s="499">
        <v>12</v>
      </c>
      <c r="T10" s="499">
        <v>12</v>
      </c>
      <c r="U10" s="499">
        <v>12</v>
      </c>
      <c r="V10" s="499">
        <v>12</v>
      </c>
      <c r="W10" s="499">
        <v>12</v>
      </c>
      <c r="X10" s="499">
        <v>12</v>
      </c>
      <c r="Y10" s="499">
        <v>12</v>
      </c>
      <c r="Z10" s="499">
        <v>12</v>
      </c>
      <c r="AA10" s="67"/>
      <c r="AB10" s="67"/>
      <c r="AC10" s="67"/>
      <c r="AD10" s="67"/>
    </row>
    <row r="11" spans="1:32" x14ac:dyDescent="0.25">
      <c r="A11" s="58" t="str">
        <f t="shared" ref="A11:A13" si="8">A4</f>
        <v xml:space="preserve">Реализация картофеля </v>
      </c>
      <c r="B11" s="514" t="s">
        <v>387</v>
      </c>
      <c r="C11" s="63">
        <f t="shared" si="6"/>
        <v>991.66666666666674</v>
      </c>
      <c r="D11" s="63">
        <f t="shared" si="6"/>
        <v>2380</v>
      </c>
      <c r="E11" s="63">
        <f t="shared" si="6"/>
        <v>2380</v>
      </c>
      <c r="F11" s="63">
        <f t="shared" si="7"/>
        <v>2380</v>
      </c>
      <c r="G11" s="63">
        <f t="shared" si="7"/>
        <v>2380</v>
      </c>
      <c r="H11" s="63">
        <f t="shared" si="7"/>
        <v>2380</v>
      </c>
      <c r="I11" s="63">
        <f t="shared" si="7"/>
        <v>2380</v>
      </c>
      <c r="J11" s="63">
        <f t="shared" si="7"/>
        <v>2380</v>
      </c>
      <c r="K11" s="63">
        <f t="shared" si="7"/>
        <v>2380</v>
      </c>
      <c r="L11" s="63">
        <f t="shared" si="7"/>
        <v>2380</v>
      </c>
      <c r="M11" s="63">
        <f t="shared" si="7"/>
        <v>2380</v>
      </c>
      <c r="N11" s="496">
        <f>AVERAGE(C11:M11)</f>
        <v>2253.787878787879</v>
      </c>
      <c r="O11" s="65"/>
      <c r="P11" s="499">
        <v>5</v>
      </c>
      <c r="Q11" s="499">
        <v>12</v>
      </c>
      <c r="R11" s="499">
        <v>12</v>
      </c>
      <c r="S11" s="499">
        <v>12</v>
      </c>
      <c r="T11" s="499">
        <v>12</v>
      </c>
      <c r="U11" s="499">
        <v>12</v>
      </c>
      <c r="V11" s="499">
        <v>12</v>
      </c>
      <c r="W11" s="499">
        <v>12</v>
      </c>
      <c r="X11" s="499">
        <v>12</v>
      </c>
      <c r="Y11" s="499">
        <v>12</v>
      </c>
      <c r="Z11" s="499">
        <v>12</v>
      </c>
      <c r="AA11" s="67"/>
      <c r="AB11" s="67"/>
      <c r="AC11" s="67"/>
      <c r="AD11" s="67"/>
    </row>
    <row r="12" spans="1:32" ht="36" customHeight="1" x14ac:dyDescent="0.25">
      <c r="A12" s="58" t="str">
        <f t="shared" si="8"/>
        <v>Переработка дикоросов</v>
      </c>
      <c r="B12" s="514" t="s">
        <v>387</v>
      </c>
      <c r="C12" s="63">
        <f t="shared" ref="C12" si="9">C18*P5*P12</f>
        <v>24</v>
      </c>
      <c r="D12" s="63">
        <f t="shared" si="7"/>
        <v>24</v>
      </c>
      <c r="E12" s="63">
        <f t="shared" si="7"/>
        <v>24</v>
      </c>
      <c r="F12" s="63">
        <f>F18*S5*S12</f>
        <v>24</v>
      </c>
      <c r="G12" s="63">
        <f t="shared" si="7"/>
        <v>24</v>
      </c>
      <c r="H12" s="63">
        <f t="shared" si="7"/>
        <v>24</v>
      </c>
      <c r="I12" s="63">
        <f t="shared" si="7"/>
        <v>24</v>
      </c>
      <c r="J12" s="63">
        <f t="shared" si="7"/>
        <v>24</v>
      </c>
      <c r="K12" s="63">
        <f t="shared" si="7"/>
        <v>24</v>
      </c>
      <c r="L12" s="63">
        <f t="shared" si="7"/>
        <v>24</v>
      </c>
      <c r="M12" s="63">
        <f t="shared" si="7"/>
        <v>24</v>
      </c>
      <c r="N12" s="496">
        <f>AVERAGE(C12:M12)</f>
        <v>24</v>
      </c>
      <c r="O12" s="65"/>
      <c r="P12" s="499">
        <v>12</v>
      </c>
      <c r="Q12" s="499">
        <v>12</v>
      </c>
      <c r="R12" s="499">
        <v>12</v>
      </c>
      <c r="S12" s="499">
        <v>12</v>
      </c>
      <c r="T12" s="499">
        <v>12</v>
      </c>
      <c r="U12" s="499">
        <v>12</v>
      </c>
      <c r="V12" s="499">
        <v>12</v>
      </c>
      <c r="W12" s="499">
        <v>12</v>
      </c>
      <c r="X12" s="499">
        <v>12</v>
      </c>
      <c r="Y12" s="499">
        <v>12</v>
      </c>
      <c r="Z12" s="499">
        <v>12</v>
      </c>
      <c r="AA12" s="67"/>
      <c r="AB12" s="67"/>
      <c r="AC12" s="67"/>
      <c r="AD12" s="67"/>
    </row>
    <row r="13" spans="1:32" ht="30" customHeight="1" x14ac:dyDescent="0.25">
      <c r="A13" s="58" t="str">
        <f t="shared" si="8"/>
        <v>Услуги первичной переработки</v>
      </c>
      <c r="B13" s="514" t="s">
        <v>387</v>
      </c>
      <c r="C13" s="63">
        <f>C19*P6*P13</f>
        <v>900</v>
      </c>
      <c r="D13" s="63">
        <f t="shared" si="7"/>
        <v>1800</v>
      </c>
      <c r="E13" s="63">
        <f t="shared" si="7"/>
        <v>1800</v>
      </c>
      <c r="F13" s="63">
        <f t="shared" si="7"/>
        <v>1800</v>
      </c>
      <c r="G13" s="63">
        <f t="shared" si="7"/>
        <v>1800</v>
      </c>
      <c r="H13" s="63">
        <f t="shared" si="7"/>
        <v>1800</v>
      </c>
      <c r="I13" s="63">
        <f t="shared" si="7"/>
        <v>1800</v>
      </c>
      <c r="J13" s="63">
        <f t="shared" si="7"/>
        <v>1800</v>
      </c>
      <c r="K13" s="63">
        <f t="shared" si="7"/>
        <v>1800</v>
      </c>
      <c r="L13" s="63">
        <f t="shared" si="7"/>
        <v>1800</v>
      </c>
      <c r="M13" s="63">
        <f t="shared" si="7"/>
        <v>1800</v>
      </c>
      <c r="N13" s="496">
        <f>AVERAGE(C13:M13)</f>
        <v>1718.1818181818182</v>
      </c>
      <c r="O13" s="65"/>
      <c r="P13" s="499">
        <v>6</v>
      </c>
      <c r="Q13" s="499">
        <v>12</v>
      </c>
      <c r="R13" s="499">
        <v>12</v>
      </c>
      <c r="S13" s="499">
        <v>12</v>
      </c>
      <c r="T13" s="499">
        <v>12</v>
      </c>
      <c r="U13" s="499">
        <v>12</v>
      </c>
      <c r="V13" s="499">
        <v>12</v>
      </c>
      <c r="W13" s="499">
        <v>12</v>
      </c>
      <c r="X13" s="499">
        <v>12</v>
      </c>
      <c r="Y13" s="499">
        <v>12</v>
      </c>
      <c r="Z13" s="499">
        <v>12</v>
      </c>
      <c r="AA13" s="67"/>
      <c r="AB13" s="67"/>
      <c r="AC13" s="67"/>
      <c r="AD13" s="67"/>
    </row>
    <row r="14" spans="1:32" ht="15" customHeight="1" x14ac:dyDescent="0.25">
      <c r="A14" s="306"/>
      <c r="B14" s="309"/>
      <c r="C14" s="754" t="s">
        <v>405</v>
      </c>
      <c r="D14" s="755"/>
      <c r="E14" s="755"/>
      <c r="F14" s="755"/>
      <c r="G14" s="755"/>
      <c r="H14" s="755"/>
      <c r="I14" s="755"/>
      <c r="J14" s="755"/>
      <c r="K14" s="755"/>
      <c r="L14" s="755"/>
      <c r="M14" s="308"/>
      <c r="N14" s="495">
        <f>SUM(N10:N13)</f>
        <v>6176.5515151515156</v>
      </c>
      <c r="O14" s="65"/>
      <c r="P14" s="756"/>
      <c r="Q14" s="757"/>
      <c r="R14" s="757"/>
      <c r="S14" s="757"/>
      <c r="T14" s="757"/>
      <c r="U14" s="757"/>
      <c r="V14" s="757"/>
      <c r="W14" s="757"/>
      <c r="X14" s="757"/>
      <c r="Y14" s="757"/>
      <c r="Z14" s="757"/>
      <c r="AA14" s="67"/>
      <c r="AB14" s="67"/>
      <c r="AC14" s="67"/>
      <c r="AD14" s="67"/>
    </row>
    <row r="15" spans="1:32" ht="25.5" customHeight="1" x14ac:dyDescent="0.25">
      <c r="A15" s="304" t="s">
        <v>40</v>
      </c>
      <c r="B15" s="310"/>
      <c r="C15" s="311" t="str">
        <f>C9</f>
        <v>1 год</v>
      </c>
      <c r="D15" s="311" t="str">
        <f t="shared" ref="D15:M15" si="10">D9</f>
        <v>2 год</v>
      </c>
      <c r="E15" s="311" t="str">
        <f t="shared" si="10"/>
        <v>3 год</v>
      </c>
      <c r="F15" s="311" t="str">
        <f t="shared" si="10"/>
        <v>4 год</v>
      </c>
      <c r="G15" s="311" t="str">
        <f t="shared" si="10"/>
        <v>5 год</v>
      </c>
      <c r="H15" s="311" t="str">
        <f t="shared" si="10"/>
        <v>6 год</v>
      </c>
      <c r="I15" s="311" t="str">
        <f t="shared" si="10"/>
        <v>7 год</v>
      </c>
      <c r="J15" s="311" t="str">
        <f t="shared" si="10"/>
        <v>8 год</v>
      </c>
      <c r="K15" s="311" t="str">
        <f t="shared" si="10"/>
        <v>9 год</v>
      </c>
      <c r="L15" s="311" t="str">
        <f t="shared" si="10"/>
        <v>10 год</v>
      </c>
      <c r="M15" s="311" t="str">
        <f t="shared" si="10"/>
        <v>11 год</v>
      </c>
    </row>
    <row r="16" spans="1:32" ht="30" x14ac:dyDescent="0.25">
      <c r="A16" s="58" t="str">
        <f>A3</f>
        <v>Ответственное хранение (капуста , морковь, лук)</v>
      </c>
      <c r="B16" s="59" t="s">
        <v>58</v>
      </c>
      <c r="C16" s="455">
        <v>1</v>
      </c>
      <c r="D16" s="497">
        <v>1</v>
      </c>
      <c r="E16" s="497">
        <v>1</v>
      </c>
      <c r="F16" s="497">
        <v>1</v>
      </c>
      <c r="G16" s="497">
        <v>1</v>
      </c>
      <c r="H16" s="497">
        <v>1</v>
      </c>
      <c r="I16" s="497">
        <v>1</v>
      </c>
      <c r="J16" s="497">
        <v>1</v>
      </c>
      <c r="K16" s="497">
        <v>1</v>
      </c>
      <c r="L16" s="497">
        <v>1</v>
      </c>
      <c r="M16" s="497">
        <v>1</v>
      </c>
      <c r="AA16" s="56"/>
    </row>
    <row r="17" spans="1:31" ht="41.25" customHeight="1" x14ac:dyDescent="0.25">
      <c r="A17" s="58" t="str">
        <f t="shared" ref="A17:A19" si="11">A4</f>
        <v xml:space="preserve">Реализация картофеля </v>
      </c>
      <c r="B17" s="59" t="s">
        <v>58</v>
      </c>
      <c r="C17" s="455">
        <v>1</v>
      </c>
      <c r="D17" s="497">
        <v>1</v>
      </c>
      <c r="E17" s="497">
        <v>1</v>
      </c>
      <c r="F17" s="497">
        <v>1</v>
      </c>
      <c r="G17" s="497">
        <v>1</v>
      </c>
      <c r="H17" s="497">
        <v>1</v>
      </c>
      <c r="I17" s="497">
        <v>1</v>
      </c>
      <c r="J17" s="497">
        <v>1</v>
      </c>
      <c r="K17" s="497">
        <v>1</v>
      </c>
      <c r="L17" s="497">
        <v>1</v>
      </c>
      <c r="M17" s="497">
        <v>1</v>
      </c>
      <c r="P17" s="539"/>
      <c r="Q17" s="56"/>
    </row>
    <row r="18" spans="1:31" ht="34.5" customHeight="1" x14ac:dyDescent="0.25">
      <c r="A18" s="58" t="str">
        <f t="shared" si="11"/>
        <v>Переработка дикоросов</v>
      </c>
      <c r="B18" s="59" t="s">
        <v>58</v>
      </c>
      <c r="C18" s="455">
        <v>1</v>
      </c>
      <c r="D18" s="497">
        <v>1</v>
      </c>
      <c r="E18" s="497">
        <v>1</v>
      </c>
      <c r="F18" s="497">
        <v>1</v>
      </c>
      <c r="G18" s="497">
        <v>1</v>
      </c>
      <c r="H18" s="497">
        <v>1</v>
      </c>
      <c r="I18" s="497">
        <v>1</v>
      </c>
      <c r="J18" s="497">
        <v>1</v>
      </c>
      <c r="K18" s="497">
        <v>1</v>
      </c>
      <c r="L18" s="497">
        <v>1</v>
      </c>
      <c r="M18" s="497">
        <v>1</v>
      </c>
      <c r="P18" s="539"/>
    </row>
    <row r="19" spans="1:31" ht="28.5" customHeight="1" x14ac:dyDescent="0.25">
      <c r="A19" s="58" t="str">
        <f t="shared" si="11"/>
        <v>Услуги первичной переработки</v>
      </c>
      <c r="B19" s="59" t="s">
        <v>58</v>
      </c>
      <c r="C19" s="455">
        <v>1</v>
      </c>
      <c r="D19" s="497">
        <v>1</v>
      </c>
      <c r="E19" s="497">
        <v>1</v>
      </c>
      <c r="F19" s="497">
        <v>1</v>
      </c>
      <c r="G19" s="497">
        <v>1</v>
      </c>
      <c r="H19" s="497">
        <v>1</v>
      </c>
      <c r="I19" s="497">
        <v>1</v>
      </c>
      <c r="J19" s="497">
        <v>1</v>
      </c>
      <c r="K19" s="497">
        <v>1</v>
      </c>
      <c r="L19" s="497">
        <v>1</v>
      </c>
      <c r="M19" s="497">
        <v>1</v>
      </c>
      <c r="Q19" s="7"/>
      <c r="R19" s="539"/>
      <c r="W19" s="10"/>
    </row>
    <row r="20" spans="1:31" ht="14.25" customHeight="1" x14ac:dyDescent="0.25">
      <c r="E20" s="3"/>
      <c r="F20" s="3"/>
      <c r="G20" s="3"/>
      <c r="H20" s="3"/>
      <c r="I20" s="3"/>
      <c r="J20" s="3"/>
      <c r="K20" s="3"/>
      <c r="L20" s="3"/>
      <c r="M20" s="3"/>
    </row>
    <row r="21" spans="1:31" x14ac:dyDescent="0.25">
      <c r="B21" s="744" t="s">
        <v>59</v>
      </c>
      <c r="C21" s="744"/>
      <c r="D21" s="744"/>
      <c r="E21" s="744"/>
      <c r="F21" s="744"/>
      <c r="G21" s="744"/>
      <c r="H21" s="744"/>
      <c r="I21" s="744"/>
      <c r="J21" s="744"/>
      <c r="K21" s="744"/>
      <c r="L21" s="515"/>
      <c r="M21" s="515"/>
    </row>
    <row r="22" spans="1:31" ht="15" customHeight="1" x14ac:dyDescent="0.25">
      <c r="A22" s="304" t="s">
        <v>40</v>
      </c>
      <c r="B22" s="303"/>
      <c r="C22" s="303" t="str">
        <f t="shared" ref="C22:M22" si="12">C2</f>
        <v>1 год</v>
      </c>
      <c r="D22" s="303" t="str">
        <f t="shared" si="12"/>
        <v>2 год</v>
      </c>
      <c r="E22" s="303" t="str">
        <f t="shared" si="12"/>
        <v>3 год</v>
      </c>
      <c r="F22" s="303" t="str">
        <f t="shared" si="12"/>
        <v>4 год</v>
      </c>
      <c r="G22" s="303" t="str">
        <f t="shared" si="12"/>
        <v>5 год</v>
      </c>
      <c r="H22" s="303" t="str">
        <f t="shared" si="12"/>
        <v>6 год</v>
      </c>
      <c r="I22" s="303" t="str">
        <f t="shared" si="12"/>
        <v>7 год</v>
      </c>
      <c r="J22" s="303" t="str">
        <f t="shared" si="12"/>
        <v>8 год</v>
      </c>
      <c r="K22" s="303" t="str">
        <f t="shared" si="12"/>
        <v>9 год</v>
      </c>
      <c r="L22" s="303" t="str">
        <f t="shared" si="12"/>
        <v>10 год</v>
      </c>
      <c r="M22" s="303" t="str">
        <f t="shared" si="12"/>
        <v>11 год</v>
      </c>
      <c r="R22" s="540"/>
    </row>
    <row r="23" spans="1:31" ht="38.25" customHeight="1" x14ac:dyDescent="0.25">
      <c r="A23" s="58" t="str">
        <f>A16</f>
        <v>Ответственное хранение (капуста , морковь, лук)</v>
      </c>
      <c r="B23" s="500" t="s">
        <v>377</v>
      </c>
      <c r="C23" s="63">
        <f>((C3*C10)/12)*4</f>
        <v>733.33333333333337</v>
      </c>
      <c r="D23" s="63">
        <f t="shared" ref="D23:M23" si="13">D3*D10</f>
        <v>26165.040000000005</v>
      </c>
      <c r="E23" s="63">
        <f t="shared" si="13"/>
        <v>27734.942400000004</v>
      </c>
      <c r="F23" s="63">
        <f t="shared" si="13"/>
        <v>29399.038944000004</v>
      </c>
      <c r="G23" s="63">
        <f t="shared" si="13"/>
        <v>31162.981280640004</v>
      </c>
      <c r="H23" s="63">
        <f t="shared" si="13"/>
        <v>33032.760157478406</v>
      </c>
      <c r="I23" s="63">
        <f t="shared" si="13"/>
        <v>35014.725766927113</v>
      </c>
      <c r="J23" s="63">
        <f t="shared" si="13"/>
        <v>37115.609312942739</v>
      </c>
      <c r="K23" s="63">
        <f t="shared" si="13"/>
        <v>39342.545871719311</v>
      </c>
      <c r="L23" s="63">
        <f t="shared" si="13"/>
        <v>41703.098624022474</v>
      </c>
      <c r="M23" s="63">
        <f t="shared" si="13"/>
        <v>44205.284541463821</v>
      </c>
      <c r="Q23" s="10"/>
      <c r="R23" s="540"/>
    </row>
    <row r="24" spans="1:31" ht="34.5" customHeight="1" x14ac:dyDescent="0.25">
      <c r="A24" s="58" t="str">
        <f t="shared" ref="A24:A26" si="14">A17</f>
        <v xml:space="preserve">Реализация картофеля </v>
      </c>
      <c r="B24" s="500" t="s">
        <v>377</v>
      </c>
      <c r="C24" s="63">
        <f t="shared" ref="C24:M26" si="15">C4*C11</f>
        <v>43633.333333333336</v>
      </c>
      <c r="D24" s="63">
        <f>D4*D11</f>
        <v>104720</v>
      </c>
      <c r="E24" s="63">
        <f t="shared" si="15"/>
        <v>111003.2</v>
      </c>
      <c r="F24" s="63">
        <f t="shared" si="15"/>
        <v>117663.39200000001</v>
      </c>
      <c r="G24" s="63">
        <f t="shared" si="15"/>
        <v>124723.19552000001</v>
      </c>
      <c r="H24" s="63">
        <f t="shared" si="15"/>
        <v>132206.58725120002</v>
      </c>
      <c r="I24" s="63">
        <f t="shared" si="15"/>
        <v>140138.98248627203</v>
      </c>
      <c r="J24" s="63">
        <f t="shared" si="15"/>
        <v>148547.32143544834</v>
      </c>
      <c r="K24" s="63">
        <f t="shared" si="15"/>
        <v>157460.16072157526</v>
      </c>
      <c r="L24" s="63">
        <f t="shared" si="15"/>
        <v>166907.77036486979</v>
      </c>
      <c r="M24" s="63">
        <f t="shared" si="15"/>
        <v>176922.23658676198</v>
      </c>
    </row>
    <row r="25" spans="1:31" ht="34.5" customHeight="1" x14ac:dyDescent="0.25">
      <c r="A25" s="58" t="str">
        <f t="shared" si="14"/>
        <v>Переработка дикоросов</v>
      </c>
      <c r="B25" s="500" t="s">
        <v>377</v>
      </c>
      <c r="C25" s="63">
        <f t="shared" si="15"/>
        <v>14400</v>
      </c>
      <c r="D25" s="63">
        <f t="shared" si="15"/>
        <v>15264</v>
      </c>
      <c r="E25" s="63">
        <f t="shared" si="15"/>
        <v>16179.840000000002</v>
      </c>
      <c r="F25" s="63">
        <f t="shared" si="15"/>
        <v>17150.630400000002</v>
      </c>
      <c r="G25" s="63">
        <f t="shared" si="15"/>
        <v>18179.668224000001</v>
      </c>
      <c r="H25" s="63">
        <f t="shared" si="15"/>
        <v>19270.448317440005</v>
      </c>
      <c r="I25" s="63">
        <f t="shared" si="15"/>
        <v>20426.675216486405</v>
      </c>
      <c r="J25" s="63">
        <f t="shared" si="15"/>
        <v>21652.27572947559</v>
      </c>
      <c r="K25" s="63">
        <f t="shared" si="15"/>
        <v>22951.412273244125</v>
      </c>
      <c r="L25" s="63">
        <f t="shared" si="15"/>
        <v>24328.497009638777</v>
      </c>
      <c r="M25" s="63">
        <f t="shared" si="15"/>
        <v>25788.206830217106</v>
      </c>
    </row>
    <row r="26" spans="1:31" ht="45" customHeight="1" x14ac:dyDescent="0.25">
      <c r="A26" s="58" t="str">
        <f t="shared" si="14"/>
        <v>Услуги первичной переработки</v>
      </c>
      <c r="B26" s="500" t="s">
        <v>377</v>
      </c>
      <c r="C26" s="63">
        <f>C6*C13</f>
        <v>6300</v>
      </c>
      <c r="D26" s="63">
        <f t="shared" si="15"/>
        <v>14400</v>
      </c>
      <c r="E26" s="63">
        <f t="shared" si="15"/>
        <v>15264</v>
      </c>
      <c r="F26" s="63">
        <f t="shared" si="15"/>
        <v>16179.840000000002</v>
      </c>
      <c r="G26" s="63">
        <f t="shared" si="15"/>
        <v>17150.630400000005</v>
      </c>
      <c r="H26" s="63">
        <f t="shared" si="15"/>
        <v>18179.668224000005</v>
      </c>
      <c r="I26" s="63">
        <f t="shared" si="15"/>
        <v>19270.448317440008</v>
      </c>
      <c r="J26" s="63">
        <f t="shared" si="15"/>
        <v>20426.675216486408</v>
      </c>
      <c r="K26" s="63">
        <f t="shared" si="15"/>
        <v>21652.275729475594</v>
      </c>
      <c r="L26" s="63">
        <f t="shared" si="15"/>
        <v>22951.412273244128</v>
      </c>
      <c r="M26" s="63">
        <f t="shared" si="15"/>
        <v>24328.497009638777</v>
      </c>
      <c r="O26" s="542"/>
    </row>
    <row r="27" spans="1:31" x14ac:dyDescent="0.25">
      <c r="A27" s="498" t="s">
        <v>18</v>
      </c>
      <c r="B27" s="63"/>
      <c r="C27" s="63">
        <f>SUM(C23:C26)</f>
        <v>65066.666666666672</v>
      </c>
      <c r="D27" s="63">
        <f>SUM(D23:D26)</f>
        <v>160549.04</v>
      </c>
      <c r="E27" s="63">
        <f t="shared" ref="E27:M27" si="16">SUM(E23:E26)</f>
        <v>170181.98240000001</v>
      </c>
      <c r="F27" s="63">
        <f t="shared" si="16"/>
        <v>180392.90134400001</v>
      </c>
      <c r="G27" s="63">
        <f t="shared" si="16"/>
        <v>191216.47542464</v>
      </c>
      <c r="H27" s="63">
        <f t="shared" si="16"/>
        <v>202689.46395011843</v>
      </c>
      <c r="I27" s="63">
        <f t="shared" si="16"/>
        <v>214850.83178712556</v>
      </c>
      <c r="J27" s="63">
        <f t="shared" si="16"/>
        <v>227741.8816943531</v>
      </c>
      <c r="K27" s="63">
        <f t="shared" si="16"/>
        <v>241406.39459601429</v>
      </c>
      <c r="L27" s="63">
        <f t="shared" si="16"/>
        <v>255890.77827177517</v>
      </c>
      <c r="M27" s="63">
        <f t="shared" si="16"/>
        <v>271244.22496808169</v>
      </c>
      <c r="O27" s="56"/>
      <c r="AE27" s="53"/>
    </row>
    <row r="29" spans="1:31" x14ac:dyDescent="0.25">
      <c r="C29" s="748" t="s">
        <v>397</v>
      </c>
      <c r="D29" s="749"/>
      <c r="E29" s="749"/>
      <c r="F29" s="749"/>
      <c r="G29" s="749"/>
      <c r="H29" s="749"/>
      <c r="I29" s="749"/>
      <c r="J29" s="749"/>
      <c r="K29" s="749"/>
      <c r="L29" s="749"/>
      <c r="M29" s="750"/>
    </row>
    <row r="30" spans="1:31" x14ac:dyDescent="0.25">
      <c r="C30" s="69" t="s">
        <v>42</v>
      </c>
      <c r="D30" s="69" t="s">
        <v>43</v>
      </c>
      <c r="E30" s="69" t="s">
        <v>44</v>
      </c>
      <c r="F30" s="69" t="s">
        <v>45</v>
      </c>
      <c r="G30" s="69" t="s">
        <v>46</v>
      </c>
      <c r="H30" s="69" t="s">
        <v>60</v>
      </c>
      <c r="I30" s="69" t="s">
        <v>48</v>
      </c>
      <c r="J30" s="69" t="s">
        <v>49</v>
      </c>
      <c r="K30" s="69" t="s">
        <v>50</v>
      </c>
      <c r="L30" s="69" t="s">
        <v>51</v>
      </c>
      <c r="M30" s="435" t="s">
        <v>52</v>
      </c>
    </row>
    <row r="31" spans="1:31" x14ac:dyDescent="0.25">
      <c r="C31" s="70">
        <f>C27/1000</f>
        <v>65.066666666666677</v>
      </c>
      <c r="D31" s="70">
        <f t="shared" ref="D31:M31" si="17">D27/1000</f>
        <v>160.54904000000002</v>
      </c>
      <c r="E31" s="70">
        <f t="shared" si="17"/>
        <v>170.18198240000001</v>
      </c>
      <c r="F31" s="70">
        <f t="shared" si="17"/>
        <v>180.39290134400002</v>
      </c>
      <c r="G31" s="70">
        <f t="shared" si="17"/>
        <v>191.21647542464001</v>
      </c>
      <c r="H31" s="70">
        <f t="shared" si="17"/>
        <v>202.68946395011844</v>
      </c>
      <c r="I31" s="70">
        <f t="shared" si="17"/>
        <v>214.85083178712554</v>
      </c>
      <c r="J31" s="70">
        <f t="shared" si="17"/>
        <v>227.74188169435311</v>
      </c>
      <c r="K31" s="70">
        <f t="shared" si="17"/>
        <v>241.40639459601428</v>
      </c>
      <c r="L31" s="70">
        <f t="shared" si="17"/>
        <v>255.89077827177516</v>
      </c>
      <c r="M31" s="70">
        <f t="shared" si="17"/>
        <v>271.24422496808171</v>
      </c>
    </row>
    <row r="32" spans="1:31" x14ac:dyDescent="0.25">
      <c r="C32" s="67"/>
      <c r="D32" s="67"/>
      <c r="E32" s="67"/>
      <c r="F32" s="67"/>
      <c r="G32" s="67"/>
      <c r="H32" s="67"/>
    </row>
    <row r="33" spans="1:14" ht="18" customHeight="1" x14ac:dyDescent="0.25">
      <c r="C33" s="745" t="s">
        <v>407</v>
      </c>
      <c r="D33" s="746"/>
      <c r="E33" s="746"/>
      <c r="F33" s="746"/>
      <c r="G33" s="746"/>
      <c r="H33" s="746"/>
      <c r="I33" s="746"/>
      <c r="J33" s="746"/>
      <c r="K33" s="746"/>
      <c r="L33" s="746"/>
      <c r="M33" s="747"/>
    </row>
    <row r="34" spans="1:14" x14ac:dyDescent="0.25">
      <c r="C34" s="69" t="str">
        <f>C30</f>
        <v>1 год</v>
      </c>
      <c r="D34" s="69" t="str">
        <f t="shared" ref="D34:M34" si="18">D30</f>
        <v>2 год</v>
      </c>
      <c r="E34" s="69" t="str">
        <f t="shared" si="18"/>
        <v>3 год</v>
      </c>
      <c r="F34" s="69" t="str">
        <f t="shared" si="18"/>
        <v>4 год</v>
      </c>
      <c r="G34" s="69" t="str">
        <f t="shared" si="18"/>
        <v>5 год</v>
      </c>
      <c r="H34" s="69" t="str">
        <f t="shared" si="18"/>
        <v xml:space="preserve">6 год </v>
      </c>
      <c r="I34" s="69" t="str">
        <f t="shared" si="18"/>
        <v>7 год</v>
      </c>
      <c r="J34" s="69" t="str">
        <f t="shared" si="18"/>
        <v>8 год</v>
      </c>
      <c r="K34" s="69" t="str">
        <f t="shared" si="18"/>
        <v>9 год</v>
      </c>
      <c r="L34" s="69" t="str">
        <f t="shared" si="18"/>
        <v>10 год</v>
      </c>
      <c r="M34" s="69" t="str">
        <f t="shared" si="18"/>
        <v>11 год</v>
      </c>
    </row>
    <row r="35" spans="1:14" x14ac:dyDescent="0.25">
      <c r="C35" s="71">
        <f>AVERAGE(C16:C19)</f>
        <v>1</v>
      </c>
      <c r="D35" s="71">
        <f t="shared" ref="D35:M35" si="19">AVERAGE(D16:D19)</f>
        <v>1</v>
      </c>
      <c r="E35" s="71">
        <f t="shared" si="19"/>
        <v>1</v>
      </c>
      <c r="F35" s="71">
        <f>AVERAGE(F16:F19)</f>
        <v>1</v>
      </c>
      <c r="G35" s="71">
        <f t="shared" si="19"/>
        <v>1</v>
      </c>
      <c r="H35" s="71">
        <f t="shared" si="19"/>
        <v>1</v>
      </c>
      <c r="I35" s="71">
        <f t="shared" si="19"/>
        <v>1</v>
      </c>
      <c r="J35" s="71">
        <f t="shared" si="19"/>
        <v>1</v>
      </c>
      <c r="K35" s="71">
        <f t="shared" si="19"/>
        <v>1</v>
      </c>
      <c r="L35" s="71">
        <f t="shared" si="19"/>
        <v>1</v>
      </c>
      <c r="M35" s="71">
        <f t="shared" si="19"/>
        <v>1</v>
      </c>
    </row>
    <row r="36" spans="1:14" x14ac:dyDescent="0.25">
      <c r="N36" s="72"/>
    </row>
    <row r="37" spans="1:14" x14ac:dyDescent="0.25">
      <c r="A37"/>
      <c r="B37"/>
      <c r="C37" s="745" t="s">
        <v>408</v>
      </c>
      <c r="D37" s="746"/>
      <c r="E37" s="746"/>
      <c r="F37" s="746"/>
      <c r="G37" s="746"/>
      <c r="H37" s="746"/>
      <c r="I37" s="746"/>
      <c r="J37" s="746"/>
      <c r="K37" s="746"/>
      <c r="L37" s="746"/>
      <c r="M37" s="747"/>
    </row>
    <row r="38" spans="1:14" x14ac:dyDescent="0.25">
      <c r="A38"/>
      <c r="B38"/>
      <c r="C38" s="69" t="str">
        <f>C34</f>
        <v>1 год</v>
      </c>
      <c r="D38" s="69" t="str">
        <f t="shared" ref="D38:M38" si="20">D34</f>
        <v>2 год</v>
      </c>
      <c r="E38" s="69" t="str">
        <f t="shared" si="20"/>
        <v>3 год</v>
      </c>
      <c r="F38" s="69" t="str">
        <f t="shared" si="20"/>
        <v>4 год</v>
      </c>
      <c r="G38" s="69" t="str">
        <f t="shared" si="20"/>
        <v>5 год</v>
      </c>
      <c r="H38" s="69" t="str">
        <f t="shared" si="20"/>
        <v xml:space="preserve">6 год </v>
      </c>
      <c r="I38" s="69" t="str">
        <f t="shared" si="20"/>
        <v>7 год</v>
      </c>
      <c r="J38" s="69" t="str">
        <f t="shared" si="20"/>
        <v>8 год</v>
      </c>
      <c r="K38" s="69" t="str">
        <f t="shared" si="20"/>
        <v>9 год</v>
      </c>
      <c r="L38" s="69" t="str">
        <f t="shared" si="20"/>
        <v>10 год</v>
      </c>
      <c r="M38" s="69" t="str">
        <f t="shared" si="20"/>
        <v>11 год</v>
      </c>
    </row>
    <row r="39" spans="1:14" x14ac:dyDescent="0.25">
      <c r="A39"/>
      <c r="B39"/>
      <c r="C39" s="516">
        <f>SUM(C10:C13)</f>
        <v>2115.666666666667</v>
      </c>
      <c r="D39" s="516">
        <f t="shared" ref="D39:M39" si="21">SUM(D10:D13)</f>
        <v>6582.64</v>
      </c>
      <c r="E39" s="516">
        <f t="shared" si="21"/>
        <v>6582.64</v>
      </c>
      <c r="F39" s="516">
        <f t="shared" si="21"/>
        <v>6582.64</v>
      </c>
      <c r="G39" s="516">
        <f t="shared" si="21"/>
        <v>6582.64</v>
      </c>
      <c r="H39" s="516">
        <f t="shared" si="21"/>
        <v>6582.64</v>
      </c>
      <c r="I39" s="516">
        <f t="shared" si="21"/>
        <v>6582.64</v>
      </c>
      <c r="J39" s="516">
        <f t="shared" si="21"/>
        <v>6582.64</v>
      </c>
      <c r="K39" s="516">
        <f t="shared" si="21"/>
        <v>6582.64</v>
      </c>
      <c r="L39" s="516">
        <f t="shared" si="21"/>
        <v>6582.64</v>
      </c>
      <c r="M39" s="516">
        <f t="shared" si="21"/>
        <v>6582.64</v>
      </c>
    </row>
    <row r="40" spans="1:14" x14ac:dyDescent="0.25">
      <c r="A40"/>
      <c r="B40"/>
      <c r="C40"/>
      <c r="D40"/>
      <c r="E40"/>
      <c r="F40"/>
      <c r="G40"/>
      <c r="H40"/>
      <c r="I40"/>
      <c r="J40"/>
      <c r="K40"/>
      <c r="L40"/>
    </row>
    <row r="41" spans="1:14" x14ac:dyDescent="0.25">
      <c r="A41"/>
      <c r="B41"/>
      <c r="C41"/>
      <c r="D41"/>
      <c r="E41"/>
      <c r="F41"/>
      <c r="G41"/>
      <c r="H41"/>
      <c r="I41"/>
      <c r="J41"/>
      <c r="K41"/>
      <c r="L41"/>
    </row>
  </sheetData>
  <mergeCells count="10">
    <mergeCell ref="A1:M1"/>
    <mergeCell ref="P1:Z1"/>
    <mergeCell ref="B21:K21"/>
    <mergeCell ref="C37:M37"/>
    <mergeCell ref="C29:M29"/>
    <mergeCell ref="C33:M33"/>
    <mergeCell ref="C8:M8"/>
    <mergeCell ref="P8:Z8"/>
    <mergeCell ref="C14:L14"/>
    <mergeCell ref="P14:Z14"/>
  </mergeCells>
  <pageMargins left="0.7" right="0.7" top="0.75" bottom="0.75" header="0.3" footer="0.3"/>
  <pageSetup paperSize="8" scale="62" firstPageNumber="2147483648" orientation="portrait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T53"/>
  <sheetViews>
    <sheetView zoomScale="70" zoomScaleNormal="70" workbookViewId="0">
      <selection activeCell="F4" sqref="F4"/>
    </sheetView>
  </sheetViews>
  <sheetFormatPr defaultColWidth="9.140625" defaultRowHeight="15" x14ac:dyDescent="0.25"/>
  <cols>
    <col min="1" max="1" width="30.140625" style="56" customWidth="1"/>
    <col min="2" max="2" width="11.5703125" style="56" customWidth="1"/>
    <col min="3" max="3" width="11.85546875" style="56" customWidth="1"/>
    <col min="4" max="4" width="11" style="56" customWidth="1"/>
    <col min="5" max="5" width="11.85546875" style="56" customWidth="1"/>
    <col min="6" max="6" width="11.7109375" style="56" customWidth="1"/>
    <col min="7" max="7" width="11.5703125" style="56" customWidth="1"/>
    <col min="8" max="8" width="11.140625" style="56" customWidth="1"/>
    <col min="9" max="9" width="11.7109375" style="56" customWidth="1"/>
    <col min="10" max="10" width="11.28515625" style="56" customWidth="1"/>
    <col min="11" max="11" width="12" style="56" customWidth="1"/>
    <col min="12" max="12" width="12.85546875" style="56" customWidth="1"/>
    <col min="13" max="13" width="11.42578125" style="56" customWidth="1"/>
    <col min="14" max="14" width="11.140625" style="56" customWidth="1"/>
    <col min="15" max="15" width="11.28515625" style="56" customWidth="1"/>
    <col min="16" max="16" width="12.42578125" style="56" customWidth="1"/>
    <col min="17" max="17" width="12.140625" style="56" customWidth="1"/>
    <col min="18" max="18" width="11.85546875" style="56" customWidth="1"/>
    <col min="19" max="20" width="12" style="56" customWidth="1"/>
    <col min="21" max="21" width="12.42578125" style="56" customWidth="1"/>
    <col min="22" max="22" width="12" style="56" customWidth="1"/>
    <col min="23" max="23" width="12.7109375" style="56" customWidth="1"/>
    <col min="24" max="24" width="11.42578125" style="56" customWidth="1"/>
    <col min="25" max="26" width="11.7109375" style="56" customWidth="1"/>
    <col min="27" max="27" width="11.85546875" style="56" customWidth="1"/>
    <col min="28" max="28" width="12.140625" style="56" customWidth="1"/>
    <col min="29" max="29" width="12.42578125" style="56" customWidth="1"/>
    <col min="30" max="30" width="11.28515625" style="56" customWidth="1"/>
    <col min="31" max="31" width="13.42578125" style="56" customWidth="1"/>
    <col min="32" max="32" width="15.140625" style="56" customWidth="1"/>
    <col min="33" max="33" width="13.85546875" style="56" customWidth="1"/>
    <col min="34" max="34" width="13.28515625" style="56" customWidth="1"/>
    <col min="35" max="35" width="14.28515625" style="56" customWidth="1"/>
    <col min="36" max="36" width="13.7109375" style="56" customWidth="1"/>
    <col min="37" max="37" width="14" style="56" customWidth="1"/>
    <col min="38" max="38" width="12.28515625" style="56" customWidth="1"/>
    <col min="39" max="39" width="15" style="56" customWidth="1"/>
    <col min="40" max="40" width="14" style="56" customWidth="1"/>
    <col min="41" max="41" width="13.7109375" style="56" customWidth="1"/>
    <col min="42" max="43" width="14.28515625" style="56" customWidth="1"/>
    <col min="44" max="44" width="12.42578125" style="56" customWidth="1"/>
    <col min="45" max="45" width="12.5703125" style="56" customWidth="1"/>
    <col min="46" max="46" width="13.85546875" style="56" customWidth="1"/>
    <col min="47" max="16384" width="9.140625" style="56"/>
  </cols>
  <sheetData>
    <row r="1" spans="1:46" x14ac:dyDescent="0.25">
      <c r="A1" s="661" t="s">
        <v>502</v>
      </c>
    </row>
    <row r="2" spans="1:46" s="415" customFormat="1" x14ac:dyDescent="0.25">
      <c r="A2" s="60" t="str">
        <f>'объем работ 100% загр'!A9</f>
        <v xml:space="preserve">Наименование </v>
      </c>
      <c r="B2" s="427" t="s">
        <v>376</v>
      </c>
      <c r="C2" s="415" t="str">
        <f>'выручка по кв и годам'!D1</f>
        <v>I кв. 1 г.</v>
      </c>
      <c r="D2" s="415" t="str">
        <f>'выручка по кв и годам'!E1</f>
        <v>II кв. 1 г.</v>
      </c>
      <c r="E2" s="415" t="str">
        <f>'выручка по кв и годам'!F1</f>
        <v>III кв. 1 г.</v>
      </c>
      <c r="F2" s="415" t="str">
        <f>'выручка по кв и годам'!G1</f>
        <v>IV кв. 1 г.</v>
      </c>
      <c r="G2" s="415" t="str">
        <f>'выручка по кв и годам'!H1</f>
        <v>I кв. 2 г.</v>
      </c>
      <c r="H2" s="415" t="str">
        <f>'выручка по кв и годам'!I1</f>
        <v>II кв. 2 г.</v>
      </c>
      <c r="I2" s="415" t="str">
        <f>'выручка по кв и годам'!J1</f>
        <v>III кв. 2 г.</v>
      </c>
      <c r="J2" s="415" t="str">
        <f>'выручка по кв и годам'!K1</f>
        <v>IV кв. 2 г.</v>
      </c>
      <c r="K2" s="415" t="str">
        <f>'выручка по кв и годам'!L1</f>
        <v>I кв. 3 г.</v>
      </c>
      <c r="L2" s="415" t="str">
        <f>'выручка по кв и годам'!M1</f>
        <v>II кв. 3 г.</v>
      </c>
      <c r="M2" s="415" t="str">
        <f>'выручка по кв и годам'!N1</f>
        <v>III кв. 3 г.</v>
      </c>
      <c r="N2" s="415" t="str">
        <f>'выручка по кв и годам'!O1</f>
        <v>IV кв. 3 г.</v>
      </c>
      <c r="O2" s="415" t="str">
        <f>'выручка по кв и годам'!P1</f>
        <v>I кв. 4 г.</v>
      </c>
      <c r="P2" s="415" t="str">
        <f>'выручка по кв и годам'!Q1</f>
        <v>II кв. 4 г.</v>
      </c>
      <c r="Q2" s="415" t="str">
        <f>'выручка по кв и годам'!R1</f>
        <v>III кв. 4 г.</v>
      </c>
      <c r="R2" s="415" t="str">
        <f>'выручка по кв и годам'!S1</f>
        <v>IV кв. 4 г.</v>
      </c>
      <c r="S2" s="415" t="str">
        <f>'выручка по кв и годам'!T1</f>
        <v>I кв. 5 г.</v>
      </c>
      <c r="T2" s="415" t="str">
        <f>'выручка по кв и годам'!U1</f>
        <v>II кв. 5 г.</v>
      </c>
      <c r="U2" s="415" t="str">
        <f>'выручка по кв и годам'!V1</f>
        <v>III кв. 5 г.</v>
      </c>
      <c r="V2" s="415" t="str">
        <f>'выручка по кв и годам'!W1</f>
        <v>IV кв. 5 г.</v>
      </c>
      <c r="W2" s="415" t="str">
        <f>'выручка по кв и годам'!X1</f>
        <v>I кв. 6 г.</v>
      </c>
      <c r="X2" s="415" t="str">
        <f>'выручка по кв и годам'!Y1</f>
        <v>II кв. 6 г.</v>
      </c>
      <c r="Y2" s="415" t="str">
        <f>'выручка по кв и годам'!Z1</f>
        <v>III кв. 6 г.</v>
      </c>
      <c r="Z2" s="415" t="str">
        <f>'выручка по кв и годам'!AA1</f>
        <v>IV кв. 6 г.</v>
      </c>
      <c r="AA2" s="415" t="str">
        <f>'выручка по кв и годам'!AB1</f>
        <v>I кв. 7 г.</v>
      </c>
      <c r="AB2" s="415" t="str">
        <f>'выручка по кв и годам'!AC1</f>
        <v>II кв. 7 г.</v>
      </c>
      <c r="AC2" s="415" t="str">
        <f>'выручка по кв и годам'!AD1</f>
        <v>III кв. 7 г.</v>
      </c>
      <c r="AD2" s="415" t="str">
        <f>'выручка по кв и годам'!AE1</f>
        <v>IV кв. 7 г.</v>
      </c>
      <c r="AE2" s="415" t="str">
        <f>'выручка по кв и годам'!AF1</f>
        <v>I кв. 8 г.</v>
      </c>
      <c r="AF2" s="415" t="str">
        <f>'выручка по кв и годам'!AG1</f>
        <v>II кв. 8 г.</v>
      </c>
      <c r="AG2" s="415" t="str">
        <f>'выручка по кв и годам'!AH1</f>
        <v>III кв. 8 г.</v>
      </c>
      <c r="AH2" s="415" t="str">
        <f>'выручка по кв и годам'!AI1</f>
        <v>IV кв. 8 г.</v>
      </c>
      <c r="AI2" s="415" t="str">
        <f>'выручка по кв и годам'!AJ1</f>
        <v>I кв. 9 г.</v>
      </c>
      <c r="AJ2" s="415" t="str">
        <f>'выручка по кв и годам'!AK1</f>
        <v>II кв. 9 г.</v>
      </c>
      <c r="AK2" s="415" t="str">
        <f>'выручка по кв и годам'!AL1</f>
        <v>III кв. 9 г.</v>
      </c>
      <c r="AL2" s="415" t="str">
        <f>'выручка по кв и годам'!AM1</f>
        <v>IV кв. 9 г.</v>
      </c>
      <c r="AM2" s="415" t="str">
        <f>'выручка по кв и годам'!AN1</f>
        <v>I кв. 10 г.</v>
      </c>
      <c r="AN2" s="415" t="str">
        <f>'выручка по кв и годам'!AO1</f>
        <v>II кв. 10 г.</v>
      </c>
      <c r="AO2" s="415" t="str">
        <f>'выручка по кв и годам'!AP1</f>
        <v>III кв. 10 г.</v>
      </c>
      <c r="AP2" s="415" t="str">
        <f>'выручка по кв и годам'!AQ1</f>
        <v>IV кв. 10 г.</v>
      </c>
      <c r="AQ2" s="415" t="str">
        <f>'выручка по кв и годам'!AR1</f>
        <v>I кв. 11 г.</v>
      </c>
      <c r="AR2" s="415" t="str">
        <f>'выручка по кв и годам'!AS1</f>
        <v>II кв. 11 г.</v>
      </c>
      <c r="AS2" s="415" t="str">
        <f>'выручка по кв и годам'!AT1</f>
        <v>III кв. 11 г.</v>
      </c>
      <c r="AT2" s="415" t="str">
        <f>'выручка по кв и годам'!AU1</f>
        <v>IV кв. 11 г.</v>
      </c>
    </row>
    <row r="3" spans="1:46" ht="30" x14ac:dyDescent="0.25">
      <c r="A3" s="60" t="str">
        <f>'объем работ 100% загр'!A10</f>
        <v>Ответственное хранение (капуста , морковь, лук)</v>
      </c>
      <c r="B3" s="661" t="s">
        <v>387</v>
      </c>
      <c r="C3" s="56">
        <v>0</v>
      </c>
      <c r="D3" s="56">
        <v>0</v>
      </c>
      <c r="E3" s="56">
        <f t="shared" ref="E3" si="0">D3</f>
        <v>0</v>
      </c>
      <c r="F3" s="56">
        <f>'объем работ 100% загр'!C10/4</f>
        <v>50</v>
      </c>
      <c r="G3" s="56">
        <f>'объем работ 100% загр'!D10/4</f>
        <v>594.66000000000008</v>
      </c>
      <c r="H3" s="56">
        <f>G3</f>
        <v>594.66000000000008</v>
      </c>
      <c r="I3" s="56">
        <f t="shared" ref="I3:J3" si="1">H3</f>
        <v>594.66000000000008</v>
      </c>
      <c r="J3" s="56">
        <f t="shared" si="1"/>
        <v>594.66000000000008</v>
      </c>
      <c r="K3" s="56">
        <f>'объем работ 100% загр'!E10/4</f>
        <v>594.66000000000008</v>
      </c>
      <c r="L3" s="56">
        <f>K3</f>
        <v>594.66000000000008</v>
      </c>
      <c r="M3" s="56">
        <f t="shared" ref="M3:N3" si="2">L3</f>
        <v>594.66000000000008</v>
      </c>
      <c r="N3" s="56">
        <f t="shared" si="2"/>
        <v>594.66000000000008</v>
      </c>
      <c r="O3" s="56">
        <f>'объем работ 100% загр'!F10/4</f>
        <v>594.66000000000008</v>
      </c>
      <c r="P3" s="56">
        <f>O3</f>
        <v>594.66000000000008</v>
      </c>
      <c r="Q3" s="56">
        <f t="shared" ref="Q3:R3" si="3">P3</f>
        <v>594.66000000000008</v>
      </c>
      <c r="R3" s="56">
        <f t="shared" si="3"/>
        <v>594.66000000000008</v>
      </c>
      <c r="S3" s="56">
        <f>'объем работ 100% загр'!G10/4</f>
        <v>594.66000000000008</v>
      </c>
      <c r="T3" s="56">
        <f>S3</f>
        <v>594.66000000000008</v>
      </c>
      <c r="U3" s="56">
        <f t="shared" ref="U3:V3" si="4">T3</f>
        <v>594.66000000000008</v>
      </c>
      <c r="V3" s="56">
        <f t="shared" si="4"/>
        <v>594.66000000000008</v>
      </c>
      <c r="W3" s="56">
        <f>'объем работ 100% загр'!H10/4</f>
        <v>594.66000000000008</v>
      </c>
      <c r="X3" s="56">
        <f>W3</f>
        <v>594.66000000000008</v>
      </c>
      <c r="Y3" s="56">
        <f t="shared" ref="Y3:Z3" si="5">X3</f>
        <v>594.66000000000008</v>
      </c>
      <c r="Z3" s="56">
        <f t="shared" si="5"/>
        <v>594.66000000000008</v>
      </c>
      <c r="AA3" s="56">
        <f>'объем работ 100% загр'!I10/4</f>
        <v>594.66000000000008</v>
      </c>
      <c r="AB3" s="56">
        <f>AA3</f>
        <v>594.66000000000008</v>
      </c>
      <c r="AC3" s="56">
        <f t="shared" ref="AC3:AD3" si="6">AB3</f>
        <v>594.66000000000008</v>
      </c>
      <c r="AD3" s="56">
        <f t="shared" si="6"/>
        <v>594.66000000000008</v>
      </c>
      <c r="AE3" s="56">
        <f>'объем работ 100% загр'!J10/4</f>
        <v>594.66000000000008</v>
      </c>
      <c r="AF3" s="56">
        <f>AE3</f>
        <v>594.66000000000008</v>
      </c>
      <c r="AG3" s="56">
        <f t="shared" ref="AG3:AH3" si="7">AF3</f>
        <v>594.66000000000008</v>
      </c>
      <c r="AH3" s="56">
        <f t="shared" si="7"/>
        <v>594.66000000000008</v>
      </c>
      <c r="AI3" s="56">
        <f>'объем работ 100% загр'!K10/4</f>
        <v>594.66000000000008</v>
      </c>
      <c r="AJ3" s="56">
        <f>AI3</f>
        <v>594.66000000000008</v>
      </c>
      <c r="AK3" s="56">
        <f t="shared" ref="AK3:AL3" si="8">AJ3</f>
        <v>594.66000000000008</v>
      </c>
      <c r="AL3" s="56">
        <f t="shared" si="8"/>
        <v>594.66000000000008</v>
      </c>
      <c r="AM3" s="56">
        <f>'объем работ 100% загр'!L10/4</f>
        <v>594.66000000000008</v>
      </c>
      <c r="AN3" s="56">
        <f>AM3</f>
        <v>594.66000000000008</v>
      </c>
      <c r="AO3" s="56">
        <f t="shared" ref="AO3:AP3" si="9">AN3</f>
        <v>594.66000000000008</v>
      </c>
      <c r="AP3" s="56">
        <f t="shared" si="9"/>
        <v>594.66000000000008</v>
      </c>
      <c r="AQ3" s="56">
        <f>'объем работ 100% загр'!M10/4</f>
        <v>594.66000000000008</v>
      </c>
      <c r="AR3" s="56">
        <f>AQ3</f>
        <v>594.66000000000008</v>
      </c>
      <c r="AS3" s="56">
        <f t="shared" ref="AS3:AT3" si="10">AR3</f>
        <v>594.66000000000008</v>
      </c>
      <c r="AT3" s="56">
        <f t="shared" si="10"/>
        <v>594.66000000000008</v>
      </c>
    </row>
    <row r="4" spans="1:46" ht="30" x14ac:dyDescent="0.25">
      <c r="A4" s="60" t="s">
        <v>431</v>
      </c>
      <c r="B4" s="661" t="s">
        <v>387</v>
      </c>
      <c r="E4" s="56">
        <f>'объем работ 100% загр'!D11</f>
        <v>2380</v>
      </c>
      <c r="I4" s="56">
        <f>'объем работ 100% загр'!E11</f>
        <v>2380</v>
      </c>
      <c r="M4" s="56">
        <f>'объем работ 100% загр'!F11</f>
        <v>2380</v>
      </c>
      <c r="Q4" s="56">
        <f>'объем работ 100% загр'!G11</f>
        <v>2380</v>
      </c>
      <c r="U4" s="56">
        <f>'объем работ 100% загр'!H11</f>
        <v>2380</v>
      </c>
      <c r="Y4" s="56">
        <f>'объем работ 100% загр'!I11</f>
        <v>2380</v>
      </c>
      <c r="AC4" s="56">
        <f>'объем работ 100% загр'!J11</f>
        <v>2380</v>
      </c>
      <c r="AG4" s="56">
        <f>'объем работ 100% загр'!K11</f>
        <v>2380</v>
      </c>
      <c r="AK4" s="56">
        <f>'объем работ 100% загр'!L11</f>
        <v>2380</v>
      </c>
      <c r="AO4" s="56">
        <f>'объем работ 100% загр'!M11</f>
        <v>2380</v>
      </c>
      <c r="AS4" s="56">
        <f>AO4</f>
        <v>2380</v>
      </c>
    </row>
    <row r="5" spans="1:46" x14ac:dyDescent="0.25">
      <c r="A5" s="60" t="str">
        <f>'объем работ 100% загр'!A12</f>
        <v>Переработка дикоросов</v>
      </c>
      <c r="B5" s="661" t="s">
        <v>387</v>
      </c>
      <c r="C5" s="56">
        <v>0</v>
      </c>
      <c r="D5" s="56">
        <v>0</v>
      </c>
      <c r="E5" s="56">
        <f>'объем работ 100% загр'!D12/4</f>
        <v>6</v>
      </c>
      <c r="F5" s="56">
        <f t="shared" ref="F5" si="11">E5</f>
        <v>6</v>
      </c>
      <c r="G5" s="56">
        <f>'объем работ 100% загр'!D12/4</f>
        <v>6</v>
      </c>
      <c r="H5" s="56">
        <f>G5</f>
        <v>6</v>
      </c>
      <c r="I5" s="56">
        <f t="shared" ref="I5:J5" si="12">H5</f>
        <v>6</v>
      </c>
      <c r="J5" s="56">
        <f t="shared" si="12"/>
        <v>6</v>
      </c>
      <c r="K5" s="56">
        <f>'объем работ 100% загр'!E12/4</f>
        <v>6</v>
      </c>
      <c r="L5" s="56">
        <f>K5</f>
        <v>6</v>
      </c>
      <c r="M5" s="56">
        <f t="shared" ref="M5:N5" si="13">L5</f>
        <v>6</v>
      </c>
      <c r="N5" s="56">
        <f t="shared" si="13"/>
        <v>6</v>
      </c>
      <c r="O5" s="56">
        <f>'объем работ 100% загр'!F12/4</f>
        <v>6</v>
      </c>
      <c r="P5" s="56">
        <f>O5</f>
        <v>6</v>
      </c>
      <c r="Q5" s="56">
        <f t="shared" ref="Q5:R5" si="14">P5</f>
        <v>6</v>
      </c>
      <c r="R5" s="56">
        <f t="shared" si="14"/>
        <v>6</v>
      </c>
      <c r="S5" s="56">
        <f>'объем работ 100% загр'!G12/4</f>
        <v>6</v>
      </c>
      <c r="T5" s="56">
        <f>S5</f>
        <v>6</v>
      </c>
      <c r="U5" s="56">
        <f t="shared" ref="U5:V5" si="15">T5</f>
        <v>6</v>
      </c>
      <c r="V5" s="56">
        <f t="shared" si="15"/>
        <v>6</v>
      </c>
      <c r="W5" s="56">
        <f>'объем работ 100% загр'!H12/4</f>
        <v>6</v>
      </c>
      <c r="X5" s="56">
        <f>W5</f>
        <v>6</v>
      </c>
      <c r="Y5" s="56">
        <f t="shared" ref="Y5:Z5" si="16">X5</f>
        <v>6</v>
      </c>
      <c r="Z5" s="56">
        <f t="shared" si="16"/>
        <v>6</v>
      </c>
      <c r="AA5" s="56">
        <f>'объем работ 100% загр'!I12/4</f>
        <v>6</v>
      </c>
      <c r="AB5" s="56">
        <f>AA5</f>
        <v>6</v>
      </c>
      <c r="AC5" s="56">
        <f t="shared" ref="AC5:AD5" si="17">AB5</f>
        <v>6</v>
      </c>
      <c r="AD5" s="56">
        <f t="shared" si="17"/>
        <v>6</v>
      </c>
      <c r="AE5" s="56">
        <f>'объем работ 100% загр'!J12/4</f>
        <v>6</v>
      </c>
      <c r="AF5" s="56">
        <f>AE5</f>
        <v>6</v>
      </c>
      <c r="AG5" s="56">
        <f t="shared" ref="AG5:AH5" si="18">AF5</f>
        <v>6</v>
      </c>
      <c r="AH5" s="56">
        <f t="shared" si="18"/>
        <v>6</v>
      </c>
      <c r="AI5" s="56">
        <f>'объем работ 100% загр'!K12/4</f>
        <v>6</v>
      </c>
      <c r="AJ5" s="56">
        <f>AI5</f>
        <v>6</v>
      </c>
      <c r="AK5" s="56">
        <f t="shared" ref="AK5:AL5" si="19">AJ5</f>
        <v>6</v>
      </c>
      <c r="AL5" s="56">
        <f t="shared" si="19"/>
        <v>6</v>
      </c>
      <c r="AM5" s="56">
        <f>'объем работ 100% загр'!L12/4</f>
        <v>6</v>
      </c>
      <c r="AN5" s="56">
        <f>AM5</f>
        <v>6</v>
      </c>
      <c r="AO5" s="56">
        <f t="shared" ref="AO5:AP5" si="20">AN5</f>
        <v>6</v>
      </c>
      <c r="AP5" s="56">
        <f t="shared" si="20"/>
        <v>6</v>
      </c>
      <c r="AQ5" s="56">
        <f>'объем работ 100% загр'!M12/4</f>
        <v>6</v>
      </c>
      <c r="AR5" s="56">
        <f t="shared" ref="AR5:AT5" si="21">AQ5</f>
        <v>6</v>
      </c>
      <c r="AS5" s="56">
        <f t="shared" si="21"/>
        <v>6</v>
      </c>
      <c r="AT5" s="56">
        <f t="shared" si="21"/>
        <v>6</v>
      </c>
    </row>
    <row r="6" spans="1:46" ht="30" x14ac:dyDescent="0.25">
      <c r="A6" s="60" t="str">
        <f>'объем работ 100% загр'!A13</f>
        <v>Услуги первичной переработки</v>
      </c>
      <c r="B6" s="661" t="s">
        <v>387</v>
      </c>
      <c r="C6" s="56">
        <v>0</v>
      </c>
      <c r="D6" s="56">
        <v>0</v>
      </c>
      <c r="E6" s="56">
        <f>'объем работ 100% загр'!C13/4/3</f>
        <v>75</v>
      </c>
      <c r="F6" s="56">
        <f>'объем работ 100% загр'!C13/4</f>
        <v>225</v>
      </c>
      <c r="G6" s="56">
        <f>'объем работ 100% загр'!D13/4</f>
        <v>450</v>
      </c>
      <c r="H6" s="56">
        <f>G6</f>
        <v>450</v>
      </c>
      <c r="I6" s="56">
        <f t="shared" ref="I6:J6" si="22">H6</f>
        <v>450</v>
      </c>
      <c r="J6" s="56">
        <f t="shared" si="22"/>
        <v>450</v>
      </c>
      <c r="K6" s="56">
        <f>'объем работ 100% загр'!E13/4</f>
        <v>450</v>
      </c>
      <c r="L6" s="56">
        <f>K6</f>
        <v>450</v>
      </c>
      <c r="M6" s="56">
        <f t="shared" ref="M6:N6" si="23">L6</f>
        <v>450</v>
      </c>
      <c r="N6" s="56">
        <f t="shared" si="23"/>
        <v>450</v>
      </c>
      <c r="O6" s="56">
        <f>'объем работ 100% загр'!F13/4</f>
        <v>450</v>
      </c>
      <c r="P6" s="56">
        <f>O6</f>
        <v>450</v>
      </c>
      <c r="Q6" s="56">
        <f t="shared" ref="Q6:R6" si="24">P6</f>
        <v>450</v>
      </c>
      <c r="R6" s="56">
        <f t="shared" si="24"/>
        <v>450</v>
      </c>
      <c r="S6" s="56">
        <f>'объем работ 100% загр'!G13/4</f>
        <v>450</v>
      </c>
      <c r="T6" s="56">
        <f>S6</f>
        <v>450</v>
      </c>
      <c r="U6" s="56">
        <f t="shared" ref="U6:V6" si="25">T6</f>
        <v>450</v>
      </c>
      <c r="V6" s="56">
        <f t="shared" si="25"/>
        <v>450</v>
      </c>
      <c r="W6" s="56">
        <f>'объем работ 100% загр'!H13/4</f>
        <v>450</v>
      </c>
      <c r="X6" s="56">
        <f>W6</f>
        <v>450</v>
      </c>
      <c r="Y6" s="56">
        <f t="shared" ref="Y6:Z6" si="26">X6</f>
        <v>450</v>
      </c>
      <c r="Z6" s="56">
        <f t="shared" si="26"/>
        <v>450</v>
      </c>
      <c r="AA6" s="56">
        <f>'объем работ 100% загр'!I13/4</f>
        <v>450</v>
      </c>
      <c r="AB6" s="56">
        <f>AA6</f>
        <v>450</v>
      </c>
      <c r="AC6" s="56">
        <f t="shared" ref="AC6:AD6" si="27">AB6</f>
        <v>450</v>
      </c>
      <c r="AD6" s="56">
        <f t="shared" si="27"/>
        <v>450</v>
      </c>
      <c r="AE6" s="56">
        <f>'объем работ 100% загр'!J13/4</f>
        <v>450</v>
      </c>
      <c r="AF6" s="56">
        <f>AE6</f>
        <v>450</v>
      </c>
      <c r="AG6" s="56">
        <f t="shared" ref="AG6:AH6" si="28">AF6</f>
        <v>450</v>
      </c>
      <c r="AH6" s="56">
        <f t="shared" si="28"/>
        <v>450</v>
      </c>
      <c r="AI6" s="56">
        <f>'объем работ 100% загр'!K13/4</f>
        <v>450</v>
      </c>
      <c r="AJ6" s="56">
        <f>AI6</f>
        <v>450</v>
      </c>
      <c r="AK6" s="56">
        <f t="shared" ref="AK6:AL6" si="29">AJ6</f>
        <v>450</v>
      </c>
      <c r="AL6" s="56">
        <f t="shared" si="29"/>
        <v>450</v>
      </c>
      <c r="AM6" s="56">
        <f>'объем работ 100% загр'!L13/4</f>
        <v>450</v>
      </c>
      <c r="AN6" s="56">
        <f>AM6</f>
        <v>450</v>
      </c>
      <c r="AO6" s="56">
        <f t="shared" ref="AO6:AP6" si="30">AN6</f>
        <v>450</v>
      </c>
      <c r="AP6" s="56">
        <f t="shared" si="30"/>
        <v>450</v>
      </c>
      <c r="AQ6" s="56">
        <f>'объем работ 100% загр'!M13/4</f>
        <v>450</v>
      </c>
      <c r="AR6" s="56">
        <f>AQ6</f>
        <v>450</v>
      </c>
      <c r="AS6" s="56">
        <f t="shared" ref="AS6:AT6" si="31">AR6</f>
        <v>450</v>
      </c>
      <c r="AT6" s="56">
        <f t="shared" si="31"/>
        <v>450</v>
      </c>
    </row>
    <row r="7" spans="1:46" s="437" customFormat="1" x14ac:dyDescent="0.25">
      <c r="A7" s="525" t="s">
        <v>18</v>
      </c>
      <c r="B7" s="526"/>
      <c r="C7" s="441">
        <f>SUM(C3:C6)</f>
        <v>0</v>
      </c>
      <c r="D7" s="441">
        <f t="shared" ref="D7:AT7" si="32">SUM(D3:D6)</f>
        <v>0</v>
      </c>
      <c r="E7" s="441">
        <f t="shared" si="32"/>
        <v>2461</v>
      </c>
      <c r="F7" s="441">
        <f t="shared" si="32"/>
        <v>281</v>
      </c>
      <c r="G7" s="441">
        <f t="shared" si="32"/>
        <v>1050.6600000000001</v>
      </c>
      <c r="H7" s="441">
        <f t="shared" si="32"/>
        <v>1050.6600000000001</v>
      </c>
      <c r="I7" s="441">
        <f t="shared" si="32"/>
        <v>3430.66</v>
      </c>
      <c r="J7" s="441">
        <f t="shared" si="32"/>
        <v>1050.6600000000001</v>
      </c>
      <c r="K7" s="441">
        <f t="shared" si="32"/>
        <v>1050.6600000000001</v>
      </c>
      <c r="L7" s="441">
        <f t="shared" si="32"/>
        <v>1050.6600000000001</v>
      </c>
      <c r="M7" s="441">
        <f t="shared" si="32"/>
        <v>3430.66</v>
      </c>
      <c r="N7" s="441">
        <f t="shared" si="32"/>
        <v>1050.6600000000001</v>
      </c>
      <c r="O7" s="441">
        <f t="shared" si="32"/>
        <v>1050.6600000000001</v>
      </c>
      <c r="P7" s="441">
        <f t="shared" si="32"/>
        <v>1050.6600000000001</v>
      </c>
      <c r="Q7" s="441">
        <f t="shared" si="32"/>
        <v>3430.66</v>
      </c>
      <c r="R7" s="441">
        <f t="shared" si="32"/>
        <v>1050.6600000000001</v>
      </c>
      <c r="S7" s="441">
        <f t="shared" si="32"/>
        <v>1050.6600000000001</v>
      </c>
      <c r="T7" s="441">
        <f t="shared" si="32"/>
        <v>1050.6600000000001</v>
      </c>
      <c r="U7" s="441">
        <f t="shared" si="32"/>
        <v>3430.66</v>
      </c>
      <c r="V7" s="441">
        <f t="shared" si="32"/>
        <v>1050.6600000000001</v>
      </c>
      <c r="W7" s="441">
        <f t="shared" si="32"/>
        <v>1050.6600000000001</v>
      </c>
      <c r="X7" s="441">
        <f t="shared" si="32"/>
        <v>1050.6600000000001</v>
      </c>
      <c r="Y7" s="441">
        <f t="shared" si="32"/>
        <v>3430.66</v>
      </c>
      <c r="Z7" s="441">
        <f t="shared" si="32"/>
        <v>1050.6600000000001</v>
      </c>
      <c r="AA7" s="441">
        <f t="shared" si="32"/>
        <v>1050.6600000000001</v>
      </c>
      <c r="AB7" s="441">
        <f t="shared" si="32"/>
        <v>1050.6600000000001</v>
      </c>
      <c r="AC7" s="441">
        <f t="shared" si="32"/>
        <v>3430.66</v>
      </c>
      <c r="AD7" s="441">
        <f t="shared" si="32"/>
        <v>1050.6600000000001</v>
      </c>
      <c r="AE7" s="441">
        <f t="shared" si="32"/>
        <v>1050.6600000000001</v>
      </c>
      <c r="AF7" s="441">
        <f t="shared" si="32"/>
        <v>1050.6600000000001</v>
      </c>
      <c r="AG7" s="441">
        <f t="shared" si="32"/>
        <v>3430.66</v>
      </c>
      <c r="AH7" s="441">
        <f t="shared" si="32"/>
        <v>1050.6600000000001</v>
      </c>
      <c r="AI7" s="441">
        <f t="shared" si="32"/>
        <v>1050.6600000000001</v>
      </c>
      <c r="AJ7" s="441">
        <f t="shared" si="32"/>
        <v>1050.6600000000001</v>
      </c>
      <c r="AK7" s="441">
        <f t="shared" si="32"/>
        <v>3430.66</v>
      </c>
      <c r="AL7" s="441">
        <f t="shared" si="32"/>
        <v>1050.6600000000001</v>
      </c>
      <c r="AM7" s="441">
        <f t="shared" si="32"/>
        <v>1050.6600000000001</v>
      </c>
      <c r="AN7" s="441">
        <f t="shared" si="32"/>
        <v>1050.6600000000001</v>
      </c>
      <c r="AO7" s="441">
        <f t="shared" si="32"/>
        <v>3430.66</v>
      </c>
      <c r="AP7" s="441">
        <f t="shared" si="32"/>
        <v>1050.6600000000001</v>
      </c>
      <c r="AQ7" s="441">
        <f t="shared" si="32"/>
        <v>1050.6600000000001</v>
      </c>
      <c r="AR7" s="441">
        <f t="shared" si="32"/>
        <v>1050.6600000000001</v>
      </c>
      <c r="AS7" s="441">
        <f t="shared" si="32"/>
        <v>3430.66</v>
      </c>
      <c r="AT7" s="441">
        <f t="shared" si="32"/>
        <v>1050.6600000000001</v>
      </c>
    </row>
    <row r="8" spans="1:46" ht="30" x14ac:dyDescent="0.25">
      <c r="A8" s="662" t="s">
        <v>503</v>
      </c>
      <c r="B8" s="418"/>
      <c r="C8" s="56">
        <v>12</v>
      </c>
      <c r="D8" s="56">
        <f>C8</f>
        <v>12</v>
      </c>
      <c r="E8" s="56">
        <f>D8</f>
        <v>12</v>
      </c>
      <c r="F8" s="56">
        <f t="shared" ref="F8" si="33">E8</f>
        <v>12</v>
      </c>
      <c r="G8" s="56">
        <f>F8*(1+допущения!$C$37)</f>
        <v>12.72</v>
      </c>
      <c r="H8" s="56">
        <f>G8</f>
        <v>12.72</v>
      </c>
      <c r="I8" s="56">
        <f t="shared" ref="I8:AT8" si="34">H8</f>
        <v>12.72</v>
      </c>
      <c r="J8" s="56">
        <f t="shared" si="34"/>
        <v>12.72</v>
      </c>
      <c r="K8" s="56">
        <f>J8*(1+допущения!$C$37)</f>
        <v>13.483200000000002</v>
      </c>
      <c r="L8" s="56">
        <f t="shared" si="34"/>
        <v>13.483200000000002</v>
      </c>
      <c r="M8" s="56">
        <f t="shared" si="34"/>
        <v>13.483200000000002</v>
      </c>
      <c r="N8" s="56">
        <f t="shared" si="34"/>
        <v>13.483200000000002</v>
      </c>
      <c r="O8" s="56">
        <f>N8*(1+допущения!$C$37)</f>
        <v>14.292192000000004</v>
      </c>
      <c r="P8" s="56">
        <f t="shared" si="34"/>
        <v>14.292192000000004</v>
      </c>
      <c r="Q8" s="56">
        <f t="shared" si="34"/>
        <v>14.292192000000004</v>
      </c>
      <c r="R8" s="56">
        <f t="shared" si="34"/>
        <v>14.292192000000004</v>
      </c>
      <c r="S8" s="56">
        <f>R8*(1+допущения!$C$37)</f>
        <v>15.149723520000004</v>
      </c>
      <c r="T8" s="56">
        <f t="shared" si="34"/>
        <v>15.149723520000004</v>
      </c>
      <c r="U8" s="56">
        <f t="shared" si="34"/>
        <v>15.149723520000004</v>
      </c>
      <c r="V8" s="56">
        <f t="shared" si="34"/>
        <v>15.149723520000004</v>
      </c>
      <c r="W8" s="56">
        <f>V8*(1+допущения!$C$37)</f>
        <v>16.058706931200003</v>
      </c>
      <c r="X8" s="56">
        <f t="shared" si="34"/>
        <v>16.058706931200003</v>
      </c>
      <c r="Y8" s="56">
        <f t="shared" si="34"/>
        <v>16.058706931200003</v>
      </c>
      <c r="Z8" s="56">
        <f t="shared" si="34"/>
        <v>16.058706931200003</v>
      </c>
      <c r="AA8" s="56">
        <f>Z8*(1+допущения!$C$37)</f>
        <v>17.022229347072006</v>
      </c>
      <c r="AB8" s="56">
        <f t="shared" si="34"/>
        <v>17.022229347072006</v>
      </c>
      <c r="AC8" s="56">
        <f t="shared" si="34"/>
        <v>17.022229347072006</v>
      </c>
      <c r="AD8" s="56">
        <f t="shared" si="34"/>
        <v>17.022229347072006</v>
      </c>
      <c r="AE8" s="56">
        <f>AD8*(1+допущения!$C$37)</f>
        <v>18.043563107896329</v>
      </c>
      <c r="AF8" s="56">
        <f t="shared" si="34"/>
        <v>18.043563107896329</v>
      </c>
      <c r="AG8" s="56">
        <f t="shared" si="34"/>
        <v>18.043563107896329</v>
      </c>
      <c r="AH8" s="56">
        <f t="shared" si="34"/>
        <v>18.043563107896329</v>
      </c>
      <c r="AI8" s="56">
        <f>AH8*(1+допущения!$C$37)</f>
        <v>19.126176894370111</v>
      </c>
      <c r="AJ8" s="56">
        <f t="shared" si="34"/>
        <v>19.126176894370111</v>
      </c>
      <c r="AK8" s="56">
        <f t="shared" si="34"/>
        <v>19.126176894370111</v>
      </c>
      <c r="AL8" s="56">
        <f t="shared" si="34"/>
        <v>19.126176894370111</v>
      </c>
      <c r="AM8" s="56">
        <f>AL8*(1+допущения!$C$37)</f>
        <v>20.273747508032319</v>
      </c>
      <c r="AN8" s="56">
        <f t="shared" si="34"/>
        <v>20.273747508032319</v>
      </c>
      <c r="AO8" s="56">
        <f t="shared" si="34"/>
        <v>20.273747508032319</v>
      </c>
      <c r="AP8" s="56">
        <f t="shared" si="34"/>
        <v>20.273747508032319</v>
      </c>
      <c r="AQ8" s="56">
        <f>AP8*(1+допущения!$C$37)</f>
        <v>21.490172358514258</v>
      </c>
      <c r="AR8" s="56">
        <f t="shared" si="34"/>
        <v>21.490172358514258</v>
      </c>
      <c r="AS8" s="56">
        <f t="shared" si="34"/>
        <v>21.490172358514258</v>
      </c>
      <c r="AT8" s="56">
        <f t="shared" si="34"/>
        <v>21.490172358514258</v>
      </c>
    </row>
    <row r="10" spans="1:46" s="415" customFormat="1" x14ac:dyDescent="0.25">
      <c r="A10" s="414" t="s">
        <v>388</v>
      </c>
      <c r="C10" s="415" t="str">
        <f t="shared" ref="C10:AT10" si="35">C2</f>
        <v>I кв. 1 г.</v>
      </c>
      <c r="D10" s="415" t="str">
        <f t="shared" si="35"/>
        <v>II кв. 1 г.</v>
      </c>
      <c r="E10" s="415" t="str">
        <f t="shared" si="35"/>
        <v>III кв. 1 г.</v>
      </c>
      <c r="F10" s="415" t="str">
        <f t="shared" si="35"/>
        <v>IV кв. 1 г.</v>
      </c>
      <c r="G10" s="415" t="str">
        <f t="shared" si="35"/>
        <v>I кв. 2 г.</v>
      </c>
      <c r="H10" s="415" t="str">
        <f t="shared" si="35"/>
        <v>II кв. 2 г.</v>
      </c>
      <c r="I10" s="415" t="str">
        <f t="shared" si="35"/>
        <v>III кв. 2 г.</v>
      </c>
      <c r="J10" s="415" t="str">
        <f t="shared" si="35"/>
        <v>IV кв. 2 г.</v>
      </c>
      <c r="K10" s="415" t="str">
        <f t="shared" si="35"/>
        <v>I кв. 3 г.</v>
      </c>
      <c r="L10" s="415" t="str">
        <f t="shared" si="35"/>
        <v>II кв. 3 г.</v>
      </c>
      <c r="M10" s="415" t="str">
        <f t="shared" si="35"/>
        <v>III кв. 3 г.</v>
      </c>
      <c r="N10" s="415" t="str">
        <f t="shared" si="35"/>
        <v>IV кв. 3 г.</v>
      </c>
      <c r="O10" s="415" t="str">
        <f t="shared" si="35"/>
        <v>I кв. 4 г.</v>
      </c>
      <c r="P10" s="415" t="str">
        <f t="shared" si="35"/>
        <v>II кв. 4 г.</v>
      </c>
      <c r="Q10" s="415" t="str">
        <f t="shared" si="35"/>
        <v>III кв. 4 г.</v>
      </c>
      <c r="R10" s="415" t="str">
        <f t="shared" si="35"/>
        <v>IV кв. 4 г.</v>
      </c>
      <c r="S10" s="415" t="str">
        <f t="shared" si="35"/>
        <v>I кв. 5 г.</v>
      </c>
      <c r="T10" s="415" t="str">
        <f t="shared" si="35"/>
        <v>II кв. 5 г.</v>
      </c>
      <c r="U10" s="415" t="str">
        <f t="shared" si="35"/>
        <v>III кв. 5 г.</v>
      </c>
      <c r="V10" s="415" t="str">
        <f t="shared" si="35"/>
        <v>IV кв. 5 г.</v>
      </c>
      <c r="W10" s="415" t="str">
        <f t="shared" si="35"/>
        <v>I кв. 6 г.</v>
      </c>
      <c r="X10" s="415" t="str">
        <f t="shared" si="35"/>
        <v>II кв. 6 г.</v>
      </c>
      <c r="Y10" s="415" t="str">
        <f t="shared" si="35"/>
        <v>III кв. 6 г.</v>
      </c>
      <c r="Z10" s="415" t="str">
        <f t="shared" si="35"/>
        <v>IV кв. 6 г.</v>
      </c>
      <c r="AA10" s="415" t="str">
        <f t="shared" si="35"/>
        <v>I кв. 7 г.</v>
      </c>
      <c r="AB10" s="415" t="str">
        <f t="shared" si="35"/>
        <v>II кв. 7 г.</v>
      </c>
      <c r="AC10" s="415" t="str">
        <f t="shared" si="35"/>
        <v>III кв. 7 г.</v>
      </c>
      <c r="AD10" s="415" t="str">
        <f t="shared" si="35"/>
        <v>IV кв. 7 г.</v>
      </c>
      <c r="AE10" s="415" t="str">
        <f t="shared" si="35"/>
        <v>I кв. 8 г.</v>
      </c>
      <c r="AF10" s="415" t="str">
        <f t="shared" si="35"/>
        <v>II кв. 8 г.</v>
      </c>
      <c r="AG10" s="415" t="str">
        <f t="shared" si="35"/>
        <v>III кв. 8 г.</v>
      </c>
      <c r="AH10" s="415" t="str">
        <f t="shared" si="35"/>
        <v>IV кв. 8 г.</v>
      </c>
      <c r="AI10" s="415" t="str">
        <f t="shared" si="35"/>
        <v>I кв. 9 г.</v>
      </c>
      <c r="AJ10" s="415" t="str">
        <f t="shared" si="35"/>
        <v>II кв. 9 г.</v>
      </c>
      <c r="AK10" s="415" t="str">
        <f t="shared" si="35"/>
        <v>III кв. 9 г.</v>
      </c>
      <c r="AL10" s="415" t="str">
        <f t="shared" si="35"/>
        <v>IV кв. 9 г.</v>
      </c>
      <c r="AM10" s="415" t="str">
        <f t="shared" si="35"/>
        <v>I кв. 10 г.</v>
      </c>
      <c r="AN10" s="415" t="str">
        <f t="shared" si="35"/>
        <v>II кв. 10 г.</v>
      </c>
      <c r="AO10" s="415" t="str">
        <f t="shared" si="35"/>
        <v>III кв. 10 г.</v>
      </c>
      <c r="AP10" s="415" t="str">
        <f t="shared" si="35"/>
        <v>IV кв. 10 г.</v>
      </c>
      <c r="AQ10" s="415" t="str">
        <f t="shared" si="35"/>
        <v>I кв. 11 г.</v>
      </c>
      <c r="AR10" s="415" t="str">
        <f t="shared" si="35"/>
        <v>II кв. 11 г.</v>
      </c>
      <c r="AS10" s="415" t="str">
        <f t="shared" si="35"/>
        <v>III кв. 11 г.</v>
      </c>
      <c r="AT10" s="415" t="str">
        <f t="shared" si="35"/>
        <v>IV кв. 11 г.</v>
      </c>
    </row>
    <row r="11" spans="1:46" ht="42" customHeight="1" x14ac:dyDescent="0.25">
      <c r="A11" s="527" t="str">
        <f>'Расходы ТОР'!A6</f>
        <v>Расходы на товарооборот (закуп картофеля (август-октябрь))</v>
      </c>
      <c r="B11" s="416" t="s">
        <v>377</v>
      </c>
      <c r="C11" s="56">
        <f>C4*C8</f>
        <v>0</v>
      </c>
      <c r="D11" s="56">
        <f t="shared" ref="D11:AT11" si="36">D4*D8</f>
        <v>0</v>
      </c>
      <c r="E11" s="56">
        <f>E4*E8</f>
        <v>28560</v>
      </c>
      <c r="F11" s="56">
        <f t="shared" si="36"/>
        <v>0</v>
      </c>
      <c r="G11" s="56">
        <f t="shared" si="36"/>
        <v>0</v>
      </c>
      <c r="H11" s="56">
        <f t="shared" si="36"/>
        <v>0</v>
      </c>
      <c r="I11" s="56">
        <f>I4*I8</f>
        <v>30273.600000000002</v>
      </c>
      <c r="J11" s="56">
        <f t="shared" si="36"/>
        <v>0</v>
      </c>
      <c r="K11" s="56">
        <f t="shared" si="36"/>
        <v>0</v>
      </c>
      <c r="L11" s="56">
        <f t="shared" si="36"/>
        <v>0</v>
      </c>
      <c r="M11" s="56">
        <f t="shared" si="36"/>
        <v>32090.016000000003</v>
      </c>
      <c r="N11" s="56">
        <f t="shared" si="36"/>
        <v>0</v>
      </c>
      <c r="O11" s="56">
        <f t="shared" si="36"/>
        <v>0</v>
      </c>
      <c r="P11" s="56">
        <f t="shared" si="36"/>
        <v>0</v>
      </c>
      <c r="Q11" s="56">
        <f t="shared" si="36"/>
        <v>34015.41696000001</v>
      </c>
      <c r="R11" s="56">
        <f t="shared" si="36"/>
        <v>0</v>
      </c>
      <c r="S11" s="56">
        <f t="shared" si="36"/>
        <v>0</v>
      </c>
      <c r="T11" s="56">
        <f t="shared" si="36"/>
        <v>0</v>
      </c>
      <c r="U11" s="56">
        <f t="shared" si="36"/>
        <v>36056.341977600008</v>
      </c>
      <c r="V11" s="56">
        <f t="shared" si="36"/>
        <v>0</v>
      </c>
      <c r="W11" s="56">
        <f t="shared" si="36"/>
        <v>0</v>
      </c>
      <c r="X11" s="56">
        <f t="shared" si="36"/>
        <v>0</v>
      </c>
      <c r="Y11" s="56">
        <f t="shared" si="36"/>
        <v>38219.722496256007</v>
      </c>
      <c r="Z11" s="56">
        <f t="shared" si="36"/>
        <v>0</v>
      </c>
      <c r="AA11" s="56">
        <f t="shared" si="36"/>
        <v>0</v>
      </c>
      <c r="AB11" s="56">
        <f t="shared" si="36"/>
        <v>0</v>
      </c>
      <c r="AC11" s="56">
        <f t="shared" si="36"/>
        <v>40512.905846031375</v>
      </c>
      <c r="AD11" s="56">
        <f t="shared" si="36"/>
        <v>0</v>
      </c>
      <c r="AE11" s="56">
        <f t="shared" si="36"/>
        <v>0</v>
      </c>
      <c r="AF11" s="56">
        <f t="shared" si="36"/>
        <v>0</v>
      </c>
      <c r="AG11" s="56">
        <f t="shared" si="36"/>
        <v>42943.680196793262</v>
      </c>
      <c r="AH11" s="56">
        <f t="shared" si="36"/>
        <v>0</v>
      </c>
      <c r="AI11" s="56">
        <f t="shared" si="36"/>
        <v>0</v>
      </c>
      <c r="AJ11" s="56">
        <f t="shared" si="36"/>
        <v>0</v>
      </c>
      <c r="AK11" s="56">
        <f t="shared" si="36"/>
        <v>45520.301008600865</v>
      </c>
      <c r="AL11" s="56">
        <f t="shared" si="36"/>
        <v>0</v>
      </c>
      <c r="AM11" s="56">
        <f t="shared" si="36"/>
        <v>0</v>
      </c>
      <c r="AN11" s="56">
        <f t="shared" si="36"/>
        <v>0</v>
      </c>
      <c r="AO11" s="56">
        <f t="shared" si="36"/>
        <v>48251.519069116919</v>
      </c>
      <c r="AP11" s="56">
        <f t="shared" si="36"/>
        <v>0</v>
      </c>
      <c r="AQ11" s="56">
        <f t="shared" si="36"/>
        <v>0</v>
      </c>
      <c r="AR11" s="56">
        <f t="shared" si="36"/>
        <v>0</v>
      </c>
      <c r="AS11" s="56">
        <f t="shared" si="36"/>
        <v>51146.610213263935</v>
      </c>
      <c r="AT11" s="56">
        <f t="shared" si="36"/>
        <v>0</v>
      </c>
    </row>
    <row r="12" spans="1:46" ht="30" x14ac:dyDescent="0.25">
      <c r="A12" s="527" t="str">
        <f>'Расходы ТОР'!A5</f>
        <v>Расходы на спецодежду, средства защиты</v>
      </c>
      <c r="B12" s="416" t="s">
        <v>377</v>
      </c>
      <c r="C12" s="56">
        <f>'Расходы ТОР'!B5</f>
        <v>0</v>
      </c>
      <c r="D12" s="56">
        <f>'Расходы ТОР'!C5</f>
        <v>143.4888</v>
      </c>
      <c r="E12" s="56">
        <f>'Расходы ТОР'!D5</f>
        <v>522.70920000000001</v>
      </c>
      <c r="F12" s="56">
        <f>'Расходы ТОР'!E5</f>
        <v>307.476</v>
      </c>
      <c r="G12" s="56">
        <f>'Расходы ТОР'!F5</f>
        <v>307.476</v>
      </c>
      <c r="H12" s="56">
        <f>'Расходы ТОР'!G5</f>
        <v>307.476</v>
      </c>
      <c r="I12" s="56">
        <f>'Расходы ТОР'!H5</f>
        <v>535.62319200000002</v>
      </c>
      <c r="J12" s="56">
        <f>'Расходы ТОР'!I5</f>
        <v>307.476</v>
      </c>
      <c r="K12" s="56">
        <f>'Расходы ТОР'!J5</f>
        <v>319.25469600000002</v>
      </c>
      <c r="L12" s="56">
        <f>'Расходы ТОР'!K5</f>
        <v>319.25469600000002</v>
      </c>
      <c r="M12" s="56">
        <f>'Расходы ТОР'!L5</f>
        <v>561.09071952000011</v>
      </c>
      <c r="N12" s="56">
        <f>'Расходы ТОР'!M5</f>
        <v>319.25469600000002</v>
      </c>
      <c r="O12" s="56">
        <f>'Расходы ТОР'!N5</f>
        <v>331.74011376000004</v>
      </c>
      <c r="P12" s="56">
        <f>'Расходы ТОР'!O5</f>
        <v>331.74011376000004</v>
      </c>
      <c r="Q12" s="56">
        <f>'Расходы ТОР'!P5</f>
        <v>588.0862986912</v>
      </c>
      <c r="R12" s="56">
        <f>'Расходы ТОР'!Q5</f>
        <v>331.74011376000004</v>
      </c>
      <c r="S12" s="56">
        <f>'Расходы ТОР'!R5</f>
        <v>351.64452058559999</v>
      </c>
      <c r="T12" s="56">
        <f>'Расходы ТОР'!S5</f>
        <v>351.64452058559999</v>
      </c>
      <c r="U12" s="56">
        <f>'Расходы ТОР'!T5</f>
        <v>623.37147661267193</v>
      </c>
      <c r="V12" s="56">
        <f>'Расходы ТОР'!U5</f>
        <v>351.64452058559999</v>
      </c>
      <c r="W12" s="56">
        <f>'Расходы ТОР'!V5</f>
        <v>372.74319182073606</v>
      </c>
      <c r="X12" s="56">
        <f>'Расходы ТОР'!W5</f>
        <v>372.74319182073606</v>
      </c>
      <c r="Y12" s="56">
        <f>'Расходы ТОР'!X5</f>
        <v>660.77376520943255</v>
      </c>
      <c r="Z12" s="56">
        <f>'Расходы ТОР'!Y5</f>
        <v>372.74319182073606</v>
      </c>
      <c r="AA12" s="56">
        <f>'Расходы ТОР'!Z5</f>
        <v>395.10778332998018</v>
      </c>
      <c r="AB12" s="56">
        <f>'Расходы ТОР'!AA5</f>
        <v>395.10778332998018</v>
      </c>
      <c r="AC12" s="56">
        <f>'Расходы ТОР'!AB5</f>
        <v>700.42019112199841</v>
      </c>
      <c r="AD12" s="56">
        <f>'Расходы ТОР'!AC5</f>
        <v>395.10778332998018</v>
      </c>
      <c r="AE12" s="56">
        <f>'Расходы ТОР'!AD5</f>
        <v>416.61699731608309</v>
      </c>
      <c r="AF12" s="56">
        <f>'Расходы ТОР'!AE5</f>
        <v>416.61699731608309</v>
      </c>
      <c r="AG12" s="56">
        <f>'Расходы ТОР'!AF5</f>
        <v>740.24814957562216</v>
      </c>
      <c r="AH12" s="56">
        <f>'Расходы ТОР'!AG5</f>
        <v>416.61699731608309</v>
      </c>
      <c r="AI12" s="56">
        <f>'Расходы ТОР'!AH5</f>
        <v>441.61401715504809</v>
      </c>
      <c r="AJ12" s="56">
        <f>'Расходы ТОР'!AI5</f>
        <v>441.61401715504809</v>
      </c>
      <c r="AK12" s="56">
        <f>'Расходы ТОР'!AJ5</f>
        <v>784.66303855015974</v>
      </c>
      <c r="AL12" s="56">
        <f>'Расходы ТОР'!AK5</f>
        <v>441.61401715504809</v>
      </c>
      <c r="AM12" s="56">
        <f>'Расходы ТОР'!AL5</f>
        <v>468.110858184351</v>
      </c>
      <c r="AN12" s="56">
        <f>'Расходы ТОР'!AM5</f>
        <v>468.110858184351</v>
      </c>
      <c r="AO12" s="56">
        <f>'Расходы ТОР'!AN5</f>
        <v>831.74282086316941</v>
      </c>
      <c r="AP12" s="56">
        <f>'Расходы ТОР'!AO5</f>
        <v>468.110858184351</v>
      </c>
      <c r="AQ12" s="56">
        <f>'Расходы ТОР'!AP5</f>
        <v>468.110858184351</v>
      </c>
      <c r="AR12" s="56">
        <f>'Расходы ТОР'!AQ5</f>
        <v>468.110858184351</v>
      </c>
      <c r="AS12" s="56">
        <f>'Расходы ТОР'!AR5</f>
        <v>468.110858184351</v>
      </c>
      <c r="AT12" s="56">
        <f>'Расходы ТОР'!AS5</f>
        <v>468.110858184351</v>
      </c>
    </row>
    <row r="13" spans="1:46" x14ac:dyDescent="0.25">
      <c r="A13" s="527" t="s">
        <v>432</v>
      </c>
      <c r="B13" s="416" t="s">
        <v>377</v>
      </c>
      <c r="C13" s="56">
        <v>0</v>
      </c>
      <c r="D13" s="56">
        <f>допущения!C68</f>
        <v>50</v>
      </c>
      <c r="E13" s="56">
        <f>'выручка по кв и годам'!F6*допущения!$C$66</f>
        <v>89.25</v>
      </c>
      <c r="F13" s="56">
        <f>'выручка по кв и годам'!G6*допущения!$C$66</f>
        <v>343.86333333333334</v>
      </c>
      <c r="G13" s="56">
        <f>'выручка по кв и годам'!H6*допущения!$C$66</f>
        <v>561.92164000000014</v>
      </c>
      <c r="H13" s="56">
        <f>'выручка по кв и годам'!I6*допущения!$C$66</f>
        <v>561.92164000000002</v>
      </c>
      <c r="I13" s="56">
        <f>'выручка по кв и годам'!J6*допущения!$C$66</f>
        <v>561.92164000000002</v>
      </c>
      <c r="J13" s="56">
        <f>'выручка по кв и годам'!K6*допущения!$C$66</f>
        <v>561.92164000000002</v>
      </c>
      <c r="K13" s="56">
        <f>'выручка по кв и годам'!L6*допущения!$C$66</f>
        <v>573.64573840000003</v>
      </c>
      <c r="L13" s="56">
        <f>'выручка по кв и годам'!M6*допущения!$C$66</f>
        <v>595.63693840000008</v>
      </c>
      <c r="M13" s="56">
        <f>'выручка по кв и годам'!N6*допущения!$C$66</f>
        <v>595.63693840000008</v>
      </c>
      <c r="N13" s="56">
        <f>'выручка по кв и годам'!O6*допущения!$C$66</f>
        <v>595.63693840000008</v>
      </c>
      <c r="O13" s="56">
        <f>'выручка по кв и годам'!P6*допущения!$C$66</f>
        <v>608.06448270400006</v>
      </c>
      <c r="P13" s="56">
        <f>'выручка по кв и годам'!Q6*допущения!$C$66</f>
        <v>631.37515470400001</v>
      </c>
      <c r="Q13" s="56">
        <f>'выручка по кв и годам'!R6*допущения!$C$66</f>
        <v>631.37515470400001</v>
      </c>
      <c r="R13" s="56">
        <f>'выручка по кв и годам'!S6*допущения!$C$66</f>
        <v>631.37515470400001</v>
      </c>
      <c r="S13" s="56">
        <f>'выручка по кв и годам'!T6*допущения!$C$66</f>
        <v>644.54835166624002</v>
      </c>
      <c r="T13" s="56">
        <f>'выручка по кв и годам'!U6*допущения!$C$66</f>
        <v>669.25766398624</v>
      </c>
      <c r="U13" s="56">
        <f>'выручка по кв и годам'!V6*допущения!$C$66</f>
        <v>669.25766398624</v>
      </c>
      <c r="V13" s="56">
        <f>'выручка по кв и годам'!W6*допущения!$C$66</f>
        <v>669.25766398624</v>
      </c>
      <c r="W13" s="56">
        <f>'выручка по кв и годам'!X6*допущения!$C$66</f>
        <v>683.22125276621432</v>
      </c>
      <c r="X13" s="56">
        <f>'выручка по кв и годам'!Y6*допущения!$C$66</f>
        <v>709.41312382541446</v>
      </c>
      <c r="Y13" s="56">
        <f>'выручка по кв и годам'!Z6*допущения!$C$66</f>
        <v>709.41312382541446</v>
      </c>
      <c r="Z13" s="56">
        <f>'выручка по кв и годам'!AA6*допущения!$C$66</f>
        <v>709.41312382541446</v>
      </c>
      <c r="AA13" s="56">
        <f>'выручка по кв и годам'!AB6*допущения!$C$66</f>
        <v>724.21452793218748</v>
      </c>
      <c r="AB13" s="56">
        <f>'выручка по кв и годам'!AC6*допущения!$C$66</f>
        <v>751.9779112549395</v>
      </c>
      <c r="AC13" s="56">
        <f>'выручка по кв и годам'!AD6*допущения!$C$66</f>
        <v>751.9779112549395</v>
      </c>
      <c r="AD13" s="56">
        <f>'выручка по кв и годам'!AE6*допущения!$C$66</f>
        <v>751.9779112549395</v>
      </c>
      <c r="AE13" s="56">
        <f>'выручка по кв и годам'!AF6*допущения!$C$66</f>
        <v>767.66739960811879</v>
      </c>
      <c r="AF13" s="56">
        <f>'выручка по кв и годам'!AG6*допущения!$C$66</f>
        <v>797.09658593023585</v>
      </c>
      <c r="AG13" s="56">
        <f>'выручка по кв и годам'!AH6*допущения!$C$66</f>
        <v>797.09658593023585</v>
      </c>
      <c r="AH13" s="56">
        <f>'выручка по кв и годам'!AI6*допущения!$C$66</f>
        <v>797.09658593023585</v>
      </c>
      <c r="AI13" s="56">
        <f>'выручка по кв и годам'!AJ6*допущения!$C$66</f>
        <v>813.72744358460579</v>
      </c>
      <c r="AJ13" s="56">
        <f>'выручка по кв и годам'!AK6*допущения!$C$66</f>
        <v>844.92238108605</v>
      </c>
      <c r="AK13" s="56">
        <f>'выручка по кв и годам'!AL6*допущения!$C$66</f>
        <v>844.92238108605</v>
      </c>
      <c r="AL13" s="56">
        <f>'выручка по кв и годам'!AM6*допущения!$C$66</f>
        <v>844.92238108605</v>
      </c>
      <c r="AM13" s="56">
        <f>'выручка по кв и годам'!AN6*допущения!$C$66</f>
        <v>862.55109019968222</v>
      </c>
      <c r="AN13" s="56">
        <f>'выручка по кв и годам'!AO6*допущения!$C$66</f>
        <v>930.66835572783589</v>
      </c>
      <c r="AO13" s="56">
        <f>'выручка по кв и годам'!AP6*допущения!$C$66</f>
        <v>930.66835572783589</v>
      </c>
      <c r="AP13" s="56">
        <f>'выручка по кв и годам'!AQ6*допущения!$C$66</f>
        <v>930.66835572783589</v>
      </c>
      <c r="AQ13" s="56">
        <f>'выручка по кв и годам'!AR6*допущения!$C$66</f>
        <v>949.3547873882859</v>
      </c>
      <c r="AR13" s="56">
        <f>'выручка по кв и годам'!AS6*допущения!$C$66</f>
        <v>949.3547873882859</v>
      </c>
      <c r="AS13" s="56">
        <f>'выручка по кв и годам'!AT6*допущения!$C$66</f>
        <v>949.3547873882859</v>
      </c>
      <c r="AT13" s="56">
        <f>'выручка по кв и годам'!AU6*допущения!$C$66</f>
        <v>949.3547873882859</v>
      </c>
    </row>
    <row r="14" spans="1:46" x14ac:dyDescent="0.25">
      <c r="A14" s="527" t="s">
        <v>427</v>
      </c>
      <c r="B14" s="416" t="s">
        <v>377</v>
      </c>
      <c r="C14" s="56">
        <v>0</v>
      </c>
      <c r="D14" s="56">
        <f>(СВОД!B3)/1000*0.3</f>
        <v>735.14467500000001</v>
      </c>
      <c r="E14" s="56">
        <f>(СВОД!$B$3*допущения!$C$63/4)*0.7</f>
        <v>1715.337575</v>
      </c>
      <c r="F14" s="56">
        <f>(СВОД!$B$3*допущения!$C$63/4)</f>
        <v>2450.48225</v>
      </c>
      <c r="G14" s="56">
        <f>(СВОД!$B$3*допущения!$C$63/4)</f>
        <v>2450.48225</v>
      </c>
      <c r="H14" s="56">
        <f>(СВОД!$B$3*допущения!$C$63/4)*0.7</f>
        <v>1715.337575</v>
      </c>
      <c r="I14" s="56">
        <f>(СВОД!$B$3*допущения!$C$63/4)*0.7</f>
        <v>1715.337575</v>
      </c>
      <c r="J14" s="56">
        <f>(СВОД!$B$3*допущения!$C$63/4)</f>
        <v>2450.48225</v>
      </c>
      <c r="K14" s="56">
        <f>(СВОД!$B$3*допущения!$C$63/4)</f>
        <v>2450.48225</v>
      </c>
      <c r="L14" s="56">
        <f>(СВОД!$B$3*допущения!$C$63/4)*0.7</f>
        <v>1715.337575</v>
      </c>
      <c r="M14" s="56">
        <f>(СВОД!$B$3*допущения!$C$63/4)*0.7</f>
        <v>1715.337575</v>
      </c>
      <c r="N14" s="56">
        <f>(СВОД!$B$3*допущения!$C$63/4)</f>
        <v>2450.48225</v>
      </c>
      <c r="O14" s="56">
        <f>(СВОД!$B$3*допущения!$C$63/4)</f>
        <v>2450.48225</v>
      </c>
      <c r="P14" s="56">
        <f>(СВОД!$B$3*допущения!$C$63/4)*0.7</f>
        <v>1715.337575</v>
      </c>
      <c r="Q14" s="56">
        <f>(СВОД!$B$3*допущения!$C$63/4)*0.7</f>
        <v>1715.337575</v>
      </c>
      <c r="R14" s="56">
        <f>(СВОД!$B$3*допущения!$C$63/4)</f>
        <v>2450.48225</v>
      </c>
      <c r="S14" s="56">
        <f>(СВОД!$B$3*допущения!$C$63/4)</f>
        <v>2450.48225</v>
      </c>
      <c r="T14" s="56">
        <f>(СВОД!$B$3*допущения!$C$63/4)*0.7</f>
        <v>1715.337575</v>
      </c>
      <c r="U14" s="56">
        <f>(СВОД!$B$3*допущения!$C$63/4)*0.7</f>
        <v>1715.337575</v>
      </c>
      <c r="V14" s="56">
        <f>(СВОД!$B$3*допущения!$C$63/4)</f>
        <v>2450.48225</v>
      </c>
      <c r="W14" s="56">
        <f>(СВОД!$B$3*допущения!$C$63/4)</f>
        <v>2450.48225</v>
      </c>
      <c r="X14" s="56">
        <f>(СВОД!$B$3*допущения!$C$63/4)*0.7</f>
        <v>1715.337575</v>
      </c>
      <c r="Y14" s="56">
        <f>(СВОД!$B$3*допущения!$C$63/4)*0.7</f>
        <v>1715.337575</v>
      </c>
      <c r="Z14" s="56">
        <f>(СВОД!$B$3*допущения!$C$63/4)</f>
        <v>2450.48225</v>
      </c>
      <c r="AA14" s="56">
        <f>(СВОД!$B$3*допущения!$C$63/4)</f>
        <v>2450.48225</v>
      </c>
      <c r="AB14" s="56">
        <f>(СВОД!$B$3*допущения!$C$63/4)*0.7</f>
        <v>1715.337575</v>
      </c>
      <c r="AC14" s="56">
        <f>(СВОД!$B$3*допущения!$C$63/4)*0.7</f>
        <v>1715.337575</v>
      </c>
      <c r="AD14" s="56">
        <f>(СВОД!$B$3*допущения!$C$63/4)</f>
        <v>2450.48225</v>
      </c>
      <c r="AE14" s="56">
        <f>(СВОД!$B$3*допущения!$C$63/4)</f>
        <v>2450.48225</v>
      </c>
      <c r="AF14" s="56">
        <f>(СВОД!$B$3*допущения!$C$63/4)*0.7</f>
        <v>1715.337575</v>
      </c>
      <c r="AG14" s="56">
        <f>(СВОД!$B$3*допущения!$C$63/4)*0.7</f>
        <v>1715.337575</v>
      </c>
      <c r="AH14" s="56">
        <f>(СВОД!$B$3*допущения!$C$63/4)</f>
        <v>2450.48225</v>
      </c>
      <c r="AI14" s="56">
        <f>(СВОД!$B$3*допущения!$C$63/4)</f>
        <v>2450.48225</v>
      </c>
      <c r="AJ14" s="56">
        <f>(СВОД!$B$3*допущения!$C$63/4)*0.7</f>
        <v>1715.337575</v>
      </c>
      <c r="AK14" s="56">
        <f>(СВОД!$B$3*допущения!$C$63/4)*0.7</f>
        <v>1715.337575</v>
      </c>
      <c r="AL14" s="56">
        <f>(СВОД!$B$3*допущения!$C$63/4)</f>
        <v>2450.48225</v>
      </c>
      <c r="AM14" s="56">
        <f>(СВОД!$B$3*допущения!$C$63/4)</f>
        <v>2450.48225</v>
      </c>
      <c r="AN14" s="56">
        <f>(СВОД!$B$3*допущения!$C$63/4)*0.7</f>
        <v>1715.337575</v>
      </c>
      <c r="AO14" s="56">
        <f>(СВОД!$B$3*допущения!$C$63/4)*0.7</f>
        <v>1715.337575</v>
      </c>
      <c r="AP14" s="56">
        <f>(СВОД!$B$3*допущения!$C$63/4)</f>
        <v>2450.48225</v>
      </c>
      <c r="AQ14" s="56">
        <f>(СВОД!$B$3*допущения!$C$63/4)</f>
        <v>2450.48225</v>
      </c>
      <c r="AR14" s="56">
        <f>(СВОД!$B$3*допущения!$C$63/4)*0.7</f>
        <v>1715.337575</v>
      </c>
      <c r="AS14" s="56">
        <f>(СВОД!$B$3*допущения!$C$63/4)*0.7</f>
        <v>1715.337575</v>
      </c>
      <c r="AT14" s="56">
        <f>(СВОД!$B$3*допущения!$C$63/4)</f>
        <v>2450.48225</v>
      </c>
    </row>
    <row r="15" spans="1:46" ht="47.25" customHeight="1" x14ac:dyDescent="0.25">
      <c r="A15" s="527" t="s">
        <v>237</v>
      </c>
      <c r="B15" s="416" t="s">
        <v>377</v>
      </c>
      <c r="C15" s="56">
        <v>0</v>
      </c>
      <c r="D15" s="56">
        <v>0</v>
      </c>
      <c r="E15" s="56">
        <v>0</v>
      </c>
      <c r="F15" s="56">
        <v>0</v>
      </c>
      <c r="G15" s="524">
        <f>допущения!C67*('Расходы на П, строит-во, ввод'!C4+'Расходы на П, строит-во, ввод'!D6+'Расходы на П, строит-во, ввод'!C7)</f>
        <v>308</v>
      </c>
      <c r="H15" s="56">
        <f>G15</f>
        <v>308</v>
      </c>
      <c r="I15" s="56">
        <f>H15</f>
        <v>308</v>
      </c>
      <c r="J15" s="56">
        <f t="shared" ref="J15:AT15" si="37">I15</f>
        <v>308</v>
      </c>
      <c r="K15" s="56">
        <f t="shared" si="37"/>
        <v>308</v>
      </c>
      <c r="L15" s="56">
        <f t="shared" si="37"/>
        <v>308</v>
      </c>
      <c r="M15" s="56">
        <f>L15</f>
        <v>308</v>
      </c>
      <c r="N15" s="56">
        <f t="shared" si="37"/>
        <v>308</v>
      </c>
      <c r="O15" s="56">
        <f t="shared" si="37"/>
        <v>308</v>
      </c>
      <c r="P15" s="56">
        <f t="shared" si="37"/>
        <v>308</v>
      </c>
      <c r="Q15" s="56">
        <f t="shared" si="37"/>
        <v>308</v>
      </c>
      <c r="R15" s="56">
        <f t="shared" si="37"/>
        <v>308</v>
      </c>
      <c r="S15" s="56">
        <f t="shared" si="37"/>
        <v>308</v>
      </c>
      <c r="T15" s="56">
        <f t="shared" si="37"/>
        <v>308</v>
      </c>
      <c r="U15" s="56">
        <f t="shared" si="37"/>
        <v>308</v>
      </c>
      <c r="V15" s="56">
        <f t="shared" si="37"/>
        <v>308</v>
      </c>
      <c r="W15" s="56">
        <f t="shared" si="37"/>
        <v>308</v>
      </c>
      <c r="X15" s="56">
        <f t="shared" si="37"/>
        <v>308</v>
      </c>
      <c r="Y15" s="56">
        <f t="shared" si="37"/>
        <v>308</v>
      </c>
      <c r="Z15" s="56">
        <f t="shared" si="37"/>
        <v>308</v>
      </c>
      <c r="AA15" s="56">
        <f t="shared" si="37"/>
        <v>308</v>
      </c>
      <c r="AB15" s="56">
        <f t="shared" si="37"/>
        <v>308</v>
      </c>
      <c r="AC15" s="56">
        <f t="shared" si="37"/>
        <v>308</v>
      </c>
      <c r="AD15" s="56">
        <f t="shared" si="37"/>
        <v>308</v>
      </c>
      <c r="AE15" s="56">
        <f t="shared" si="37"/>
        <v>308</v>
      </c>
      <c r="AF15" s="56">
        <f t="shared" si="37"/>
        <v>308</v>
      </c>
      <c r="AG15" s="56">
        <f t="shared" si="37"/>
        <v>308</v>
      </c>
      <c r="AH15" s="56">
        <f t="shared" si="37"/>
        <v>308</v>
      </c>
      <c r="AI15" s="56">
        <f t="shared" si="37"/>
        <v>308</v>
      </c>
      <c r="AJ15" s="56">
        <f t="shared" si="37"/>
        <v>308</v>
      </c>
      <c r="AK15" s="56">
        <f t="shared" si="37"/>
        <v>308</v>
      </c>
      <c r="AL15" s="56">
        <f t="shared" si="37"/>
        <v>308</v>
      </c>
      <c r="AM15" s="56">
        <f t="shared" si="37"/>
        <v>308</v>
      </c>
      <c r="AN15" s="56">
        <f t="shared" si="37"/>
        <v>308</v>
      </c>
      <c r="AO15" s="56">
        <f t="shared" si="37"/>
        <v>308</v>
      </c>
      <c r="AP15" s="56">
        <f t="shared" si="37"/>
        <v>308</v>
      </c>
      <c r="AQ15" s="56">
        <f t="shared" si="37"/>
        <v>308</v>
      </c>
      <c r="AR15" s="56">
        <f t="shared" si="37"/>
        <v>308</v>
      </c>
      <c r="AS15" s="56">
        <f t="shared" si="37"/>
        <v>308</v>
      </c>
      <c r="AT15" s="56">
        <f t="shared" si="37"/>
        <v>308</v>
      </c>
    </row>
    <row r="16" spans="1:46" x14ac:dyDescent="0.25">
      <c r="A16" s="527" t="s">
        <v>434</v>
      </c>
      <c r="B16" s="416" t="s">
        <v>377</v>
      </c>
      <c r="C16" s="56">
        <v>0</v>
      </c>
      <c r="D16" s="56">
        <v>0</v>
      </c>
      <c r="E16" s="56">
        <f>допущения!$C$65*'выручка по кв и годам'!F6</f>
        <v>63.75</v>
      </c>
      <c r="F16" s="56">
        <f>допущения!$C$65*'выручка по кв и годам'!G6</f>
        <v>245.61666666666667</v>
      </c>
      <c r="G16" s="56">
        <f>допущения!$C$65*'выручка по кв и годам'!H6</f>
        <v>401.37260000000009</v>
      </c>
      <c r="H16" s="56">
        <f>допущения!$C$65*'выручка по кв и годам'!I6</f>
        <v>401.37260000000003</v>
      </c>
      <c r="I16" s="56">
        <f>допущения!$C$65*'выручка по кв и годам'!J6</f>
        <v>401.37260000000003</v>
      </c>
      <c r="J16" s="56">
        <f>допущения!$C$65*'выручка по кв и годам'!K6</f>
        <v>401.37260000000003</v>
      </c>
      <c r="K16" s="56">
        <f>допущения!$C$65*'выручка по кв и годам'!L6</f>
        <v>409.74695600000001</v>
      </c>
      <c r="L16" s="56">
        <f>допущения!$C$65*'выручка по кв и годам'!M6</f>
        <v>425.45495600000004</v>
      </c>
      <c r="M16" s="56">
        <f>допущения!$C$65*'выручка по кв и годам'!N6</f>
        <v>425.45495600000004</v>
      </c>
      <c r="N16" s="56">
        <f>допущения!$C$65*'выручка по кв и годам'!O6</f>
        <v>425.45495600000004</v>
      </c>
      <c r="O16" s="56">
        <f>допущения!$C$65*'выручка по кв и годам'!P6</f>
        <v>434.33177336</v>
      </c>
      <c r="P16" s="56">
        <f>допущения!$C$65*'выручка по кв и годам'!Q6</f>
        <v>450.98225336000002</v>
      </c>
      <c r="Q16" s="56">
        <f>допущения!$C$65*'выручка по кв и годам'!R6</f>
        <v>450.98225336000002</v>
      </c>
      <c r="R16" s="56">
        <f>допущения!$C$65*'выручка по кв и годам'!S6</f>
        <v>450.98225336000002</v>
      </c>
      <c r="S16" s="56">
        <f>допущения!$C$65*'выручка по кв и годам'!T6</f>
        <v>460.39167976160002</v>
      </c>
      <c r="T16" s="56">
        <f>допущения!$C$65*'выручка по кв и годам'!U6</f>
        <v>478.04118856159999</v>
      </c>
      <c r="U16" s="56">
        <f>допущения!$C$65*'выручка по кв и годам'!V6</f>
        <v>478.04118856159999</v>
      </c>
      <c r="V16" s="56">
        <f>допущения!$C$65*'выручка по кв и годам'!W6</f>
        <v>478.04118856159999</v>
      </c>
      <c r="W16" s="56">
        <f>допущения!$C$65*'выручка по кв и годам'!X6</f>
        <v>488.01518054729598</v>
      </c>
      <c r="X16" s="56">
        <f>допущения!$C$65*'выручка по кв и годам'!Y6</f>
        <v>506.72365987529611</v>
      </c>
      <c r="Y16" s="56">
        <f>допущения!$C$65*'выручка по кв и годам'!Z6</f>
        <v>506.72365987529611</v>
      </c>
      <c r="Z16" s="56">
        <f>допущения!$C$65*'выручка по кв и годам'!AA6</f>
        <v>506.72365987529611</v>
      </c>
      <c r="AA16" s="56">
        <f>допущения!$C$65*'выручка по кв и годам'!AB6</f>
        <v>517.29609138013393</v>
      </c>
      <c r="AB16" s="56">
        <f>допущения!$C$65*'выручка по кв и годам'!AC6</f>
        <v>537.12707946781393</v>
      </c>
      <c r="AC16" s="56">
        <f>допущения!$C$65*'выручка по кв и годам'!AD6</f>
        <v>537.12707946781393</v>
      </c>
      <c r="AD16" s="56">
        <f>допущения!$C$65*'выручка по кв и годам'!AE6</f>
        <v>537.12707946781393</v>
      </c>
      <c r="AE16" s="56">
        <f>допущения!$C$65*'выручка по кв и годам'!AF6</f>
        <v>548.33385686294196</v>
      </c>
      <c r="AF16" s="56">
        <f>допущения!$C$65*'выручка по кв и годам'!AG6</f>
        <v>569.35470423588276</v>
      </c>
      <c r="AG16" s="56">
        <f>допущения!$C$65*'выручка по кв и годам'!AH6</f>
        <v>569.35470423588276</v>
      </c>
      <c r="AH16" s="56">
        <f>допущения!$C$65*'выручка по кв и годам'!AI6</f>
        <v>569.35470423588276</v>
      </c>
      <c r="AI16" s="56">
        <f>допущения!$C$65*'выручка по кв и годам'!AJ6</f>
        <v>581.23388827471842</v>
      </c>
      <c r="AJ16" s="56">
        <f>допущения!$C$65*'выручка по кв и годам'!AK6</f>
        <v>603.51598649003574</v>
      </c>
      <c r="AK16" s="56">
        <f>допущения!$C$65*'выручка по кв и годам'!AL6</f>
        <v>603.51598649003574</v>
      </c>
      <c r="AL16" s="56">
        <f>допущения!$C$65*'выручка по кв и годам'!AM6</f>
        <v>603.51598649003574</v>
      </c>
      <c r="AM16" s="56">
        <f>допущения!$C$65*'выручка по кв и годам'!AN6</f>
        <v>616.10792157120159</v>
      </c>
      <c r="AN16" s="56">
        <f>допущения!$C$65*'выручка по кв и годам'!AO6</f>
        <v>664.76311123416849</v>
      </c>
      <c r="AO16" s="56">
        <f>допущения!$C$65*'выручка по кв и годам'!AP6</f>
        <v>664.76311123416849</v>
      </c>
      <c r="AP16" s="56">
        <f>допущения!$C$65*'выручка по кв и годам'!AQ6</f>
        <v>664.76311123416849</v>
      </c>
      <c r="AQ16" s="56">
        <f>допущения!$C$65*'выручка по кв и годам'!AR6</f>
        <v>678.11056242020425</v>
      </c>
      <c r="AR16" s="56">
        <f>допущения!$C$65*'выручка по кв и годам'!AS6</f>
        <v>678.11056242020425</v>
      </c>
      <c r="AS16" s="56">
        <f>допущения!$C$65*'выручка по кв и годам'!AT6</f>
        <v>678.11056242020425</v>
      </c>
      <c r="AT16" s="56">
        <f>допущения!$C$65*'выручка по кв и годам'!AU6</f>
        <v>678.11056242020425</v>
      </c>
    </row>
    <row r="17" spans="1:46" x14ac:dyDescent="0.25">
      <c r="A17" s="537" t="s">
        <v>466</v>
      </c>
      <c r="B17" s="416"/>
      <c r="C17" s="56">
        <v>0</v>
      </c>
      <c r="D17" s="626">
        <f>'выручка по кв и годам'!E6*0.1</f>
        <v>0</v>
      </c>
      <c r="E17" s="56">
        <f>'выручка по кв и годам'!F6*0.1</f>
        <v>637.5</v>
      </c>
      <c r="F17" s="56">
        <f>'выручка по кв и годам'!G6*0.1</f>
        <v>2456.166666666667</v>
      </c>
      <c r="G17" s="56">
        <f>'выручка по кв и годам'!H6*0.1</f>
        <v>4013.726000000001</v>
      </c>
      <c r="H17" s="56">
        <f>'выручка по кв и годам'!I6*0.01</f>
        <v>401.37260000000003</v>
      </c>
      <c r="I17" s="56">
        <f>'выручка по кв и годам'!J6*0.1</f>
        <v>4013.7260000000006</v>
      </c>
      <c r="J17" s="56">
        <f>'выручка по кв и годам'!K6*0.1</f>
        <v>4013.7260000000006</v>
      </c>
      <c r="K17" s="56">
        <f>'выручка по кв и годам'!L6*0.1</f>
        <v>4097.4695600000005</v>
      </c>
      <c r="L17" s="56">
        <f>'выручка по кв и годам'!M6*0.1</f>
        <v>4254.5495600000004</v>
      </c>
      <c r="M17" s="56">
        <f>'выручка по кв и годам'!N6*0.1</f>
        <v>4254.5495600000004</v>
      </c>
      <c r="N17" s="56">
        <f>'выручка по кв и годам'!O6*0.1</f>
        <v>4254.5495600000004</v>
      </c>
      <c r="O17" s="56">
        <f>'выручка по кв и годам'!P6*0.1</f>
        <v>4343.3177335999999</v>
      </c>
      <c r="P17" s="437">
        <f>'выручка по кв и годам'!Q6*0.1</f>
        <v>4509.8225336000005</v>
      </c>
      <c r="Q17" s="56">
        <f>'выручка по кв и годам'!R6*0.1</f>
        <v>4509.8225336000005</v>
      </c>
      <c r="R17" s="56">
        <f>'выручка по кв и годам'!S6*0.1</f>
        <v>4509.8225336000005</v>
      </c>
      <c r="S17" s="56">
        <f>'выручка по кв и годам'!T6*0.1</f>
        <v>4603.9167976160006</v>
      </c>
      <c r="T17" s="56">
        <f>'выручка по кв и годам'!U6*0.1</f>
        <v>4780.4118856160003</v>
      </c>
      <c r="U17" s="56">
        <f>'выручка по кв и годам'!V6*0.1</f>
        <v>4780.4118856160003</v>
      </c>
      <c r="V17" s="56">
        <f>'выручка по кв и годам'!W6*0.1</f>
        <v>4780.4118856160003</v>
      </c>
      <c r="W17" s="56">
        <f>'выручка по кв и годам'!X6*0.1</f>
        <v>4880.1518054729595</v>
      </c>
      <c r="X17" s="56">
        <f>'выручка по кв и годам'!Y6*0.1</f>
        <v>5067.2365987529611</v>
      </c>
      <c r="Y17" s="56">
        <f>'выручка по кв и годам'!Z6*0.1</f>
        <v>5067.2365987529611</v>
      </c>
      <c r="Z17" s="56">
        <f>'выручка по кв и годам'!AA6*0.1</f>
        <v>5067.2365987529611</v>
      </c>
      <c r="AA17" s="56">
        <f>'выручка по кв и годам'!AB6*0.1</f>
        <v>5172.9609138013393</v>
      </c>
      <c r="AB17" s="56">
        <f>'выручка по кв и годам'!AC6*0.1</f>
        <v>5371.2707946781393</v>
      </c>
      <c r="AC17" s="56">
        <f>'выручка по кв и годам'!AD6*0.1</f>
        <v>5371.2707946781393</v>
      </c>
      <c r="AD17" s="56">
        <f>'выручка по кв и годам'!AE6*0.1</f>
        <v>5371.2707946781393</v>
      </c>
      <c r="AE17" s="56">
        <f>'выручка по кв и годам'!AF6*0.1</f>
        <v>5483.3385686294205</v>
      </c>
      <c r="AF17" s="56">
        <f>'выручка по кв и годам'!AG6*0.1</f>
        <v>5693.5470423588276</v>
      </c>
      <c r="AG17" s="56">
        <f>'выручка по кв и годам'!AH6*0.1</f>
        <v>5693.5470423588276</v>
      </c>
      <c r="AH17" s="56">
        <f>'выручка по кв и годам'!AI6*0.1</f>
        <v>5693.5470423588276</v>
      </c>
      <c r="AI17" s="56">
        <f>'выручка по кв и годам'!AJ6*0.1</f>
        <v>5812.3388827471845</v>
      </c>
      <c r="AJ17" s="56">
        <f>'выручка по кв и годам'!AK6*0.1</f>
        <v>6035.1598649003572</v>
      </c>
      <c r="AK17" s="56">
        <f>'выручка по кв и годам'!AL6*0.1</f>
        <v>6035.1598649003572</v>
      </c>
      <c r="AL17" s="56">
        <f>'выручка по кв и годам'!AM6*0.1</f>
        <v>6035.1598649003572</v>
      </c>
      <c r="AM17" s="56">
        <f>'выручка по кв и годам'!AN6*0.1</f>
        <v>6161.0792157120159</v>
      </c>
      <c r="AN17" s="56">
        <f>'выручка по кв и годам'!AO6*0.1</f>
        <v>6647.6311123416854</v>
      </c>
      <c r="AO17" s="56">
        <f>'выручка по кв и годам'!AP6*0.1</f>
        <v>6647.6311123416854</v>
      </c>
      <c r="AP17" s="56">
        <f>'выручка по кв и годам'!AQ6*0.1</f>
        <v>6647.6311123416854</v>
      </c>
      <c r="AQ17" s="56">
        <f>'выручка по кв и годам'!AR6*0.1</f>
        <v>6781.1056242020422</v>
      </c>
      <c r="AR17" s="56">
        <f>'выручка по кв и годам'!AS6*0.1</f>
        <v>6781.1056242020422</v>
      </c>
      <c r="AS17" s="56">
        <f>'выручка по кв и годам'!AT6*0.1</f>
        <v>6781.1056242020422</v>
      </c>
      <c r="AT17" s="56">
        <f>'выручка по кв и годам'!AU6*0.1</f>
        <v>6781.1056242020422</v>
      </c>
    </row>
    <row r="18" spans="1:46" x14ac:dyDescent="0.25">
      <c r="A18" s="528" t="s">
        <v>428</v>
      </c>
      <c r="B18" s="416" t="s">
        <v>377</v>
      </c>
      <c r="C18" s="56">
        <f>(допущения!$C$56+допущения!$C$58)*допущения!$C$59*(Себестоимость!D5+C6)</f>
        <v>0</v>
      </c>
      <c r="D18" s="56">
        <v>0</v>
      </c>
      <c r="E18" s="56">
        <f>(допущения!$C$56+допущения!$C$58)*допущения!$C$59*(Себестоимость!E5+E6)</f>
        <v>19.800450000000001</v>
      </c>
      <c r="F18" s="56">
        <f>(допущения!$C$56+допущения!$C$58)*допущения!$C$59*(Себестоимость!F5+F6)</f>
        <v>56.467950000000002</v>
      </c>
      <c r="G18" s="56">
        <f>(допущения!$C$56+допущения!$C$58)*допущения!$C$59*(Себестоимость!G5+G6)</f>
        <v>111.4692</v>
      </c>
      <c r="H18" s="56">
        <f>(допущения!$C$56+допущения!$C$58)*допущения!$C$59*(Себестоимость!H5+H6)</f>
        <v>111.4692</v>
      </c>
      <c r="I18" s="56">
        <f>(допущения!$C$56+допущения!$C$58)*допущения!$C$59*(Себестоимость!I5+I6)</f>
        <v>111.4692</v>
      </c>
      <c r="J18" s="56">
        <f>(допущения!$C$56+допущения!$C$58)*допущения!$C$59*(Себестоимость!J5+J6)</f>
        <v>111.4692</v>
      </c>
      <c r="K18" s="56">
        <f>(допущения!$C$56+допущения!$C$58)*допущения!$C$59*(Себестоимость!K5+K6)</f>
        <v>111.4692</v>
      </c>
      <c r="L18" s="56">
        <f>(допущения!$C$56+допущения!$C$58)*допущения!$C$59*(Себестоимость!L5+L6)</f>
        <v>111.4692</v>
      </c>
      <c r="M18" s="56">
        <f>(допущения!$C$56+допущения!$C$58)*допущения!$C$59*(Себестоимость!M5+M6)</f>
        <v>111.4692</v>
      </c>
      <c r="N18" s="56">
        <f>(допущения!$C$56+допущения!$C$58)*допущения!$C$59*(Себестоимость!N5+N6)</f>
        <v>111.4692</v>
      </c>
      <c r="O18" s="56">
        <f>(допущения!$C$56+допущения!$C$58)*допущения!$C$59*(Себестоимость!O5+O6)</f>
        <v>111.4692</v>
      </c>
      <c r="P18" s="56">
        <f>(допущения!$C$56+допущения!$C$58)*допущения!$C$59*(Себестоимость!P5+P6)</f>
        <v>111.4692</v>
      </c>
      <c r="Q18" s="56">
        <f>(допущения!$C$56+допущения!$C$58)*допущения!$C$59*(Себестоимость!Q5+Q6)</f>
        <v>111.4692</v>
      </c>
      <c r="R18" s="56">
        <f>(допущения!$C$56+допущения!$C$58)*допущения!$C$59*(Себестоимость!R5+R6)</f>
        <v>111.4692</v>
      </c>
      <c r="S18" s="56">
        <f>(допущения!$C$56+допущения!$C$58)*допущения!$C$59*(Себестоимость!S5+S6)</f>
        <v>111.4692</v>
      </c>
      <c r="T18" s="56">
        <f>(допущения!$C$56+допущения!$C$58)*допущения!$C$59*(Себестоимость!T5+T6)</f>
        <v>111.4692</v>
      </c>
      <c r="U18" s="56">
        <f>(допущения!$C$56+допущения!$C$58)*допущения!$C$59*(Себестоимость!U5+U6)</f>
        <v>111.4692</v>
      </c>
      <c r="V18" s="56">
        <f>(допущения!$C$56+допущения!$C$58)*допущения!$C$59*(Себестоимость!V5+V6)</f>
        <v>111.4692</v>
      </c>
      <c r="W18" s="56">
        <f>(допущения!$C$56+допущения!$C$58)*допущения!$C$59*(Себестоимость!W5+W6)</f>
        <v>111.4692</v>
      </c>
      <c r="X18" s="56">
        <f>(допущения!$C$56+допущения!$C$58)*допущения!$C$59*(Себестоимость!X5+X6)</f>
        <v>111.4692</v>
      </c>
      <c r="Y18" s="56">
        <f>(допущения!$C$56+допущения!$C$58)*допущения!$C$59*(Себестоимость!Y5+Y6)</f>
        <v>111.4692</v>
      </c>
      <c r="Z18" s="56">
        <f>(допущения!$C$56+допущения!$C$58)*допущения!$C$59*(Себестоимость!Z5+Z6)</f>
        <v>111.4692</v>
      </c>
      <c r="AA18" s="56">
        <f>(допущения!$C$56+допущения!$C$58)*допущения!$C$59*(Себестоимость!AA5+AA6)</f>
        <v>111.4692</v>
      </c>
      <c r="AB18" s="56">
        <f>(допущения!$C$56+допущения!$C$58)*допущения!$C$59*(Себестоимость!AB5+AB6)</f>
        <v>111.4692</v>
      </c>
      <c r="AC18" s="56">
        <f>(допущения!$C$56+допущения!$C$58)*допущения!$C$59*(Себестоимость!AC5+AC6)</f>
        <v>111.4692</v>
      </c>
      <c r="AD18" s="56">
        <f>(допущения!$C$56+допущения!$C$58)*допущения!$C$59*(Себестоимость!AD5+AD6)</f>
        <v>111.4692</v>
      </c>
      <c r="AE18" s="56">
        <f>(допущения!$C$56+допущения!$C$58)*допущения!$C$59*(Себестоимость!AE5+AE6)</f>
        <v>111.4692</v>
      </c>
      <c r="AF18" s="56">
        <f>(допущения!$C$56+допущения!$C$58)*допущения!$C$59*(Себестоимость!AF5+AF6)</f>
        <v>111.4692</v>
      </c>
      <c r="AG18" s="56">
        <f>(допущения!$C$56+допущения!$C$58)*допущения!$C$59*(Себестоимость!AG5+AG6)</f>
        <v>111.4692</v>
      </c>
      <c r="AH18" s="56">
        <f>(допущения!$C$56+допущения!$C$58)*допущения!$C$59*(Себестоимость!AH5+AH6)</f>
        <v>111.4692</v>
      </c>
      <c r="AI18" s="56">
        <f>(допущения!$C$56+допущения!$C$58)*допущения!$C$59*(Себестоимость!AI5+AI6)</f>
        <v>111.4692</v>
      </c>
      <c r="AJ18" s="56">
        <f>(допущения!$C$56+допущения!$C$58)*допущения!$C$59*(Себестоимость!AJ5+AJ6)</f>
        <v>111.4692</v>
      </c>
      <c r="AK18" s="56">
        <f>(допущения!$C$56+допущения!$C$58)*допущения!$C$59*(Себестоимость!AK5+AK6)</f>
        <v>111.4692</v>
      </c>
      <c r="AL18" s="56">
        <f>(допущения!$C$56+допущения!$C$58)*допущения!$C$59*(Себестоимость!AL5+AL6)</f>
        <v>111.4692</v>
      </c>
      <c r="AM18" s="56">
        <f>(допущения!$C$56+допущения!$C$58)*допущения!$C$59*(Себестоимость!AM5+AM6)</f>
        <v>111.4692</v>
      </c>
      <c r="AN18" s="56">
        <f>(допущения!$C$56+допущения!$C$58)*допущения!$C$59*(Себестоимость!AN5+AN6)</f>
        <v>111.4692</v>
      </c>
      <c r="AO18" s="56">
        <f>(допущения!$C$56+допущения!$C$58)*допущения!$C$59*(Себестоимость!AO5+AO6)</f>
        <v>111.4692</v>
      </c>
      <c r="AP18" s="56">
        <f>(допущения!$C$56+допущения!$C$58)*допущения!$C$59*(Себестоимость!AP5+AP6)</f>
        <v>111.4692</v>
      </c>
      <c r="AQ18" s="56">
        <f>(допущения!$C$56+допущения!$C$58)*допущения!$C$59*(Себестоимость!AQ5+AQ6)</f>
        <v>111.4692</v>
      </c>
      <c r="AR18" s="56">
        <f>(допущения!$C$56+допущения!$C$58)*допущения!$C$59*(Себестоимость!AR5+AR6)</f>
        <v>111.4692</v>
      </c>
      <c r="AS18" s="56">
        <f>(допущения!$C$56+допущения!$C$58)*допущения!$C$59*(Себестоимость!AS5+AS6)</f>
        <v>111.4692</v>
      </c>
      <c r="AT18" s="56">
        <f>(допущения!$C$56+допущения!$C$58)*допущения!$C$59*(Себестоимость!AT5+AT6)</f>
        <v>111.4692</v>
      </c>
    </row>
    <row r="19" spans="1:46" s="437" customFormat="1" ht="32.25" customHeight="1" x14ac:dyDescent="0.25">
      <c r="A19" s="432" t="s">
        <v>18</v>
      </c>
      <c r="B19" s="440" t="s">
        <v>377</v>
      </c>
      <c r="C19" s="441">
        <f>SUM(C11:C18)</f>
        <v>0</v>
      </c>
      <c r="D19" s="441">
        <f t="shared" ref="D19:AT19" si="38">SUM(D11:D18)</f>
        <v>928.63347499999998</v>
      </c>
      <c r="E19" s="441">
        <f>SUM(E11:E18)</f>
        <v>31608.347225000001</v>
      </c>
      <c r="F19" s="441">
        <f t="shared" si="38"/>
        <v>5860.0728666666673</v>
      </c>
      <c r="G19" s="441">
        <f t="shared" si="38"/>
        <v>8154.4476900000009</v>
      </c>
      <c r="H19" s="441">
        <f t="shared" si="38"/>
        <v>3806.9496150000004</v>
      </c>
      <c r="I19" s="441">
        <f t="shared" si="38"/>
        <v>37921.050207000008</v>
      </c>
      <c r="J19" s="441">
        <f t="shared" si="38"/>
        <v>8154.4476900000009</v>
      </c>
      <c r="K19" s="441">
        <f t="shared" si="38"/>
        <v>8270.0684003999995</v>
      </c>
      <c r="L19" s="441">
        <f t="shared" si="38"/>
        <v>7729.7029254000008</v>
      </c>
      <c r="M19" s="441">
        <f t="shared" si="38"/>
        <v>40061.554948920006</v>
      </c>
      <c r="N19" s="441">
        <f t="shared" si="38"/>
        <v>8464.8476004000004</v>
      </c>
      <c r="O19" s="441">
        <f t="shared" si="38"/>
        <v>8587.4055534239997</v>
      </c>
      <c r="P19" s="441">
        <f t="shared" si="38"/>
        <v>8058.7268304240006</v>
      </c>
      <c r="Q19" s="441">
        <f t="shared" si="38"/>
        <v>42330.489975355216</v>
      </c>
      <c r="R19" s="441">
        <f t="shared" si="38"/>
        <v>8793.8715054240001</v>
      </c>
      <c r="S19" s="441">
        <f t="shared" si="38"/>
        <v>8930.4527996294401</v>
      </c>
      <c r="T19" s="441">
        <f t="shared" si="38"/>
        <v>8414.1620337494405</v>
      </c>
      <c r="U19" s="441">
        <f t="shared" si="38"/>
        <v>44742.230967376512</v>
      </c>
      <c r="V19" s="441">
        <f t="shared" si="38"/>
        <v>9149.3067087494401</v>
      </c>
      <c r="W19" s="441">
        <f t="shared" si="38"/>
        <v>9294.0828806072059</v>
      </c>
      <c r="X19" s="441">
        <f t="shared" si="38"/>
        <v>8790.9233492744061</v>
      </c>
      <c r="Y19" s="441">
        <f t="shared" si="38"/>
        <v>47298.676418919102</v>
      </c>
      <c r="Z19" s="441">
        <f t="shared" si="38"/>
        <v>9526.0680242744074</v>
      </c>
      <c r="AA19" s="441">
        <f t="shared" si="38"/>
        <v>9679.5307664436405</v>
      </c>
      <c r="AB19" s="441">
        <f t="shared" si="38"/>
        <v>9190.2903437308723</v>
      </c>
      <c r="AC19" s="441">
        <f t="shared" si="38"/>
        <v>50008.508597554261</v>
      </c>
      <c r="AD19" s="441">
        <f t="shared" si="38"/>
        <v>9925.4350187308719</v>
      </c>
      <c r="AE19" s="441">
        <f t="shared" si="38"/>
        <v>10085.908272416564</v>
      </c>
      <c r="AF19" s="441">
        <f t="shared" si="38"/>
        <v>9611.4221048410291</v>
      </c>
      <c r="AG19" s="441">
        <f t="shared" si="38"/>
        <v>52878.73345389383</v>
      </c>
      <c r="AH19" s="441">
        <f t="shared" si="38"/>
        <v>10346.566779841029</v>
      </c>
      <c r="AI19" s="441">
        <f t="shared" si="38"/>
        <v>10518.865681761556</v>
      </c>
      <c r="AJ19" s="441">
        <f t="shared" si="38"/>
        <v>10060.019024631491</v>
      </c>
      <c r="AK19" s="441">
        <f t="shared" si="38"/>
        <v>55923.369054627467</v>
      </c>
      <c r="AL19" s="441">
        <f t="shared" si="38"/>
        <v>10795.163699631492</v>
      </c>
      <c r="AM19" s="441">
        <f t="shared" si="38"/>
        <v>10977.800535667251</v>
      </c>
      <c r="AN19" s="441">
        <f t="shared" si="38"/>
        <v>10845.980212488041</v>
      </c>
      <c r="AO19" s="441">
        <f t="shared" si="38"/>
        <v>59461.131244283773</v>
      </c>
      <c r="AP19" s="441">
        <f t="shared" si="38"/>
        <v>11581.12488748804</v>
      </c>
      <c r="AQ19" s="441">
        <f t="shared" si="38"/>
        <v>11746.633282194884</v>
      </c>
      <c r="AR19" s="441">
        <f t="shared" si="38"/>
        <v>11011.488607194882</v>
      </c>
      <c r="AS19" s="441">
        <f t="shared" si="38"/>
        <v>62158.098820458814</v>
      </c>
      <c r="AT19" s="441">
        <f t="shared" si="38"/>
        <v>11746.633282194884</v>
      </c>
    </row>
    <row r="21" spans="1:46" s="439" customFormat="1" ht="30" x14ac:dyDescent="0.25">
      <c r="A21" s="444" t="s">
        <v>438</v>
      </c>
      <c r="B21" s="438"/>
      <c r="G21" s="439">
        <f t="shared" ref="G21:AT21" si="39">G19/G7</f>
        <v>7.7612621495060248</v>
      </c>
      <c r="H21" s="439">
        <f t="shared" si="39"/>
        <v>3.6233887413625721</v>
      </c>
      <c r="I21" s="439">
        <f>I19/I7</f>
        <v>11.053572842251931</v>
      </c>
      <c r="J21" s="439">
        <f t="shared" si="39"/>
        <v>7.7612621495060248</v>
      </c>
      <c r="K21" s="439">
        <f t="shared" si="39"/>
        <v>7.8713079401519037</v>
      </c>
      <c r="L21" s="439">
        <f t="shared" si="39"/>
        <v>7.3569974353263667</v>
      </c>
      <c r="M21" s="439">
        <f t="shared" si="39"/>
        <v>11.677506645636702</v>
      </c>
      <c r="N21" s="439">
        <f t="shared" si="39"/>
        <v>8.0566954108845863</v>
      </c>
      <c r="O21" s="439">
        <f t="shared" si="39"/>
        <v>8.1733439489692188</v>
      </c>
      <c r="P21" s="439">
        <f t="shared" si="39"/>
        <v>7.6701566923876419</v>
      </c>
      <c r="Q21" s="439">
        <f t="shared" si="39"/>
        <v>12.338876477224563</v>
      </c>
      <c r="R21" s="439">
        <f t="shared" si="39"/>
        <v>8.3698546679458623</v>
      </c>
      <c r="S21" s="439">
        <f t="shared" si="39"/>
        <v>8.4998503794085991</v>
      </c>
      <c r="T21" s="439">
        <f t="shared" si="39"/>
        <v>8.008453765965621</v>
      </c>
      <c r="U21" s="439">
        <f t="shared" si="39"/>
        <v>13.041872691370324</v>
      </c>
      <c r="V21" s="439">
        <f t="shared" si="39"/>
        <v>8.7081517415238423</v>
      </c>
      <c r="W21" s="439">
        <f t="shared" si="39"/>
        <v>8.8459471956743432</v>
      </c>
      <c r="X21" s="439">
        <f t="shared" si="39"/>
        <v>8.3670486639582791</v>
      </c>
      <c r="Y21" s="439">
        <f t="shared" si="39"/>
        <v>13.787048678364835</v>
      </c>
      <c r="Z21" s="439">
        <f t="shared" si="39"/>
        <v>9.0667466395165004</v>
      </c>
      <c r="AA21" s="439">
        <f t="shared" si="39"/>
        <v>9.2128098209160338</v>
      </c>
      <c r="AB21" s="439">
        <f t="shared" si="39"/>
        <v>8.747159255830498</v>
      </c>
      <c r="AC21" s="439">
        <f t="shared" si="39"/>
        <v>14.576935224579021</v>
      </c>
      <c r="AD21" s="439">
        <f t="shared" si="39"/>
        <v>9.4468572313887194</v>
      </c>
      <c r="AE21" s="439">
        <f t="shared" si="39"/>
        <v>9.5995928962904866</v>
      </c>
      <c r="AF21" s="439">
        <f t="shared" si="39"/>
        <v>9.1479851758333126</v>
      </c>
      <c r="AG21" s="439">
        <f t="shared" si="39"/>
        <v>15.413574488259936</v>
      </c>
      <c r="AH21" s="439">
        <f t="shared" si="39"/>
        <v>9.8476831513915322</v>
      </c>
      <c r="AI21" s="439">
        <f t="shared" si="39"/>
        <v>10.011674263569143</v>
      </c>
      <c r="AJ21" s="439">
        <f t="shared" si="39"/>
        <v>9.5749519584180316</v>
      </c>
      <c r="AK21" s="439">
        <f t="shared" si="39"/>
        <v>16.301052583067825</v>
      </c>
      <c r="AL21" s="439">
        <f t="shared" si="39"/>
        <v>10.274649933976255</v>
      </c>
      <c r="AM21" s="439">
        <f t="shared" si="39"/>
        <v>10.448480512884521</v>
      </c>
      <c r="AN21" s="439">
        <f t="shared" si="39"/>
        <v>10.323016211227266</v>
      </c>
      <c r="AO21" s="439">
        <f t="shared" si="39"/>
        <v>17.332271704069704</v>
      </c>
      <c r="AP21" s="439">
        <f t="shared" si="39"/>
        <v>11.022714186785487</v>
      </c>
      <c r="AQ21" s="439">
        <f t="shared" si="39"/>
        <v>11.180242211747743</v>
      </c>
      <c r="AR21" s="439">
        <f t="shared" si="39"/>
        <v>10.48054423618952</v>
      </c>
      <c r="AS21" s="439">
        <f t="shared" si="39"/>
        <v>18.118408358875207</v>
      </c>
      <c r="AT21" s="439">
        <f t="shared" si="39"/>
        <v>11.180242211747743</v>
      </c>
    </row>
    <row r="22" spans="1:46" x14ac:dyDescent="0.25">
      <c r="A22" s="422"/>
      <c r="B22" s="417"/>
    </row>
    <row r="23" spans="1:46" s="415" customFormat="1" x14ac:dyDescent="0.25">
      <c r="A23" s="419" t="s">
        <v>389</v>
      </c>
      <c r="B23" s="420"/>
      <c r="C23" s="421" t="str">
        <f>C10</f>
        <v>I кв. 1 г.</v>
      </c>
      <c r="D23" s="421" t="str">
        <f t="shared" ref="D23:AT23" si="40">D10</f>
        <v>II кв. 1 г.</v>
      </c>
      <c r="E23" s="421" t="str">
        <f t="shared" si="40"/>
        <v>III кв. 1 г.</v>
      </c>
      <c r="F23" s="421" t="str">
        <f t="shared" si="40"/>
        <v>IV кв. 1 г.</v>
      </c>
      <c r="G23" s="421" t="str">
        <f t="shared" si="40"/>
        <v>I кв. 2 г.</v>
      </c>
      <c r="H23" s="421" t="str">
        <f t="shared" si="40"/>
        <v>II кв. 2 г.</v>
      </c>
      <c r="I23" s="421" t="str">
        <f t="shared" si="40"/>
        <v>III кв. 2 г.</v>
      </c>
      <c r="J23" s="421" t="str">
        <f t="shared" si="40"/>
        <v>IV кв. 2 г.</v>
      </c>
      <c r="K23" s="421" t="str">
        <f t="shared" si="40"/>
        <v>I кв. 3 г.</v>
      </c>
      <c r="L23" s="421" t="str">
        <f t="shared" si="40"/>
        <v>II кв. 3 г.</v>
      </c>
      <c r="M23" s="421" t="str">
        <f t="shared" si="40"/>
        <v>III кв. 3 г.</v>
      </c>
      <c r="N23" s="421" t="str">
        <f t="shared" si="40"/>
        <v>IV кв. 3 г.</v>
      </c>
      <c r="O23" s="421" t="str">
        <f t="shared" si="40"/>
        <v>I кв. 4 г.</v>
      </c>
      <c r="P23" s="421" t="str">
        <f t="shared" si="40"/>
        <v>II кв. 4 г.</v>
      </c>
      <c r="Q23" s="421" t="str">
        <f t="shared" si="40"/>
        <v>III кв. 4 г.</v>
      </c>
      <c r="R23" s="421" t="str">
        <f t="shared" si="40"/>
        <v>IV кв. 4 г.</v>
      </c>
      <c r="S23" s="421" t="str">
        <f t="shared" si="40"/>
        <v>I кв. 5 г.</v>
      </c>
      <c r="T23" s="421" t="str">
        <f t="shared" si="40"/>
        <v>II кв. 5 г.</v>
      </c>
      <c r="U23" s="421" t="str">
        <f t="shared" si="40"/>
        <v>III кв. 5 г.</v>
      </c>
      <c r="V23" s="421" t="str">
        <f t="shared" si="40"/>
        <v>IV кв. 5 г.</v>
      </c>
      <c r="W23" s="421" t="str">
        <f t="shared" si="40"/>
        <v>I кв. 6 г.</v>
      </c>
      <c r="X23" s="421" t="str">
        <f t="shared" si="40"/>
        <v>II кв. 6 г.</v>
      </c>
      <c r="Y23" s="421" t="str">
        <f t="shared" si="40"/>
        <v>III кв. 6 г.</v>
      </c>
      <c r="Z23" s="421" t="str">
        <f t="shared" si="40"/>
        <v>IV кв. 6 г.</v>
      </c>
      <c r="AA23" s="421" t="str">
        <f t="shared" si="40"/>
        <v>I кв. 7 г.</v>
      </c>
      <c r="AB23" s="421" t="str">
        <f t="shared" si="40"/>
        <v>II кв. 7 г.</v>
      </c>
      <c r="AC23" s="421" t="str">
        <f t="shared" si="40"/>
        <v>III кв. 7 г.</v>
      </c>
      <c r="AD23" s="421" t="str">
        <f t="shared" si="40"/>
        <v>IV кв. 7 г.</v>
      </c>
      <c r="AE23" s="421" t="str">
        <f t="shared" si="40"/>
        <v>I кв. 8 г.</v>
      </c>
      <c r="AF23" s="421" t="str">
        <f t="shared" si="40"/>
        <v>II кв. 8 г.</v>
      </c>
      <c r="AG23" s="421" t="str">
        <f t="shared" si="40"/>
        <v>III кв. 8 г.</v>
      </c>
      <c r="AH23" s="421" t="str">
        <f t="shared" si="40"/>
        <v>IV кв. 8 г.</v>
      </c>
      <c r="AI23" s="421" t="str">
        <f t="shared" si="40"/>
        <v>I кв. 9 г.</v>
      </c>
      <c r="AJ23" s="421" t="str">
        <f t="shared" si="40"/>
        <v>II кв. 9 г.</v>
      </c>
      <c r="AK23" s="421" t="str">
        <f t="shared" si="40"/>
        <v>III кв. 9 г.</v>
      </c>
      <c r="AL23" s="421" t="str">
        <f t="shared" si="40"/>
        <v>IV кв. 9 г.</v>
      </c>
      <c r="AM23" s="421" t="str">
        <f t="shared" si="40"/>
        <v>I кв. 10 г.</v>
      </c>
      <c r="AN23" s="421" t="str">
        <f t="shared" si="40"/>
        <v>II кв. 10 г.</v>
      </c>
      <c r="AO23" s="421" t="str">
        <f t="shared" si="40"/>
        <v>III кв. 10 г.</v>
      </c>
      <c r="AP23" s="421" t="str">
        <f t="shared" si="40"/>
        <v>IV кв. 10 г.</v>
      </c>
      <c r="AQ23" s="421" t="str">
        <f t="shared" si="40"/>
        <v>I кв. 11 г.</v>
      </c>
      <c r="AR23" s="421" t="str">
        <f t="shared" si="40"/>
        <v>II кв. 11 г.</v>
      </c>
      <c r="AS23" s="421" t="str">
        <f t="shared" si="40"/>
        <v>III кв. 11 г.</v>
      </c>
      <c r="AT23" s="421" t="str">
        <f t="shared" si="40"/>
        <v>IV кв. 11 г.</v>
      </c>
    </row>
    <row r="24" spans="1:46" s="431" customFormat="1" ht="30" x14ac:dyDescent="0.25">
      <c r="A24" s="528" t="str">
        <f>'Расходы ТОР'!A2</f>
        <v>Арендная плата за зем. Участок</v>
      </c>
      <c r="B24" s="423"/>
      <c r="C24" s="424">
        <f>'Расходы ТОР'!B2</f>
        <v>2.6924120999999999</v>
      </c>
      <c r="D24" s="424">
        <f>'Расходы ТОР'!C2</f>
        <v>2.6924120999999999</v>
      </c>
      <c r="E24" s="424">
        <f>'Расходы ТОР'!D2</f>
        <v>2.6924120999999999</v>
      </c>
      <c r="F24" s="424">
        <f>'Расходы ТОР'!E2</f>
        <v>2.6924120999999999</v>
      </c>
      <c r="G24" s="424">
        <f>'Расходы ТОР'!F2</f>
        <v>2.6924120999999999</v>
      </c>
      <c r="H24" s="424">
        <f>'Расходы ТОР'!G2</f>
        <v>2.6924120999999999</v>
      </c>
      <c r="I24" s="424">
        <f>'Расходы ТОР'!H2</f>
        <v>2.6924120999999999</v>
      </c>
      <c r="J24" s="424">
        <f>'Расходы ТОР'!I2</f>
        <v>2.6924120999999999</v>
      </c>
      <c r="K24" s="424">
        <f>'Расходы ТОР'!J2</f>
        <v>2.6924120999999999</v>
      </c>
      <c r="L24" s="424">
        <f>'Расходы ТОР'!K2</f>
        <v>2.6924120999999999</v>
      </c>
      <c r="M24" s="424">
        <f>'Расходы ТОР'!L2</f>
        <v>2.6924120999999999</v>
      </c>
      <c r="N24" s="424">
        <f>'Расходы ТОР'!M2</f>
        <v>2.6924120999999999</v>
      </c>
      <c r="O24" s="424">
        <f>'Расходы ТОР'!N2</f>
        <v>2.6924120999999999</v>
      </c>
      <c r="P24" s="424">
        <f>'Расходы ТОР'!O2</f>
        <v>2.6924120999999999</v>
      </c>
      <c r="Q24" s="424">
        <f>'Расходы ТОР'!P2</f>
        <v>2.6924120999999999</v>
      </c>
      <c r="R24" s="424">
        <f>'Расходы ТОР'!Q2</f>
        <v>2.6924120999999999</v>
      </c>
      <c r="S24" s="424">
        <f>'Расходы ТОР'!R2</f>
        <v>2.6924120999999999</v>
      </c>
      <c r="T24" s="424">
        <f>'Расходы ТОР'!S2</f>
        <v>2.6924120999999999</v>
      </c>
      <c r="U24" s="424">
        <f>'Расходы ТОР'!T2</f>
        <v>2.6924120999999999</v>
      </c>
      <c r="V24" s="424">
        <f>'Расходы ТОР'!U2</f>
        <v>2.6924120999999999</v>
      </c>
      <c r="W24" s="424">
        <f>'Расходы ТОР'!V2</f>
        <v>2.6924120999999999</v>
      </c>
      <c r="X24" s="424">
        <f>'Расходы ТОР'!W2</f>
        <v>2.6924120999999999</v>
      </c>
      <c r="Y24" s="424">
        <f>'Расходы ТОР'!X2</f>
        <v>2.6924120999999999</v>
      </c>
      <c r="Z24" s="424">
        <f>'Расходы ТОР'!Y2</f>
        <v>2.6924120999999999</v>
      </c>
      <c r="AA24" s="424">
        <f>'Расходы ТОР'!Z2</f>
        <v>2.6924120999999999</v>
      </c>
      <c r="AB24" s="424">
        <f>'Расходы ТОР'!AA2</f>
        <v>2.6924120999999999</v>
      </c>
      <c r="AC24" s="424">
        <f>'Расходы ТОР'!AB2</f>
        <v>2.6924120999999999</v>
      </c>
      <c r="AD24" s="424">
        <f>'Расходы ТОР'!AC2</f>
        <v>2.6924120999999999</v>
      </c>
      <c r="AE24" s="424">
        <f>'Расходы ТОР'!AD2</f>
        <v>2.6924120999999999</v>
      </c>
      <c r="AF24" s="424">
        <f>'Расходы ТОР'!AE2</f>
        <v>2.6924120999999999</v>
      </c>
      <c r="AG24" s="424">
        <f>'Расходы ТОР'!AF2</f>
        <v>2.6924120999999999</v>
      </c>
      <c r="AH24" s="424">
        <f>'Расходы ТОР'!AG2</f>
        <v>2.6924120999999999</v>
      </c>
      <c r="AI24" s="424">
        <f>'Расходы ТОР'!AH2</f>
        <v>2.6924120999999999</v>
      </c>
      <c r="AJ24" s="424">
        <f>'Расходы ТОР'!AI2</f>
        <v>2.6924120999999999</v>
      </c>
      <c r="AK24" s="424">
        <f>'Расходы ТОР'!AJ2</f>
        <v>2.6924120999999999</v>
      </c>
      <c r="AL24" s="424">
        <f>'Расходы ТОР'!AK2</f>
        <v>2.6924120999999999</v>
      </c>
      <c r="AM24" s="424">
        <f>'Расходы ТОР'!AL2</f>
        <v>2.6924120999999999</v>
      </c>
      <c r="AN24" s="424">
        <f>'Расходы ТОР'!AM2</f>
        <v>2.6924120999999999</v>
      </c>
      <c r="AO24" s="424">
        <f>'Расходы ТОР'!AN2</f>
        <v>2.6924120999999999</v>
      </c>
      <c r="AP24" s="424">
        <f>'Расходы ТОР'!AO2</f>
        <v>2.6924120999999999</v>
      </c>
      <c r="AQ24" s="424">
        <f>'Расходы ТОР'!AP2</f>
        <v>2.6924120999999999</v>
      </c>
      <c r="AR24" s="424">
        <f>'Расходы ТОР'!AQ2</f>
        <v>2.6924120999999999</v>
      </c>
      <c r="AS24" s="424">
        <f>'Расходы ТОР'!AR2</f>
        <v>2.6924120999999999</v>
      </c>
      <c r="AT24" s="424">
        <f>'Расходы ТОР'!AS2</f>
        <v>2.6924120999999999</v>
      </c>
    </row>
    <row r="25" spans="1:46" ht="30" x14ac:dyDescent="0.25">
      <c r="A25" s="528" t="str">
        <f>'Расходы ТОР'!A3</f>
        <v>Заработная плата и страховые взносы</v>
      </c>
      <c r="B25" s="423"/>
      <c r="C25" s="424">
        <f>'Расходы ТОР'!B3</f>
        <v>1024.92</v>
      </c>
      <c r="D25" s="424">
        <f>'Расходы ТОР'!C3</f>
        <v>2391.48</v>
      </c>
      <c r="E25" s="424">
        <f>'Расходы ТОР'!D3</f>
        <v>8711.82</v>
      </c>
      <c r="F25" s="424">
        <f>'Расходы ТОР'!E3</f>
        <v>5124.6000000000004</v>
      </c>
      <c r="G25" s="424">
        <f>'Расходы ТОР'!F3</f>
        <v>5124.6000000000004</v>
      </c>
      <c r="H25" s="424">
        <f>'Расходы ТОР'!G3</f>
        <v>5124.6000000000004</v>
      </c>
      <c r="I25" s="424">
        <f>'Расходы ТОР'!H3</f>
        <v>8927.0532000000003</v>
      </c>
      <c r="J25" s="424">
        <f>'Расходы ТОР'!I3</f>
        <v>5124.6000000000004</v>
      </c>
      <c r="K25" s="424">
        <f>'Расходы ТОР'!J3</f>
        <v>5320.9116000000004</v>
      </c>
      <c r="L25" s="424">
        <f>'Расходы ТОР'!K3</f>
        <v>5320.9116000000004</v>
      </c>
      <c r="M25" s="424">
        <f>'Расходы ТОР'!L3</f>
        <v>9351.5119920000016</v>
      </c>
      <c r="N25" s="424">
        <f>'Расходы ТОР'!M3</f>
        <v>5320.9116000000004</v>
      </c>
      <c r="O25" s="424">
        <f>'Расходы ТОР'!N3</f>
        <v>5529.0018960000007</v>
      </c>
      <c r="P25" s="424">
        <f>'Расходы ТОР'!O3</f>
        <v>5529.0018960000007</v>
      </c>
      <c r="Q25" s="424">
        <f>'Расходы ТОР'!P3</f>
        <v>9801.4383115199998</v>
      </c>
      <c r="R25" s="424">
        <f>'Расходы ТОР'!Q3</f>
        <v>5529.0018960000007</v>
      </c>
      <c r="S25" s="424">
        <f>'Расходы ТОР'!R3</f>
        <v>5860.7420097599997</v>
      </c>
      <c r="T25" s="424">
        <f>'Расходы ТОР'!S3</f>
        <v>5860.7420097599997</v>
      </c>
      <c r="U25" s="424">
        <f>'Расходы ТОР'!T3</f>
        <v>10389.5246102112</v>
      </c>
      <c r="V25" s="424">
        <f>'Расходы ТОР'!U3</f>
        <v>5860.7420097599997</v>
      </c>
      <c r="W25" s="424">
        <f>'Расходы ТОР'!V3</f>
        <v>6212.3865303456014</v>
      </c>
      <c r="X25" s="424">
        <f>'Расходы ТОР'!W3</f>
        <v>6212.3865303456014</v>
      </c>
      <c r="Y25" s="424">
        <f>'Расходы ТОР'!X3</f>
        <v>11012.896086823876</v>
      </c>
      <c r="Z25" s="424">
        <f>'Расходы ТОР'!Y3</f>
        <v>6212.3865303456014</v>
      </c>
      <c r="AA25" s="424">
        <f>'Расходы ТОР'!Z3</f>
        <v>6585.1297221663363</v>
      </c>
      <c r="AB25" s="424">
        <f>'Расходы ТОР'!AA3</f>
        <v>6585.1297221663363</v>
      </c>
      <c r="AC25" s="424">
        <f>'Расходы ТОР'!AB3</f>
        <v>11673.669852033307</v>
      </c>
      <c r="AD25" s="424">
        <f>'Расходы ТОР'!AC3</f>
        <v>6585.1297221663363</v>
      </c>
      <c r="AE25" s="424">
        <f>'Расходы ТОР'!AD3</f>
        <v>6943.6166219347188</v>
      </c>
      <c r="AF25" s="424">
        <f>'Расходы ТОР'!AE3</f>
        <v>6943.6166219347188</v>
      </c>
      <c r="AG25" s="424">
        <f>'Расходы ТОР'!AF3</f>
        <v>12337.469159593704</v>
      </c>
      <c r="AH25" s="424">
        <f>'Расходы ТОР'!AG3</f>
        <v>6943.6166219347188</v>
      </c>
      <c r="AI25" s="424">
        <f>'Расходы ТОР'!AH3</f>
        <v>7360.2336192508019</v>
      </c>
      <c r="AJ25" s="424">
        <f>'Расходы ТОР'!AI3</f>
        <v>7360.2336192508019</v>
      </c>
      <c r="AK25" s="424">
        <f>'Расходы ТОР'!AJ3</f>
        <v>13077.717309169329</v>
      </c>
      <c r="AL25" s="424">
        <f>'Расходы ТОР'!AK3</f>
        <v>7360.2336192508019</v>
      </c>
      <c r="AM25" s="424">
        <f>'Расходы ТОР'!AL3</f>
        <v>7801.8476364058506</v>
      </c>
      <c r="AN25" s="424">
        <f>'Расходы ТОР'!AM3</f>
        <v>7801.8476364058506</v>
      </c>
      <c r="AO25" s="424">
        <f>'Расходы ТОР'!AN3</f>
        <v>13862.380347719491</v>
      </c>
      <c r="AP25" s="424">
        <f>'Расходы ТОР'!AO3</f>
        <v>7801.8476364058506</v>
      </c>
      <c r="AQ25" s="424">
        <f>'Расходы ТОР'!AP3</f>
        <v>7801.8476364058506</v>
      </c>
      <c r="AR25" s="424">
        <f>'Расходы ТОР'!AQ3</f>
        <v>7801.8476364058506</v>
      </c>
      <c r="AS25" s="424">
        <f>'Расходы ТОР'!AR3</f>
        <v>7801.8476364058506</v>
      </c>
      <c r="AT25" s="424">
        <f>'Расходы ТОР'!AS3</f>
        <v>7801.8476364058506</v>
      </c>
    </row>
    <row r="26" spans="1:46" ht="24.75" customHeight="1" x14ac:dyDescent="0.25">
      <c r="A26" s="528" t="s">
        <v>238</v>
      </c>
      <c r="B26" s="423"/>
      <c r="C26" s="424">
        <v>0</v>
      </c>
      <c r="D26" s="424">
        <v>0</v>
      </c>
      <c r="E26" s="424">
        <f>допущения!C71</f>
        <v>35</v>
      </c>
      <c r="F26" s="424">
        <f>допущения!C71</f>
        <v>35</v>
      </c>
      <c r="G26" s="424">
        <f>допущения!C71</f>
        <v>35</v>
      </c>
      <c r="H26" s="424">
        <f t="shared" ref="H26:AT26" si="41">G26</f>
        <v>35</v>
      </c>
      <c r="I26" s="424">
        <f t="shared" si="41"/>
        <v>35</v>
      </c>
      <c r="J26" s="424">
        <f t="shared" si="41"/>
        <v>35</v>
      </c>
      <c r="K26" s="424">
        <f t="shared" si="41"/>
        <v>35</v>
      </c>
      <c r="L26" s="424">
        <f t="shared" si="41"/>
        <v>35</v>
      </c>
      <c r="M26" s="424">
        <f t="shared" si="41"/>
        <v>35</v>
      </c>
      <c r="N26" s="424">
        <f t="shared" si="41"/>
        <v>35</v>
      </c>
      <c r="O26" s="424">
        <f t="shared" si="41"/>
        <v>35</v>
      </c>
      <c r="P26" s="424">
        <f t="shared" si="41"/>
        <v>35</v>
      </c>
      <c r="Q26" s="424">
        <f t="shared" si="41"/>
        <v>35</v>
      </c>
      <c r="R26" s="424">
        <f t="shared" si="41"/>
        <v>35</v>
      </c>
      <c r="S26" s="424">
        <f t="shared" si="41"/>
        <v>35</v>
      </c>
      <c r="T26" s="424">
        <f t="shared" si="41"/>
        <v>35</v>
      </c>
      <c r="U26" s="424">
        <f t="shared" si="41"/>
        <v>35</v>
      </c>
      <c r="V26" s="424">
        <f t="shared" si="41"/>
        <v>35</v>
      </c>
      <c r="W26" s="424">
        <f t="shared" si="41"/>
        <v>35</v>
      </c>
      <c r="X26" s="424">
        <f t="shared" si="41"/>
        <v>35</v>
      </c>
      <c r="Y26" s="424">
        <f t="shared" si="41"/>
        <v>35</v>
      </c>
      <c r="Z26" s="424">
        <f t="shared" si="41"/>
        <v>35</v>
      </c>
      <c r="AA26" s="424">
        <f t="shared" si="41"/>
        <v>35</v>
      </c>
      <c r="AB26" s="424">
        <f t="shared" si="41"/>
        <v>35</v>
      </c>
      <c r="AC26" s="424">
        <f t="shared" si="41"/>
        <v>35</v>
      </c>
      <c r="AD26" s="424">
        <f t="shared" si="41"/>
        <v>35</v>
      </c>
      <c r="AE26" s="424">
        <f t="shared" si="41"/>
        <v>35</v>
      </c>
      <c r="AF26" s="424">
        <f t="shared" si="41"/>
        <v>35</v>
      </c>
      <c r="AG26" s="424">
        <f t="shared" si="41"/>
        <v>35</v>
      </c>
      <c r="AH26" s="424">
        <f t="shared" si="41"/>
        <v>35</v>
      </c>
      <c r="AI26" s="424">
        <f t="shared" si="41"/>
        <v>35</v>
      </c>
      <c r="AJ26" s="424">
        <f t="shared" si="41"/>
        <v>35</v>
      </c>
      <c r="AK26" s="424">
        <f t="shared" si="41"/>
        <v>35</v>
      </c>
      <c r="AL26" s="424">
        <f t="shared" si="41"/>
        <v>35</v>
      </c>
      <c r="AM26" s="424">
        <f t="shared" si="41"/>
        <v>35</v>
      </c>
      <c r="AN26" s="424">
        <f t="shared" si="41"/>
        <v>35</v>
      </c>
      <c r="AO26" s="424">
        <f t="shared" si="41"/>
        <v>35</v>
      </c>
      <c r="AP26" s="424">
        <f t="shared" si="41"/>
        <v>35</v>
      </c>
      <c r="AQ26" s="424">
        <f t="shared" si="41"/>
        <v>35</v>
      </c>
      <c r="AR26" s="424">
        <f t="shared" si="41"/>
        <v>35</v>
      </c>
      <c r="AS26" s="424">
        <f t="shared" si="41"/>
        <v>35</v>
      </c>
      <c r="AT26" s="424">
        <f t="shared" si="41"/>
        <v>35</v>
      </c>
    </row>
    <row r="27" spans="1:46" x14ac:dyDescent="0.25">
      <c r="A27" s="528" t="str">
        <f>'Расходы ТОР'!A12</f>
        <v>Амортизация</v>
      </c>
      <c r="B27" s="424"/>
      <c r="C27" s="424">
        <f>'Расходы ТОР'!B12</f>
        <v>0</v>
      </c>
      <c r="D27" s="424">
        <f>'Расходы ТОР'!C12</f>
        <v>0</v>
      </c>
      <c r="E27" s="424">
        <f>'Расходы ТОР'!D12</f>
        <v>142.04545454545453</v>
      </c>
      <c r="F27" s="424">
        <f>'Расходы ТОР'!E12</f>
        <v>1072.0454545454545</v>
      </c>
      <c r="G27" s="424">
        <f>'Расходы ТОР'!F12</f>
        <v>1072.0454545454545</v>
      </c>
      <c r="H27" s="424">
        <f>'Расходы ТОР'!G12</f>
        <v>1072.0454545454545</v>
      </c>
      <c r="I27" s="424">
        <f>'Расходы ТОР'!H12</f>
        <v>1072.0454545454545</v>
      </c>
      <c r="J27" s="424">
        <f>'Расходы ТОР'!I12</f>
        <v>1072.0454545454545</v>
      </c>
      <c r="K27" s="424">
        <f>'Расходы ТОР'!J12</f>
        <v>1072.0454545454545</v>
      </c>
      <c r="L27" s="424">
        <f>'Расходы ТОР'!K12</f>
        <v>1072.0454545454545</v>
      </c>
      <c r="M27" s="424">
        <f>'Расходы ТОР'!L12</f>
        <v>1072.0454545454545</v>
      </c>
      <c r="N27" s="424">
        <f>'Расходы ТОР'!M12</f>
        <v>1072.0454545454545</v>
      </c>
      <c r="O27" s="424">
        <f>'Расходы ТОР'!N12</f>
        <v>1072.0454545454545</v>
      </c>
      <c r="P27" s="424">
        <f>'Расходы ТОР'!O12</f>
        <v>1072.0454545454545</v>
      </c>
      <c r="Q27" s="424">
        <f>'Расходы ТОР'!P12</f>
        <v>1072.0454545454545</v>
      </c>
      <c r="R27" s="424">
        <f>'Расходы ТОР'!Q12</f>
        <v>1072.0454545454545</v>
      </c>
      <c r="S27" s="424">
        <f>'Расходы ТОР'!R12</f>
        <v>1072.0454545454545</v>
      </c>
      <c r="T27" s="424">
        <f>'Расходы ТОР'!S12</f>
        <v>1072.0454545454545</v>
      </c>
      <c r="U27" s="424">
        <f>'Расходы ТОР'!T12</f>
        <v>1072.0454545454545</v>
      </c>
      <c r="V27" s="424">
        <f>'Расходы ТОР'!U12</f>
        <v>1072.0454545454545</v>
      </c>
      <c r="W27" s="424">
        <f>'Расходы ТОР'!V12</f>
        <v>1072.0454545454545</v>
      </c>
      <c r="X27" s="424">
        <f>'Расходы ТОР'!W12</f>
        <v>1072.0454545454545</v>
      </c>
      <c r="Y27" s="424">
        <f>'Расходы ТОР'!X12</f>
        <v>1072.0454545454545</v>
      </c>
      <c r="Z27" s="424">
        <f>'Расходы ТОР'!Y12</f>
        <v>1072.0454545454545</v>
      </c>
      <c r="AA27" s="424">
        <f>'Расходы ТОР'!Z12</f>
        <v>1072.0454545454545</v>
      </c>
      <c r="AB27" s="424">
        <f>'Расходы ТОР'!AA12</f>
        <v>1072.0454545454545</v>
      </c>
      <c r="AC27" s="424">
        <f>'Расходы ТОР'!AB12</f>
        <v>1072.0454545454545</v>
      </c>
      <c r="AD27" s="424">
        <f>'Расходы ТОР'!AC12</f>
        <v>1072.0454545454545</v>
      </c>
      <c r="AE27" s="424">
        <f>'Расходы ТОР'!AD12</f>
        <v>1072.0454545454545</v>
      </c>
      <c r="AF27" s="424">
        <f>'Расходы ТОР'!AE12</f>
        <v>1072.0454545454545</v>
      </c>
      <c r="AG27" s="424">
        <f>'Расходы ТОР'!AF12</f>
        <v>1072.0454545454545</v>
      </c>
      <c r="AH27" s="424">
        <f>'Расходы ТОР'!AG12</f>
        <v>1072.0454545454545</v>
      </c>
      <c r="AI27" s="424">
        <f>'Расходы ТОР'!AH12</f>
        <v>1072.0454545454545</v>
      </c>
      <c r="AJ27" s="424">
        <f>'Расходы ТОР'!AI12</f>
        <v>1072.0454545454545</v>
      </c>
      <c r="AK27" s="424">
        <f>'Расходы ТОР'!AJ12</f>
        <v>1072.0454545454545</v>
      </c>
      <c r="AL27" s="424">
        <f>'Расходы ТОР'!AK12</f>
        <v>1072.0454545454545</v>
      </c>
      <c r="AM27" s="424">
        <f>'Расходы ТОР'!AL12</f>
        <v>1072.0454545454545</v>
      </c>
      <c r="AN27" s="424">
        <f>'Расходы ТОР'!AM12</f>
        <v>1072.0454545454545</v>
      </c>
      <c r="AO27" s="424">
        <f>'Расходы ТОР'!AN12</f>
        <v>1072.0454545454545</v>
      </c>
      <c r="AP27" s="424">
        <f>'Расходы ТОР'!AO12</f>
        <v>1072.0454545454545</v>
      </c>
      <c r="AQ27" s="424">
        <f>'Расходы ТОР'!AP12</f>
        <v>1072.0454545454545</v>
      </c>
      <c r="AR27" s="424">
        <f>'Расходы ТОР'!AQ12</f>
        <v>1072.0454545454545</v>
      </c>
      <c r="AS27" s="424">
        <f>'Расходы ТОР'!AR12</f>
        <v>1072.0454545454545</v>
      </c>
      <c r="AT27" s="424">
        <f>'Расходы ТОР'!AS12</f>
        <v>1072.0454545454545</v>
      </c>
    </row>
    <row r="28" spans="1:46" ht="33" customHeight="1" x14ac:dyDescent="0.25">
      <c r="A28" s="528" t="str">
        <f>'Расходы ТОР'!A17</f>
        <v>Обновление основных средств, МБП</v>
      </c>
      <c r="B28" s="424"/>
      <c r="C28" s="424">
        <f>'Расходы ТОР'!B17</f>
        <v>0</v>
      </c>
      <c r="D28" s="424">
        <f>'Расходы ТОР'!C17</f>
        <v>0</v>
      </c>
      <c r="E28" s="424">
        <f>'Расходы ТОР'!D17</f>
        <v>0</v>
      </c>
      <c r="F28" s="424">
        <f>'Расходы ТОР'!E17</f>
        <v>0</v>
      </c>
      <c r="G28" s="424">
        <f>'Расходы ТОР'!F17</f>
        <v>0</v>
      </c>
      <c r="H28" s="424">
        <f>'Расходы ТОР'!G17</f>
        <v>0</v>
      </c>
      <c r="I28" s="424">
        <f>'Расходы ТОР'!H17</f>
        <v>0</v>
      </c>
      <c r="J28" s="424">
        <f>'Расходы ТОР'!I17</f>
        <v>0</v>
      </c>
      <c r="K28" s="424">
        <f>'Расходы ТОР'!J17</f>
        <v>61.5625</v>
      </c>
      <c r="L28" s="424">
        <f>'Расходы ТОР'!K17</f>
        <v>61.5625</v>
      </c>
      <c r="M28" s="424">
        <f>'Расходы ТОР'!L17</f>
        <v>61.5625</v>
      </c>
      <c r="N28" s="424">
        <f>'Расходы ТОР'!M17</f>
        <v>61.5625</v>
      </c>
      <c r="O28" s="424">
        <f>'Расходы ТОР'!N17</f>
        <v>61.5625</v>
      </c>
      <c r="P28" s="424">
        <f>'Расходы ТОР'!O17</f>
        <v>61.5625</v>
      </c>
      <c r="Q28" s="424">
        <f>'Расходы ТОР'!P17</f>
        <v>61.5625</v>
      </c>
      <c r="R28" s="424">
        <f>'Расходы ТОР'!Q17</f>
        <v>61.5625</v>
      </c>
      <c r="S28" s="424">
        <f>'Расходы ТОР'!R17</f>
        <v>61.5625</v>
      </c>
      <c r="T28" s="424">
        <f>'Расходы ТОР'!S17</f>
        <v>61.5625</v>
      </c>
      <c r="U28" s="424">
        <f>'Расходы ТОР'!T17</f>
        <v>61.5625</v>
      </c>
      <c r="V28" s="424">
        <f>'Расходы ТОР'!U17</f>
        <v>61.5625</v>
      </c>
      <c r="W28" s="424">
        <f>'Расходы ТОР'!V17</f>
        <v>61.5625</v>
      </c>
      <c r="X28" s="424">
        <f>'Расходы ТОР'!W17</f>
        <v>61.5625</v>
      </c>
      <c r="Y28" s="424">
        <f>'Расходы ТОР'!X17</f>
        <v>61.5625</v>
      </c>
      <c r="Z28" s="424">
        <f>'Расходы ТОР'!Y17</f>
        <v>61.5625</v>
      </c>
      <c r="AA28" s="424">
        <f>'Расходы ТОР'!Z17</f>
        <v>61.5625</v>
      </c>
      <c r="AB28" s="424">
        <f>'Расходы ТОР'!AA17</f>
        <v>61.5625</v>
      </c>
      <c r="AC28" s="424">
        <f>'Расходы ТОР'!AB17</f>
        <v>61.5625</v>
      </c>
      <c r="AD28" s="424">
        <f>'Расходы ТОР'!AC17</f>
        <v>61.5625</v>
      </c>
      <c r="AE28" s="424">
        <f>'Расходы ТОР'!AD17</f>
        <v>61.5625</v>
      </c>
      <c r="AF28" s="424">
        <f>'Расходы ТОР'!AE17</f>
        <v>61.5625</v>
      </c>
      <c r="AG28" s="424">
        <f>'Расходы ТОР'!AF17</f>
        <v>61.5625</v>
      </c>
      <c r="AH28" s="424">
        <f>'Расходы ТОР'!AG17</f>
        <v>61.5625</v>
      </c>
      <c r="AI28" s="424">
        <f>'Расходы ТОР'!AH17</f>
        <v>61.5625</v>
      </c>
      <c r="AJ28" s="424">
        <f>'Расходы ТОР'!AI17</f>
        <v>61.5625</v>
      </c>
      <c r="AK28" s="424">
        <f>'Расходы ТОР'!AJ17</f>
        <v>61.5625</v>
      </c>
      <c r="AL28" s="424">
        <f>'Расходы ТОР'!AK17</f>
        <v>61.5625</v>
      </c>
      <c r="AM28" s="424">
        <f>'Расходы ТОР'!AL17</f>
        <v>61.5625</v>
      </c>
      <c r="AN28" s="424">
        <f>'Расходы ТОР'!AM17</f>
        <v>61.5625</v>
      </c>
      <c r="AO28" s="424">
        <f>'Расходы ТОР'!AN17</f>
        <v>61.5625</v>
      </c>
      <c r="AP28" s="424">
        <f>'Расходы ТОР'!AO17</f>
        <v>61.5625</v>
      </c>
      <c r="AQ28" s="424">
        <f>'Расходы ТОР'!AP17</f>
        <v>61.5625</v>
      </c>
      <c r="AR28" s="424">
        <f>'Расходы ТОР'!AQ17</f>
        <v>61.5625</v>
      </c>
      <c r="AS28" s="424">
        <f>'Расходы ТОР'!AR17</f>
        <v>61.5625</v>
      </c>
      <c r="AT28" s="424">
        <f>'Расходы ТОР'!AS17</f>
        <v>61.5625</v>
      </c>
    </row>
    <row r="29" spans="1:46" s="437" customFormat="1" x14ac:dyDescent="0.25">
      <c r="A29" s="434" t="s">
        <v>17</v>
      </c>
      <c r="B29" s="434"/>
      <c r="C29" s="434">
        <f t="shared" ref="C29:AT29" si="42">SUM(C24:C28)</f>
        <v>1027.6124121</v>
      </c>
      <c r="D29" s="434">
        <f t="shared" si="42"/>
        <v>2394.1724121000002</v>
      </c>
      <c r="E29" s="434">
        <f t="shared" si="42"/>
        <v>8891.557866645453</v>
      </c>
      <c r="F29" s="434">
        <f t="shared" si="42"/>
        <v>6234.3378666454555</v>
      </c>
      <c r="G29" s="434">
        <f t="shared" si="42"/>
        <v>6234.3378666454555</v>
      </c>
      <c r="H29" s="434">
        <f t="shared" si="42"/>
        <v>6234.3378666454555</v>
      </c>
      <c r="I29" s="434">
        <f t="shared" si="42"/>
        <v>10036.791066645454</v>
      </c>
      <c r="J29" s="434">
        <f t="shared" si="42"/>
        <v>6234.3378666454555</v>
      </c>
      <c r="K29" s="434">
        <f t="shared" si="42"/>
        <v>6492.2119666454546</v>
      </c>
      <c r="L29" s="434">
        <f t="shared" si="42"/>
        <v>6492.2119666454546</v>
      </c>
      <c r="M29" s="434">
        <f t="shared" si="42"/>
        <v>10522.812358645455</v>
      </c>
      <c r="N29" s="434">
        <f t="shared" si="42"/>
        <v>6492.2119666454546</v>
      </c>
      <c r="O29" s="434">
        <f t="shared" si="42"/>
        <v>6700.3022626454549</v>
      </c>
      <c r="P29" s="434">
        <f t="shared" si="42"/>
        <v>6700.3022626454549</v>
      </c>
      <c r="Q29" s="434">
        <f t="shared" si="42"/>
        <v>10972.738678165453</v>
      </c>
      <c r="R29" s="434">
        <f t="shared" si="42"/>
        <v>6700.3022626454549</v>
      </c>
      <c r="S29" s="434">
        <f t="shared" si="42"/>
        <v>7032.042376405454</v>
      </c>
      <c r="T29" s="434">
        <f t="shared" si="42"/>
        <v>7032.042376405454</v>
      </c>
      <c r="U29" s="434">
        <f t="shared" si="42"/>
        <v>11560.824976856653</v>
      </c>
      <c r="V29" s="434">
        <f t="shared" si="42"/>
        <v>7032.042376405454</v>
      </c>
      <c r="W29" s="434">
        <f t="shared" si="42"/>
        <v>7383.6868969910556</v>
      </c>
      <c r="X29" s="434">
        <f t="shared" si="42"/>
        <v>7383.6868969910556</v>
      </c>
      <c r="Y29" s="434">
        <f t="shared" si="42"/>
        <v>12184.196453469329</v>
      </c>
      <c r="Z29" s="434">
        <f t="shared" si="42"/>
        <v>7383.6868969910556</v>
      </c>
      <c r="AA29" s="434">
        <f t="shared" si="42"/>
        <v>7756.4300888117905</v>
      </c>
      <c r="AB29" s="434">
        <f t="shared" si="42"/>
        <v>7756.4300888117905</v>
      </c>
      <c r="AC29" s="434">
        <f t="shared" si="42"/>
        <v>12844.97021867876</v>
      </c>
      <c r="AD29" s="434">
        <f t="shared" si="42"/>
        <v>7756.4300888117905</v>
      </c>
      <c r="AE29" s="434">
        <f t="shared" si="42"/>
        <v>8114.916988580173</v>
      </c>
      <c r="AF29" s="434">
        <f t="shared" si="42"/>
        <v>8114.916988580173</v>
      </c>
      <c r="AG29" s="434">
        <f t="shared" si="42"/>
        <v>13508.769526239157</v>
      </c>
      <c r="AH29" s="434">
        <f t="shared" si="42"/>
        <v>8114.916988580173</v>
      </c>
      <c r="AI29" s="434">
        <f t="shared" si="42"/>
        <v>8531.5339858962561</v>
      </c>
      <c r="AJ29" s="434">
        <f t="shared" si="42"/>
        <v>8531.5339858962561</v>
      </c>
      <c r="AK29" s="434">
        <f t="shared" si="42"/>
        <v>14249.017675814783</v>
      </c>
      <c r="AL29" s="434">
        <f t="shared" si="42"/>
        <v>8531.5339858962561</v>
      </c>
      <c r="AM29" s="434">
        <f t="shared" si="42"/>
        <v>8973.1480030513048</v>
      </c>
      <c r="AN29" s="434">
        <f t="shared" si="42"/>
        <v>8973.1480030513048</v>
      </c>
      <c r="AO29" s="434">
        <f t="shared" si="42"/>
        <v>15033.680714364944</v>
      </c>
      <c r="AP29" s="434">
        <f t="shared" si="42"/>
        <v>8973.1480030513048</v>
      </c>
      <c r="AQ29" s="434">
        <f t="shared" si="42"/>
        <v>8973.1480030513048</v>
      </c>
      <c r="AR29" s="434">
        <f t="shared" si="42"/>
        <v>8973.1480030513048</v>
      </c>
      <c r="AS29" s="434">
        <f t="shared" si="42"/>
        <v>8973.1480030513048</v>
      </c>
      <c r="AT29" s="434">
        <f t="shared" si="42"/>
        <v>8973.1480030513048</v>
      </c>
    </row>
    <row r="30" spans="1:46" s="428" customFormat="1" x14ac:dyDescent="0.25">
      <c r="A30" s="436" t="s">
        <v>437</v>
      </c>
      <c r="B30" s="472"/>
      <c r="C30" s="425">
        <f>C19+C28</f>
        <v>0</v>
      </c>
      <c r="D30" s="425">
        <f t="shared" ref="D30:AT30" si="43">D19+D28</f>
        <v>928.63347499999998</v>
      </c>
      <c r="E30" s="425">
        <f t="shared" si="43"/>
        <v>31608.347225000001</v>
      </c>
      <c r="F30" s="425">
        <f t="shared" si="43"/>
        <v>5860.0728666666673</v>
      </c>
      <c r="G30" s="425">
        <f t="shared" si="43"/>
        <v>8154.4476900000009</v>
      </c>
      <c r="H30" s="425">
        <f t="shared" si="43"/>
        <v>3806.9496150000004</v>
      </c>
      <c r="I30" s="425">
        <f t="shared" si="43"/>
        <v>37921.050207000008</v>
      </c>
      <c r="J30" s="425">
        <f t="shared" si="43"/>
        <v>8154.4476900000009</v>
      </c>
      <c r="K30" s="425">
        <f t="shared" si="43"/>
        <v>8331.6309003999995</v>
      </c>
      <c r="L30" s="425">
        <f t="shared" si="43"/>
        <v>7791.2654254000008</v>
      </c>
      <c r="M30" s="425">
        <f t="shared" si="43"/>
        <v>40123.117448920006</v>
      </c>
      <c r="N30" s="425">
        <f t="shared" si="43"/>
        <v>8526.4101004000004</v>
      </c>
      <c r="O30" s="425">
        <f t="shared" si="43"/>
        <v>8648.9680534239997</v>
      </c>
      <c r="P30" s="425">
        <f t="shared" si="43"/>
        <v>8120.2893304240006</v>
      </c>
      <c r="Q30" s="425">
        <f t="shared" si="43"/>
        <v>42392.052475355216</v>
      </c>
      <c r="R30" s="425">
        <f t="shared" si="43"/>
        <v>8855.4340054240001</v>
      </c>
      <c r="S30" s="425">
        <f t="shared" si="43"/>
        <v>8992.0152996294401</v>
      </c>
      <c r="T30" s="425">
        <f t="shared" si="43"/>
        <v>8475.7245337494405</v>
      </c>
      <c r="U30" s="425">
        <f t="shared" si="43"/>
        <v>44803.793467376512</v>
      </c>
      <c r="V30" s="425">
        <f t="shared" si="43"/>
        <v>9210.8692087494401</v>
      </c>
      <c r="W30" s="425">
        <f t="shared" si="43"/>
        <v>9355.6453806072059</v>
      </c>
      <c r="X30" s="425">
        <f t="shared" si="43"/>
        <v>8852.4858492744061</v>
      </c>
      <c r="Y30" s="425">
        <f t="shared" si="43"/>
        <v>47360.238918919102</v>
      </c>
      <c r="Z30" s="425">
        <f t="shared" si="43"/>
        <v>9587.6305242744074</v>
      </c>
      <c r="AA30" s="425">
        <f t="shared" si="43"/>
        <v>9741.0932664436405</v>
      </c>
      <c r="AB30" s="425">
        <f t="shared" si="43"/>
        <v>9251.8528437308723</v>
      </c>
      <c r="AC30" s="425">
        <f t="shared" si="43"/>
        <v>50070.071097554261</v>
      </c>
      <c r="AD30" s="425">
        <f t="shared" si="43"/>
        <v>9986.9975187308719</v>
      </c>
      <c r="AE30" s="425">
        <f t="shared" si="43"/>
        <v>10147.470772416564</v>
      </c>
      <c r="AF30" s="425">
        <f t="shared" si="43"/>
        <v>9672.9846048410291</v>
      </c>
      <c r="AG30" s="425">
        <f t="shared" si="43"/>
        <v>52940.29595389383</v>
      </c>
      <c r="AH30" s="425">
        <f t="shared" si="43"/>
        <v>10408.129279841029</v>
      </c>
      <c r="AI30" s="425">
        <f t="shared" si="43"/>
        <v>10580.428181761556</v>
      </c>
      <c r="AJ30" s="425">
        <f t="shared" si="43"/>
        <v>10121.581524631491</v>
      </c>
      <c r="AK30" s="425">
        <f t="shared" si="43"/>
        <v>55984.931554627467</v>
      </c>
      <c r="AL30" s="425">
        <f t="shared" si="43"/>
        <v>10856.726199631492</v>
      </c>
      <c r="AM30" s="425">
        <f t="shared" si="43"/>
        <v>11039.363035667251</v>
      </c>
      <c r="AN30" s="425">
        <f t="shared" si="43"/>
        <v>10907.542712488041</v>
      </c>
      <c r="AO30" s="425">
        <f t="shared" si="43"/>
        <v>59522.693744283773</v>
      </c>
      <c r="AP30" s="425">
        <f t="shared" si="43"/>
        <v>11642.68738748804</v>
      </c>
      <c r="AQ30" s="425">
        <f t="shared" si="43"/>
        <v>11808.195782194884</v>
      </c>
      <c r="AR30" s="425">
        <f t="shared" si="43"/>
        <v>11073.051107194882</v>
      </c>
      <c r="AS30" s="425">
        <f t="shared" si="43"/>
        <v>62219.661320458814</v>
      </c>
      <c r="AT30" s="425">
        <f t="shared" si="43"/>
        <v>11808.195782194884</v>
      </c>
    </row>
    <row r="31" spans="1:46" x14ac:dyDescent="0.25">
      <c r="A31" s="524" t="s">
        <v>439</v>
      </c>
      <c r="G31" s="56">
        <f t="shared" ref="G31:AT31" si="44">G30/G7</f>
        <v>7.7612621495060248</v>
      </c>
      <c r="H31" s="56">
        <f t="shared" si="44"/>
        <v>3.6233887413625721</v>
      </c>
      <c r="I31" s="56">
        <f t="shared" si="44"/>
        <v>11.053572842251931</v>
      </c>
      <c r="J31" s="56">
        <f t="shared" si="44"/>
        <v>7.7612621495060248</v>
      </c>
      <c r="K31" s="56">
        <f t="shared" si="44"/>
        <v>7.9299020619420162</v>
      </c>
      <c r="L31" s="56">
        <f t="shared" si="44"/>
        <v>7.4155915571164792</v>
      </c>
      <c r="M31" s="56">
        <f t="shared" si="44"/>
        <v>11.695451443430713</v>
      </c>
      <c r="N31" s="56">
        <f t="shared" si="44"/>
        <v>8.1152895326746997</v>
      </c>
      <c r="O31" s="56">
        <f t="shared" si="44"/>
        <v>8.2319380707593321</v>
      </c>
      <c r="P31" s="56">
        <f t="shared" si="44"/>
        <v>7.7287508141777552</v>
      </c>
      <c r="Q31" s="56">
        <f t="shared" si="44"/>
        <v>12.356821275018573</v>
      </c>
      <c r="R31" s="56">
        <f t="shared" si="44"/>
        <v>8.4284487897359757</v>
      </c>
      <c r="S31" s="56">
        <f t="shared" si="44"/>
        <v>8.5584445011987125</v>
      </c>
      <c r="T31" s="56">
        <f t="shared" si="44"/>
        <v>8.0670478877557343</v>
      </c>
      <c r="U31" s="56">
        <f t="shared" si="44"/>
        <v>13.059817489164335</v>
      </c>
      <c r="V31" s="56">
        <f t="shared" si="44"/>
        <v>8.7667458633139539</v>
      </c>
      <c r="W31" s="56">
        <f t="shared" si="44"/>
        <v>8.9045413174644565</v>
      </c>
      <c r="X31" s="56">
        <f t="shared" si="44"/>
        <v>8.4256427857483924</v>
      </c>
      <c r="Y31" s="56">
        <f t="shared" si="44"/>
        <v>13.804993476158845</v>
      </c>
      <c r="Z31" s="56">
        <f t="shared" si="44"/>
        <v>9.1253407613066138</v>
      </c>
      <c r="AA31" s="56">
        <f t="shared" si="44"/>
        <v>9.2714039427061472</v>
      </c>
      <c r="AB31" s="56">
        <f t="shared" si="44"/>
        <v>8.8057533776206114</v>
      </c>
      <c r="AC31" s="56">
        <f t="shared" si="44"/>
        <v>14.594880022373031</v>
      </c>
      <c r="AD31" s="56">
        <f t="shared" si="44"/>
        <v>9.5054513531788309</v>
      </c>
      <c r="AE31" s="56">
        <f t="shared" si="44"/>
        <v>9.6581870180806</v>
      </c>
      <c r="AF31" s="56">
        <f t="shared" si="44"/>
        <v>9.206579297623426</v>
      </c>
      <c r="AG31" s="56">
        <f t="shared" si="44"/>
        <v>15.431519286053947</v>
      </c>
      <c r="AH31" s="56">
        <f t="shared" si="44"/>
        <v>9.9062772731816455</v>
      </c>
      <c r="AI31" s="56">
        <f t="shared" si="44"/>
        <v>10.070268385359254</v>
      </c>
      <c r="AJ31" s="56">
        <f t="shared" si="44"/>
        <v>9.633546080208145</v>
      </c>
      <c r="AK31" s="56">
        <f t="shared" si="44"/>
        <v>16.318997380861838</v>
      </c>
      <c r="AL31" s="56">
        <f t="shared" si="44"/>
        <v>10.333244055766366</v>
      </c>
      <c r="AM31" s="56">
        <f t="shared" si="44"/>
        <v>10.507074634674634</v>
      </c>
      <c r="AN31" s="56">
        <f t="shared" si="44"/>
        <v>10.381610333017379</v>
      </c>
      <c r="AO31" s="56">
        <f t="shared" si="44"/>
        <v>17.350216501863716</v>
      </c>
      <c r="AP31" s="56">
        <f t="shared" si="44"/>
        <v>11.081308308575599</v>
      </c>
      <c r="AQ31" s="56">
        <f t="shared" si="44"/>
        <v>11.238836333537854</v>
      </c>
      <c r="AR31" s="56">
        <f t="shared" si="44"/>
        <v>10.539138357979633</v>
      </c>
      <c r="AS31" s="56">
        <f t="shared" si="44"/>
        <v>18.136353156669216</v>
      </c>
      <c r="AT31" s="56">
        <f t="shared" si="44"/>
        <v>11.238836333537854</v>
      </c>
    </row>
    <row r="33" spans="1:12" s="415" customFormat="1" x14ac:dyDescent="0.25">
      <c r="A33" s="420" t="str">
        <f t="shared" ref="A33:A39" si="45">A10</f>
        <v>Прямые расходы, тыс руб</v>
      </c>
      <c r="B33" s="443" t="str">
        <f>'Расходы ТОР'!B24</f>
        <v>1 год</v>
      </c>
      <c r="C33" s="443" t="str">
        <f>'Расходы ТОР'!C24</f>
        <v>2 год</v>
      </c>
      <c r="D33" s="443" t="str">
        <f>'Расходы ТОР'!D24</f>
        <v>3 год</v>
      </c>
      <c r="E33" s="443" t="str">
        <f>'Расходы ТОР'!E24</f>
        <v>4 год</v>
      </c>
      <c r="F33" s="443" t="str">
        <f>'Расходы ТОР'!F24</f>
        <v>5 год</v>
      </c>
      <c r="G33" s="443" t="str">
        <f>'Расходы ТОР'!G24</f>
        <v>6 год</v>
      </c>
      <c r="H33" s="443" t="str">
        <f>'Расходы ТОР'!H24</f>
        <v>7 год</v>
      </c>
      <c r="I33" s="443" t="str">
        <f>'Расходы ТОР'!I24</f>
        <v>8 год</v>
      </c>
      <c r="J33" s="443" t="str">
        <f>'Расходы ТОР'!J24</f>
        <v>9 год</v>
      </c>
      <c r="K33" s="443" t="str">
        <f>'Расходы ТОР'!K24</f>
        <v>10 год</v>
      </c>
      <c r="L33" s="443" t="str">
        <f>'Расходы ТОР'!L24</f>
        <v>11 год</v>
      </c>
    </row>
    <row r="34" spans="1:12" ht="54" customHeight="1" x14ac:dyDescent="0.25">
      <c r="A34" s="423" t="str">
        <f t="shared" si="45"/>
        <v>Расходы на товарооборот (закуп картофеля (август-октябрь))</v>
      </c>
      <c r="B34" s="56">
        <f>SUM(C11:F11)</f>
        <v>28560</v>
      </c>
      <c r="C34" s="56">
        <f t="shared" ref="C34:C39" si="46">SUM(G11:J11)</f>
        <v>30273.600000000002</v>
      </c>
      <c r="D34" s="56">
        <f t="shared" ref="D34:D39" si="47">SUM(K11:N11)</f>
        <v>32090.016000000003</v>
      </c>
      <c r="E34" s="56">
        <f t="shared" ref="E34:E39" si="48">SUM(O11:R11)</f>
        <v>34015.41696000001</v>
      </c>
      <c r="F34" s="56">
        <f t="shared" ref="F34:F39" si="49">SUM(S11:V11)</f>
        <v>36056.341977600008</v>
      </c>
      <c r="G34" s="56">
        <f t="shared" ref="G34:G39" si="50">SUM(W11:Z11)</f>
        <v>38219.722496256007</v>
      </c>
      <c r="H34" s="56">
        <f t="shared" ref="H34:H39" si="51">SUM(AA11:AD11)</f>
        <v>40512.905846031375</v>
      </c>
      <c r="I34" s="56">
        <f t="shared" ref="I34:I39" si="52">SUM(AE11:AH11)</f>
        <v>42943.680196793262</v>
      </c>
      <c r="J34" s="56">
        <f t="shared" ref="J34:J39" si="53">SUM(AI11:AL11)</f>
        <v>45520.301008600865</v>
      </c>
      <c r="K34" s="56">
        <f t="shared" ref="K34:K39" si="54">SUM(AM11:AP11)</f>
        <v>48251.519069116919</v>
      </c>
      <c r="L34" s="56">
        <f t="shared" ref="L34:L39" si="55">SUM(AQ11:AT11)</f>
        <v>51146.610213263935</v>
      </c>
    </row>
    <row r="35" spans="1:12" ht="30" x14ac:dyDescent="0.25">
      <c r="A35" s="423" t="str">
        <f t="shared" si="45"/>
        <v>Расходы на спецодежду, средства защиты</v>
      </c>
      <c r="B35" s="56">
        <f>SUM(C12:F12)</f>
        <v>973.67399999999998</v>
      </c>
      <c r="C35" s="56">
        <f t="shared" si="46"/>
        <v>1458.0511919999999</v>
      </c>
      <c r="D35" s="56">
        <f t="shared" si="47"/>
        <v>1518.8548075200001</v>
      </c>
      <c r="E35" s="56">
        <f t="shared" si="48"/>
        <v>1583.3066399712002</v>
      </c>
      <c r="F35" s="56">
        <f t="shared" si="49"/>
        <v>1678.305038369472</v>
      </c>
      <c r="G35" s="56">
        <f t="shared" si="50"/>
        <v>1779.0033406716407</v>
      </c>
      <c r="H35" s="56">
        <f t="shared" si="51"/>
        <v>1885.7435411119391</v>
      </c>
      <c r="I35" s="56">
        <f t="shared" si="52"/>
        <v>1990.0991415238714</v>
      </c>
      <c r="J35" s="56">
        <f t="shared" si="53"/>
        <v>2109.5050900153042</v>
      </c>
      <c r="K35" s="56">
        <f t="shared" si="54"/>
        <v>2236.0753954162224</v>
      </c>
      <c r="L35" s="56">
        <f t="shared" si="55"/>
        <v>1872.443432737404</v>
      </c>
    </row>
    <row r="36" spans="1:12" x14ac:dyDescent="0.25">
      <c r="A36" s="423" t="str">
        <f t="shared" si="45"/>
        <v>Расходы на ДТ</v>
      </c>
      <c r="B36" s="56">
        <f>SUM(C13:F13)</f>
        <v>483.11333333333334</v>
      </c>
      <c r="C36" s="56">
        <f t="shared" si="46"/>
        <v>2247.6865600000001</v>
      </c>
      <c r="D36" s="56">
        <f t="shared" si="47"/>
        <v>2360.5565535999999</v>
      </c>
      <c r="E36" s="56">
        <f t="shared" si="48"/>
        <v>2502.1899468160004</v>
      </c>
      <c r="F36" s="56">
        <f t="shared" si="49"/>
        <v>2652.3213436249598</v>
      </c>
      <c r="G36" s="56">
        <f t="shared" si="50"/>
        <v>2811.4606242424575</v>
      </c>
      <c r="H36" s="56">
        <f t="shared" si="51"/>
        <v>2980.1482616970061</v>
      </c>
      <c r="I36" s="56">
        <f t="shared" si="52"/>
        <v>3158.9571573988264</v>
      </c>
      <c r="J36" s="56">
        <f t="shared" si="53"/>
        <v>3348.4945868427558</v>
      </c>
      <c r="K36" s="56">
        <f t="shared" si="54"/>
        <v>3654.5561573831901</v>
      </c>
      <c r="L36" s="56">
        <f t="shared" si="55"/>
        <v>3797.4191495531436</v>
      </c>
    </row>
    <row r="37" spans="1:12" x14ac:dyDescent="0.25">
      <c r="A37" s="423" t="str">
        <f t="shared" si="45"/>
        <v>Расходы на эл. Энергию</v>
      </c>
      <c r="B37" s="56">
        <f>SUM(E14:F14)</f>
        <v>4165.8198250000005</v>
      </c>
      <c r="C37" s="56">
        <f t="shared" si="46"/>
        <v>8331.639650000001</v>
      </c>
      <c r="D37" s="56">
        <f t="shared" si="47"/>
        <v>8331.639650000001</v>
      </c>
      <c r="E37" s="56">
        <f t="shared" si="48"/>
        <v>8331.639650000001</v>
      </c>
      <c r="F37" s="56">
        <f t="shared" si="49"/>
        <v>8331.639650000001</v>
      </c>
      <c r="G37" s="56">
        <f t="shared" si="50"/>
        <v>8331.639650000001</v>
      </c>
      <c r="H37" s="56">
        <f t="shared" si="51"/>
        <v>8331.639650000001</v>
      </c>
      <c r="I37" s="56">
        <f t="shared" si="52"/>
        <v>8331.639650000001</v>
      </c>
      <c r="J37" s="56">
        <f t="shared" si="53"/>
        <v>8331.639650000001</v>
      </c>
      <c r="K37" s="56">
        <f t="shared" si="54"/>
        <v>8331.639650000001</v>
      </c>
      <c r="L37" s="56">
        <f t="shared" si="55"/>
        <v>8331.639650000001</v>
      </c>
    </row>
    <row r="38" spans="1:12" ht="45" x14ac:dyDescent="0.25">
      <c r="A38" s="423" t="str">
        <f t="shared" si="45"/>
        <v>Запасные части, комлектующие, обслуживание оборудования</v>
      </c>
      <c r="B38" s="56">
        <f>SUM(C15:F15)</f>
        <v>0</v>
      </c>
      <c r="C38" s="56">
        <f t="shared" si="46"/>
        <v>1232</v>
      </c>
      <c r="D38" s="56">
        <f t="shared" si="47"/>
        <v>1232</v>
      </c>
      <c r="E38" s="56">
        <f t="shared" si="48"/>
        <v>1232</v>
      </c>
      <c r="F38" s="56">
        <f t="shared" si="49"/>
        <v>1232</v>
      </c>
      <c r="G38" s="56">
        <f t="shared" si="50"/>
        <v>1232</v>
      </c>
      <c r="H38" s="56">
        <f t="shared" si="51"/>
        <v>1232</v>
      </c>
      <c r="I38" s="56">
        <f t="shared" si="52"/>
        <v>1232</v>
      </c>
      <c r="J38" s="56">
        <f t="shared" si="53"/>
        <v>1232</v>
      </c>
      <c r="K38" s="56">
        <f t="shared" si="54"/>
        <v>1232</v>
      </c>
      <c r="L38" s="56">
        <f t="shared" si="55"/>
        <v>1232</v>
      </c>
    </row>
    <row r="39" spans="1:12" x14ac:dyDescent="0.25">
      <c r="A39" s="423" t="str">
        <f t="shared" si="45"/>
        <v>Расходы на тару, упаковку</v>
      </c>
      <c r="B39" s="56">
        <f>SUM(C16:F16)</f>
        <v>309.36666666666667</v>
      </c>
      <c r="C39" s="56">
        <f t="shared" si="46"/>
        <v>1605.4904000000001</v>
      </c>
      <c r="D39" s="56">
        <f t="shared" si="47"/>
        <v>1686.1118240000001</v>
      </c>
      <c r="E39" s="56">
        <f t="shared" si="48"/>
        <v>1787.27853344</v>
      </c>
      <c r="F39" s="56">
        <f t="shared" si="49"/>
        <v>1894.5152454463998</v>
      </c>
      <c r="G39" s="56">
        <f t="shared" si="50"/>
        <v>2008.1861601731844</v>
      </c>
      <c r="H39" s="56">
        <f t="shared" si="51"/>
        <v>2128.6773297835757</v>
      </c>
      <c r="I39" s="56">
        <f t="shared" si="52"/>
        <v>2256.3979695705902</v>
      </c>
      <c r="J39" s="56">
        <f t="shared" si="53"/>
        <v>2391.7818477448254</v>
      </c>
      <c r="K39" s="56">
        <f t="shared" si="54"/>
        <v>2610.3972552737068</v>
      </c>
      <c r="L39" s="56">
        <f t="shared" si="55"/>
        <v>2712.442249680817</v>
      </c>
    </row>
    <row r="40" spans="1:12" x14ac:dyDescent="0.25">
      <c r="A40" s="423" t="str">
        <f t="shared" ref="A40" si="56">A18</f>
        <v>Коммунальные (в/с, в/о)</v>
      </c>
      <c r="B40" s="56">
        <f t="shared" ref="B40" si="57">SUM(C18:F18)</f>
        <v>76.2684</v>
      </c>
      <c r="C40" s="56">
        <f t="shared" ref="C40" si="58">SUM(G18:J18)</f>
        <v>445.8768</v>
      </c>
      <c r="D40" s="56">
        <f t="shared" ref="D40" si="59">SUM(K18:N18)</f>
        <v>445.8768</v>
      </c>
      <c r="E40" s="56">
        <f t="shared" ref="E40" si="60">SUM(O18:R18)</f>
        <v>445.8768</v>
      </c>
      <c r="F40" s="56">
        <f t="shared" ref="F40" si="61">SUM(S18:V18)</f>
        <v>445.8768</v>
      </c>
      <c r="G40" s="56">
        <f t="shared" ref="G40" si="62">SUM(W18:Z18)</f>
        <v>445.8768</v>
      </c>
      <c r="H40" s="56">
        <f t="shared" ref="H40" si="63">SUM(AA18:AD18)</f>
        <v>445.8768</v>
      </c>
      <c r="I40" s="56">
        <f t="shared" ref="I40" si="64">SUM(AE18:AH18)</f>
        <v>445.8768</v>
      </c>
      <c r="J40" s="56">
        <f t="shared" ref="J40" si="65">SUM(AI18:AL18)</f>
        <v>445.8768</v>
      </c>
      <c r="K40" s="56">
        <f t="shared" ref="K40" si="66">SUM(AM18:AP18)</f>
        <v>445.8768</v>
      </c>
      <c r="L40" s="56">
        <f t="shared" ref="L40" si="67">SUM(AQ18:AT18)</f>
        <v>445.8768</v>
      </c>
    </row>
    <row r="41" spans="1:12" s="437" customFormat="1" x14ac:dyDescent="0.25">
      <c r="A41" s="433" t="str">
        <f>A19</f>
        <v>Итого</v>
      </c>
      <c r="B41" s="437">
        <f>SUM(B34:B40)</f>
        <v>34568.242225000002</v>
      </c>
      <c r="C41" s="437">
        <f t="shared" ref="C41:L41" si="68">SUM(C34:C40)</f>
        <v>45594.344602000005</v>
      </c>
      <c r="D41" s="437">
        <f t="shared" si="68"/>
        <v>47665.055635119999</v>
      </c>
      <c r="E41" s="437">
        <f t="shared" si="68"/>
        <v>49897.70853022721</v>
      </c>
      <c r="F41" s="437">
        <f t="shared" si="68"/>
        <v>52291.000055040829</v>
      </c>
      <c r="G41" s="437">
        <f t="shared" si="68"/>
        <v>54827.889071343285</v>
      </c>
      <c r="H41" s="437">
        <f t="shared" si="68"/>
        <v>57516.991428623893</v>
      </c>
      <c r="I41" s="437">
        <f t="shared" si="68"/>
        <v>60358.650915286562</v>
      </c>
      <c r="J41" s="437">
        <f t="shared" si="68"/>
        <v>63379.598983203752</v>
      </c>
      <c r="K41" s="437">
        <f t="shared" si="68"/>
        <v>66762.064327190034</v>
      </c>
      <c r="L41" s="437">
        <f t="shared" si="68"/>
        <v>69538.431495235287</v>
      </c>
    </row>
    <row r="42" spans="1:12" s="437" customFormat="1" ht="32.25" customHeight="1" x14ac:dyDescent="0.25">
      <c r="A42" s="433" t="str">
        <f>A21</f>
        <v>Себестоимость по прямым расходам, руб/кг</v>
      </c>
      <c r="C42" s="437">
        <f>C41/SUM('объем работ 100% загр'!D10:D13)</f>
        <v>6.9264527001324696</v>
      </c>
      <c r="D42" s="437">
        <f>D41/SUM('объем работ 100% загр'!E10:E13)</f>
        <v>7.2410242144671431</v>
      </c>
      <c r="E42" s="437">
        <f>E41/SUM('объем работ 100% загр'!F10:F13)</f>
        <v>7.5801970835754666</v>
      </c>
      <c r="F42" s="437">
        <f>F41/SUM('объем работ 100% загр'!G10:G13)</f>
        <v>7.9437733272730737</v>
      </c>
      <c r="G42" s="437">
        <f>G41/SUM('объем работ 100% загр'!H10:H13)</f>
        <v>8.3291641455925411</v>
      </c>
      <c r="H42" s="437">
        <f>H41/SUM('объем работ 100% загр'!I10:I13)</f>
        <v>8.7376784130111762</v>
      </c>
      <c r="I42" s="437">
        <f>I41/SUM('объем работ 100% загр'!J10:J13)</f>
        <v>9.1693683560526722</v>
      </c>
      <c r="J42" s="437">
        <f>J41/SUM('объем работ 100% загр'!K10:K13)</f>
        <v>9.6282948760989129</v>
      </c>
      <c r="K42" s="437">
        <f>K41/SUM('объем работ 100% загр'!L10:L13)</f>
        <v>10.142141196721989</v>
      </c>
      <c r="L42" s="437">
        <f>L41/SUM('объем работ 100% загр'!M10:M13)</f>
        <v>10.563912274594278</v>
      </c>
    </row>
    <row r="43" spans="1:12" s="415" customFormat="1" x14ac:dyDescent="0.25">
      <c r="A43" s="420" t="str">
        <f t="shared" ref="A43:A49" si="69">A23</f>
        <v>Косвенные расходы, тыс руб</v>
      </c>
      <c r="B43" s="443" t="str">
        <f t="shared" ref="B43:L43" si="70">B33</f>
        <v>1 год</v>
      </c>
      <c r="C43" s="443" t="str">
        <f t="shared" si="70"/>
        <v>2 год</v>
      </c>
      <c r="D43" s="443" t="str">
        <f t="shared" si="70"/>
        <v>3 год</v>
      </c>
      <c r="E43" s="443" t="str">
        <f t="shared" si="70"/>
        <v>4 год</v>
      </c>
      <c r="F43" s="443" t="str">
        <f t="shared" si="70"/>
        <v>5 год</v>
      </c>
      <c r="G43" s="443" t="str">
        <f t="shared" si="70"/>
        <v>6 год</v>
      </c>
      <c r="H43" s="443" t="str">
        <f t="shared" si="70"/>
        <v>7 год</v>
      </c>
      <c r="I43" s="443" t="str">
        <f t="shared" si="70"/>
        <v>8 год</v>
      </c>
      <c r="J43" s="443" t="str">
        <f t="shared" si="70"/>
        <v>9 год</v>
      </c>
      <c r="K43" s="443" t="str">
        <f t="shared" si="70"/>
        <v>10 год</v>
      </c>
      <c r="L43" s="443" t="str">
        <f t="shared" si="70"/>
        <v>11 год</v>
      </c>
    </row>
    <row r="44" spans="1:12" ht="30" x14ac:dyDescent="0.25">
      <c r="A44" s="423" t="str">
        <f t="shared" si="69"/>
        <v>Арендная плата за зем. Участок</v>
      </c>
      <c r="B44" s="56">
        <f>SUM(C24:F24)</f>
        <v>10.769648399999999</v>
      </c>
      <c r="C44" s="56">
        <f>SUM(G24:J24)</f>
        <v>10.769648399999999</v>
      </c>
      <c r="D44" s="56">
        <f>SUM(K24:N24)</f>
        <v>10.769648399999999</v>
      </c>
      <c r="E44" s="56">
        <f>SUM(O24:R24)</f>
        <v>10.769648399999999</v>
      </c>
      <c r="F44" s="56">
        <f>SUM(S24:V24)</f>
        <v>10.769648399999999</v>
      </c>
      <c r="G44" s="56">
        <f>SUM(W24:Z24)</f>
        <v>10.769648399999999</v>
      </c>
      <c r="H44" s="56">
        <f>SUM(AA24:AD24)</f>
        <v>10.769648399999999</v>
      </c>
      <c r="I44" s="56">
        <f>SUM(AE24:AH24)</f>
        <v>10.769648399999999</v>
      </c>
      <c r="J44" s="56">
        <f>SUM(AI24:AL24)</f>
        <v>10.769648399999999</v>
      </c>
      <c r="K44" s="56">
        <f>SUM(AM24:AP24)</f>
        <v>10.769648399999999</v>
      </c>
      <c r="L44" s="56">
        <f>SUM(AQ24:AT24)</f>
        <v>10.769648399999999</v>
      </c>
    </row>
    <row r="45" spans="1:12" ht="30" x14ac:dyDescent="0.25">
      <c r="A45" s="423" t="str">
        <f t="shared" si="69"/>
        <v>Заработная плата и страховые взносы</v>
      </c>
      <c r="B45" s="56">
        <f>SUM(C25:F25)</f>
        <v>17252.82</v>
      </c>
      <c r="C45" s="56">
        <f>SUM(G25:J25)</f>
        <v>24300.853199999998</v>
      </c>
      <c r="D45" s="56">
        <f>SUM(K25:N25)</f>
        <v>25314.246792000002</v>
      </c>
      <c r="E45" s="56">
        <f>SUM(O25:R25)</f>
        <v>26388.443999520001</v>
      </c>
      <c r="F45" s="56">
        <f>SUM(S25:V25)</f>
        <v>27971.750639491202</v>
      </c>
      <c r="G45" s="56">
        <f>SUM(W25:Z25)</f>
        <v>29650.055677860681</v>
      </c>
      <c r="H45" s="56">
        <f>SUM(AA25:AD25)</f>
        <v>31429.059018532316</v>
      </c>
      <c r="I45" s="56">
        <f>SUM(AE25:AH25)</f>
        <v>33168.319025397861</v>
      </c>
      <c r="J45" s="56">
        <f>SUM(AI25:AL25)</f>
        <v>35158.418166921736</v>
      </c>
      <c r="K45" s="56">
        <f>SUM(AM25:AP25)</f>
        <v>37267.923256937043</v>
      </c>
      <c r="L45" s="56">
        <f>SUM(AQ25:AT25)</f>
        <v>31207.390545623402</v>
      </c>
    </row>
    <row r="46" spans="1:12" x14ac:dyDescent="0.25">
      <c r="A46" s="423" t="str">
        <f t="shared" si="69"/>
        <v>Расходы на продвижение</v>
      </c>
      <c r="B46" s="56">
        <f>SUM(C26:F26)</f>
        <v>70</v>
      </c>
      <c r="C46" s="56">
        <f>SUM(G26:J26)</f>
        <v>140</v>
      </c>
      <c r="D46" s="56">
        <f>SUM(K26:N26)</f>
        <v>140</v>
      </c>
      <c r="E46" s="56">
        <f>SUM(O26:R26)</f>
        <v>140</v>
      </c>
      <c r="F46" s="56">
        <f>SUM(S26:V26)</f>
        <v>140</v>
      </c>
      <c r="G46" s="56">
        <f>SUM(W26:Z26)</f>
        <v>140</v>
      </c>
      <c r="H46" s="56">
        <f>SUM(AA26:AD26)</f>
        <v>140</v>
      </c>
      <c r="I46" s="56">
        <f>SUM(AE26:AH26)</f>
        <v>140</v>
      </c>
      <c r="J46" s="56">
        <f>SUM(AI26:AL26)</f>
        <v>140</v>
      </c>
      <c r="K46" s="56">
        <f>SUM(AM26:AP26)</f>
        <v>140</v>
      </c>
      <c r="L46" s="56">
        <f>SUM(AQ26:AT26)</f>
        <v>140</v>
      </c>
    </row>
    <row r="47" spans="1:12" x14ac:dyDescent="0.25">
      <c r="A47" s="423" t="str">
        <f t="shared" si="69"/>
        <v>Амортизация</v>
      </c>
      <c r="B47" s="56">
        <f>SUM(C27:F27)</f>
        <v>1214.090909090909</v>
      </c>
      <c r="C47" s="56">
        <f>SUM(G27:J27)</f>
        <v>4288.181818181818</v>
      </c>
      <c r="D47" s="56">
        <f>SUM(K27:N27)</f>
        <v>4288.181818181818</v>
      </c>
      <c r="E47" s="56">
        <f>SUM(O27:R27)</f>
        <v>4288.181818181818</v>
      </c>
      <c r="F47" s="56">
        <f>SUM(S27:V27)</f>
        <v>4288.181818181818</v>
      </c>
      <c r="G47" s="56">
        <f>SUM(W27:Z27)</f>
        <v>4288.181818181818</v>
      </c>
      <c r="H47" s="56">
        <f>SUM(AA27:AD27)</f>
        <v>4288.181818181818</v>
      </c>
      <c r="I47" s="56">
        <f>SUM(AE27:AH27)</f>
        <v>4288.181818181818</v>
      </c>
      <c r="J47" s="56">
        <f>SUM(AI27:AL27)</f>
        <v>4288.181818181818</v>
      </c>
      <c r="K47" s="56">
        <f>SUM(AM27:AP27)</f>
        <v>4288.181818181818</v>
      </c>
      <c r="L47" s="56">
        <f>SUM(AQ27:AT27)</f>
        <v>4288.181818181818</v>
      </c>
    </row>
    <row r="48" spans="1:12" ht="30" x14ac:dyDescent="0.25">
      <c r="A48" s="423" t="str">
        <f t="shared" si="69"/>
        <v>Обновление основных средств, МБП</v>
      </c>
      <c r="B48" s="56">
        <f>SUM(C28:F28)</f>
        <v>0</v>
      </c>
      <c r="C48" s="56">
        <f>SUM(G28:J28)</f>
        <v>0</v>
      </c>
      <c r="D48" s="56">
        <f>SUM(K28:N28)</f>
        <v>246.25</v>
      </c>
      <c r="E48" s="56">
        <f>SUM(O28:R28)</f>
        <v>246.25</v>
      </c>
      <c r="F48" s="56">
        <f>SUM(S28:V28)</f>
        <v>246.25</v>
      </c>
      <c r="G48" s="56">
        <f>SUM(W28:Z28)</f>
        <v>246.25</v>
      </c>
      <c r="H48" s="56">
        <f>SUM(AA28:AD28)</f>
        <v>246.25</v>
      </c>
      <c r="I48" s="56">
        <f>SUM(AE28:AH28)</f>
        <v>246.25</v>
      </c>
      <c r="J48" s="56">
        <f>SUM(AI28:AL28)</f>
        <v>246.25</v>
      </c>
      <c r="K48" s="56">
        <f>SUM(AM28:AP28)</f>
        <v>246.25</v>
      </c>
      <c r="L48" s="56">
        <f>SUM(AQ28:AT28)</f>
        <v>246.25</v>
      </c>
    </row>
    <row r="49" spans="1:13" s="437" customFormat="1" x14ac:dyDescent="0.25">
      <c r="A49" s="433" t="str">
        <f t="shared" si="69"/>
        <v>итого</v>
      </c>
      <c r="B49" s="437">
        <f>SUM(B44:B48)</f>
        <v>18547.680557490909</v>
      </c>
      <c r="C49" s="437">
        <f t="shared" ref="C49:L49" si="71">SUM(C44:C48)</f>
        <v>28739.804666581818</v>
      </c>
      <c r="D49" s="437">
        <f t="shared" si="71"/>
        <v>29999.448258581819</v>
      </c>
      <c r="E49" s="437">
        <f t="shared" si="71"/>
        <v>31073.645466101822</v>
      </c>
      <c r="F49" s="437">
        <f t="shared" si="71"/>
        <v>32656.952106073019</v>
      </c>
      <c r="G49" s="437">
        <f t="shared" si="71"/>
        <v>34335.257144442498</v>
      </c>
      <c r="H49" s="437">
        <f t="shared" si="71"/>
        <v>36114.260485114137</v>
      </c>
      <c r="I49" s="437">
        <f t="shared" si="71"/>
        <v>37853.520491979674</v>
      </c>
      <c r="J49" s="437">
        <f t="shared" si="71"/>
        <v>39843.619633503549</v>
      </c>
      <c r="K49" s="437">
        <f t="shared" si="71"/>
        <v>41953.124723518857</v>
      </c>
      <c r="L49" s="437">
        <f t="shared" si="71"/>
        <v>35892.592012205219</v>
      </c>
    </row>
    <row r="50" spans="1:13" s="437" customFormat="1" x14ac:dyDescent="0.25">
      <c r="A50" s="433" t="s">
        <v>393</v>
      </c>
      <c r="B50" s="437">
        <f t="shared" ref="B50:L50" si="72">B41+B49</f>
        <v>53115.92278249091</v>
      </c>
      <c r="C50" s="437">
        <f t="shared" si="72"/>
        <v>74334.149268581823</v>
      </c>
      <c r="D50" s="437">
        <f t="shared" si="72"/>
        <v>77664.503893701825</v>
      </c>
      <c r="E50" s="437">
        <f t="shared" si="72"/>
        <v>80971.353996329039</v>
      </c>
      <c r="F50" s="437">
        <f t="shared" si="72"/>
        <v>84947.952161113848</v>
      </c>
      <c r="G50" s="437">
        <f t="shared" si="72"/>
        <v>89163.14621578579</v>
      </c>
      <c r="H50" s="437">
        <f t="shared" si="72"/>
        <v>93631.25191373803</v>
      </c>
      <c r="I50" s="437">
        <f t="shared" si="72"/>
        <v>98212.171407266229</v>
      </c>
      <c r="J50" s="437">
        <f t="shared" si="72"/>
        <v>103223.21861670731</v>
      </c>
      <c r="K50" s="437">
        <f t="shared" si="72"/>
        <v>108715.1890507089</v>
      </c>
      <c r="L50" s="437">
        <f t="shared" si="72"/>
        <v>105431.02350744051</v>
      </c>
    </row>
    <row r="51" spans="1:13" s="439" customFormat="1" x14ac:dyDescent="0.25">
      <c r="A51" s="442" t="str">
        <f>A31</f>
        <v>Себестоимость полная, руб/кг</v>
      </c>
      <c r="C51" s="439">
        <f>C50/(SUM('объем работ 100% загр'!D10:D13))</f>
        <v>11.292452461107066</v>
      </c>
      <c r="D51" s="439">
        <f>D50/(SUM('объем работ 100% загр'!E10:E13))</f>
        <v>11.798382395771577</v>
      </c>
      <c r="E51" s="439">
        <f>E50/(SUM('объем работ 100% загр'!F10:F13))</f>
        <v>12.300741647170289</v>
      </c>
      <c r="F51" s="439">
        <f>F50/(SUM('объем работ 100% загр'!G10:G13))</f>
        <v>12.904845496808855</v>
      </c>
      <c r="G51" s="439">
        <f>G50/(SUM('объем работ 100% загр'!H10:H13))</f>
        <v>13.545195577425742</v>
      </c>
      <c r="H51" s="439">
        <f>H50/(SUM('объем работ 100% загр'!I10:I13))</f>
        <v>14.223966662879638</v>
      </c>
      <c r="I51" s="439">
        <f>I50/(SUM('объем работ 100% загр'!J10:J13))</f>
        <v>14.919875826000847</v>
      </c>
      <c r="J51" s="439">
        <f>J50/(SUM('объем работ 100% загр'!K10:K13))</f>
        <v>15.681127726369253</v>
      </c>
      <c r="K51" s="439">
        <f>K50/(SUM('объем работ 100% загр'!L10:L13))</f>
        <v>16.51543895013382</v>
      </c>
      <c r="L51" s="439">
        <f>L50/(SUM('объем работ 100% загр'!M10:M13))</f>
        <v>16.016525817520098</v>
      </c>
      <c r="M51" s="445">
        <f>AVERAGE(C51:L51)</f>
        <v>13.919855256118717</v>
      </c>
    </row>
    <row r="53" spans="1:13" x14ac:dyDescent="0.25">
      <c r="A53" s="538" t="s">
        <v>467</v>
      </c>
    </row>
  </sheetData>
  <pageMargins left="0.7" right="0.7" top="0.75" bottom="0.75" header="0.3" footer="0.3"/>
  <pageSetup paperSize="9" orientation="portrait" r:id="rId1"/>
  <legacy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Лист7">
    <tabColor theme="0"/>
    <pageSetUpPr fitToPage="1"/>
  </sheetPr>
  <dimension ref="A1:AU21"/>
  <sheetViews>
    <sheetView view="pageBreakPreview" zoomScale="60" zoomScaleNormal="70" workbookViewId="0">
      <pane xSplit="2" ySplit="1" topLeftCell="C2" activePane="bottomRight" state="frozen"/>
      <selection activeCell="C20" sqref="C20"/>
      <selection pane="topRight"/>
      <selection pane="bottomLeft"/>
      <selection pane="bottomRight" activeCell="R15" sqref="R15"/>
    </sheetView>
  </sheetViews>
  <sheetFormatPr defaultColWidth="9.140625" defaultRowHeight="15" x14ac:dyDescent="0.25"/>
  <cols>
    <col min="1" max="1" width="7.28515625" style="73" customWidth="1"/>
    <col min="2" max="2" width="26.5703125" style="51" customWidth="1"/>
    <col min="3" max="3" width="12.140625" style="74" customWidth="1"/>
    <col min="4" max="4" width="13.42578125" style="74" customWidth="1"/>
    <col min="5" max="5" width="14" style="74" customWidth="1"/>
    <col min="6" max="6" width="15.140625" style="74" customWidth="1"/>
    <col min="7" max="7" width="15.28515625" style="74" customWidth="1"/>
    <col min="8" max="8" width="15.42578125" style="74" customWidth="1"/>
    <col min="9" max="9" width="14" style="74" customWidth="1"/>
    <col min="10" max="10" width="15.28515625" style="74" customWidth="1"/>
    <col min="11" max="11" width="16.140625" style="74" customWidth="1"/>
    <col min="12" max="12" width="16.28515625" style="74" customWidth="1"/>
    <col min="13" max="13" width="16.42578125" style="74" customWidth="1"/>
    <col min="14" max="14" width="13.42578125" style="74" customWidth="1"/>
    <col min="15" max="15" width="17.140625" style="74" customWidth="1"/>
    <col min="16" max="16" width="13.7109375" style="74" customWidth="1"/>
    <col min="17" max="17" width="13.5703125" style="74" customWidth="1"/>
    <col min="18" max="18" width="13.85546875" style="74" customWidth="1"/>
    <col min="19" max="19" width="18.42578125" style="74" customWidth="1"/>
    <col min="20" max="20" width="14.85546875" style="74" customWidth="1"/>
    <col min="21" max="21" width="14.42578125" style="74" customWidth="1"/>
    <col min="22" max="22" width="14.28515625" style="74" customWidth="1"/>
    <col min="23" max="23" width="15.28515625" style="74" customWidth="1"/>
    <col min="24" max="24" width="14.42578125" customWidth="1"/>
    <col min="25" max="25" width="13.5703125" customWidth="1"/>
    <col min="26" max="26" width="14.42578125" customWidth="1"/>
    <col min="27" max="27" width="15.85546875" customWidth="1"/>
    <col min="28" max="28" width="17.5703125" customWidth="1"/>
    <col min="29" max="29" width="15.42578125" customWidth="1"/>
    <col min="30" max="30" width="19.5703125" customWidth="1"/>
    <col min="31" max="31" width="16.140625" customWidth="1"/>
    <col min="32" max="32" width="13" customWidth="1"/>
    <col min="33" max="33" width="14.140625" customWidth="1"/>
    <col min="34" max="34" width="11.7109375" customWidth="1"/>
    <col min="35" max="35" width="14.140625" customWidth="1"/>
    <col min="36" max="36" width="16.7109375" customWidth="1"/>
    <col min="37" max="37" width="13.7109375" customWidth="1"/>
    <col min="38" max="38" width="13" customWidth="1"/>
    <col min="39" max="39" width="12.42578125" customWidth="1"/>
    <col min="40" max="40" width="14.140625" customWidth="1"/>
    <col min="41" max="41" width="12.7109375" customWidth="1"/>
    <col min="42" max="42" width="13" customWidth="1"/>
    <col min="43" max="43" width="12.28515625" customWidth="1"/>
    <col min="44" max="44" width="13" customWidth="1"/>
    <col min="45" max="45" width="11.7109375" customWidth="1"/>
    <col min="46" max="46" width="12.42578125" customWidth="1"/>
    <col min="47" max="47" width="13.42578125" customWidth="1"/>
  </cols>
  <sheetData>
    <row r="1" spans="1:47" s="57" customFormat="1" x14ac:dyDescent="0.25">
      <c r="A1" s="504" t="s">
        <v>61</v>
      </c>
      <c r="B1" s="505" t="s">
        <v>62</v>
      </c>
      <c r="C1" s="506"/>
      <c r="D1" s="506" t="s">
        <v>63</v>
      </c>
      <c r="E1" s="506" t="s">
        <v>64</v>
      </c>
      <c r="F1" s="506" t="s">
        <v>65</v>
      </c>
      <c r="G1" s="506" t="s">
        <v>66</v>
      </c>
      <c r="H1" s="506" t="s">
        <v>67</v>
      </c>
      <c r="I1" s="506" t="s">
        <v>68</v>
      </c>
      <c r="J1" s="506" t="s">
        <v>69</v>
      </c>
      <c r="K1" s="506" t="s">
        <v>70</v>
      </c>
      <c r="L1" s="506" t="s">
        <v>71</v>
      </c>
      <c r="M1" s="506" t="s">
        <v>72</v>
      </c>
      <c r="N1" s="506" t="s">
        <v>73</v>
      </c>
      <c r="O1" s="506" t="s">
        <v>74</v>
      </c>
      <c r="P1" s="506" t="s">
        <v>75</v>
      </c>
      <c r="Q1" s="506" t="s">
        <v>76</v>
      </c>
      <c r="R1" s="506" t="s">
        <v>77</v>
      </c>
      <c r="S1" s="506" t="s">
        <v>78</v>
      </c>
      <c r="T1" s="506" t="s">
        <v>79</v>
      </c>
      <c r="U1" s="506" t="s">
        <v>80</v>
      </c>
      <c r="V1" s="506" t="s">
        <v>81</v>
      </c>
      <c r="W1" s="506" t="s">
        <v>82</v>
      </c>
      <c r="X1" s="506" t="s">
        <v>83</v>
      </c>
      <c r="Y1" s="506" t="s">
        <v>84</v>
      </c>
      <c r="Z1" s="506" t="s">
        <v>85</v>
      </c>
      <c r="AA1" s="506" t="s">
        <v>86</v>
      </c>
      <c r="AB1" s="506" t="s">
        <v>89</v>
      </c>
      <c r="AC1" s="506" t="s">
        <v>90</v>
      </c>
      <c r="AD1" s="506" t="s">
        <v>91</v>
      </c>
      <c r="AE1" s="506" t="s">
        <v>92</v>
      </c>
      <c r="AF1" s="506" t="s">
        <v>93</v>
      </c>
      <c r="AG1" s="506" t="s">
        <v>94</v>
      </c>
      <c r="AH1" s="506" t="s">
        <v>95</v>
      </c>
      <c r="AI1" s="506" t="s">
        <v>96</v>
      </c>
      <c r="AJ1" s="506" t="s">
        <v>97</v>
      </c>
      <c r="AK1" s="506" t="s">
        <v>98</v>
      </c>
      <c r="AL1" s="506" t="s">
        <v>99</v>
      </c>
      <c r="AM1" s="506" t="s">
        <v>100</v>
      </c>
      <c r="AN1" s="506" t="s">
        <v>101</v>
      </c>
      <c r="AO1" s="506" t="s">
        <v>102</v>
      </c>
      <c r="AP1" s="506" t="s">
        <v>103</v>
      </c>
      <c r="AQ1" s="506" t="s">
        <v>104</v>
      </c>
      <c r="AR1" s="506" t="s">
        <v>105</v>
      </c>
      <c r="AS1" s="506" t="s">
        <v>106</v>
      </c>
      <c r="AT1" s="506" t="s">
        <v>107</v>
      </c>
      <c r="AU1" s="506" t="s">
        <v>108</v>
      </c>
    </row>
    <row r="2" spans="1:47" s="502" customFormat="1" ht="35.25" customHeight="1" x14ac:dyDescent="0.25">
      <c r="A2" s="59">
        <v>1</v>
      </c>
      <c r="B2" s="429" t="str">
        <f>'объем работ 100% загр'!A23</f>
        <v>Ответственное хранение (капуста , морковь, лук)</v>
      </c>
      <c r="C2" s="63" t="s">
        <v>87</v>
      </c>
      <c r="D2" s="63">
        <v>0</v>
      </c>
      <c r="E2" s="63">
        <v>0</v>
      </c>
      <c r="F2" s="63">
        <v>0</v>
      </c>
      <c r="G2" s="63">
        <f>'объем работ 100% загр'!C23</f>
        <v>733.33333333333337</v>
      </c>
      <c r="H2" s="402">
        <f>'объем работ 100% загр'!D23/4</f>
        <v>6541.2600000000011</v>
      </c>
      <c r="I2" s="402">
        <f>H2</f>
        <v>6541.2600000000011</v>
      </c>
      <c r="J2" s="402">
        <f>I2</f>
        <v>6541.2600000000011</v>
      </c>
      <c r="K2" s="402">
        <f>J2</f>
        <v>6541.2600000000011</v>
      </c>
      <c r="L2" s="402">
        <f>'объем работ 100% загр'!E23/4</f>
        <v>6933.7356000000009</v>
      </c>
      <c r="M2" s="402">
        <f>L2</f>
        <v>6933.7356000000009</v>
      </c>
      <c r="N2" s="402">
        <f t="shared" ref="N2:O2" si="0">M2</f>
        <v>6933.7356000000009</v>
      </c>
      <c r="O2" s="402">
        <f t="shared" si="0"/>
        <v>6933.7356000000009</v>
      </c>
      <c r="P2" s="402">
        <f>'объем работ 100% загр'!F23/4</f>
        <v>7349.7597360000009</v>
      </c>
      <c r="Q2" s="402">
        <f>P2</f>
        <v>7349.7597360000009</v>
      </c>
      <c r="R2" s="402">
        <f t="shared" ref="R2:S3" si="1">Q2</f>
        <v>7349.7597360000009</v>
      </c>
      <c r="S2" s="402">
        <f t="shared" si="1"/>
        <v>7349.7597360000009</v>
      </c>
      <c r="T2" s="402">
        <f>'объем работ 100% загр'!G23/4</f>
        <v>7790.745320160001</v>
      </c>
      <c r="U2" s="402">
        <f>T2</f>
        <v>7790.745320160001</v>
      </c>
      <c r="V2" s="402">
        <f t="shared" ref="V2:W2" si="2">U2</f>
        <v>7790.745320160001</v>
      </c>
      <c r="W2" s="402">
        <f t="shared" si="2"/>
        <v>7790.745320160001</v>
      </c>
      <c r="X2" s="402">
        <f>'объем работ 100% загр'!H23/4</f>
        <v>8258.1900393696014</v>
      </c>
      <c r="Y2" s="402">
        <f>X2</f>
        <v>8258.1900393696014</v>
      </c>
      <c r="Z2" s="402">
        <f t="shared" ref="Z2:AA2" si="3">Y2</f>
        <v>8258.1900393696014</v>
      </c>
      <c r="AA2" s="402">
        <f t="shared" si="3"/>
        <v>8258.1900393696014</v>
      </c>
      <c r="AB2" s="402">
        <f>'объем работ 100% загр'!I23/4</f>
        <v>8753.6814417317782</v>
      </c>
      <c r="AC2" s="402">
        <f>AB2</f>
        <v>8753.6814417317782</v>
      </c>
      <c r="AD2" s="402">
        <f t="shared" ref="AD2:AE2" si="4">AC2</f>
        <v>8753.6814417317782</v>
      </c>
      <c r="AE2" s="402">
        <f t="shared" si="4"/>
        <v>8753.6814417317782</v>
      </c>
      <c r="AF2" s="402">
        <f>'объем работ 100% загр'!J23/4</f>
        <v>9278.9023282356848</v>
      </c>
      <c r="AG2" s="402">
        <f>AF2</f>
        <v>9278.9023282356848</v>
      </c>
      <c r="AH2" s="402">
        <f t="shared" ref="AH2:AI2" si="5">AG2</f>
        <v>9278.9023282356848</v>
      </c>
      <c r="AI2" s="402">
        <f t="shared" si="5"/>
        <v>9278.9023282356848</v>
      </c>
      <c r="AJ2" s="402">
        <f>'объем работ 100% загр'!K23/4</f>
        <v>9835.6364679298276</v>
      </c>
      <c r="AK2" s="402">
        <f>AJ2</f>
        <v>9835.6364679298276</v>
      </c>
      <c r="AL2" s="402">
        <f t="shared" ref="AL2:AM2" si="6">AK2</f>
        <v>9835.6364679298276</v>
      </c>
      <c r="AM2" s="402">
        <f t="shared" si="6"/>
        <v>9835.6364679298276</v>
      </c>
      <c r="AN2" s="402">
        <f>'объем работ 100% загр'!L23/4</f>
        <v>10425.774656005618</v>
      </c>
      <c r="AO2" s="402">
        <f>AN2</f>
        <v>10425.774656005618</v>
      </c>
      <c r="AP2" s="402">
        <f t="shared" ref="AP2:AQ2" si="7">AO2</f>
        <v>10425.774656005618</v>
      </c>
      <c r="AQ2" s="402">
        <f t="shared" si="7"/>
        <v>10425.774656005618</v>
      </c>
      <c r="AR2" s="402">
        <f>'объем работ 100% загр'!M23/4</f>
        <v>11051.321135365955</v>
      </c>
      <c r="AS2" s="402">
        <f>AR2</f>
        <v>11051.321135365955</v>
      </c>
      <c r="AT2" s="402">
        <f t="shared" ref="AT2:AU2" si="8">AS2</f>
        <v>11051.321135365955</v>
      </c>
      <c r="AU2" s="402">
        <f t="shared" si="8"/>
        <v>11051.321135365955</v>
      </c>
    </row>
    <row r="3" spans="1:47" x14ac:dyDescent="0.25">
      <c r="A3" s="59">
        <f>A2+1</f>
        <v>2</v>
      </c>
      <c r="B3" s="181" t="str">
        <f>'объем работ 100% загр'!A4</f>
        <v xml:space="preserve">Реализация картофеля </v>
      </c>
      <c r="C3" s="63" t="s">
        <v>87</v>
      </c>
      <c r="D3" s="63"/>
      <c r="F3" s="63"/>
      <c r="G3" s="63">
        <f>('объем работ 100% загр'!C24/5)*2</f>
        <v>17453.333333333336</v>
      </c>
      <c r="H3" s="402">
        <f>('объем работ 100% загр'!C24/5)*3</f>
        <v>26180.000000000004</v>
      </c>
      <c r="I3" s="402">
        <f>'объем работ 100% загр'!D24/4</f>
        <v>26180</v>
      </c>
      <c r="J3" s="402">
        <f>I3</f>
        <v>26180</v>
      </c>
      <c r="K3" s="402">
        <f t="shared" ref="I3:K5" si="9">J3</f>
        <v>26180</v>
      </c>
      <c r="L3" s="705">
        <f>K3</f>
        <v>26180</v>
      </c>
      <c r="M3" s="402">
        <f>'объем работ 100% загр'!E24/4</f>
        <v>27750.799999999999</v>
      </c>
      <c r="N3" s="402">
        <f>M3</f>
        <v>27750.799999999999</v>
      </c>
      <c r="O3" s="402">
        <f t="shared" ref="M3:O5" si="10">N3</f>
        <v>27750.799999999999</v>
      </c>
      <c r="P3" s="705">
        <f>O3</f>
        <v>27750.799999999999</v>
      </c>
      <c r="Q3" s="402">
        <f>'объем работ 100% загр'!F24/4</f>
        <v>29415.848000000002</v>
      </c>
      <c r="R3" s="402">
        <f>Q3</f>
        <v>29415.848000000002</v>
      </c>
      <c r="S3" s="402">
        <f t="shared" si="1"/>
        <v>29415.848000000002</v>
      </c>
      <c r="T3" s="402">
        <f t="shared" ref="T3" si="11">S3</f>
        <v>29415.848000000002</v>
      </c>
      <c r="U3" s="402">
        <f>'объем работ 100% загр'!G24/4</f>
        <v>31180.798880000002</v>
      </c>
      <c r="V3" s="402">
        <f>U3</f>
        <v>31180.798880000002</v>
      </c>
      <c r="W3" s="402">
        <f>V3</f>
        <v>31180.798880000002</v>
      </c>
      <c r="X3" s="56">
        <f>W3</f>
        <v>31180.798880000002</v>
      </c>
      <c r="Y3" s="402">
        <f>'объем работ 100% загр'!H24/4</f>
        <v>33051.646812800005</v>
      </c>
      <c r="Z3" s="402">
        <f>Y3</f>
        <v>33051.646812800005</v>
      </c>
      <c r="AA3" s="402">
        <f>Z3</f>
        <v>33051.646812800005</v>
      </c>
      <c r="AB3" s="56">
        <f>AA3</f>
        <v>33051.646812800005</v>
      </c>
      <c r="AC3" s="402">
        <f>'объем работ 100% загр'!I24/4</f>
        <v>35034.745621568007</v>
      </c>
      <c r="AD3" s="402">
        <f>AC3</f>
        <v>35034.745621568007</v>
      </c>
      <c r="AE3" s="402">
        <f>AD3</f>
        <v>35034.745621568007</v>
      </c>
      <c r="AF3" s="56">
        <f>AE3</f>
        <v>35034.745621568007</v>
      </c>
      <c r="AG3" s="402">
        <f>'объем работ 100% загр'!J24/4</f>
        <v>37136.830358862084</v>
      </c>
      <c r="AH3" s="313">
        <f>AG3</f>
        <v>37136.830358862084</v>
      </c>
      <c r="AI3" s="313">
        <f>AH3</f>
        <v>37136.830358862084</v>
      </c>
      <c r="AJ3" s="56">
        <f>AI3</f>
        <v>37136.830358862084</v>
      </c>
      <c r="AK3" s="402">
        <f>'объем работ 100% загр'!K24/4</f>
        <v>39365.040180393815</v>
      </c>
      <c r="AL3" s="313">
        <f>AK3</f>
        <v>39365.040180393815</v>
      </c>
      <c r="AM3" s="313">
        <f>AL3</f>
        <v>39365.040180393815</v>
      </c>
      <c r="AN3" s="402">
        <f>AM3</f>
        <v>39365.040180393815</v>
      </c>
      <c r="AO3" s="402">
        <f>'объем работ 100% загр'!M24/4</f>
        <v>44230.559146690495</v>
      </c>
      <c r="AP3" s="313">
        <f>AO3</f>
        <v>44230.559146690495</v>
      </c>
      <c r="AQ3" s="313">
        <f>AP3</f>
        <v>44230.559146690495</v>
      </c>
      <c r="AR3" s="56">
        <f>AQ3</f>
        <v>44230.559146690495</v>
      </c>
      <c r="AS3" s="402">
        <f>'объем работ 100% загр'!M24/4</f>
        <v>44230.559146690495</v>
      </c>
      <c r="AT3" s="313">
        <f>AS3</f>
        <v>44230.559146690495</v>
      </c>
      <c r="AU3" s="313">
        <f>AT3</f>
        <v>44230.559146690495</v>
      </c>
    </row>
    <row r="4" spans="1:47" ht="27" customHeight="1" x14ac:dyDescent="0.25">
      <c r="A4" s="59">
        <f t="shared" ref="A4:A5" si="12">A3+1</f>
        <v>3</v>
      </c>
      <c r="B4" s="181" t="str">
        <f>'объем работ 100% загр'!A5</f>
        <v>Переработка дикоросов</v>
      </c>
      <c r="C4" s="63" t="s">
        <v>87</v>
      </c>
      <c r="D4" s="63"/>
      <c r="E4" s="63"/>
      <c r="F4" s="63">
        <f>'объем работ 100% загр'!C25/3</f>
        <v>4800</v>
      </c>
      <c r="G4" s="63">
        <f>F4</f>
        <v>4800</v>
      </c>
      <c r="H4" s="402">
        <f>'объем работ 100% загр'!D25/4</f>
        <v>3816</v>
      </c>
      <c r="I4" s="402">
        <f t="shared" si="9"/>
        <v>3816</v>
      </c>
      <c r="J4" s="402">
        <f t="shared" si="9"/>
        <v>3816</v>
      </c>
      <c r="K4" s="402">
        <f t="shared" si="9"/>
        <v>3816</v>
      </c>
      <c r="L4" s="402">
        <f>'объем работ 100% загр'!E25/4</f>
        <v>4044.9600000000005</v>
      </c>
      <c r="M4" s="402">
        <f t="shared" si="10"/>
        <v>4044.9600000000005</v>
      </c>
      <c r="N4" s="402">
        <f t="shared" si="10"/>
        <v>4044.9600000000005</v>
      </c>
      <c r="O4" s="402">
        <f t="shared" si="10"/>
        <v>4044.9600000000005</v>
      </c>
      <c r="P4" s="402">
        <f>'объем работ 100% загр'!F25/4</f>
        <v>4287.6576000000005</v>
      </c>
      <c r="Q4" s="402">
        <f t="shared" ref="Q4:S5" si="13">P4</f>
        <v>4287.6576000000005</v>
      </c>
      <c r="R4" s="402">
        <f t="shared" si="13"/>
        <v>4287.6576000000005</v>
      </c>
      <c r="S4" s="402">
        <f t="shared" si="13"/>
        <v>4287.6576000000005</v>
      </c>
      <c r="T4" s="402">
        <f>'объем работ 100% загр'!G25/4</f>
        <v>4544.9170560000002</v>
      </c>
      <c r="U4" s="402">
        <f t="shared" ref="U4:W5" si="14">T4</f>
        <v>4544.9170560000002</v>
      </c>
      <c r="V4" s="402">
        <f t="shared" si="14"/>
        <v>4544.9170560000002</v>
      </c>
      <c r="W4" s="402">
        <f t="shared" si="14"/>
        <v>4544.9170560000002</v>
      </c>
      <c r="X4" s="402">
        <f>'объем работ 100% загр'!H25/4</f>
        <v>4817.6120793600012</v>
      </c>
      <c r="Y4" s="402">
        <f t="shared" ref="Y4:AA5" si="15">X4</f>
        <v>4817.6120793600012</v>
      </c>
      <c r="Z4" s="402">
        <f t="shared" si="15"/>
        <v>4817.6120793600012</v>
      </c>
      <c r="AA4" s="402">
        <f t="shared" si="15"/>
        <v>4817.6120793600012</v>
      </c>
      <c r="AB4" s="402">
        <f>'объем работ 100% загр'!I25/4</f>
        <v>5106.6688041216012</v>
      </c>
      <c r="AC4" s="402">
        <f t="shared" ref="AC4:AE5" si="16">AB4</f>
        <v>5106.6688041216012</v>
      </c>
      <c r="AD4" s="402">
        <f t="shared" si="16"/>
        <v>5106.6688041216012</v>
      </c>
      <c r="AE4" s="402">
        <f t="shared" si="16"/>
        <v>5106.6688041216012</v>
      </c>
      <c r="AF4" s="402">
        <f>'объем работ 100% загр'!J25/4</f>
        <v>5413.0689323688975</v>
      </c>
      <c r="AG4" s="313">
        <f t="shared" ref="AG4:AG5" si="17">AF4</f>
        <v>5413.0689323688975</v>
      </c>
      <c r="AH4" s="313">
        <f t="shared" ref="AH4:AI5" si="18">AG4</f>
        <v>5413.0689323688975</v>
      </c>
      <c r="AI4" s="313">
        <f t="shared" si="18"/>
        <v>5413.0689323688975</v>
      </c>
      <c r="AJ4" s="402">
        <f>'объем работ 100% загр'!K25/4</f>
        <v>5737.8530683110312</v>
      </c>
      <c r="AK4" s="313">
        <f t="shared" ref="AK4:AK5" si="19">AJ4</f>
        <v>5737.8530683110312</v>
      </c>
      <c r="AL4" s="313">
        <f t="shared" ref="AL4:AM5" si="20">AK4</f>
        <v>5737.8530683110312</v>
      </c>
      <c r="AM4" s="313">
        <f t="shared" si="20"/>
        <v>5737.8530683110312</v>
      </c>
      <c r="AN4" s="402">
        <f>'объем работ 100% загр'!L25/4</f>
        <v>6082.1242524096942</v>
      </c>
      <c r="AO4" s="313">
        <f t="shared" ref="AO4:AP5" si="21">AN4</f>
        <v>6082.1242524096942</v>
      </c>
      <c r="AP4" s="313">
        <f t="shared" si="21"/>
        <v>6082.1242524096942</v>
      </c>
      <c r="AQ4" s="313">
        <f t="shared" ref="AQ4:AQ5" si="22">AP4</f>
        <v>6082.1242524096942</v>
      </c>
      <c r="AR4" s="402">
        <f>'объем работ 100% загр'!M25/4</f>
        <v>6447.0517075542766</v>
      </c>
      <c r="AS4" s="313">
        <f t="shared" ref="AS4:AU5" si="23">AR4</f>
        <v>6447.0517075542766</v>
      </c>
      <c r="AT4" s="313">
        <f t="shared" si="23"/>
        <v>6447.0517075542766</v>
      </c>
      <c r="AU4" s="313">
        <f t="shared" si="23"/>
        <v>6447.0517075542766</v>
      </c>
    </row>
    <row r="5" spans="1:47" ht="29.25" customHeight="1" x14ac:dyDescent="0.25">
      <c r="A5" s="59">
        <f t="shared" si="12"/>
        <v>4</v>
      </c>
      <c r="B5" s="181" t="str">
        <f>'объем работ 100% загр'!A6</f>
        <v>Услуги первичной переработки</v>
      </c>
      <c r="C5" s="63" t="s">
        <v>87</v>
      </c>
      <c r="D5" s="63"/>
      <c r="E5" s="63"/>
      <c r="F5" s="63">
        <f>'объем работ 100% загр'!C26/4</f>
        <v>1575</v>
      </c>
      <c r="G5" s="63">
        <f>F5</f>
        <v>1575</v>
      </c>
      <c r="H5" s="402">
        <f>'объем работ 100% загр'!D26/4</f>
        <v>3600</v>
      </c>
      <c r="I5" s="402">
        <f t="shared" si="9"/>
        <v>3600</v>
      </c>
      <c r="J5" s="402">
        <f t="shared" si="9"/>
        <v>3600</v>
      </c>
      <c r="K5" s="402">
        <f t="shared" si="9"/>
        <v>3600</v>
      </c>
      <c r="L5" s="402">
        <f>'объем работ 100% загр'!E26/4</f>
        <v>3816</v>
      </c>
      <c r="M5" s="402">
        <f t="shared" si="10"/>
        <v>3816</v>
      </c>
      <c r="N5" s="402">
        <f t="shared" si="10"/>
        <v>3816</v>
      </c>
      <c r="O5" s="402">
        <f t="shared" si="10"/>
        <v>3816</v>
      </c>
      <c r="P5" s="402">
        <f>'объем работ 100% загр'!F26/4</f>
        <v>4044.9600000000005</v>
      </c>
      <c r="Q5" s="402">
        <f t="shared" si="13"/>
        <v>4044.9600000000005</v>
      </c>
      <c r="R5" s="402">
        <f t="shared" si="13"/>
        <v>4044.9600000000005</v>
      </c>
      <c r="S5" s="402">
        <f t="shared" si="13"/>
        <v>4044.9600000000005</v>
      </c>
      <c r="T5" s="402">
        <f>'объем работ 100% загр'!G26/4</f>
        <v>4287.6576000000014</v>
      </c>
      <c r="U5" s="402">
        <f t="shared" si="14"/>
        <v>4287.6576000000014</v>
      </c>
      <c r="V5" s="402">
        <f t="shared" si="14"/>
        <v>4287.6576000000014</v>
      </c>
      <c r="W5" s="402">
        <f t="shared" si="14"/>
        <v>4287.6576000000014</v>
      </c>
      <c r="X5" s="402">
        <f>'объем работ 100% загр'!H26/4</f>
        <v>4544.9170560000011</v>
      </c>
      <c r="Y5" s="402">
        <f t="shared" si="15"/>
        <v>4544.9170560000011</v>
      </c>
      <c r="Z5" s="402">
        <f t="shared" si="15"/>
        <v>4544.9170560000011</v>
      </c>
      <c r="AA5" s="402">
        <f t="shared" si="15"/>
        <v>4544.9170560000011</v>
      </c>
      <c r="AB5" s="402">
        <f>'объем работ 100% загр'!I26/4</f>
        <v>4817.6120793600021</v>
      </c>
      <c r="AC5" s="402">
        <f t="shared" si="16"/>
        <v>4817.6120793600021</v>
      </c>
      <c r="AD5" s="402">
        <f t="shared" si="16"/>
        <v>4817.6120793600021</v>
      </c>
      <c r="AE5" s="402">
        <f t="shared" si="16"/>
        <v>4817.6120793600021</v>
      </c>
      <c r="AF5" s="402">
        <f>'объем работ 100% загр'!J26/4</f>
        <v>5106.6688041216021</v>
      </c>
      <c r="AG5" s="313">
        <f t="shared" si="17"/>
        <v>5106.6688041216021</v>
      </c>
      <c r="AH5" s="313">
        <f t="shared" si="18"/>
        <v>5106.6688041216021</v>
      </c>
      <c r="AI5" s="313">
        <f t="shared" si="18"/>
        <v>5106.6688041216021</v>
      </c>
      <c r="AJ5" s="402">
        <f>'объем работ 100% загр'!K26/4</f>
        <v>5413.0689323688985</v>
      </c>
      <c r="AK5" s="313">
        <f t="shared" si="19"/>
        <v>5413.0689323688985</v>
      </c>
      <c r="AL5" s="313">
        <f t="shared" si="20"/>
        <v>5413.0689323688985</v>
      </c>
      <c r="AM5" s="313">
        <f t="shared" si="20"/>
        <v>5413.0689323688985</v>
      </c>
      <c r="AN5" s="402">
        <f>'объем работ 100% загр'!L26/4</f>
        <v>5737.8530683110321</v>
      </c>
      <c r="AO5" s="313">
        <f t="shared" si="21"/>
        <v>5737.8530683110321</v>
      </c>
      <c r="AP5" s="313">
        <f t="shared" si="21"/>
        <v>5737.8530683110321</v>
      </c>
      <c r="AQ5" s="313">
        <f t="shared" si="22"/>
        <v>5737.8530683110321</v>
      </c>
      <c r="AR5" s="402">
        <f>'объем работ 100% загр'!M26/4</f>
        <v>6082.1242524096942</v>
      </c>
      <c r="AS5" s="313">
        <f t="shared" si="23"/>
        <v>6082.1242524096942</v>
      </c>
      <c r="AT5" s="313">
        <f t="shared" si="23"/>
        <v>6082.1242524096942</v>
      </c>
      <c r="AU5" s="313">
        <f t="shared" si="23"/>
        <v>6082.1242524096942</v>
      </c>
    </row>
    <row r="6" spans="1:47" s="9" customFormat="1" x14ac:dyDescent="0.25">
      <c r="A6" s="507"/>
      <c r="B6" s="508" t="s">
        <v>21</v>
      </c>
      <c r="C6" s="509"/>
      <c r="D6" s="80">
        <f>SUM(D2:D5)</f>
        <v>0</v>
      </c>
      <c r="E6" s="80">
        <f t="shared" ref="E6:AU6" si="24">SUM(E2:E5)</f>
        <v>0</v>
      </c>
      <c r="F6" s="80">
        <f>SUM(F2:F5)</f>
        <v>6375</v>
      </c>
      <c r="G6" s="80">
        <f>SUM(G2:G5)</f>
        <v>24561.666666666668</v>
      </c>
      <c r="H6" s="80">
        <f t="shared" si="24"/>
        <v>40137.260000000009</v>
      </c>
      <c r="I6" s="80">
        <f t="shared" si="24"/>
        <v>40137.26</v>
      </c>
      <c r="J6" s="80">
        <f t="shared" si="24"/>
        <v>40137.26</v>
      </c>
      <c r="K6" s="80">
        <f t="shared" si="24"/>
        <v>40137.26</v>
      </c>
      <c r="L6" s="80">
        <f t="shared" si="24"/>
        <v>40974.695599999999</v>
      </c>
      <c r="M6" s="80">
        <f t="shared" si="24"/>
        <v>42545.495600000002</v>
      </c>
      <c r="N6" s="80">
        <f t="shared" si="24"/>
        <v>42545.495600000002</v>
      </c>
      <c r="O6" s="80">
        <f t="shared" si="24"/>
        <v>42545.495600000002</v>
      </c>
      <c r="P6" s="80">
        <f t="shared" si="24"/>
        <v>43433.177336000001</v>
      </c>
      <c r="Q6" s="80">
        <f t="shared" si="24"/>
        <v>45098.225336000003</v>
      </c>
      <c r="R6" s="80">
        <f t="shared" si="24"/>
        <v>45098.225336000003</v>
      </c>
      <c r="S6" s="80">
        <f t="shared" si="24"/>
        <v>45098.225336000003</v>
      </c>
      <c r="T6" s="80">
        <f t="shared" si="24"/>
        <v>46039.167976160003</v>
      </c>
      <c r="U6" s="80">
        <f t="shared" si="24"/>
        <v>47804.118856159999</v>
      </c>
      <c r="V6" s="80">
        <f t="shared" si="24"/>
        <v>47804.118856159999</v>
      </c>
      <c r="W6" s="80">
        <f t="shared" si="24"/>
        <v>47804.118856159999</v>
      </c>
      <c r="X6" s="80">
        <f t="shared" si="24"/>
        <v>48801.518054729597</v>
      </c>
      <c r="Y6" s="80">
        <f t="shared" si="24"/>
        <v>50672.365987529607</v>
      </c>
      <c r="Z6" s="80">
        <f t="shared" si="24"/>
        <v>50672.365987529607</v>
      </c>
      <c r="AA6" s="80">
        <f t="shared" si="24"/>
        <v>50672.365987529607</v>
      </c>
      <c r="AB6" s="80">
        <f t="shared" si="24"/>
        <v>51729.609138013388</v>
      </c>
      <c r="AC6" s="80">
        <f t="shared" si="24"/>
        <v>53712.707946781389</v>
      </c>
      <c r="AD6" s="80">
        <f t="shared" si="24"/>
        <v>53712.707946781389</v>
      </c>
      <c r="AE6" s="80">
        <f t="shared" si="24"/>
        <v>53712.707946781389</v>
      </c>
      <c r="AF6" s="80">
        <f t="shared" si="24"/>
        <v>54833.385686294198</v>
      </c>
      <c r="AG6" s="80">
        <f t="shared" si="24"/>
        <v>56935.470423588275</v>
      </c>
      <c r="AH6" s="80">
        <f t="shared" si="24"/>
        <v>56935.470423588275</v>
      </c>
      <c r="AI6" s="80">
        <f t="shared" si="24"/>
        <v>56935.470423588275</v>
      </c>
      <c r="AJ6" s="80">
        <f t="shared" si="24"/>
        <v>58123.388827471841</v>
      </c>
      <c r="AK6" s="80">
        <f t="shared" si="24"/>
        <v>60351.598649003572</v>
      </c>
      <c r="AL6" s="80">
        <f t="shared" si="24"/>
        <v>60351.598649003572</v>
      </c>
      <c r="AM6" s="80">
        <f t="shared" si="24"/>
        <v>60351.598649003572</v>
      </c>
      <c r="AN6" s="80">
        <f t="shared" si="24"/>
        <v>61610.792157120159</v>
      </c>
      <c r="AO6" s="80">
        <f t="shared" si="24"/>
        <v>66476.311123416846</v>
      </c>
      <c r="AP6" s="80">
        <f t="shared" si="24"/>
        <v>66476.311123416846</v>
      </c>
      <c r="AQ6" s="80">
        <f t="shared" si="24"/>
        <v>66476.311123416846</v>
      </c>
      <c r="AR6" s="80">
        <f t="shared" si="24"/>
        <v>67811.056242020422</v>
      </c>
      <c r="AS6" s="80">
        <f t="shared" si="24"/>
        <v>67811.056242020422</v>
      </c>
      <c r="AT6" s="80">
        <f t="shared" si="24"/>
        <v>67811.056242020422</v>
      </c>
      <c r="AU6" s="80">
        <f t="shared" si="24"/>
        <v>67811.056242020422</v>
      </c>
    </row>
    <row r="7" spans="1:47" s="9" customFormat="1" x14ac:dyDescent="0.25">
      <c r="A7" s="510"/>
      <c r="B7" s="511" t="s">
        <v>88</v>
      </c>
      <c r="C7" s="512"/>
      <c r="D7" s="512"/>
      <c r="E7" s="512"/>
      <c r="F7" s="512"/>
      <c r="G7" s="317">
        <f>SUM(D6:G6)</f>
        <v>30936.666666666668</v>
      </c>
      <c r="H7" s="512"/>
      <c r="I7" s="512"/>
      <c r="J7" s="512"/>
      <c r="K7" s="317">
        <f>SUM(H6:K6)</f>
        <v>160549.04000000004</v>
      </c>
      <c r="L7" s="512"/>
      <c r="M7" s="317"/>
      <c r="N7" s="317"/>
      <c r="O7" s="317">
        <f>SUM(L6:O6)</f>
        <v>168611.18239999999</v>
      </c>
      <c r="P7" s="317"/>
      <c r="Q7" s="317"/>
      <c r="R7" s="317"/>
      <c r="S7" s="317">
        <f>P6+Q6+R6+S6</f>
        <v>178727.853344</v>
      </c>
      <c r="T7" s="317"/>
      <c r="U7" s="317"/>
      <c r="V7" s="317"/>
      <c r="W7" s="317">
        <f>T6+U6+V6+W6</f>
        <v>189451.52454464001</v>
      </c>
      <c r="X7" s="317"/>
      <c r="Y7" s="317"/>
      <c r="Z7" s="317"/>
      <c r="AA7" s="317">
        <f>X6+Y6+Z6+AA6</f>
        <v>200818.61601731842</v>
      </c>
      <c r="AB7" s="513"/>
      <c r="AC7" s="513"/>
      <c r="AD7" s="513"/>
      <c r="AE7" s="317">
        <f>SUM(AB6:AE6)</f>
        <v>212867.73297835756</v>
      </c>
      <c r="AF7" s="513"/>
      <c r="AG7" s="513"/>
      <c r="AH7" s="513"/>
      <c r="AI7" s="317">
        <f>SUM(AF6:AI6)</f>
        <v>225639.79695705901</v>
      </c>
      <c r="AJ7" s="513"/>
      <c r="AK7" s="513"/>
      <c r="AL7" s="513"/>
      <c r="AM7" s="317">
        <f>SUM(AJ6:AM6)</f>
        <v>239178.18477448256</v>
      </c>
      <c r="AN7" s="513"/>
      <c r="AO7" s="513"/>
      <c r="AP7" s="513"/>
      <c r="AQ7" s="317">
        <f>SUM(AN6:AQ6)</f>
        <v>261039.7255273707</v>
      </c>
      <c r="AR7" s="513"/>
      <c r="AS7" s="513"/>
      <c r="AT7" s="513"/>
      <c r="AU7" s="317">
        <f>SUM(AR6:AU6)</f>
        <v>271244.22496808169</v>
      </c>
    </row>
    <row r="8" spans="1:47" x14ac:dyDescent="0.25">
      <c r="A8" s="66"/>
    </row>
    <row r="9" spans="1:47" x14ac:dyDescent="0.25">
      <c r="A9" s="66"/>
      <c r="AA9" s="57"/>
    </row>
    <row r="10" spans="1:47" x14ac:dyDescent="0.25">
      <c r="A10" s="66"/>
    </row>
    <row r="13" spans="1:47" ht="3" customHeight="1" x14ac:dyDescent="0.25"/>
    <row r="14" spans="1:47" hidden="1" x14ac:dyDescent="0.25"/>
    <row r="15" spans="1:47" ht="30" x14ac:dyDescent="0.25">
      <c r="A15" s="305" t="s">
        <v>61</v>
      </c>
      <c r="B15" s="304" t="s">
        <v>62</v>
      </c>
      <c r="C15" s="303"/>
      <c r="D15" s="312" t="str">
        <f>'объем работ 100% загр'!C2</f>
        <v>1 год</v>
      </c>
      <c r="E15" s="312" t="str">
        <f>'объем работ 100% загр'!D2</f>
        <v>2 год</v>
      </c>
      <c r="F15" s="312" t="str">
        <f>'объем работ 100% загр'!E2</f>
        <v>3 год</v>
      </c>
      <c r="G15" s="312" t="str">
        <f>'объем работ 100% загр'!F2</f>
        <v>4 год</v>
      </c>
      <c r="H15" s="312" t="str">
        <f>'объем работ 100% загр'!G2</f>
        <v>5 год</v>
      </c>
      <c r="I15" s="312" t="str">
        <f>'объем работ 100% загр'!H2</f>
        <v>6 год</v>
      </c>
      <c r="J15" s="312" t="str">
        <f>'объем работ 100% загр'!I22</f>
        <v>7 год</v>
      </c>
      <c r="K15" s="312" t="str">
        <f>'объем работ 100% загр'!J22</f>
        <v>8 год</v>
      </c>
      <c r="L15" s="312" t="str">
        <f>'объем работ 100% загр'!K22</f>
        <v>9 год</v>
      </c>
      <c r="M15" s="312" t="str">
        <f>'объем работ 100% загр'!L22</f>
        <v>10 год</v>
      </c>
      <c r="N15" s="312" t="str">
        <f>'объем работ 100% загр'!M22</f>
        <v>11 год</v>
      </c>
      <c r="O15" s="312" t="s">
        <v>443</v>
      </c>
      <c r="P15" s="312" t="s">
        <v>444</v>
      </c>
    </row>
    <row r="16" spans="1:47" ht="37.5" customHeight="1" x14ac:dyDescent="0.25">
      <c r="A16" s="59">
        <f>A2</f>
        <v>1</v>
      </c>
      <c r="B16" s="51" t="str">
        <f>B2</f>
        <v>Ответственное хранение (капуста , морковь, лук)</v>
      </c>
      <c r="C16" s="76" t="s">
        <v>87</v>
      </c>
      <c r="D16" s="63">
        <f>SUM(E2:G2)</f>
        <v>733.33333333333337</v>
      </c>
      <c r="E16" s="63">
        <f>SUM(H2:K2)</f>
        <v>26165.040000000005</v>
      </c>
      <c r="F16" s="63">
        <f>SUM(L2:O2)</f>
        <v>27734.942400000004</v>
      </c>
      <c r="G16" s="63">
        <f>SUM(P2:S2)</f>
        <v>29399.038944000004</v>
      </c>
      <c r="H16" s="63">
        <f>SUM(T2:W2)</f>
        <v>31162.981280640004</v>
      </c>
      <c r="I16" s="63">
        <f>SUM(X2:AA2)</f>
        <v>33032.760157478406</v>
      </c>
      <c r="J16" s="63">
        <f>SUM(AB2:AE2)</f>
        <v>35014.725766927113</v>
      </c>
      <c r="K16" s="63">
        <f>SUM(AF2:AI2)</f>
        <v>37115.609312942739</v>
      </c>
      <c r="L16" s="63">
        <f>SUM(AJ2:AM2)</f>
        <v>39342.545871719311</v>
      </c>
      <c r="M16" s="63">
        <f>SUM(AN2:AQ2)</f>
        <v>41703.098624022474</v>
      </c>
      <c r="N16" s="63">
        <f>SUM(AR2:AU2)</f>
        <v>44205.284541463821</v>
      </c>
      <c r="O16" s="531">
        <f>AVERAGE(D16:N16)</f>
        <v>31419.03274841157</v>
      </c>
      <c r="P16" s="533">
        <f>O16/$O$20</f>
        <v>0.17579235481034208</v>
      </c>
    </row>
    <row r="17" spans="1:27" x14ac:dyDescent="0.25">
      <c r="A17" s="59">
        <f t="shared" ref="A17:A19" si="25">A3</f>
        <v>2</v>
      </c>
      <c r="B17" s="58" t="str">
        <f>B3</f>
        <v xml:space="preserve">Реализация картофеля </v>
      </c>
      <c r="C17" s="76" t="s">
        <v>87</v>
      </c>
      <c r="D17" s="313">
        <f>SUM(E3:G3)</f>
        <v>17453.333333333336</v>
      </c>
      <c r="E17" s="313">
        <f>SUM(I3:K3)</f>
        <v>78540</v>
      </c>
      <c r="F17" s="313">
        <f>SUM(M3:O3)</f>
        <v>83252.399999999994</v>
      </c>
      <c r="G17" s="313">
        <f>SUM(Q3:S3)</f>
        <v>88247.544000000009</v>
      </c>
      <c r="H17" s="313">
        <f>SUM(U3:W3)</f>
        <v>93542.396640000006</v>
      </c>
      <c r="I17" s="313">
        <f>SUM(Y3:AA3)</f>
        <v>99154.940438400023</v>
      </c>
      <c r="J17" s="313">
        <f>SUM(AC3:AE3)</f>
        <v>105104.23686470403</v>
      </c>
      <c r="K17" s="313">
        <f>SUM(AG3:AI3)</f>
        <v>111410.49107658624</v>
      </c>
      <c r="L17" s="313">
        <f>SUM(AK3:AM3)</f>
        <v>118095.12054118144</v>
      </c>
      <c r="M17" s="313">
        <f>SUM(AN3:AQ3)</f>
        <v>172056.71762046532</v>
      </c>
      <c r="N17" s="313">
        <f>SUM(AS3:AU3)</f>
        <v>132691.67744007148</v>
      </c>
      <c r="O17" s="531">
        <f>AVERAGE(E17:N17)</f>
        <v>108209.55246214084</v>
      </c>
      <c r="P17" s="533">
        <f t="shared" ref="P17:P20" si="26">O17/$O$20</f>
        <v>0.60544231875676346</v>
      </c>
    </row>
    <row r="18" spans="1:27" x14ac:dyDescent="0.25">
      <c r="A18" s="59">
        <f t="shared" si="25"/>
        <v>3</v>
      </c>
      <c r="B18" s="58" t="str">
        <f t="shared" ref="B18:B19" si="27">B4</f>
        <v>Переработка дикоросов</v>
      </c>
      <c r="C18" s="76" t="s">
        <v>87</v>
      </c>
      <c r="D18" s="63">
        <f>SUM(E4:G4)</f>
        <v>9600</v>
      </c>
      <c r="E18" s="63">
        <f>SUM(H4:K4)</f>
        <v>15264</v>
      </c>
      <c r="F18" s="63">
        <f>SUM(L4:O4)</f>
        <v>16179.840000000002</v>
      </c>
      <c r="G18" s="63">
        <f>SUM(P4:S4)</f>
        <v>17150.630400000002</v>
      </c>
      <c r="H18" s="63">
        <f>SUM(T4:W4)</f>
        <v>18179.668224000001</v>
      </c>
      <c r="I18" s="63">
        <f>SUM(X4:AA4)</f>
        <v>19270.448317440005</v>
      </c>
      <c r="J18" s="82">
        <f>SUM(AB4:AE4)</f>
        <v>20426.675216486405</v>
      </c>
      <c r="K18" s="82">
        <f>SUM(AF4:AI4)</f>
        <v>21652.27572947559</v>
      </c>
      <c r="L18" s="82">
        <f>SUM(AJ4:AM4)</f>
        <v>22951.412273244125</v>
      </c>
      <c r="M18" s="82">
        <f>SUM(AN4:AQ4)</f>
        <v>24328.497009638777</v>
      </c>
      <c r="N18" s="82">
        <f>SUM(AR4:AU4)</f>
        <v>25788.206830217106</v>
      </c>
      <c r="O18" s="531">
        <f>AVERAGE(E18:N18)</f>
        <v>20119.165400050202</v>
      </c>
      <c r="P18" s="533">
        <f t="shared" si="26"/>
        <v>0.11256856602857675</v>
      </c>
      <c r="AA18" s="57"/>
    </row>
    <row r="19" spans="1:27" ht="30" x14ac:dyDescent="0.25">
      <c r="A19" s="59">
        <f t="shared" si="25"/>
        <v>4</v>
      </c>
      <c r="B19" s="58" t="str">
        <f t="shared" si="27"/>
        <v>Услуги первичной переработки</v>
      </c>
      <c r="C19" s="76" t="s">
        <v>87</v>
      </c>
      <c r="D19" s="63">
        <f>SUM(D5:G5)</f>
        <v>3150</v>
      </c>
      <c r="E19" s="63">
        <f>SUM(H5:K5)</f>
        <v>14400</v>
      </c>
      <c r="F19" s="63">
        <f>SUM(L5:O5)</f>
        <v>15264</v>
      </c>
      <c r="G19" s="63">
        <f>SUM(P5:S5)</f>
        <v>16179.840000000002</v>
      </c>
      <c r="H19" s="63">
        <f>SUM(T5:W5)</f>
        <v>17150.630400000005</v>
      </c>
      <c r="I19" s="63">
        <f>SUM(X5:AA5)</f>
        <v>18179.668224000005</v>
      </c>
      <c r="J19" s="82">
        <f>SUM(AB5:AE5)</f>
        <v>19270.448317440008</v>
      </c>
      <c r="K19" s="82">
        <f>SUM(AF5:AI5)</f>
        <v>20426.675216486408</v>
      </c>
      <c r="L19" s="82">
        <f>SUM(AJ5:AM5)</f>
        <v>21652.275729475594</v>
      </c>
      <c r="M19" s="82">
        <f>SUM(AN5:AQ5)</f>
        <v>22951.412273244128</v>
      </c>
      <c r="N19" s="82">
        <f>SUM(AR5:AU5)</f>
        <v>24328.497009638777</v>
      </c>
      <c r="O19" s="531">
        <f>AVERAGE(E19:N19)</f>
        <v>18980.344717028493</v>
      </c>
      <c r="P19" s="533">
        <f t="shared" si="26"/>
        <v>0.10619676040431769</v>
      </c>
    </row>
    <row r="20" spans="1:27" x14ac:dyDescent="0.25">
      <c r="A20" s="77"/>
      <c r="B20" s="78" t="s">
        <v>21</v>
      </c>
      <c r="C20" s="79"/>
      <c r="D20" s="80"/>
      <c r="E20" s="80"/>
      <c r="F20" s="80"/>
      <c r="G20" s="80"/>
      <c r="H20" s="80"/>
      <c r="I20" s="81"/>
      <c r="J20" s="80"/>
      <c r="K20" s="80"/>
      <c r="L20" s="80"/>
      <c r="M20" s="80"/>
      <c r="N20" s="80"/>
      <c r="O20" s="531">
        <f>SUM(O16:O19)</f>
        <v>178728.0953276311</v>
      </c>
      <c r="P20" s="533">
        <f t="shared" si="26"/>
        <v>1</v>
      </c>
    </row>
    <row r="21" spans="1:27" x14ac:dyDescent="0.25">
      <c r="A21" s="314"/>
      <c r="B21" s="315" t="s">
        <v>88</v>
      </c>
      <c r="C21" s="316"/>
      <c r="D21" s="317">
        <f>SUM(D16:D19)</f>
        <v>30936.666666666668</v>
      </c>
      <c r="E21" s="317">
        <f t="shared" ref="E21:N21" si="28">SUM(E16:E19)</f>
        <v>134369.04</v>
      </c>
      <c r="F21" s="317">
        <f t="shared" si="28"/>
        <v>142431.18239999999</v>
      </c>
      <c r="G21" s="317">
        <f t="shared" si="28"/>
        <v>150977.05334400001</v>
      </c>
      <c r="H21" s="317">
        <f t="shared" si="28"/>
        <v>160035.67654464001</v>
      </c>
      <c r="I21" s="317">
        <f t="shared" si="28"/>
        <v>169637.8171373184</v>
      </c>
      <c r="J21" s="317">
        <f t="shared" si="28"/>
        <v>179816.08616555756</v>
      </c>
      <c r="K21" s="317">
        <f t="shared" si="28"/>
        <v>190605.05133549101</v>
      </c>
      <c r="L21" s="317">
        <f t="shared" si="28"/>
        <v>202041.35441562047</v>
      </c>
      <c r="M21" s="317">
        <f t="shared" si="28"/>
        <v>261039.7255273707</v>
      </c>
      <c r="N21" s="317">
        <f t="shared" si="28"/>
        <v>227013.66582139119</v>
      </c>
      <c r="O21" s="531"/>
      <c r="P21" s="532"/>
    </row>
  </sheetData>
  <pageMargins left="0.7" right="0.7" top="0.75" bottom="0.75" header="0.3" footer="0.3"/>
  <pageSetup paperSize="8" scale="19" firstPageNumber="2147483648" orientation="landscape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Лист12">
    <tabColor theme="0"/>
    <pageSetUpPr fitToPage="1"/>
  </sheetPr>
  <dimension ref="A1:AS69"/>
  <sheetViews>
    <sheetView zoomScale="50" zoomScaleNormal="50" workbookViewId="0">
      <pane xSplit="1" topLeftCell="B1" activePane="topRight" state="frozen"/>
      <selection activeCell="Y13" sqref="Y13"/>
      <selection pane="topRight" activeCell="W12" sqref="W12"/>
    </sheetView>
  </sheetViews>
  <sheetFormatPr defaultColWidth="9.140625" defaultRowHeight="15.75" x14ac:dyDescent="0.25"/>
  <cols>
    <col min="1" max="1" width="24.7109375" style="13" customWidth="1"/>
    <col min="2" max="2" width="20.42578125" style="13" customWidth="1"/>
    <col min="3" max="3" width="18" style="13" customWidth="1"/>
    <col min="4" max="4" width="17.140625" style="13" customWidth="1"/>
    <col min="5" max="5" width="15.140625" style="13" customWidth="1"/>
    <col min="6" max="6" width="14.7109375" style="12" customWidth="1"/>
    <col min="7" max="7" width="14.85546875" style="12" customWidth="1"/>
    <col min="8" max="8" width="15.7109375" style="12" customWidth="1"/>
    <col min="9" max="9" width="14.7109375" style="12" customWidth="1"/>
    <col min="10" max="10" width="14.42578125" style="12" customWidth="1"/>
    <col min="11" max="11" width="15.7109375" style="12" customWidth="1"/>
    <col min="12" max="12" width="14.85546875" style="12" customWidth="1"/>
    <col min="13" max="13" width="16" style="12" customWidth="1"/>
    <col min="14" max="14" width="15.7109375" style="12" customWidth="1"/>
    <col min="15" max="15" width="14.5703125" style="12" customWidth="1"/>
    <col min="16" max="16" width="16.5703125" style="12" customWidth="1"/>
    <col min="17" max="17" width="15.5703125" style="12" customWidth="1"/>
    <col min="18" max="19" width="15.85546875" style="12" customWidth="1"/>
    <col min="20" max="21" width="16" style="12" customWidth="1"/>
    <col min="22" max="22" width="18.85546875" style="12" customWidth="1"/>
    <col min="23" max="23" width="16" style="12" customWidth="1"/>
    <col min="24" max="24" width="16.7109375" style="12" customWidth="1"/>
    <col min="25" max="25" width="19" style="12" customWidth="1"/>
    <col min="26" max="26" width="27" style="14" customWidth="1"/>
    <col min="27" max="27" width="15.140625" style="12" customWidth="1"/>
    <col min="28" max="35" width="18.85546875" style="12" customWidth="1"/>
    <col min="36" max="36" width="18.7109375" style="12" customWidth="1"/>
    <col min="37" max="53" width="23.85546875" style="12" customWidth="1"/>
    <col min="54" max="54" width="12" style="12" customWidth="1"/>
    <col min="55" max="55" width="11.28515625" style="12" customWidth="1"/>
    <col min="56" max="56" width="12" style="12" customWidth="1"/>
    <col min="57" max="57" width="12.140625" style="12" customWidth="1"/>
    <col min="58" max="58" width="12.7109375" style="12" customWidth="1"/>
    <col min="59" max="59" width="12.28515625" style="12" customWidth="1"/>
    <col min="60" max="60" width="13.42578125" style="12" customWidth="1"/>
    <col min="61" max="16384" width="9.140625" style="12"/>
  </cols>
  <sheetData>
    <row r="1" spans="1:34" ht="30.75" customHeight="1" x14ac:dyDescent="0.25">
      <c r="A1" s="290" t="s">
        <v>16</v>
      </c>
      <c r="B1" s="291" t="str">
        <f>'выручка по кв и годам'!D1</f>
        <v>I кв. 1 г.</v>
      </c>
      <c r="C1" s="291" t="str">
        <f>'выручка по кв и годам'!E1</f>
        <v>II кв. 1 г.</v>
      </c>
      <c r="D1" s="291" t="str">
        <f>'выручка по кв и годам'!F1</f>
        <v>III кв. 1 г.</v>
      </c>
      <c r="E1" s="291" t="str">
        <f>'выручка по кв и годам'!G1</f>
        <v>IV кв. 1 г.</v>
      </c>
      <c r="F1" s="291" t="str">
        <f>'выручка по кв и годам'!H1</f>
        <v>I кв. 2 г.</v>
      </c>
      <c r="G1" s="291" t="str">
        <f>'выручка по кв и годам'!I1</f>
        <v>II кв. 2 г.</v>
      </c>
      <c r="H1" s="291" t="str">
        <f>'выручка по кв и годам'!J1</f>
        <v>III кв. 2 г.</v>
      </c>
      <c r="I1" s="291" t="str">
        <f>'выручка по кв и годам'!K1</f>
        <v>IV кв. 2 г.</v>
      </c>
      <c r="J1" s="291" t="str">
        <f>'выручка по кв и годам'!L1</f>
        <v>I кв. 3 г.</v>
      </c>
      <c r="K1" s="291" t="str">
        <f>'выручка по кв и годам'!M1</f>
        <v>II кв. 3 г.</v>
      </c>
      <c r="L1" s="291" t="str">
        <f>'выручка по кв и годам'!N1</f>
        <v>III кв. 3 г.</v>
      </c>
      <c r="M1" s="291" t="str">
        <f>'выручка по кв и годам'!O1</f>
        <v>IV кв. 3 г.</v>
      </c>
      <c r="N1" s="291" t="str">
        <f>'выручка по кв и годам'!P1</f>
        <v>I кв. 4 г.</v>
      </c>
      <c r="O1" s="291" t="str">
        <f>'выручка по кв и годам'!Q1</f>
        <v>II кв. 4 г.</v>
      </c>
      <c r="P1" s="291" t="str">
        <f>'выручка по кв и годам'!R1</f>
        <v>III кв. 4 г.</v>
      </c>
      <c r="Q1" s="291" t="str">
        <f>'выручка по кв и годам'!S1</f>
        <v>IV кв. 4 г.</v>
      </c>
      <c r="R1" s="292" t="s">
        <v>17</v>
      </c>
      <c r="U1" s="17"/>
      <c r="V1" s="290" t="s">
        <v>16</v>
      </c>
      <c r="W1" s="411" t="str">
        <f>'объем работ 100% загр'!C2</f>
        <v>1 год</v>
      </c>
      <c r="X1" s="411" t="str">
        <f>'объем работ 100% загр'!D2</f>
        <v>2 год</v>
      </c>
      <c r="Y1" s="411" t="str">
        <f>'объем работ 100% загр'!E2</f>
        <v>3 год</v>
      </c>
      <c r="Z1" s="411" t="str">
        <f>'объем работ 100% загр'!F2</f>
        <v>4 год</v>
      </c>
      <c r="AA1" s="412" t="s">
        <v>18</v>
      </c>
      <c r="AB1" s="413" t="s">
        <v>19</v>
      </c>
    </row>
    <row r="2" spans="1:34" ht="63" x14ac:dyDescent="0.25">
      <c r="A2" s="459" t="s">
        <v>409</v>
      </c>
      <c r="B2" s="18"/>
      <c r="C2" s="19">
        <f>допущения!C78</f>
        <v>3000</v>
      </c>
      <c r="D2" s="25"/>
      <c r="E2" s="19"/>
      <c r="F2" s="19"/>
      <c r="G2" s="19"/>
      <c r="H2" s="19"/>
      <c r="I2" s="19"/>
      <c r="J2" s="19"/>
      <c r="K2" s="19"/>
      <c r="L2" s="19"/>
      <c r="M2" s="19"/>
      <c r="N2" s="19"/>
      <c r="O2" s="19"/>
      <c r="P2" s="19"/>
      <c r="Q2" s="18"/>
      <c r="R2" s="20">
        <f t="shared" ref="R2:R11" si="0">SUM(B2:Q2)</f>
        <v>3000</v>
      </c>
      <c r="V2" s="21" t="str">
        <f>A2</f>
        <v>Благоустройство территории, подготовка площадки</v>
      </c>
      <c r="W2" s="22">
        <f t="shared" ref="W2:W8" si="1">SUM(B2:E2)</f>
        <v>3000</v>
      </c>
      <c r="X2" s="22">
        <f t="shared" ref="X2:X11" si="2">SUM(F2:I2)</f>
        <v>0</v>
      </c>
      <c r="Y2" s="22">
        <f>SUM(J2:M2)</f>
        <v>0</v>
      </c>
      <c r="Z2" s="22">
        <f t="shared" ref="Z2:Z7" si="3">SUM(N2:Q2)</f>
        <v>0</v>
      </c>
      <c r="AA2" s="22">
        <f t="shared" ref="AA2:AA11" si="4">SUM(W2:Z2)</f>
        <v>3000</v>
      </c>
      <c r="AB2" s="23">
        <f t="shared" ref="AB2:AB11" si="5">AA2/$AA$14</f>
        <v>2.1367712566242862E-2</v>
      </c>
    </row>
    <row r="3" spans="1:34" ht="126" x14ac:dyDescent="0.25">
      <c r="A3" s="459" t="s">
        <v>463</v>
      </c>
      <c r="B3" s="25"/>
      <c r="C3" s="26">
        <f>допущения!C79*0.625</f>
        <v>43125</v>
      </c>
      <c r="D3" s="26">
        <f>допущения!C79*0.375</f>
        <v>25875</v>
      </c>
      <c r="E3" s="25"/>
      <c r="F3" s="25"/>
      <c r="G3" s="25"/>
      <c r="H3" s="25"/>
      <c r="I3" s="25"/>
      <c r="J3" s="27"/>
      <c r="K3" s="25"/>
      <c r="L3" s="25"/>
      <c r="M3" s="25"/>
      <c r="N3" s="19"/>
      <c r="O3" s="19"/>
      <c r="P3" s="19"/>
      <c r="Q3" s="18"/>
      <c r="R3" s="20">
        <f t="shared" si="0"/>
        <v>69000</v>
      </c>
      <c r="V3" s="21" t="str">
        <f>A3</f>
        <v xml:space="preserve">Возведение здания "Под ключ" (с технолологическим оборудованием) посекционно в три этапа* </v>
      </c>
      <c r="W3" s="22">
        <f t="shared" si="1"/>
        <v>69000</v>
      </c>
      <c r="X3" s="22">
        <f t="shared" si="2"/>
        <v>0</v>
      </c>
      <c r="Y3" s="22">
        <f>SUM(K3:M3)</f>
        <v>0</v>
      </c>
      <c r="Z3" s="22">
        <f t="shared" si="3"/>
        <v>0</v>
      </c>
      <c r="AA3" s="22">
        <f t="shared" si="4"/>
        <v>69000</v>
      </c>
      <c r="AB3" s="23">
        <f t="shared" si="5"/>
        <v>0.49145738902358588</v>
      </c>
    </row>
    <row r="4" spans="1:34" ht="63" x14ac:dyDescent="0.25">
      <c r="A4" s="459" t="s">
        <v>411</v>
      </c>
      <c r="B4" s="25"/>
      <c r="C4" s="26">
        <f>допущения!C80</f>
        <v>12500</v>
      </c>
      <c r="D4" s="25"/>
      <c r="E4" s="25"/>
      <c r="F4" s="25"/>
      <c r="G4" s="19"/>
      <c r="H4" s="27"/>
      <c r="I4" s="19"/>
      <c r="J4" s="19"/>
      <c r="K4" s="19"/>
      <c r="L4" s="19"/>
      <c r="M4" s="19"/>
      <c r="N4" s="19"/>
      <c r="O4" s="19"/>
      <c r="P4" s="19"/>
      <c r="Q4" s="19"/>
      <c r="R4" s="20">
        <f t="shared" si="0"/>
        <v>12500</v>
      </c>
      <c r="V4" s="21" t="str">
        <f>A4</f>
        <v>Приобретение техники (погрузчик, кара, 3 газели)</v>
      </c>
      <c r="W4" s="22">
        <f t="shared" si="1"/>
        <v>12500</v>
      </c>
      <c r="X4" s="22">
        <f t="shared" si="2"/>
        <v>0</v>
      </c>
      <c r="Y4" s="22">
        <f t="shared" ref="Y4:Y7" si="6">SUM(J4:M4)</f>
        <v>0</v>
      </c>
      <c r="Z4" s="22">
        <f t="shared" si="3"/>
        <v>0</v>
      </c>
      <c r="AA4" s="22">
        <f t="shared" si="4"/>
        <v>12500</v>
      </c>
      <c r="AB4" s="23">
        <f t="shared" si="5"/>
        <v>8.9032135692678593E-2</v>
      </c>
    </row>
    <row r="5" spans="1:34" ht="63" customHeight="1" x14ac:dyDescent="0.25">
      <c r="A5" s="459" t="s">
        <v>517</v>
      </c>
      <c r="B5" s="25"/>
      <c r="C5" s="26">
        <f>допущения!C81</f>
        <v>12000</v>
      </c>
      <c r="D5" s="25"/>
      <c r="E5" s="25"/>
      <c r="F5" s="25"/>
      <c r="G5" s="19"/>
      <c r="H5" s="19"/>
      <c r="I5" s="19"/>
      <c r="J5" s="19"/>
      <c r="K5" s="19"/>
      <c r="L5" s="19"/>
      <c r="M5" s="19"/>
      <c r="N5" s="19"/>
      <c r="O5" s="19"/>
      <c r="P5" s="19"/>
      <c r="Q5" s="19"/>
      <c r="R5" s="20">
        <f t="shared" si="0"/>
        <v>12000</v>
      </c>
      <c r="V5" s="21" t="str">
        <f>A5</f>
        <v>Подключение к инженерным сетям (водоотведение, водоснабжение)</v>
      </c>
      <c r="W5" s="22">
        <f t="shared" si="1"/>
        <v>12000</v>
      </c>
      <c r="X5" s="22">
        <f t="shared" si="2"/>
        <v>0</v>
      </c>
      <c r="Y5" s="22">
        <f t="shared" si="6"/>
        <v>0</v>
      </c>
      <c r="Z5" s="22">
        <f t="shared" si="3"/>
        <v>0</v>
      </c>
      <c r="AA5" s="22">
        <f t="shared" si="4"/>
        <v>12000</v>
      </c>
      <c r="AB5" s="23">
        <f t="shared" si="5"/>
        <v>8.5470850264971449E-2</v>
      </c>
    </row>
    <row r="6" spans="1:34" ht="94.5" x14ac:dyDescent="0.25">
      <c r="A6" s="459" t="s">
        <v>516</v>
      </c>
      <c r="B6" s="25"/>
      <c r="C6" s="25"/>
      <c r="D6" s="26">
        <f>допущения!C82</f>
        <v>12000</v>
      </c>
      <c r="E6" s="25"/>
      <c r="F6" s="25"/>
      <c r="G6" s="25"/>
      <c r="H6" s="25"/>
      <c r="I6" s="25"/>
      <c r="J6" s="25"/>
      <c r="K6" s="25"/>
      <c r="L6" s="25"/>
      <c r="M6" s="25"/>
      <c r="N6" s="25"/>
      <c r="O6" s="25"/>
      <c r="P6" s="25"/>
      <c r="Q6" s="25"/>
      <c r="R6" s="20">
        <f t="shared" si="0"/>
        <v>12000</v>
      </c>
      <c r="V6" s="21" t="str">
        <f t="shared" ref="V6:V8" si="7">A6</f>
        <v>Приобретение дизельного электрогенератора, для создания резервных мощностей</v>
      </c>
      <c r="W6" s="22">
        <f t="shared" si="1"/>
        <v>12000</v>
      </c>
      <c r="X6" s="22">
        <f t="shared" si="2"/>
        <v>0</v>
      </c>
      <c r="Y6" s="22">
        <f t="shared" si="6"/>
        <v>0</v>
      </c>
      <c r="Z6" s="22">
        <f t="shared" si="3"/>
        <v>0</v>
      </c>
      <c r="AA6" s="22">
        <f t="shared" si="4"/>
        <v>12000</v>
      </c>
      <c r="AB6" s="23">
        <f t="shared" si="5"/>
        <v>8.5470850264971449E-2</v>
      </c>
    </row>
    <row r="7" spans="1:34" ht="69.75" customHeight="1" x14ac:dyDescent="0.25">
      <c r="A7" s="459" t="s">
        <v>415</v>
      </c>
      <c r="B7" s="25"/>
      <c r="C7" s="26">
        <f>допущения!C83</f>
        <v>3500</v>
      </c>
      <c r="D7" s="25"/>
      <c r="E7" s="25"/>
      <c r="F7" s="25"/>
      <c r="G7" s="25"/>
      <c r="H7" s="25"/>
      <c r="I7" s="25"/>
      <c r="J7" s="25"/>
      <c r="K7" s="25"/>
      <c r="L7" s="25"/>
      <c r="M7" s="25"/>
      <c r="N7" s="25"/>
      <c r="O7" s="25"/>
      <c r="P7" s="25"/>
      <c r="Q7" s="25"/>
      <c r="R7" s="20">
        <f t="shared" si="0"/>
        <v>3500</v>
      </c>
      <c r="V7" s="21" t="str">
        <f t="shared" si="7"/>
        <v>Приоретение линий первичной перарботки и фасовки овощей, ягод, грибов, орехов</v>
      </c>
      <c r="W7" s="22">
        <f t="shared" si="1"/>
        <v>3500</v>
      </c>
      <c r="X7" s="22">
        <f t="shared" si="2"/>
        <v>0</v>
      </c>
      <c r="Y7" s="22">
        <f t="shared" si="6"/>
        <v>0</v>
      </c>
      <c r="Z7" s="22">
        <f t="shared" si="3"/>
        <v>0</v>
      </c>
      <c r="AA7" s="22">
        <f t="shared" si="4"/>
        <v>3500</v>
      </c>
      <c r="AB7" s="23">
        <f t="shared" si="5"/>
        <v>2.4928997993950007E-2</v>
      </c>
    </row>
    <row r="8" spans="1:34" ht="54" customHeight="1" x14ac:dyDescent="0.25">
      <c r="A8" s="459" t="s">
        <v>414</v>
      </c>
      <c r="B8" s="25"/>
      <c r="C8" s="25"/>
      <c r="D8" s="26">
        <f>допущения!C84</f>
        <v>1500</v>
      </c>
      <c r="E8" s="25"/>
      <c r="F8" s="25"/>
      <c r="G8" s="25"/>
      <c r="H8" s="25"/>
      <c r="I8" s="25"/>
      <c r="J8" s="25"/>
      <c r="K8" s="25"/>
      <c r="L8" s="25"/>
      <c r="M8" s="25"/>
      <c r="N8" s="25"/>
      <c r="O8" s="25"/>
      <c r="P8" s="25"/>
      <c r="Q8" s="25"/>
      <c r="R8" s="20">
        <f t="shared" si="0"/>
        <v>1500</v>
      </c>
      <c r="V8" s="21" t="str">
        <f t="shared" si="7"/>
        <v>Прочие расходы, инвентарь, контейнеры, стеллажи, тара</v>
      </c>
      <c r="W8" s="22">
        <f t="shared" si="1"/>
        <v>1500</v>
      </c>
      <c r="X8" s="22">
        <f t="shared" si="2"/>
        <v>0</v>
      </c>
      <c r="Y8" s="22"/>
      <c r="Z8" s="22"/>
      <c r="AA8" s="22">
        <f t="shared" si="4"/>
        <v>1500</v>
      </c>
      <c r="AB8" s="23">
        <f t="shared" si="5"/>
        <v>1.0683856283121431E-2</v>
      </c>
    </row>
    <row r="9" spans="1:34" ht="3" customHeight="1" x14ac:dyDescent="0.25">
      <c r="A9" s="24"/>
      <c r="B9" s="28"/>
      <c r="C9" s="28"/>
      <c r="D9" s="28"/>
      <c r="E9" s="28"/>
      <c r="F9" s="28"/>
      <c r="G9" s="29"/>
      <c r="H9" s="29"/>
      <c r="I9" s="29"/>
      <c r="J9" s="29"/>
      <c r="K9" s="29"/>
      <c r="L9" s="29"/>
      <c r="M9" s="29"/>
      <c r="N9" s="29"/>
      <c r="O9" s="29"/>
      <c r="P9" s="29"/>
      <c r="Q9" s="30"/>
      <c r="R9" s="20">
        <f t="shared" si="0"/>
        <v>0</v>
      </c>
      <c r="V9" s="21"/>
      <c r="W9" s="22"/>
      <c r="X9" s="22">
        <f t="shared" si="2"/>
        <v>0</v>
      </c>
      <c r="Y9" s="22"/>
      <c r="Z9" s="22"/>
      <c r="AA9" s="22">
        <f t="shared" si="4"/>
        <v>0</v>
      </c>
      <c r="AB9" s="23">
        <f t="shared" si="5"/>
        <v>0</v>
      </c>
      <c r="AD9" s="31"/>
    </row>
    <row r="10" spans="1:34" ht="6" customHeight="1" x14ac:dyDescent="0.25">
      <c r="A10" s="24"/>
      <c r="B10" s="30"/>
      <c r="C10" s="29"/>
      <c r="D10" s="29"/>
      <c r="E10" s="29"/>
      <c r="F10" s="29"/>
      <c r="G10" s="29"/>
      <c r="H10" s="29"/>
      <c r="I10" s="29"/>
      <c r="J10" s="29"/>
      <c r="L10" s="32"/>
      <c r="M10" s="29"/>
      <c r="O10" s="29"/>
      <c r="P10" s="29"/>
      <c r="Q10" s="30"/>
      <c r="R10" s="20">
        <f t="shared" si="0"/>
        <v>0</v>
      </c>
      <c r="U10" s="33"/>
      <c r="V10" s="21"/>
      <c r="W10" s="22"/>
      <c r="X10" s="22">
        <f t="shared" si="2"/>
        <v>0</v>
      </c>
      <c r="Y10" s="22"/>
      <c r="Z10" s="22"/>
      <c r="AA10" s="22">
        <f t="shared" si="4"/>
        <v>0</v>
      </c>
      <c r="AB10" s="23">
        <f t="shared" si="5"/>
        <v>0</v>
      </c>
      <c r="AC10" s="34"/>
      <c r="AD10" s="34"/>
    </row>
    <row r="11" spans="1:34" ht="7.5" customHeight="1" x14ac:dyDescent="0.25">
      <c r="A11" s="24"/>
      <c r="B11" s="30"/>
      <c r="C11" s="29"/>
      <c r="D11" s="29"/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0">
        <f t="shared" si="0"/>
        <v>0</v>
      </c>
      <c r="V11" s="21"/>
      <c r="W11" s="22"/>
      <c r="X11" s="22">
        <f t="shared" si="2"/>
        <v>0</v>
      </c>
      <c r="Y11" s="22"/>
      <c r="Z11" s="22"/>
      <c r="AA11" s="22">
        <f t="shared" si="4"/>
        <v>0</v>
      </c>
      <c r="AB11" s="23">
        <f t="shared" si="5"/>
        <v>0</v>
      </c>
      <c r="AC11" s="33"/>
    </row>
    <row r="12" spans="1:34" x14ac:dyDescent="0.25">
      <c r="A12" s="15" t="s">
        <v>20</v>
      </c>
      <c r="B12" s="20"/>
      <c r="C12" s="20">
        <f>SUM(C2:C11)</f>
        <v>74125</v>
      </c>
      <c r="D12" s="20">
        <f>SUM(D2:D11)</f>
        <v>39375</v>
      </c>
      <c r="E12" s="20">
        <f>SUM(E2:E11)</f>
        <v>0</v>
      </c>
      <c r="F12" s="20">
        <f>SUM(F2:F11)</f>
        <v>0</v>
      </c>
      <c r="G12" s="20">
        <f t="shared" ref="G12:P12" si="8">SUM(G2:G11)</f>
        <v>0</v>
      </c>
      <c r="H12" s="20">
        <f t="shared" si="8"/>
        <v>0</v>
      </c>
      <c r="I12" s="20">
        <f t="shared" si="8"/>
        <v>0</v>
      </c>
      <c r="J12" s="20">
        <f t="shared" si="8"/>
        <v>0</v>
      </c>
      <c r="K12" s="20">
        <f t="shared" si="8"/>
        <v>0</v>
      </c>
      <c r="L12" s="20">
        <f t="shared" si="8"/>
        <v>0</v>
      </c>
      <c r="M12" s="20">
        <f t="shared" si="8"/>
        <v>0</v>
      </c>
      <c r="N12" s="20">
        <f t="shared" si="8"/>
        <v>0</v>
      </c>
      <c r="O12" s="20">
        <f t="shared" si="8"/>
        <v>0</v>
      </c>
      <c r="P12" s="20">
        <f t="shared" si="8"/>
        <v>0</v>
      </c>
      <c r="Q12" s="20">
        <f>SUM(Q2:Q11)</f>
        <v>0</v>
      </c>
      <c r="R12" s="20">
        <f>SUM(R2:R11)</f>
        <v>113500</v>
      </c>
      <c r="U12" s="33"/>
      <c r="V12" s="15" t="s">
        <v>21</v>
      </c>
      <c r="W12" s="35">
        <f>SUM(W2:W10)</f>
        <v>113500</v>
      </c>
      <c r="X12" s="35">
        <f t="shared" ref="X12:Z12" si="9">SUM(X2:X10)</f>
        <v>0</v>
      </c>
      <c r="Y12" s="35">
        <f t="shared" si="9"/>
        <v>0</v>
      </c>
      <c r="Z12" s="35">
        <f t="shared" si="9"/>
        <v>0</v>
      </c>
      <c r="AA12" s="35">
        <f>SUM(AA2:AA11)</f>
        <v>113500</v>
      </c>
      <c r="AB12" s="23"/>
      <c r="AC12" s="33"/>
      <c r="AD12" s="33"/>
    </row>
    <row r="13" spans="1:34" ht="31.5" x14ac:dyDescent="0.25">
      <c r="A13" s="36"/>
      <c r="B13" s="37" t="s">
        <v>18</v>
      </c>
      <c r="C13" s="36"/>
      <c r="D13" s="38"/>
      <c r="E13" s="38"/>
      <c r="F13" s="38"/>
      <c r="G13" s="38"/>
      <c r="K13" s="33"/>
      <c r="T13" s="712"/>
      <c r="V13" s="21" t="s">
        <v>22</v>
      </c>
      <c r="W13" s="20">
        <f>'Расходы по займу'!D6+'Расходы по займу'!E6+('Расходы ТОР'!E19/2)</f>
        <v>26898.743697978192</v>
      </c>
      <c r="X13" s="22"/>
      <c r="Y13" s="22"/>
      <c r="Z13" s="39"/>
      <c r="AA13" s="39">
        <f>SUM(W13:Z13)</f>
        <v>26898.743697978192</v>
      </c>
      <c r="AB13" s="23">
        <f>AA13/$AA$14</f>
        <v>0.19158820791047823</v>
      </c>
    </row>
    <row r="14" spans="1:34" ht="31.5" x14ac:dyDescent="0.25">
      <c r="A14" s="30" t="s">
        <v>23</v>
      </c>
      <c r="B14" s="20">
        <f>R3+R4+R5+R6+R7+R8</f>
        <v>110500</v>
      </c>
      <c r="C14" s="12"/>
      <c r="D14" s="12"/>
      <c r="E14" s="12"/>
      <c r="V14" s="21" t="s">
        <v>24</v>
      </c>
      <c r="W14" s="22">
        <f>W12+W13</f>
        <v>140398.74369797821</v>
      </c>
      <c r="X14" s="22">
        <f>X12+X13</f>
        <v>0</v>
      </c>
      <c r="Y14" s="22">
        <f t="shared" ref="Y14:Z14" si="10">Y12+Y13</f>
        <v>0</v>
      </c>
      <c r="Z14" s="22">
        <f t="shared" si="10"/>
        <v>0</v>
      </c>
      <c r="AA14" s="35">
        <f>SUM(W14:Z14)</f>
        <v>140398.74369797821</v>
      </c>
      <c r="AB14" s="40"/>
      <c r="AH14" s="33"/>
    </row>
    <row r="15" spans="1:34" x14ac:dyDescent="0.25">
      <c r="A15" s="21" t="s">
        <v>25</v>
      </c>
      <c r="B15" s="20">
        <f>B14/1.2*0.2</f>
        <v>18416.666666666668</v>
      </c>
      <c r="C15" s="36"/>
      <c r="D15" s="38"/>
      <c r="E15" s="38"/>
      <c r="F15" s="38"/>
      <c r="G15" s="38"/>
      <c r="K15" s="33"/>
      <c r="L15" s="33"/>
      <c r="M15" s="33"/>
      <c r="Z15" s="12"/>
    </row>
    <row r="16" spans="1:34" ht="31.5" customHeight="1" x14ac:dyDescent="0.25">
      <c r="A16" s="21" t="s">
        <v>26</v>
      </c>
      <c r="B16" s="20">
        <f>B14-B15</f>
        <v>92083.333333333328</v>
      </c>
      <c r="C16" s="36"/>
      <c r="D16" s="36"/>
      <c r="E16" s="38"/>
      <c r="F16" s="38"/>
      <c r="G16" s="38"/>
      <c r="S16" s="33"/>
      <c r="T16" s="680">
        <f>W16/W14</f>
        <v>0.43019433156685699</v>
      </c>
      <c r="V16" s="21" t="s">
        <v>27</v>
      </c>
      <c r="W16" s="22">
        <f>W14-W17</f>
        <v>60398.743697978207</v>
      </c>
      <c r="X16" s="22">
        <f t="shared" ref="X16:Z16" si="11">X14-X17</f>
        <v>0</v>
      </c>
      <c r="Y16" s="22">
        <f t="shared" si="11"/>
        <v>0</v>
      </c>
      <c r="Z16" s="22">
        <f t="shared" si="11"/>
        <v>0</v>
      </c>
      <c r="AA16" s="22">
        <f>SUM(W16:Z16)</f>
        <v>60398.743697978207</v>
      </c>
      <c r="AB16" s="23">
        <f>AA16/$AA$14</f>
        <v>0.43019433156685699</v>
      </c>
      <c r="AC16" s="33"/>
      <c r="AF16" s="33"/>
    </row>
    <row r="17" spans="1:45" ht="31.5" x14ac:dyDescent="0.25">
      <c r="A17" s="36"/>
      <c r="B17" s="36"/>
      <c r="C17" s="36"/>
      <c r="D17" s="38"/>
      <c r="E17" s="38"/>
      <c r="F17" s="38"/>
      <c r="G17" s="38"/>
      <c r="T17" s="680">
        <f>W17/W14</f>
        <v>0.56980566843314306</v>
      </c>
      <c r="V17" s="21" t="s">
        <v>28</v>
      </c>
      <c r="W17" s="22">
        <v>80000</v>
      </c>
      <c r="X17" s="22"/>
      <c r="Y17" s="22"/>
      <c r="Z17" s="22"/>
      <c r="AA17" s="22">
        <f>SUM(W17:Z17)</f>
        <v>80000</v>
      </c>
      <c r="AB17" s="23">
        <f>AA17/$AA$14</f>
        <v>0.56980566843314306</v>
      </c>
      <c r="AD17" s="33"/>
      <c r="AG17" s="33"/>
    </row>
    <row r="18" spans="1:45" ht="18.75" customHeight="1" x14ac:dyDescent="0.25">
      <c r="A18" s="36" t="s">
        <v>464</v>
      </c>
      <c r="B18" s="36"/>
      <c r="C18" s="36"/>
      <c r="D18" s="38"/>
      <c r="E18" s="38"/>
      <c r="F18" s="38"/>
      <c r="G18" s="38"/>
      <c r="V18" s="16" t="s">
        <v>29</v>
      </c>
      <c r="W18" s="22"/>
      <c r="X18" s="22"/>
      <c r="Y18" s="22"/>
      <c r="Z18" s="22"/>
      <c r="AA18" s="22"/>
      <c r="AB18" s="33"/>
      <c r="AC18" s="33"/>
      <c r="AD18" s="33"/>
      <c r="AE18" s="33"/>
      <c r="AF18" s="33"/>
      <c r="AG18" s="33"/>
      <c r="AI18" s="40"/>
      <c r="AJ18" s="41"/>
    </row>
    <row r="19" spans="1:45" ht="21.75" customHeight="1" x14ac:dyDescent="0.25">
      <c r="A19" s="758" t="s">
        <v>465</v>
      </c>
      <c r="B19" s="38"/>
      <c r="C19" s="38"/>
      <c r="D19" s="38"/>
      <c r="E19" s="38"/>
      <c r="F19" s="38"/>
      <c r="G19" s="38"/>
      <c r="X19" s="33"/>
      <c r="AA19" s="33"/>
      <c r="AB19" s="33"/>
      <c r="AC19" s="33"/>
      <c r="AD19" s="33"/>
      <c r="AE19" s="33"/>
      <c r="AF19" s="33"/>
      <c r="AG19" s="33"/>
      <c r="AI19" s="40"/>
      <c r="AJ19" s="41"/>
    </row>
    <row r="20" spans="1:45" ht="36" customHeight="1" x14ac:dyDescent="0.25">
      <c r="A20" s="758"/>
      <c r="V20" s="16" t="s">
        <v>30</v>
      </c>
      <c r="W20" s="42">
        <f>W14/-1000</f>
        <v>-140.3987436979782</v>
      </c>
      <c r="X20" s="42">
        <f>X14/-1000</f>
        <v>0</v>
      </c>
      <c r="Y20" s="42">
        <f>Y14/-1000</f>
        <v>0</v>
      </c>
      <c r="Z20" s="42">
        <f>Z14/-1000</f>
        <v>0</v>
      </c>
      <c r="AA20" s="33"/>
      <c r="AI20" s="40"/>
    </row>
    <row r="21" spans="1:45" x14ac:dyDescent="0.25">
      <c r="A21" s="38"/>
      <c r="B21" s="38"/>
      <c r="C21" s="38"/>
      <c r="D21" s="38"/>
      <c r="E21" s="38"/>
      <c r="F21" s="43"/>
      <c r="X21" s="33"/>
      <c r="Z21" s="12"/>
      <c r="AH21" s="40"/>
    </row>
    <row r="22" spans="1:45" x14ac:dyDescent="0.25">
      <c r="Z22" s="12"/>
      <c r="AH22" s="40"/>
    </row>
    <row r="23" spans="1:45" x14ac:dyDescent="0.25">
      <c r="B23" s="293" t="str">
        <f>B1</f>
        <v>I кв. 1 г.</v>
      </c>
      <c r="C23" s="293" t="str">
        <f t="shared" ref="C23:Q23" si="12">C1</f>
        <v>II кв. 1 г.</v>
      </c>
      <c r="D23" s="293" t="str">
        <f t="shared" si="12"/>
        <v>III кв. 1 г.</v>
      </c>
      <c r="E23" s="293" t="str">
        <f t="shared" si="12"/>
        <v>IV кв. 1 г.</v>
      </c>
      <c r="F23" s="293" t="str">
        <f t="shared" si="12"/>
        <v>I кв. 2 г.</v>
      </c>
      <c r="G23" s="293" t="str">
        <f t="shared" si="12"/>
        <v>II кв. 2 г.</v>
      </c>
      <c r="H23" s="293" t="str">
        <f t="shared" si="12"/>
        <v>III кв. 2 г.</v>
      </c>
      <c r="I23" s="293" t="str">
        <f t="shared" si="12"/>
        <v>IV кв. 2 г.</v>
      </c>
      <c r="J23" s="293" t="str">
        <f t="shared" si="12"/>
        <v>I кв. 3 г.</v>
      </c>
      <c r="K23" s="293" t="str">
        <f t="shared" si="12"/>
        <v>II кв. 3 г.</v>
      </c>
      <c r="L23" s="293" t="str">
        <f t="shared" si="12"/>
        <v>III кв. 3 г.</v>
      </c>
      <c r="M23" s="293" t="str">
        <f t="shared" si="12"/>
        <v>IV кв. 3 г.</v>
      </c>
      <c r="N23" s="293" t="str">
        <f t="shared" si="12"/>
        <v>I кв. 4 г.</v>
      </c>
      <c r="O23" s="293" t="str">
        <f t="shared" si="12"/>
        <v>II кв. 4 г.</v>
      </c>
      <c r="P23" s="293" t="str">
        <f t="shared" si="12"/>
        <v>III кв. 4 г.</v>
      </c>
      <c r="Q23" s="293" t="str">
        <f t="shared" si="12"/>
        <v>IV кв. 4 г.</v>
      </c>
      <c r="V23" s="14"/>
      <c r="Z23" s="12"/>
      <c r="AD23" s="40"/>
    </row>
    <row r="24" spans="1:45" x14ac:dyDescent="0.25">
      <c r="A24" s="15" t="s">
        <v>31</v>
      </c>
      <c r="B24" s="29">
        <f>SUM(B4:B11)</f>
        <v>0</v>
      </c>
      <c r="C24" s="29">
        <f>SUM(C3:C8)</f>
        <v>71125</v>
      </c>
      <c r="D24" s="29">
        <f>SUM(D3:D8)</f>
        <v>39375</v>
      </c>
      <c r="E24" s="29">
        <f>SUM(E3:E7)</f>
        <v>0</v>
      </c>
      <c r="F24" s="29">
        <f t="shared" ref="F24:Q24" si="13">SUM(F9:F11)</f>
        <v>0</v>
      </c>
      <c r="G24" s="29">
        <f t="shared" si="13"/>
        <v>0</v>
      </c>
      <c r="H24" s="29">
        <f t="shared" si="13"/>
        <v>0</v>
      </c>
      <c r="I24" s="29">
        <f t="shared" si="13"/>
        <v>0</v>
      </c>
      <c r="J24" s="29">
        <f t="shared" si="13"/>
        <v>0</v>
      </c>
      <c r="K24" s="29">
        <f t="shared" si="13"/>
        <v>0</v>
      </c>
      <c r="L24" s="29">
        <f t="shared" si="13"/>
        <v>0</v>
      </c>
      <c r="M24" s="29">
        <f t="shared" si="13"/>
        <v>0</v>
      </c>
      <c r="N24" s="29">
        <v>0</v>
      </c>
      <c r="O24" s="29">
        <f t="shared" si="13"/>
        <v>0</v>
      </c>
      <c r="P24" s="29">
        <f t="shared" si="13"/>
        <v>0</v>
      </c>
      <c r="Q24" s="29">
        <f t="shared" si="13"/>
        <v>0</v>
      </c>
      <c r="X24" s="33"/>
      <c r="Y24" s="33"/>
      <c r="Z24" s="33"/>
      <c r="AA24" s="33"/>
      <c r="AB24" s="33"/>
    </row>
    <row r="25" spans="1:45" x14ac:dyDescent="0.25">
      <c r="A25" s="15"/>
      <c r="B25" s="233" t="str">
        <f t="shared" ref="B25:Q25" si="14">B1</f>
        <v>I кв. 1 г.</v>
      </c>
      <c r="C25" s="233" t="str">
        <f t="shared" si="14"/>
        <v>II кв. 1 г.</v>
      </c>
      <c r="D25" s="233" t="str">
        <f t="shared" si="14"/>
        <v>III кв. 1 г.</v>
      </c>
      <c r="E25" s="233" t="str">
        <f t="shared" si="14"/>
        <v>IV кв. 1 г.</v>
      </c>
      <c r="F25" s="233" t="str">
        <f t="shared" si="14"/>
        <v>I кв. 2 г.</v>
      </c>
      <c r="G25" s="233" t="str">
        <f t="shared" si="14"/>
        <v>II кв. 2 г.</v>
      </c>
      <c r="H25" s="233" t="str">
        <f t="shared" si="14"/>
        <v>III кв. 2 г.</v>
      </c>
      <c r="I25" s="233" t="str">
        <f t="shared" si="14"/>
        <v>IV кв. 2 г.</v>
      </c>
      <c r="J25" s="233" t="str">
        <f t="shared" si="14"/>
        <v>I кв. 3 г.</v>
      </c>
      <c r="K25" s="233" t="str">
        <f t="shared" si="14"/>
        <v>II кв. 3 г.</v>
      </c>
      <c r="L25" s="233" t="str">
        <f t="shared" si="14"/>
        <v>III кв. 3 г.</v>
      </c>
      <c r="M25" s="233" t="str">
        <f t="shared" si="14"/>
        <v>IV кв. 3 г.</v>
      </c>
      <c r="N25" s="233" t="str">
        <f t="shared" si="14"/>
        <v>I кв. 4 г.</v>
      </c>
      <c r="O25" s="233" t="str">
        <f t="shared" si="14"/>
        <v>II кв. 4 г.</v>
      </c>
      <c r="P25" s="233" t="str">
        <f t="shared" si="14"/>
        <v>III кв. 4 г.</v>
      </c>
      <c r="Q25" s="233" t="str">
        <f t="shared" si="14"/>
        <v>IV кв. 4 г.</v>
      </c>
      <c r="R25" s="233" t="str">
        <f>'выручка по кв и годам'!T1</f>
        <v>I кв. 5 г.</v>
      </c>
      <c r="S25" s="233" t="str">
        <f>'выручка по кв и годам'!U1</f>
        <v>II кв. 5 г.</v>
      </c>
      <c r="T25" s="233" t="str">
        <f>'выручка по кв и годам'!V1</f>
        <v>III кв. 5 г.</v>
      </c>
      <c r="U25" s="233" t="str">
        <f>'выручка по кв и годам'!W1</f>
        <v>IV кв. 5 г.</v>
      </c>
      <c r="V25" s="233" t="str">
        <f>'выручка по кв и годам'!X1</f>
        <v>I кв. 6 г.</v>
      </c>
      <c r="W25" s="233" t="str">
        <f>'выручка по кв и годам'!Y1</f>
        <v>II кв. 6 г.</v>
      </c>
      <c r="X25" s="233" t="str">
        <f>'выручка по кв и годам'!Z1</f>
        <v>III кв. 6 г.</v>
      </c>
      <c r="Y25" s="233" t="str">
        <f>'выручка по кв и годам'!AA1</f>
        <v>IV кв. 6 г.</v>
      </c>
      <c r="Z25" s="294" t="str">
        <f>'выручка по кв и годам'!AB1</f>
        <v>I кв. 7 г.</v>
      </c>
      <c r="AA25" s="294" t="str">
        <f>'выручка по кв и годам'!AC1</f>
        <v>II кв. 7 г.</v>
      </c>
      <c r="AB25" s="294" t="str">
        <f>'выручка по кв и годам'!AD1</f>
        <v>III кв. 7 г.</v>
      </c>
      <c r="AC25" s="294" t="str">
        <f>'выручка по кв и годам'!AE1</f>
        <v>IV кв. 7 г.</v>
      </c>
      <c r="AD25" s="294" t="str">
        <f>'выручка по кв и годам'!AF1</f>
        <v>I кв. 8 г.</v>
      </c>
      <c r="AE25" s="294" t="str">
        <f>'выручка по кв и годам'!AG1</f>
        <v>II кв. 8 г.</v>
      </c>
      <c r="AF25" s="294" t="str">
        <f>'выручка по кв и годам'!AH1</f>
        <v>III кв. 8 г.</v>
      </c>
      <c r="AG25" s="294" t="str">
        <f>'выручка по кв и годам'!AI1</f>
        <v>IV кв. 8 г.</v>
      </c>
      <c r="AH25" s="294" t="str">
        <f>'выручка по кв и годам'!AJ1</f>
        <v>I кв. 9 г.</v>
      </c>
      <c r="AI25" s="294" t="str">
        <f>'выручка по кв и годам'!AK1</f>
        <v>II кв. 9 г.</v>
      </c>
      <c r="AJ25" s="294" t="str">
        <f>'выручка по кв и годам'!AL1</f>
        <v>III кв. 9 г.</v>
      </c>
      <c r="AK25" s="294" t="str">
        <f>'выручка по кв и годам'!AM1</f>
        <v>IV кв. 9 г.</v>
      </c>
      <c r="AL25" s="294" t="str">
        <f>'выручка по кв и годам'!AN1</f>
        <v>I кв. 10 г.</v>
      </c>
      <c r="AM25" s="294" t="str">
        <f>'выручка по кв и годам'!AO1</f>
        <v>II кв. 10 г.</v>
      </c>
      <c r="AN25" s="294" t="str">
        <f>'выручка по кв и годам'!AP1</f>
        <v>III кв. 10 г.</v>
      </c>
      <c r="AO25" s="294" t="str">
        <f>'выручка по кв и годам'!AQ1</f>
        <v>IV кв. 10 г.</v>
      </c>
      <c r="AP25" s="295" t="str">
        <f>'выручка по кв и годам'!AR1</f>
        <v>I кв. 11 г.</v>
      </c>
      <c r="AQ25" s="295" t="str">
        <f>'выручка по кв и годам'!AS1</f>
        <v>II кв. 11 г.</v>
      </c>
      <c r="AR25" s="295" t="str">
        <f>'выручка по кв и годам'!AT1</f>
        <v>III кв. 11 г.</v>
      </c>
      <c r="AS25" s="295" t="str">
        <f>'выручка по кв и годам'!AU1</f>
        <v>IV кв. 11 г.</v>
      </c>
    </row>
    <row r="26" spans="1:45" s="407" customFormat="1" ht="47.25" customHeight="1" x14ac:dyDescent="0.25">
      <c r="A26" s="408" t="s">
        <v>32</v>
      </c>
      <c r="B26" s="409">
        <f>SUM(B27:B29)</f>
        <v>0</v>
      </c>
      <c r="C26" s="409">
        <f t="shared" ref="C26:AS26" si="15">SUM(C27:C29)</f>
        <v>0</v>
      </c>
      <c r="D26" s="409">
        <f t="shared" si="15"/>
        <v>142.04545454545453</v>
      </c>
      <c r="E26" s="409">
        <f t="shared" si="15"/>
        <v>1072.0454545454545</v>
      </c>
      <c r="F26" s="409">
        <f t="shared" si="15"/>
        <v>1072.0454545454545</v>
      </c>
      <c r="G26" s="409">
        <f t="shared" si="15"/>
        <v>1072.0454545454545</v>
      </c>
      <c r="H26" s="409">
        <f t="shared" si="15"/>
        <v>1072.0454545454545</v>
      </c>
      <c r="I26" s="409">
        <f t="shared" si="15"/>
        <v>1072.0454545454545</v>
      </c>
      <c r="J26" s="409">
        <f t="shared" si="15"/>
        <v>1072.0454545454545</v>
      </c>
      <c r="K26" s="409">
        <f t="shared" si="15"/>
        <v>1072.0454545454545</v>
      </c>
      <c r="L26" s="409">
        <f t="shared" si="15"/>
        <v>1072.0454545454545</v>
      </c>
      <c r="M26" s="409">
        <f t="shared" si="15"/>
        <v>1072.0454545454545</v>
      </c>
      <c r="N26" s="409">
        <f t="shared" si="15"/>
        <v>1072.0454545454545</v>
      </c>
      <c r="O26" s="409">
        <f t="shared" si="15"/>
        <v>1072.0454545454545</v>
      </c>
      <c r="P26" s="409">
        <f t="shared" si="15"/>
        <v>1072.0454545454545</v>
      </c>
      <c r="Q26" s="409">
        <f t="shared" si="15"/>
        <v>1072.0454545454545</v>
      </c>
      <c r="R26" s="409">
        <f t="shared" si="15"/>
        <v>1072.0454545454545</v>
      </c>
      <c r="S26" s="409">
        <f t="shared" si="15"/>
        <v>1072.0454545454545</v>
      </c>
      <c r="T26" s="409">
        <f t="shared" si="15"/>
        <v>1072.0454545454545</v>
      </c>
      <c r="U26" s="409">
        <f t="shared" si="15"/>
        <v>1072.0454545454545</v>
      </c>
      <c r="V26" s="409">
        <f t="shared" si="15"/>
        <v>1072.0454545454545</v>
      </c>
      <c r="W26" s="409">
        <f t="shared" si="15"/>
        <v>1072.0454545454545</v>
      </c>
      <c r="X26" s="409">
        <f t="shared" si="15"/>
        <v>1072.0454545454545</v>
      </c>
      <c r="Y26" s="409">
        <f t="shared" si="15"/>
        <v>1072.0454545454545</v>
      </c>
      <c r="Z26" s="409">
        <f t="shared" si="15"/>
        <v>1072.0454545454545</v>
      </c>
      <c r="AA26" s="409">
        <f t="shared" si="15"/>
        <v>1072.0454545454545</v>
      </c>
      <c r="AB26" s="409">
        <f t="shared" si="15"/>
        <v>1072.0454545454545</v>
      </c>
      <c r="AC26" s="409">
        <f t="shared" si="15"/>
        <v>1072.0454545454545</v>
      </c>
      <c r="AD26" s="409">
        <f t="shared" si="15"/>
        <v>1072.0454545454545</v>
      </c>
      <c r="AE26" s="409">
        <f t="shared" si="15"/>
        <v>1072.0454545454545</v>
      </c>
      <c r="AF26" s="409">
        <f t="shared" si="15"/>
        <v>1072.0454545454545</v>
      </c>
      <c r="AG26" s="409">
        <f t="shared" si="15"/>
        <v>1072.0454545454545</v>
      </c>
      <c r="AH26" s="409">
        <f t="shared" si="15"/>
        <v>1072.0454545454545</v>
      </c>
      <c r="AI26" s="409">
        <f t="shared" si="15"/>
        <v>1072.0454545454545</v>
      </c>
      <c r="AJ26" s="409">
        <f t="shared" si="15"/>
        <v>1072.0454545454545</v>
      </c>
      <c r="AK26" s="409">
        <f t="shared" si="15"/>
        <v>1072.0454545454545</v>
      </c>
      <c r="AL26" s="409">
        <f t="shared" si="15"/>
        <v>1072.0454545454545</v>
      </c>
      <c r="AM26" s="409">
        <f t="shared" si="15"/>
        <v>1072.0454545454545</v>
      </c>
      <c r="AN26" s="409">
        <f t="shared" si="15"/>
        <v>1072.0454545454545</v>
      </c>
      <c r="AO26" s="409">
        <f t="shared" si="15"/>
        <v>1072.0454545454545</v>
      </c>
      <c r="AP26" s="409">
        <f t="shared" si="15"/>
        <v>1072.0454545454545</v>
      </c>
      <c r="AQ26" s="409">
        <f t="shared" si="15"/>
        <v>1072.0454545454545</v>
      </c>
      <c r="AR26" s="409">
        <f t="shared" si="15"/>
        <v>1072.0454545454545</v>
      </c>
      <c r="AS26" s="409">
        <f t="shared" si="15"/>
        <v>1072.0454545454545</v>
      </c>
    </row>
    <row r="27" spans="1:45" s="407" customFormat="1" ht="94.5" x14ac:dyDescent="0.25">
      <c r="A27" s="405" t="str">
        <f>A3</f>
        <v xml:space="preserve">Возведение здания "Под ключ" (с технолологическим оборудованием) посекционно в три этапа* </v>
      </c>
      <c r="B27" s="404"/>
      <c r="C27" s="404"/>
      <c r="D27" s="410"/>
      <c r="E27" s="461">
        <f>(допущения!C79/допущения!C17)/4</f>
        <v>690</v>
      </c>
      <c r="F27" s="461">
        <f>(допущения!C79/допущения!C17)/4</f>
        <v>690</v>
      </c>
      <c r="G27" s="406">
        <f>F27</f>
        <v>690</v>
      </c>
      <c r="H27" s="406">
        <f t="shared" ref="H27:O27" si="16">G27</f>
        <v>690</v>
      </c>
      <c r="I27" s="406">
        <f t="shared" si="16"/>
        <v>690</v>
      </c>
      <c r="J27" s="406">
        <f t="shared" si="16"/>
        <v>690</v>
      </c>
      <c r="K27" s="406">
        <f t="shared" si="16"/>
        <v>690</v>
      </c>
      <c r="L27" s="406">
        <f t="shared" si="16"/>
        <v>690</v>
      </c>
      <c r="M27" s="406">
        <f t="shared" si="16"/>
        <v>690</v>
      </c>
      <c r="N27" s="406">
        <f t="shared" si="16"/>
        <v>690</v>
      </c>
      <c r="O27" s="406">
        <f t="shared" si="16"/>
        <v>690</v>
      </c>
      <c r="P27" s="406">
        <f t="shared" ref="P27:AS30" si="17">O27</f>
        <v>690</v>
      </c>
      <c r="Q27" s="406">
        <f t="shared" si="17"/>
        <v>690</v>
      </c>
      <c r="R27" s="406">
        <f t="shared" si="17"/>
        <v>690</v>
      </c>
      <c r="S27" s="406">
        <f t="shared" si="17"/>
        <v>690</v>
      </c>
      <c r="T27" s="406">
        <f t="shared" si="17"/>
        <v>690</v>
      </c>
      <c r="U27" s="406">
        <f t="shared" si="17"/>
        <v>690</v>
      </c>
      <c r="V27" s="406">
        <f t="shared" si="17"/>
        <v>690</v>
      </c>
      <c r="W27" s="406">
        <f t="shared" si="17"/>
        <v>690</v>
      </c>
      <c r="X27" s="406">
        <f t="shared" si="17"/>
        <v>690</v>
      </c>
      <c r="Y27" s="406">
        <f t="shared" si="17"/>
        <v>690</v>
      </c>
      <c r="Z27" s="406">
        <f t="shared" si="17"/>
        <v>690</v>
      </c>
      <c r="AA27" s="406">
        <f t="shared" si="17"/>
        <v>690</v>
      </c>
      <c r="AB27" s="406">
        <f t="shared" si="17"/>
        <v>690</v>
      </c>
      <c r="AC27" s="406">
        <f t="shared" si="17"/>
        <v>690</v>
      </c>
      <c r="AD27" s="406">
        <f t="shared" si="17"/>
        <v>690</v>
      </c>
      <c r="AE27" s="406">
        <f t="shared" si="17"/>
        <v>690</v>
      </c>
      <c r="AF27" s="406">
        <f t="shared" si="17"/>
        <v>690</v>
      </c>
      <c r="AG27" s="406">
        <f t="shared" si="17"/>
        <v>690</v>
      </c>
      <c r="AH27" s="406">
        <f t="shared" si="17"/>
        <v>690</v>
      </c>
      <c r="AI27" s="406">
        <f t="shared" si="17"/>
        <v>690</v>
      </c>
      <c r="AJ27" s="406">
        <f t="shared" si="17"/>
        <v>690</v>
      </c>
      <c r="AK27" s="406">
        <f t="shared" si="17"/>
        <v>690</v>
      </c>
      <c r="AL27" s="406">
        <f t="shared" si="17"/>
        <v>690</v>
      </c>
      <c r="AM27" s="406">
        <f t="shared" si="17"/>
        <v>690</v>
      </c>
      <c r="AN27" s="406">
        <f t="shared" si="17"/>
        <v>690</v>
      </c>
      <c r="AO27" s="406">
        <f t="shared" si="17"/>
        <v>690</v>
      </c>
      <c r="AP27" s="406">
        <f t="shared" si="17"/>
        <v>690</v>
      </c>
      <c r="AQ27" s="406">
        <f t="shared" si="17"/>
        <v>690</v>
      </c>
      <c r="AR27" s="406">
        <f t="shared" si="17"/>
        <v>690</v>
      </c>
      <c r="AS27" s="406">
        <f t="shared" si="17"/>
        <v>690</v>
      </c>
    </row>
    <row r="28" spans="1:45" s="407" customFormat="1" ht="54.75" customHeight="1" x14ac:dyDescent="0.25">
      <c r="A28" s="405" t="str">
        <f t="shared" ref="A28" si="18">A4</f>
        <v>Приобретение техники (погрузчик, кара, 3 газели)</v>
      </c>
      <c r="B28" s="404"/>
      <c r="C28" s="404"/>
      <c r="D28" s="461">
        <f>(допущения!C80/допущения!C16)/4</f>
        <v>142.04545454545453</v>
      </c>
      <c r="E28" s="461">
        <f>(допущения!C80/допущения!C16)/4</f>
        <v>142.04545454545453</v>
      </c>
      <c r="F28" s="461">
        <f>(допущения!C80/допущения!C16)/4</f>
        <v>142.04545454545453</v>
      </c>
      <c r="G28" s="406">
        <f>F28</f>
        <v>142.04545454545453</v>
      </c>
      <c r="H28" s="406">
        <f t="shared" ref="H28:O28" si="19">G28</f>
        <v>142.04545454545453</v>
      </c>
      <c r="I28" s="406">
        <f t="shared" si="19"/>
        <v>142.04545454545453</v>
      </c>
      <c r="J28" s="406">
        <f t="shared" si="19"/>
        <v>142.04545454545453</v>
      </c>
      <c r="K28" s="406">
        <f t="shared" si="19"/>
        <v>142.04545454545453</v>
      </c>
      <c r="L28" s="406">
        <f t="shared" si="19"/>
        <v>142.04545454545453</v>
      </c>
      <c r="M28" s="406">
        <f t="shared" si="19"/>
        <v>142.04545454545453</v>
      </c>
      <c r="N28" s="406">
        <f t="shared" si="19"/>
        <v>142.04545454545453</v>
      </c>
      <c r="O28" s="406">
        <f t="shared" si="19"/>
        <v>142.04545454545453</v>
      </c>
      <c r="P28" s="406">
        <f t="shared" si="17"/>
        <v>142.04545454545453</v>
      </c>
      <c r="Q28" s="406">
        <f t="shared" si="17"/>
        <v>142.04545454545453</v>
      </c>
      <c r="R28" s="406">
        <f t="shared" si="17"/>
        <v>142.04545454545453</v>
      </c>
      <c r="S28" s="406">
        <f t="shared" si="17"/>
        <v>142.04545454545453</v>
      </c>
      <c r="T28" s="406">
        <f t="shared" si="17"/>
        <v>142.04545454545453</v>
      </c>
      <c r="U28" s="406">
        <f t="shared" si="17"/>
        <v>142.04545454545453</v>
      </c>
      <c r="V28" s="406">
        <f t="shared" si="17"/>
        <v>142.04545454545453</v>
      </c>
      <c r="W28" s="406">
        <f t="shared" si="17"/>
        <v>142.04545454545453</v>
      </c>
      <c r="X28" s="406">
        <f t="shared" si="17"/>
        <v>142.04545454545453</v>
      </c>
      <c r="Y28" s="406">
        <f t="shared" si="17"/>
        <v>142.04545454545453</v>
      </c>
      <c r="Z28" s="406">
        <f t="shared" si="17"/>
        <v>142.04545454545453</v>
      </c>
      <c r="AA28" s="406">
        <f t="shared" si="17"/>
        <v>142.04545454545453</v>
      </c>
      <c r="AB28" s="406">
        <f t="shared" si="17"/>
        <v>142.04545454545453</v>
      </c>
      <c r="AC28" s="406">
        <f t="shared" si="17"/>
        <v>142.04545454545453</v>
      </c>
      <c r="AD28" s="406">
        <f t="shared" si="17"/>
        <v>142.04545454545453</v>
      </c>
      <c r="AE28" s="406">
        <f t="shared" si="17"/>
        <v>142.04545454545453</v>
      </c>
      <c r="AF28" s="406">
        <f t="shared" si="17"/>
        <v>142.04545454545453</v>
      </c>
      <c r="AG28" s="406">
        <f t="shared" si="17"/>
        <v>142.04545454545453</v>
      </c>
      <c r="AH28" s="406">
        <f t="shared" si="17"/>
        <v>142.04545454545453</v>
      </c>
      <c r="AI28" s="406">
        <f t="shared" si="17"/>
        <v>142.04545454545453</v>
      </c>
      <c r="AJ28" s="406">
        <f t="shared" si="17"/>
        <v>142.04545454545453</v>
      </c>
      <c r="AK28" s="406">
        <f t="shared" si="17"/>
        <v>142.04545454545453</v>
      </c>
      <c r="AL28" s="406">
        <f t="shared" si="17"/>
        <v>142.04545454545453</v>
      </c>
      <c r="AM28" s="406">
        <f t="shared" si="17"/>
        <v>142.04545454545453</v>
      </c>
      <c r="AN28" s="406">
        <f t="shared" si="17"/>
        <v>142.04545454545453</v>
      </c>
      <c r="AO28" s="406">
        <f t="shared" si="17"/>
        <v>142.04545454545453</v>
      </c>
      <c r="AP28" s="406">
        <f t="shared" si="17"/>
        <v>142.04545454545453</v>
      </c>
      <c r="AQ28" s="406">
        <f t="shared" si="17"/>
        <v>142.04545454545453</v>
      </c>
      <c r="AR28" s="406">
        <f t="shared" si="17"/>
        <v>142.04545454545453</v>
      </c>
      <c r="AS28" s="406">
        <f t="shared" si="17"/>
        <v>142.04545454545453</v>
      </c>
    </row>
    <row r="29" spans="1:45" s="407" customFormat="1" ht="94.5" x14ac:dyDescent="0.25">
      <c r="A29" s="405" t="s">
        <v>462</v>
      </c>
      <c r="B29" s="404"/>
      <c r="C29" s="404"/>
      <c r="D29" s="404"/>
      <c r="E29" s="461">
        <f>((допущения!C81+допущения!C82)/допущения!C17)/4</f>
        <v>240</v>
      </c>
      <c r="F29" s="461">
        <f>((допущения!C81+допущения!C82)/допущения!C17)/4</f>
        <v>240</v>
      </c>
      <c r="G29" s="406">
        <f>F29</f>
        <v>240</v>
      </c>
      <c r="H29" s="406">
        <f t="shared" ref="H29:O29" si="20">G29</f>
        <v>240</v>
      </c>
      <c r="I29" s="406">
        <f t="shared" si="20"/>
        <v>240</v>
      </c>
      <c r="J29" s="406">
        <f t="shared" si="20"/>
        <v>240</v>
      </c>
      <c r="K29" s="406">
        <f t="shared" si="20"/>
        <v>240</v>
      </c>
      <c r="L29" s="406">
        <f t="shared" si="20"/>
        <v>240</v>
      </c>
      <c r="M29" s="406">
        <f t="shared" si="20"/>
        <v>240</v>
      </c>
      <c r="N29" s="406">
        <f t="shared" si="20"/>
        <v>240</v>
      </c>
      <c r="O29" s="406">
        <f t="shared" si="20"/>
        <v>240</v>
      </c>
      <c r="P29" s="406">
        <f t="shared" si="17"/>
        <v>240</v>
      </c>
      <c r="Q29" s="406">
        <f t="shared" si="17"/>
        <v>240</v>
      </c>
      <c r="R29" s="406">
        <f t="shared" si="17"/>
        <v>240</v>
      </c>
      <c r="S29" s="406">
        <f t="shared" si="17"/>
        <v>240</v>
      </c>
      <c r="T29" s="406">
        <f t="shared" si="17"/>
        <v>240</v>
      </c>
      <c r="U29" s="406">
        <f t="shared" si="17"/>
        <v>240</v>
      </c>
      <c r="V29" s="406">
        <f t="shared" si="17"/>
        <v>240</v>
      </c>
      <c r="W29" s="406">
        <f t="shared" si="17"/>
        <v>240</v>
      </c>
      <c r="X29" s="406">
        <f t="shared" si="17"/>
        <v>240</v>
      </c>
      <c r="Y29" s="406">
        <f t="shared" si="17"/>
        <v>240</v>
      </c>
      <c r="Z29" s="406">
        <f t="shared" si="17"/>
        <v>240</v>
      </c>
      <c r="AA29" s="406">
        <f t="shared" si="17"/>
        <v>240</v>
      </c>
      <c r="AB29" s="406">
        <f t="shared" si="17"/>
        <v>240</v>
      </c>
      <c r="AC29" s="406">
        <f t="shared" si="17"/>
        <v>240</v>
      </c>
      <c r="AD29" s="406">
        <f t="shared" si="17"/>
        <v>240</v>
      </c>
      <c r="AE29" s="406">
        <f t="shared" si="17"/>
        <v>240</v>
      </c>
      <c r="AF29" s="406">
        <f t="shared" si="17"/>
        <v>240</v>
      </c>
      <c r="AG29" s="406">
        <f t="shared" si="17"/>
        <v>240</v>
      </c>
      <c r="AH29" s="406">
        <f t="shared" si="17"/>
        <v>240</v>
      </c>
      <c r="AI29" s="406">
        <f t="shared" si="17"/>
        <v>240</v>
      </c>
      <c r="AJ29" s="406">
        <f t="shared" si="17"/>
        <v>240</v>
      </c>
      <c r="AK29" s="406">
        <f t="shared" si="17"/>
        <v>240</v>
      </c>
      <c r="AL29" s="406">
        <f t="shared" si="17"/>
        <v>240</v>
      </c>
      <c r="AM29" s="406">
        <f t="shared" si="17"/>
        <v>240</v>
      </c>
      <c r="AN29" s="406">
        <f t="shared" si="17"/>
        <v>240</v>
      </c>
      <c r="AO29" s="406">
        <f t="shared" si="17"/>
        <v>240</v>
      </c>
      <c r="AP29" s="406">
        <f t="shared" si="17"/>
        <v>240</v>
      </c>
      <c r="AQ29" s="406">
        <f t="shared" si="17"/>
        <v>240</v>
      </c>
      <c r="AR29" s="406">
        <f t="shared" si="17"/>
        <v>240</v>
      </c>
      <c r="AS29" s="406">
        <f t="shared" si="17"/>
        <v>240</v>
      </c>
    </row>
    <row r="30" spans="1:45" ht="72.75" customHeight="1" x14ac:dyDescent="0.25">
      <c r="A30" s="405" t="str">
        <f>A7</f>
        <v>Приоретение линий первичной перарботки и фасовки овощей, ягод, грибов, орехов</v>
      </c>
      <c r="B30" s="406"/>
      <c r="C30" s="406"/>
      <c r="D30" s="461">
        <f>(допущения!C83/допущения!C16)/4</f>
        <v>39.772727272727273</v>
      </c>
      <c r="E30" s="461">
        <f>(допущения!C83/допущения!C16)/4</f>
        <v>39.772727272727273</v>
      </c>
      <c r="F30" s="461">
        <f>(допущения!C83/допущения!C16)/4</f>
        <v>39.772727272727273</v>
      </c>
      <c r="G30" s="406">
        <f>F30</f>
        <v>39.772727272727273</v>
      </c>
      <c r="H30" s="406">
        <f t="shared" ref="H30:O30" si="21">G30</f>
        <v>39.772727272727273</v>
      </c>
      <c r="I30" s="406">
        <f t="shared" si="21"/>
        <v>39.772727272727273</v>
      </c>
      <c r="J30" s="406">
        <f t="shared" si="21"/>
        <v>39.772727272727273</v>
      </c>
      <c r="K30" s="406">
        <f t="shared" si="21"/>
        <v>39.772727272727273</v>
      </c>
      <c r="L30" s="406">
        <f t="shared" si="21"/>
        <v>39.772727272727273</v>
      </c>
      <c r="M30" s="406">
        <f t="shared" si="21"/>
        <v>39.772727272727273</v>
      </c>
      <c r="N30" s="406">
        <f t="shared" si="21"/>
        <v>39.772727272727273</v>
      </c>
      <c r="O30" s="406">
        <f t="shared" si="21"/>
        <v>39.772727272727273</v>
      </c>
      <c r="P30" s="406">
        <f t="shared" si="17"/>
        <v>39.772727272727273</v>
      </c>
      <c r="Q30" s="406">
        <f t="shared" si="17"/>
        <v>39.772727272727273</v>
      </c>
      <c r="R30" s="406">
        <f t="shared" si="17"/>
        <v>39.772727272727273</v>
      </c>
      <c r="S30" s="406">
        <f t="shared" si="17"/>
        <v>39.772727272727273</v>
      </c>
      <c r="T30" s="406">
        <f t="shared" si="17"/>
        <v>39.772727272727273</v>
      </c>
      <c r="U30" s="406">
        <f t="shared" si="17"/>
        <v>39.772727272727273</v>
      </c>
      <c r="V30" s="406">
        <f t="shared" si="17"/>
        <v>39.772727272727273</v>
      </c>
      <c r="W30" s="406">
        <f t="shared" si="17"/>
        <v>39.772727272727273</v>
      </c>
      <c r="X30" s="406">
        <f t="shared" si="17"/>
        <v>39.772727272727273</v>
      </c>
      <c r="Y30" s="406">
        <f t="shared" si="17"/>
        <v>39.772727272727273</v>
      </c>
      <c r="Z30" s="406">
        <f t="shared" si="17"/>
        <v>39.772727272727273</v>
      </c>
      <c r="AA30" s="406">
        <f t="shared" si="17"/>
        <v>39.772727272727273</v>
      </c>
      <c r="AB30" s="406">
        <f t="shared" si="17"/>
        <v>39.772727272727273</v>
      </c>
      <c r="AC30" s="406">
        <f t="shared" si="17"/>
        <v>39.772727272727273</v>
      </c>
      <c r="AD30" s="406">
        <f t="shared" si="17"/>
        <v>39.772727272727273</v>
      </c>
      <c r="AE30" s="406">
        <f t="shared" si="17"/>
        <v>39.772727272727273</v>
      </c>
      <c r="AF30" s="406">
        <f t="shared" si="17"/>
        <v>39.772727272727273</v>
      </c>
      <c r="AG30" s="406">
        <f t="shared" si="17"/>
        <v>39.772727272727273</v>
      </c>
      <c r="AH30" s="406">
        <f t="shared" si="17"/>
        <v>39.772727272727273</v>
      </c>
      <c r="AI30" s="406">
        <f t="shared" si="17"/>
        <v>39.772727272727273</v>
      </c>
      <c r="AJ30" s="406">
        <f t="shared" si="17"/>
        <v>39.772727272727273</v>
      </c>
      <c r="AK30" s="406">
        <f t="shared" si="17"/>
        <v>39.772727272727273</v>
      </c>
      <c r="AL30" s="406">
        <f t="shared" si="17"/>
        <v>39.772727272727273</v>
      </c>
      <c r="AM30" s="406">
        <f t="shared" si="17"/>
        <v>39.772727272727273</v>
      </c>
      <c r="AN30" s="406">
        <f t="shared" si="17"/>
        <v>39.772727272727273</v>
      </c>
      <c r="AO30" s="406">
        <f t="shared" si="17"/>
        <v>39.772727272727273</v>
      </c>
      <c r="AP30" s="406">
        <f t="shared" si="17"/>
        <v>39.772727272727273</v>
      </c>
      <c r="AQ30" s="406">
        <f t="shared" si="17"/>
        <v>39.772727272727273</v>
      </c>
      <c r="AR30" s="406">
        <f t="shared" si="17"/>
        <v>39.772727272727273</v>
      </c>
      <c r="AS30" s="406">
        <f t="shared" si="17"/>
        <v>39.772727272727273</v>
      </c>
    </row>
    <row r="31" spans="1:45" x14ac:dyDescent="0.25">
      <c r="B31" s="296" t="str">
        <f t="shared" ref="B31:AS31" si="22">B25</f>
        <v>I кв. 1 г.</v>
      </c>
      <c r="C31" s="296" t="str">
        <f t="shared" si="22"/>
        <v>II кв. 1 г.</v>
      </c>
      <c r="D31" s="296" t="str">
        <f t="shared" si="22"/>
        <v>III кв. 1 г.</v>
      </c>
      <c r="E31" s="296" t="str">
        <f t="shared" si="22"/>
        <v>IV кв. 1 г.</v>
      </c>
      <c r="F31" s="296" t="str">
        <f t="shared" si="22"/>
        <v>I кв. 2 г.</v>
      </c>
      <c r="G31" s="296" t="str">
        <f t="shared" si="22"/>
        <v>II кв. 2 г.</v>
      </c>
      <c r="H31" s="296" t="str">
        <f t="shared" si="22"/>
        <v>III кв. 2 г.</v>
      </c>
      <c r="I31" s="296" t="str">
        <f t="shared" si="22"/>
        <v>IV кв. 2 г.</v>
      </c>
      <c r="J31" s="296" t="str">
        <f t="shared" si="22"/>
        <v>I кв. 3 г.</v>
      </c>
      <c r="K31" s="296" t="str">
        <f t="shared" si="22"/>
        <v>II кв. 3 г.</v>
      </c>
      <c r="L31" s="296" t="str">
        <f t="shared" si="22"/>
        <v>III кв. 3 г.</v>
      </c>
      <c r="M31" s="296" t="str">
        <f t="shared" si="22"/>
        <v>IV кв. 3 г.</v>
      </c>
      <c r="N31" s="296" t="str">
        <f t="shared" si="22"/>
        <v>I кв. 4 г.</v>
      </c>
      <c r="O31" s="296" t="str">
        <f t="shared" si="22"/>
        <v>II кв. 4 г.</v>
      </c>
      <c r="P31" s="296" t="str">
        <f t="shared" si="22"/>
        <v>III кв. 4 г.</v>
      </c>
      <c r="Q31" s="296" t="str">
        <f t="shared" si="22"/>
        <v>IV кв. 4 г.</v>
      </c>
      <c r="R31" s="233" t="str">
        <f t="shared" si="22"/>
        <v>I кв. 5 г.</v>
      </c>
      <c r="S31" s="296" t="str">
        <f t="shared" si="22"/>
        <v>II кв. 5 г.</v>
      </c>
      <c r="T31" s="296" t="str">
        <f t="shared" si="22"/>
        <v>III кв. 5 г.</v>
      </c>
      <c r="U31" s="296" t="str">
        <f t="shared" si="22"/>
        <v>IV кв. 5 г.</v>
      </c>
      <c r="V31" s="296" t="str">
        <f t="shared" si="22"/>
        <v>I кв. 6 г.</v>
      </c>
      <c r="W31" s="296" t="str">
        <f t="shared" si="22"/>
        <v>II кв. 6 г.</v>
      </c>
      <c r="X31" s="296" t="str">
        <f t="shared" si="22"/>
        <v>III кв. 6 г.</v>
      </c>
      <c r="Y31" s="296" t="str">
        <f t="shared" si="22"/>
        <v>IV кв. 6 г.</v>
      </c>
      <c r="Z31" s="296" t="str">
        <f t="shared" si="22"/>
        <v>I кв. 7 г.</v>
      </c>
      <c r="AA31" s="296" t="str">
        <f t="shared" si="22"/>
        <v>II кв. 7 г.</v>
      </c>
      <c r="AB31" s="296" t="str">
        <f t="shared" si="22"/>
        <v>III кв. 7 г.</v>
      </c>
      <c r="AC31" s="296" t="str">
        <f t="shared" si="22"/>
        <v>IV кв. 7 г.</v>
      </c>
      <c r="AD31" s="296" t="str">
        <f t="shared" si="22"/>
        <v>I кв. 8 г.</v>
      </c>
      <c r="AE31" s="296" t="str">
        <f t="shared" si="22"/>
        <v>II кв. 8 г.</v>
      </c>
      <c r="AF31" s="296" t="str">
        <f t="shared" si="22"/>
        <v>III кв. 8 г.</v>
      </c>
      <c r="AG31" s="296" t="str">
        <f t="shared" si="22"/>
        <v>IV кв. 8 г.</v>
      </c>
      <c r="AH31" s="296" t="str">
        <f t="shared" si="22"/>
        <v>I кв. 9 г.</v>
      </c>
      <c r="AI31" s="296" t="str">
        <f t="shared" si="22"/>
        <v>II кв. 9 г.</v>
      </c>
      <c r="AJ31" s="296" t="str">
        <f t="shared" si="22"/>
        <v>III кв. 9 г.</v>
      </c>
      <c r="AK31" s="296" t="str">
        <f t="shared" si="22"/>
        <v>IV кв. 9 г.</v>
      </c>
      <c r="AL31" s="296" t="str">
        <f t="shared" si="22"/>
        <v>I кв. 10 г.</v>
      </c>
      <c r="AM31" s="296" t="str">
        <f t="shared" si="22"/>
        <v>II кв. 10 г.</v>
      </c>
      <c r="AN31" s="296" t="str">
        <f t="shared" si="22"/>
        <v>III кв. 10 г.</v>
      </c>
      <c r="AO31" s="296" t="str">
        <f t="shared" si="22"/>
        <v>IV кв. 10 г.</v>
      </c>
      <c r="AP31" s="295" t="str">
        <f t="shared" si="22"/>
        <v>I кв. 11 г.</v>
      </c>
      <c r="AQ31" s="295" t="str">
        <f t="shared" si="22"/>
        <v>II кв. 11 г.</v>
      </c>
      <c r="AR31" s="295" t="str">
        <f t="shared" si="22"/>
        <v>III кв. 11 г.</v>
      </c>
      <c r="AS31" s="297" t="str">
        <f t="shared" si="22"/>
        <v>IV кв. 11 г.</v>
      </c>
    </row>
    <row r="32" spans="1:45" x14ac:dyDescent="0.25">
      <c r="A32" s="29" t="s">
        <v>33</v>
      </c>
      <c r="B32" s="29"/>
      <c r="C32" s="29"/>
      <c r="D32" s="404">
        <f>C3+D3</f>
        <v>69000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46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44"/>
      <c r="AQ32" s="44"/>
      <c r="AR32" s="44"/>
      <c r="AS32" s="45"/>
    </row>
    <row r="33" spans="1:45" s="407" customFormat="1" ht="32.25" customHeight="1" x14ac:dyDescent="0.25">
      <c r="A33" s="405" t="s">
        <v>34</v>
      </c>
      <c r="B33" s="404"/>
      <c r="C33" s="404"/>
      <c r="D33" s="404"/>
      <c r="E33" s="404">
        <f>D32-E27</f>
        <v>68310</v>
      </c>
      <c r="F33" s="404">
        <f>E33-F27</f>
        <v>67620</v>
      </c>
      <c r="G33" s="404">
        <f t="shared" ref="G33:AS33" si="23">F33-G27</f>
        <v>66930</v>
      </c>
      <c r="H33" s="404">
        <f t="shared" si="23"/>
        <v>66240</v>
      </c>
      <c r="I33" s="404">
        <f t="shared" si="23"/>
        <v>65550</v>
      </c>
      <c r="J33" s="404">
        <f t="shared" si="23"/>
        <v>64860</v>
      </c>
      <c r="K33" s="404">
        <f t="shared" si="23"/>
        <v>64170</v>
      </c>
      <c r="L33" s="404">
        <f t="shared" si="23"/>
        <v>63480</v>
      </c>
      <c r="M33" s="404">
        <f t="shared" si="23"/>
        <v>62790</v>
      </c>
      <c r="N33" s="404">
        <f t="shared" si="23"/>
        <v>62100</v>
      </c>
      <c r="O33" s="404">
        <f t="shared" si="23"/>
        <v>61410</v>
      </c>
      <c r="P33" s="404">
        <f t="shared" si="23"/>
        <v>60720</v>
      </c>
      <c r="Q33" s="404">
        <f t="shared" si="23"/>
        <v>60030</v>
      </c>
      <c r="R33" s="404">
        <f t="shared" si="23"/>
        <v>59340</v>
      </c>
      <c r="S33" s="404">
        <f t="shared" si="23"/>
        <v>58650</v>
      </c>
      <c r="T33" s="404">
        <f t="shared" si="23"/>
        <v>57960</v>
      </c>
      <c r="U33" s="404">
        <f t="shared" si="23"/>
        <v>57270</v>
      </c>
      <c r="V33" s="404">
        <f t="shared" si="23"/>
        <v>56580</v>
      </c>
      <c r="W33" s="404">
        <f t="shared" si="23"/>
        <v>55890</v>
      </c>
      <c r="X33" s="404">
        <f t="shared" si="23"/>
        <v>55200</v>
      </c>
      <c r="Y33" s="404">
        <f t="shared" si="23"/>
        <v>54510</v>
      </c>
      <c r="Z33" s="404">
        <f t="shared" si="23"/>
        <v>53820</v>
      </c>
      <c r="AA33" s="404">
        <f t="shared" si="23"/>
        <v>53130</v>
      </c>
      <c r="AB33" s="404">
        <f t="shared" si="23"/>
        <v>52440</v>
      </c>
      <c r="AC33" s="404">
        <f t="shared" si="23"/>
        <v>51750</v>
      </c>
      <c r="AD33" s="404">
        <f t="shared" si="23"/>
        <v>51060</v>
      </c>
      <c r="AE33" s="404">
        <f t="shared" si="23"/>
        <v>50370</v>
      </c>
      <c r="AF33" s="404">
        <f t="shared" si="23"/>
        <v>49680</v>
      </c>
      <c r="AG33" s="404">
        <f t="shared" si="23"/>
        <v>48990</v>
      </c>
      <c r="AH33" s="404">
        <f t="shared" si="23"/>
        <v>48300</v>
      </c>
      <c r="AI33" s="404">
        <f t="shared" si="23"/>
        <v>47610</v>
      </c>
      <c r="AJ33" s="404">
        <f t="shared" si="23"/>
        <v>46920</v>
      </c>
      <c r="AK33" s="404">
        <f t="shared" si="23"/>
        <v>46230</v>
      </c>
      <c r="AL33" s="404">
        <f t="shared" si="23"/>
        <v>45540</v>
      </c>
      <c r="AM33" s="404">
        <f t="shared" si="23"/>
        <v>44850</v>
      </c>
      <c r="AN33" s="404">
        <f t="shared" si="23"/>
        <v>44160</v>
      </c>
      <c r="AO33" s="404">
        <f t="shared" si="23"/>
        <v>43470</v>
      </c>
      <c r="AP33" s="404">
        <f t="shared" si="23"/>
        <v>42780</v>
      </c>
      <c r="AQ33" s="404">
        <f t="shared" si="23"/>
        <v>42090</v>
      </c>
      <c r="AR33" s="404">
        <f t="shared" si="23"/>
        <v>41400</v>
      </c>
      <c r="AS33" s="404">
        <f t="shared" si="23"/>
        <v>40710</v>
      </c>
    </row>
    <row r="34" spans="1:45" s="407" customFormat="1" ht="31.5" x14ac:dyDescent="0.25">
      <c r="A34" s="405" t="s">
        <v>35</v>
      </c>
      <c r="B34" s="404"/>
      <c r="C34" s="404"/>
      <c r="D34" s="404"/>
      <c r="E34" s="462">
        <f>E33*допущения!$C$20*0</f>
        <v>0</v>
      </c>
      <c r="F34" s="462">
        <f>F33*допущения!$C$20*0</f>
        <v>0</v>
      </c>
      <c r="G34" s="462">
        <f>G33*допущения!$C$20*0</f>
        <v>0</v>
      </c>
      <c r="H34" s="462">
        <f>H33*допущения!$C$20*0</f>
        <v>0</v>
      </c>
      <c r="I34" s="462">
        <f>I33*допущения!$C$20*0</f>
        <v>0</v>
      </c>
      <c r="J34" s="462">
        <f>J33*допущения!$C$20*0</f>
        <v>0</v>
      </c>
      <c r="K34" s="462">
        <f>K33*допущения!$C$20*0</f>
        <v>0</v>
      </c>
      <c r="L34" s="462">
        <f>L33*допущения!$C$20*0</f>
        <v>0</v>
      </c>
      <c r="M34" s="462">
        <f>M33*допущения!$C$20*0</f>
        <v>0</v>
      </c>
      <c r="N34" s="462">
        <f>N33*допущения!$C$20*0</f>
        <v>0</v>
      </c>
      <c r="O34" s="462">
        <f>O33*допущения!$C$20*0</f>
        <v>0</v>
      </c>
      <c r="P34" s="462">
        <f>P33*допущения!$C$20*0</f>
        <v>0</v>
      </c>
      <c r="Q34" s="462">
        <f>Q33*допущения!$C$20*0</f>
        <v>0</v>
      </c>
      <c r="R34" s="462">
        <f>R33*допущения!$C$20*0</f>
        <v>0</v>
      </c>
      <c r="S34" s="462">
        <f>S33*допущения!$C$20*0</f>
        <v>0</v>
      </c>
      <c r="T34" s="462">
        <f>T33*допущения!$C$20*0</f>
        <v>0</v>
      </c>
      <c r="U34" s="462">
        <f>U33*допущения!$C$20*0</f>
        <v>0</v>
      </c>
      <c r="V34" s="462">
        <f>V33*допущения!$C$20*0</f>
        <v>0</v>
      </c>
      <c r="W34" s="462">
        <f>W33*допущения!$C$20*0</f>
        <v>0</v>
      </c>
      <c r="X34" s="462">
        <f>X33*допущения!$C$20*0</f>
        <v>0</v>
      </c>
      <c r="Y34" s="462">
        <f>Y33*допущения!$C$20/4</f>
        <v>299.80500000000001</v>
      </c>
      <c r="Z34" s="462">
        <f>Z33*допущения!$C$20/4</f>
        <v>296.01</v>
      </c>
      <c r="AA34" s="462">
        <f>AA33*допущения!$C$20/4</f>
        <v>292.21499999999997</v>
      </c>
      <c r="AB34" s="462">
        <f>AB33*допущения!$C$20/4</f>
        <v>288.41999999999996</v>
      </c>
      <c r="AC34" s="462">
        <f>AC33*допущения!$C$20/4</f>
        <v>284.625</v>
      </c>
      <c r="AD34" s="462">
        <f>AD33*допущения!$C$20/4</f>
        <v>280.83</v>
      </c>
      <c r="AE34" s="462">
        <f>AE33*допущения!$C$20/4</f>
        <v>277.03499999999997</v>
      </c>
      <c r="AF34" s="462">
        <f>AF33*допущения!$C$20/4</f>
        <v>273.24</v>
      </c>
      <c r="AG34" s="462">
        <f>AG33*допущения!$C$20/4</f>
        <v>269.44499999999999</v>
      </c>
      <c r="AH34" s="462">
        <f>AH33*допущения!$C$20/4</f>
        <v>265.64999999999998</v>
      </c>
      <c r="AI34" s="462">
        <f>AI33*допущения!$C$20/4</f>
        <v>261.85499999999996</v>
      </c>
      <c r="AJ34" s="462">
        <f>AJ33*допущения!$C$20/4</f>
        <v>258.06</v>
      </c>
      <c r="AK34" s="462">
        <f>AK33*допущения!$C$20/4</f>
        <v>254.26499999999999</v>
      </c>
      <c r="AL34" s="462">
        <f>AL33*допущения!$C$20/4</f>
        <v>250.47</v>
      </c>
      <c r="AM34" s="462">
        <f>AM33*допущения!$C$20/4</f>
        <v>246.67499999999998</v>
      </c>
      <c r="AN34" s="462">
        <f>AN33*допущения!$C$20/4</f>
        <v>242.88</v>
      </c>
      <c r="AO34" s="462">
        <f>AO33*допущения!$C$20/4</f>
        <v>239.08499999999998</v>
      </c>
      <c r="AP34" s="462">
        <f>AP33*допущения!$C$20/4</f>
        <v>235.29</v>
      </c>
      <c r="AQ34" s="462">
        <f>AQ33*допущения!$C$20/4</f>
        <v>231.49499999999998</v>
      </c>
      <c r="AR34" s="462">
        <f>AR33*допущения!$C$20/4</f>
        <v>227.7</v>
      </c>
      <c r="AS34" s="462">
        <f>AS33*допущения!$C$20/4</f>
        <v>223.905</v>
      </c>
    </row>
    <row r="35" spans="1:45" s="465" customFormat="1" ht="31.5" x14ac:dyDescent="0.25">
      <c r="A35" s="463" t="s">
        <v>36</v>
      </c>
      <c r="B35" s="464"/>
      <c r="C35" s="464"/>
      <c r="D35" s="464"/>
      <c r="E35" s="464">
        <f>E33*допущения!$C$20/4</f>
        <v>375.70499999999998</v>
      </c>
      <c r="F35" s="464">
        <f>F33*допущения!$C$20/4</f>
        <v>371.90999999999997</v>
      </c>
      <c r="G35" s="464">
        <f>G33*допущения!$C$20/4</f>
        <v>368.11499999999995</v>
      </c>
      <c r="H35" s="464">
        <f>H33*допущения!$C$20/4</f>
        <v>364.32</v>
      </c>
      <c r="I35" s="464">
        <f>I33*допущения!$C$20/4</f>
        <v>360.52499999999998</v>
      </c>
      <c r="J35" s="464">
        <f>J33*допущения!$C$20/4</f>
        <v>356.72999999999996</v>
      </c>
      <c r="K35" s="464">
        <f>K33*допущения!$C$20/4</f>
        <v>352.935</v>
      </c>
      <c r="L35" s="464">
        <f>L33*допущения!$C$20/4</f>
        <v>349.14</v>
      </c>
      <c r="M35" s="464">
        <f>M33*допущения!$C$20/4</f>
        <v>345.34499999999997</v>
      </c>
      <c r="N35" s="464">
        <f>N33*допущения!$C$20/4</f>
        <v>341.54999999999995</v>
      </c>
      <c r="O35" s="464">
        <f>O33*допущения!$C$20/4</f>
        <v>337.755</v>
      </c>
      <c r="P35" s="464">
        <f>P33*допущения!$C$20/4</f>
        <v>333.96</v>
      </c>
      <c r="Q35" s="464">
        <f>Q33*допущения!$C$20/4</f>
        <v>330.16499999999996</v>
      </c>
      <c r="R35" s="464">
        <f>R33*допущения!$C$20/4</f>
        <v>326.37</v>
      </c>
      <c r="S35" s="464">
        <f>S33*допущения!$C$20/4</f>
        <v>322.57499999999999</v>
      </c>
      <c r="T35" s="464">
        <f>T33*допущения!$C$20/4</f>
        <v>318.77999999999997</v>
      </c>
      <c r="U35" s="464">
        <f>U33*допущения!$C$20/4</f>
        <v>314.98499999999996</v>
      </c>
      <c r="V35" s="464">
        <f>V33*допущения!$C$20/4</f>
        <v>311.19</v>
      </c>
      <c r="W35" s="464">
        <f>W33*допущения!$C$20/4</f>
        <v>307.39499999999998</v>
      </c>
      <c r="X35" s="464">
        <f>X33*допущения!$C$20/4</f>
        <v>303.59999999999997</v>
      </c>
      <c r="Y35" s="464">
        <f>Y33*допущения!$C$20/4</f>
        <v>299.80500000000001</v>
      </c>
      <c r="Z35" s="464">
        <f>Z33*допущения!$C$20/4</f>
        <v>296.01</v>
      </c>
      <c r="AA35" s="464">
        <f>AA33*допущения!$C$20/4</f>
        <v>292.21499999999997</v>
      </c>
      <c r="AB35" s="464">
        <f>AB33*допущения!$C$20/4</f>
        <v>288.41999999999996</v>
      </c>
      <c r="AC35" s="464">
        <f>AC33*допущения!$C$20/4</f>
        <v>284.625</v>
      </c>
      <c r="AD35" s="464">
        <f>AD33*допущения!$C$20/4</f>
        <v>280.83</v>
      </c>
      <c r="AE35" s="464">
        <f>AE33*допущения!$C$20/4</f>
        <v>277.03499999999997</v>
      </c>
      <c r="AF35" s="464">
        <f>AF33*допущения!$C$20/4</f>
        <v>273.24</v>
      </c>
      <c r="AG35" s="464">
        <f>AG33*допущения!$C$20/4</f>
        <v>269.44499999999999</v>
      </c>
      <c r="AH35" s="464">
        <f>AH33*допущения!$C$20/4</f>
        <v>265.64999999999998</v>
      </c>
      <c r="AI35" s="464">
        <f>AI33*допущения!$C$20/4</f>
        <v>261.85499999999996</v>
      </c>
      <c r="AJ35" s="464">
        <f>AJ33*допущения!$C$20/4</f>
        <v>258.06</v>
      </c>
      <c r="AK35" s="464">
        <f>AK33*допущения!$C$20/4</f>
        <v>254.26499999999999</v>
      </c>
      <c r="AL35" s="464">
        <f>AL33*допущения!$C$20/4</f>
        <v>250.47</v>
      </c>
      <c r="AM35" s="464">
        <f>AM33*допущения!$C$20/4</f>
        <v>246.67499999999998</v>
      </c>
      <c r="AN35" s="464">
        <f>AN33*допущения!$C$20/4</f>
        <v>242.88</v>
      </c>
      <c r="AO35" s="464">
        <f>AO33*допущения!$C$20/4</f>
        <v>239.08499999999998</v>
      </c>
      <c r="AP35" s="464">
        <f>AP33*допущения!$C$20/4</f>
        <v>235.29</v>
      </c>
      <c r="AQ35" s="464">
        <f>AQ33*допущения!$C$20/4</f>
        <v>231.49499999999998</v>
      </c>
      <c r="AR35" s="464">
        <f>AR33*допущения!$C$20/4</f>
        <v>227.7</v>
      </c>
      <c r="AS35" s="464">
        <f>AS33*допущения!$C$20/4</f>
        <v>223.905</v>
      </c>
    </row>
    <row r="36" spans="1:45" x14ac:dyDescent="0.25">
      <c r="A36" s="12"/>
      <c r="B36" s="12"/>
      <c r="C36" s="12"/>
      <c r="D36" s="12"/>
      <c r="E36" s="12"/>
      <c r="Z36" s="12"/>
    </row>
    <row r="37" spans="1:45" ht="46.5" customHeight="1" x14ac:dyDescent="0.25">
      <c r="A37" s="290"/>
      <c r="B37" s="298" t="str">
        <f>W1</f>
        <v>1 год</v>
      </c>
      <c r="C37" s="298" t="str">
        <f>X1</f>
        <v>2 год</v>
      </c>
      <c r="D37" s="298" t="str">
        <f>Y1</f>
        <v>3 год</v>
      </c>
      <c r="E37" s="298" t="str">
        <f>Z1</f>
        <v>4 год</v>
      </c>
      <c r="F37" s="298" t="str">
        <f>'выручка по кв и годам'!H15</f>
        <v>5 год</v>
      </c>
      <c r="G37" s="298" t="str">
        <f>'выручка по кв и годам'!I15</f>
        <v>6 год</v>
      </c>
      <c r="H37" s="298" t="str">
        <f>'выручка по кв и годам'!J15</f>
        <v>7 год</v>
      </c>
      <c r="I37" s="298" t="str">
        <f>'выручка по кв и годам'!K15</f>
        <v>8 год</v>
      </c>
      <c r="J37" s="298" t="str">
        <f>'выручка по кв и годам'!L15</f>
        <v>9 год</v>
      </c>
      <c r="K37" s="298" t="str">
        <f>'выручка по кв и годам'!M15</f>
        <v>10 год</v>
      </c>
      <c r="L37" s="298" t="str">
        <f>'выручка по кв и годам'!N15</f>
        <v>11 год</v>
      </c>
      <c r="W37" s="14"/>
      <c r="Z37" s="12"/>
    </row>
    <row r="38" spans="1:45" ht="38.25" customHeight="1" x14ac:dyDescent="0.25">
      <c r="A38" s="15" t="str">
        <f t="shared" ref="A38:A39" si="24">A34</f>
        <v>Налог на имущество ТОР</v>
      </c>
      <c r="B38" s="406">
        <f t="shared" ref="B38" si="25">SUM(B34:E34)</f>
        <v>0</v>
      </c>
      <c r="C38" s="406">
        <f>SUM(F34:I34)</f>
        <v>0</v>
      </c>
      <c r="D38" s="406">
        <f t="shared" ref="D38:D39" si="26">SUM(J34:M34)</f>
        <v>0</v>
      </c>
      <c r="E38" s="406">
        <f t="shared" ref="E38:E39" si="27">SUM(N34:Q34)</f>
        <v>0</v>
      </c>
      <c r="F38" s="406">
        <f t="shared" ref="F38:F39" si="28">SUM(R34:U34)</f>
        <v>0</v>
      </c>
      <c r="G38" s="406">
        <f>SUM(V34:Y34)</f>
        <v>299.80500000000001</v>
      </c>
      <c r="H38" s="406">
        <f t="shared" ref="H38:H39" si="29">SUM(Z34:AC34)</f>
        <v>1161.27</v>
      </c>
      <c r="I38" s="406">
        <f t="shared" ref="I38:I39" si="30">SUM(AD34:AG34)</f>
        <v>1100.55</v>
      </c>
      <c r="J38" s="406">
        <f t="shared" ref="J38:J39" si="31">SUM(AH34:AK34)</f>
        <v>1039.83</v>
      </c>
      <c r="K38" s="406">
        <f t="shared" ref="K38:K39" si="32">SUM(AL34:AO34)</f>
        <v>979.1099999999999</v>
      </c>
      <c r="L38" s="406">
        <f t="shared" ref="L38:L39" si="33">SUM(AP34:AS34)</f>
        <v>918.38999999999987</v>
      </c>
      <c r="V38" s="14"/>
      <c r="Z38" s="12"/>
    </row>
    <row r="39" spans="1:45" ht="31.5" x14ac:dyDescent="0.25">
      <c r="A39" s="15" t="str">
        <f t="shared" si="24"/>
        <v>Налог на имущество без ТОР</v>
      </c>
      <c r="B39" s="20">
        <f>SUM(B35:E35)</f>
        <v>375.70499999999998</v>
      </c>
      <c r="C39" s="20">
        <f t="shared" ref="C39" si="34">SUM(F35:I35)</f>
        <v>1464.87</v>
      </c>
      <c r="D39" s="20">
        <f t="shared" si="26"/>
        <v>1404.1499999999999</v>
      </c>
      <c r="E39" s="20">
        <f t="shared" si="27"/>
        <v>1343.4299999999998</v>
      </c>
      <c r="F39" s="20">
        <f t="shared" si="28"/>
        <v>1282.7099999999998</v>
      </c>
      <c r="G39" s="20">
        <f t="shared" ref="G39" si="35">SUM(V35:Y35)</f>
        <v>1221.99</v>
      </c>
      <c r="H39" s="20">
        <f t="shared" si="29"/>
        <v>1161.27</v>
      </c>
      <c r="I39" s="20">
        <f t="shared" si="30"/>
        <v>1100.55</v>
      </c>
      <c r="J39" s="20">
        <f t="shared" si="31"/>
        <v>1039.83</v>
      </c>
      <c r="K39" s="20">
        <f t="shared" si="32"/>
        <v>979.1099999999999</v>
      </c>
      <c r="L39" s="20">
        <f t="shared" si="33"/>
        <v>918.38999999999987</v>
      </c>
      <c r="V39" s="14"/>
      <c r="Z39" s="12"/>
    </row>
    <row r="40" spans="1:45" x14ac:dyDescent="0.25">
      <c r="B40" s="12"/>
      <c r="C40" s="12"/>
      <c r="D40" s="12"/>
      <c r="E40" s="12"/>
      <c r="V40" s="14"/>
      <c r="Z40" s="12"/>
    </row>
    <row r="41" spans="1:45" x14ac:dyDescent="0.25">
      <c r="B41" s="12"/>
      <c r="C41" s="12"/>
      <c r="D41" s="12"/>
      <c r="E41" s="12"/>
    </row>
    <row r="42" spans="1:45" x14ac:dyDescent="0.25">
      <c r="B42" s="12"/>
      <c r="C42" s="12"/>
      <c r="D42" s="12"/>
      <c r="E42" s="12"/>
    </row>
    <row r="43" spans="1:45" x14ac:dyDescent="0.25">
      <c r="A43" s="12"/>
      <c r="B43" s="12"/>
      <c r="C43" s="12"/>
      <c r="D43" s="12"/>
      <c r="E43" s="12"/>
    </row>
    <row r="44" spans="1:45" x14ac:dyDescent="0.25">
      <c r="A44" s="12"/>
      <c r="B44" s="12"/>
      <c r="C44" s="12"/>
      <c r="D44" s="12"/>
      <c r="E44" s="12"/>
    </row>
    <row r="45" spans="1:45" x14ac:dyDescent="0.25">
      <c r="A45" s="294"/>
      <c r="B45" s="299" t="str">
        <f>B37</f>
        <v>1 год</v>
      </c>
      <c r="C45" s="299" t="str">
        <f t="shared" ref="C45:L45" si="36">C37</f>
        <v>2 год</v>
      </c>
      <c r="D45" s="299" t="str">
        <f t="shared" si="36"/>
        <v>3 год</v>
      </c>
      <c r="E45" s="299" t="str">
        <f t="shared" si="36"/>
        <v>4 год</v>
      </c>
      <c r="F45" s="299" t="str">
        <f t="shared" si="36"/>
        <v>5 год</v>
      </c>
      <c r="G45" s="299" t="str">
        <f t="shared" si="36"/>
        <v>6 год</v>
      </c>
      <c r="H45" s="299" t="str">
        <f t="shared" si="36"/>
        <v>7 год</v>
      </c>
      <c r="I45" s="299" t="str">
        <f t="shared" si="36"/>
        <v>8 год</v>
      </c>
      <c r="J45" s="299" t="str">
        <f t="shared" si="36"/>
        <v>9 год</v>
      </c>
      <c r="K45" s="299" t="str">
        <f t="shared" si="36"/>
        <v>10 год</v>
      </c>
      <c r="L45" s="299" t="str">
        <f t="shared" si="36"/>
        <v>11 год</v>
      </c>
      <c r="V45" s="14"/>
      <c r="Z45" s="12"/>
    </row>
    <row r="46" spans="1:45" x14ac:dyDescent="0.25">
      <c r="A46" s="15" t="s">
        <v>37</v>
      </c>
      <c r="B46" s="30">
        <f>0*$F$41</f>
        <v>0</v>
      </c>
      <c r="C46" s="30">
        <f>0*$F$41</f>
        <v>0</v>
      </c>
      <c r="D46" s="30">
        <f>0*$F$41</f>
        <v>0</v>
      </c>
      <c r="E46" s="30">
        <f>0*$F$41</f>
        <v>0</v>
      </c>
      <c r="F46" s="30">
        <f>0*$F$41</f>
        <v>0</v>
      </c>
      <c r="G46" s="29">
        <f>SUM(V48:Y48)</f>
        <v>0</v>
      </c>
      <c r="H46" s="29">
        <f>G46</f>
        <v>0</v>
      </c>
      <c r="I46" s="29">
        <f>H46</f>
        <v>0</v>
      </c>
      <c r="J46" s="29">
        <f>I46</f>
        <v>0</v>
      </c>
      <c r="K46" s="29">
        <f>J46</f>
        <v>0</v>
      </c>
      <c r="L46" s="29">
        <f>K46</f>
        <v>0</v>
      </c>
      <c r="V46" s="14"/>
      <c r="Z46" s="12"/>
    </row>
    <row r="47" spans="1:45" x14ac:dyDescent="0.25">
      <c r="A47" s="290"/>
      <c r="B47" s="233" t="str">
        <f t="shared" ref="B47:AS47" si="37">B25</f>
        <v>I кв. 1 г.</v>
      </c>
      <c r="C47" s="233" t="str">
        <f t="shared" si="37"/>
        <v>II кв. 1 г.</v>
      </c>
      <c r="D47" s="233" t="str">
        <f t="shared" si="37"/>
        <v>III кв. 1 г.</v>
      </c>
      <c r="E47" s="233" t="str">
        <f t="shared" si="37"/>
        <v>IV кв. 1 г.</v>
      </c>
      <c r="F47" s="233" t="str">
        <f t="shared" si="37"/>
        <v>I кв. 2 г.</v>
      </c>
      <c r="G47" s="233" t="str">
        <f t="shared" si="37"/>
        <v>II кв. 2 г.</v>
      </c>
      <c r="H47" s="233" t="str">
        <f t="shared" si="37"/>
        <v>III кв. 2 г.</v>
      </c>
      <c r="I47" s="233" t="str">
        <f t="shared" si="37"/>
        <v>IV кв. 2 г.</v>
      </c>
      <c r="J47" s="233" t="str">
        <f t="shared" si="37"/>
        <v>I кв. 3 г.</v>
      </c>
      <c r="K47" s="233" t="str">
        <f t="shared" si="37"/>
        <v>II кв. 3 г.</v>
      </c>
      <c r="L47" s="233" t="str">
        <f t="shared" si="37"/>
        <v>III кв. 3 г.</v>
      </c>
      <c r="M47" s="233" t="str">
        <f t="shared" si="37"/>
        <v>IV кв. 3 г.</v>
      </c>
      <c r="N47" s="233" t="str">
        <f t="shared" si="37"/>
        <v>I кв. 4 г.</v>
      </c>
      <c r="O47" s="233" t="str">
        <f t="shared" si="37"/>
        <v>II кв. 4 г.</v>
      </c>
      <c r="P47" s="233" t="str">
        <f t="shared" si="37"/>
        <v>III кв. 4 г.</v>
      </c>
      <c r="Q47" s="233" t="str">
        <f t="shared" si="37"/>
        <v>IV кв. 4 г.</v>
      </c>
      <c r="R47" s="233" t="str">
        <f t="shared" si="37"/>
        <v>I кв. 5 г.</v>
      </c>
      <c r="S47" s="233" t="str">
        <f t="shared" si="37"/>
        <v>II кв. 5 г.</v>
      </c>
      <c r="T47" s="233" t="str">
        <f t="shared" si="37"/>
        <v>III кв. 5 г.</v>
      </c>
      <c r="U47" s="233" t="str">
        <f t="shared" si="37"/>
        <v>IV кв. 5 г.</v>
      </c>
      <c r="V47" s="233" t="str">
        <f t="shared" si="37"/>
        <v>I кв. 6 г.</v>
      </c>
      <c r="W47" s="233" t="str">
        <f t="shared" si="37"/>
        <v>II кв. 6 г.</v>
      </c>
      <c r="X47" s="233" t="str">
        <f t="shared" si="37"/>
        <v>III кв. 6 г.</v>
      </c>
      <c r="Y47" s="233" t="str">
        <f t="shared" si="37"/>
        <v>IV кв. 6 г.</v>
      </c>
      <c r="Z47" s="233" t="str">
        <f t="shared" si="37"/>
        <v>I кв. 7 г.</v>
      </c>
      <c r="AA47" s="233" t="str">
        <f t="shared" si="37"/>
        <v>II кв. 7 г.</v>
      </c>
      <c r="AB47" s="233" t="str">
        <f t="shared" si="37"/>
        <v>III кв. 7 г.</v>
      </c>
      <c r="AC47" s="233" t="str">
        <f t="shared" si="37"/>
        <v>IV кв. 7 г.</v>
      </c>
      <c r="AD47" s="233" t="str">
        <f t="shared" si="37"/>
        <v>I кв. 8 г.</v>
      </c>
      <c r="AE47" s="233" t="str">
        <f t="shared" si="37"/>
        <v>II кв. 8 г.</v>
      </c>
      <c r="AF47" s="233" t="str">
        <f t="shared" si="37"/>
        <v>III кв. 8 г.</v>
      </c>
      <c r="AG47" s="233" t="str">
        <f t="shared" si="37"/>
        <v>IV кв. 8 г.</v>
      </c>
      <c r="AH47" s="233" t="str">
        <f t="shared" si="37"/>
        <v>I кв. 9 г.</v>
      </c>
      <c r="AI47" s="233" t="str">
        <f t="shared" si="37"/>
        <v>II кв. 9 г.</v>
      </c>
      <c r="AJ47" s="233" t="str">
        <f t="shared" si="37"/>
        <v>III кв. 9 г.</v>
      </c>
      <c r="AK47" s="233" t="str">
        <f t="shared" si="37"/>
        <v>IV кв. 9 г.</v>
      </c>
      <c r="AL47" s="233" t="str">
        <f t="shared" si="37"/>
        <v>I кв. 10 г.</v>
      </c>
      <c r="AM47" s="233" t="str">
        <f t="shared" si="37"/>
        <v>II кв. 10 г.</v>
      </c>
      <c r="AN47" s="233" t="str">
        <f t="shared" si="37"/>
        <v>III кв. 10 г.</v>
      </c>
      <c r="AO47" s="300" t="str">
        <f t="shared" si="37"/>
        <v>IV кв. 10 г.</v>
      </c>
      <c r="AP47" s="300" t="str">
        <f t="shared" si="37"/>
        <v>I кв. 11 г.</v>
      </c>
      <c r="AQ47" s="300" t="str">
        <f t="shared" si="37"/>
        <v>II кв. 11 г.</v>
      </c>
      <c r="AR47" s="300" t="str">
        <f t="shared" si="37"/>
        <v>III кв. 11 г.</v>
      </c>
      <c r="AS47" s="233" t="str">
        <f t="shared" si="37"/>
        <v>IV кв. 11 г.</v>
      </c>
    </row>
    <row r="48" spans="1:45" x14ac:dyDescent="0.25">
      <c r="A48" s="15" t="str">
        <f>A46</f>
        <v>Земельный налог ТОР</v>
      </c>
      <c r="B48" s="232">
        <f>допущения!$F$26*0</f>
        <v>0</v>
      </c>
      <c r="C48" s="232">
        <f>допущения!$F$26*0</f>
        <v>0</v>
      </c>
      <c r="D48" s="232">
        <f>допущения!$F$26*0</f>
        <v>0</v>
      </c>
      <c r="E48" s="232">
        <f>допущения!$F$26*0</f>
        <v>0</v>
      </c>
      <c r="F48" s="232">
        <f>допущения!$F$26*0</f>
        <v>0</v>
      </c>
      <c r="G48" s="232">
        <f>допущения!$F$26*0</f>
        <v>0</v>
      </c>
      <c r="H48" s="232">
        <f>допущения!$F$26*0</f>
        <v>0</v>
      </c>
      <c r="I48" s="232">
        <f>допущения!$F$26*0</f>
        <v>0</v>
      </c>
      <c r="J48" s="232">
        <f>допущения!$F$26*0</f>
        <v>0</v>
      </c>
      <c r="K48" s="232">
        <f>допущения!$F$26*0</f>
        <v>0</v>
      </c>
      <c r="L48" s="232">
        <f>допущения!$F$26*0</f>
        <v>0</v>
      </c>
      <c r="M48" s="232">
        <f>допущения!$F$26*0</f>
        <v>0</v>
      </c>
      <c r="N48" s="232">
        <f>допущения!$F$26*0</f>
        <v>0</v>
      </c>
      <c r="O48" s="232">
        <f>допущения!$F$26*0</f>
        <v>0</v>
      </c>
      <c r="P48" s="232">
        <f>допущения!$F$26*0</f>
        <v>0</v>
      </c>
      <c r="Q48" s="232">
        <f>допущения!$F$26*0</f>
        <v>0</v>
      </c>
      <c r="R48" s="232">
        <f>допущения!$F$26*0</f>
        <v>0</v>
      </c>
      <c r="S48" s="232">
        <f>допущения!$F$26*0</f>
        <v>0</v>
      </c>
      <c r="T48" s="232">
        <f>допущения!$F$26*0</f>
        <v>0</v>
      </c>
      <c r="U48" s="232">
        <f>допущения!$F$26*0</f>
        <v>0</v>
      </c>
      <c r="V48" s="47">
        <f>допущения!$C$20/4*допущения!C31</f>
        <v>0</v>
      </c>
      <c r="W48" s="48">
        <f>допущения!$F$26*0.015/4</f>
        <v>0</v>
      </c>
      <c r="X48" s="48">
        <f>допущения!$F$26*0.015/4</f>
        <v>0</v>
      </c>
      <c r="Y48" s="48">
        <f>допущения!$F$26*0.015/4</f>
        <v>0</v>
      </c>
      <c r="Z48" s="48">
        <f>допущения!$F$26*0.015/4</f>
        <v>0</v>
      </c>
      <c r="AA48" s="48">
        <f>допущения!$F$26*0.015/4</f>
        <v>0</v>
      </c>
      <c r="AB48" s="48">
        <f>допущения!$F$26*0.015/4</f>
        <v>0</v>
      </c>
      <c r="AC48" s="48">
        <f>допущения!$F$26*0.015/4</f>
        <v>0</v>
      </c>
      <c r="AD48" s="48">
        <f>допущения!$F$26*0.015/4</f>
        <v>0</v>
      </c>
      <c r="AE48" s="48">
        <f>допущения!$F$26*0.015/4</f>
        <v>0</v>
      </c>
      <c r="AF48" s="48">
        <f>допущения!$F$26*0.015/4</f>
        <v>0</v>
      </c>
      <c r="AG48" s="48">
        <f>допущения!$F$26*0.015/4</f>
        <v>0</v>
      </c>
      <c r="AH48" s="48">
        <f>допущения!$F$26*0.015/4</f>
        <v>0</v>
      </c>
      <c r="AI48" s="48">
        <f>допущения!$F$26*0.015/4</f>
        <v>0</v>
      </c>
      <c r="AJ48" s="48">
        <f>допущения!$F$26*0.015/4</f>
        <v>0</v>
      </c>
      <c r="AK48" s="48">
        <f>допущения!$F$26*0.015/4</f>
        <v>0</v>
      </c>
      <c r="AL48" s="48">
        <f>допущения!$F$26*0.015/4</f>
        <v>0</v>
      </c>
      <c r="AM48" s="48">
        <f>допущения!$F$26*0.015/4</f>
        <v>0</v>
      </c>
      <c r="AN48" s="48">
        <f>допущения!$F$26*0.015/4</f>
        <v>0</v>
      </c>
      <c r="AO48" s="48">
        <f>допущения!$F$26*0.015/4</f>
        <v>0</v>
      </c>
      <c r="AP48" s="48">
        <f>допущения!$F$26*0.015/4</f>
        <v>0</v>
      </c>
      <c r="AQ48" s="48">
        <f>допущения!$F$26*0.015/4</f>
        <v>0</v>
      </c>
      <c r="AR48" s="49">
        <f>допущения!$F$26*0.015/4</f>
        <v>0</v>
      </c>
      <c r="AS48" s="48">
        <f>допущения!$F$26*0.015/4</f>
        <v>0</v>
      </c>
    </row>
    <row r="49" spans="1:45" x14ac:dyDescent="0.25">
      <c r="A49" s="296"/>
      <c r="B49" s="301" t="str">
        <f t="shared" ref="B49:AQ49" si="38">B47</f>
        <v>I кв. 1 г.</v>
      </c>
      <c r="C49" s="301" t="str">
        <f t="shared" si="38"/>
        <v>II кв. 1 г.</v>
      </c>
      <c r="D49" s="301" t="str">
        <f t="shared" si="38"/>
        <v>III кв. 1 г.</v>
      </c>
      <c r="E49" s="301" t="str">
        <f t="shared" si="38"/>
        <v>IV кв. 1 г.</v>
      </c>
      <c r="F49" s="301" t="str">
        <f t="shared" si="38"/>
        <v>I кв. 2 г.</v>
      </c>
      <c r="G49" s="301" t="str">
        <f t="shared" si="38"/>
        <v>II кв. 2 г.</v>
      </c>
      <c r="H49" s="301" t="str">
        <f t="shared" si="38"/>
        <v>III кв. 2 г.</v>
      </c>
      <c r="I49" s="301" t="str">
        <f t="shared" si="38"/>
        <v>IV кв. 2 г.</v>
      </c>
      <c r="J49" s="301" t="str">
        <f t="shared" si="38"/>
        <v>I кв. 3 г.</v>
      </c>
      <c r="K49" s="301" t="str">
        <f t="shared" si="38"/>
        <v>II кв. 3 г.</v>
      </c>
      <c r="L49" s="301" t="str">
        <f t="shared" si="38"/>
        <v>III кв. 3 г.</v>
      </c>
      <c r="M49" s="301" t="str">
        <f t="shared" si="38"/>
        <v>IV кв. 3 г.</v>
      </c>
      <c r="N49" s="301" t="str">
        <f t="shared" si="38"/>
        <v>I кв. 4 г.</v>
      </c>
      <c r="O49" s="301" t="str">
        <f t="shared" si="38"/>
        <v>II кв. 4 г.</v>
      </c>
      <c r="P49" s="301" t="str">
        <f t="shared" si="38"/>
        <v>III кв. 4 г.</v>
      </c>
      <c r="Q49" s="301" t="str">
        <f t="shared" si="38"/>
        <v>IV кв. 4 г.</v>
      </c>
      <c r="R49" s="301" t="str">
        <f t="shared" si="38"/>
        <v>I кв. 5 г.</v>
      </c>
      <c r="S49" s="301" t="str">
        <f t="shared" si="38"/>
        <v>II кв. 5 г.</v>
      </c>
      <c r="T49" s="301" t="str">
        <f t="shared" si="38"/>
        <v>III кв. 5 г.</v>
      </c>
      <c r="U49" s="301" t="str">
        <f t="shared" si="38"/>
        <v>IV кв. 5 г.</v>
      </c>
      <c r="V49" s="301" t="str">
        <f t="shared" si="38"/>
        <v>I кв. 6 г.</v>
      </c>
      <c r="W49" s="301" t="str">
        <f t="shared" si="38"/>
        <v>II кв. 6 г.</v>
      </c>
      <c r="X49" s="301" t="str">
        <f t="shared" si="38"/>
        <v>III кв. 6 г.</v>
      </c>
      <c r="Y49" s="301" t="str">
        <f t="shared" si="38"/>
        <v>IV кв. 6 г.</v>
      </c>
      <c r="Z49" s="301" t="str">
        <f t="shared" si="38"/>
        <v>I кв. 7 г.</v>
      </c>
      <c r="AA49" s="301" t="str">
        <f t="shared" si="38"/>
        <v>II кв. 7 г.</v>
      </c>
      <c r="AB49" s="301" t="str">
        <f t="shared" si="38"/>
        <v>III кв. 7 г.</v>
      </c>
      <c r="AC49" s="301" t="str">
        <f t="shared" si="38"/>
        <v>IV кв. 7 г.</v>
      </c>
      <c r="AD49" s="301" t="str">
        <f t="shared" si="38"/>
        <v>I кв. 8 г.</v>
      </c>
      <c r="AE49" s="301" t="str">
        <f t="shared" si="38"/>
        <v>II кв. 8 г.</v>
      </c>
      <c r="AF49" s="301" t="str">
        <f t="shared" si="38"/>
        <v>III кв. 8 г.</v>
      </c>
      <c r="AG49" s="301" t="str">
        <f t="shared" si="38"/>
        <v>IV кв. 8 г.</v>
      </c>
      <c r="AH49" s="301" t="str">
        <f t="shared" si="38"/>
        <v>I кв. 9 г.</v>
      </c>
      <c r="AI49" s="301" t="str">
        <f t="shared" si="38"/>
        <v>II кв. 9 г.</v>
      </c>
      <c r="AJ49" s="301" t="str">
        <f t="shared" si="38"/>
        <v>III кв. 9 г.</v>
      </c>
      <c r="AK49" s="301" t="str">
        <f t="shared" si="38"/>
        <v>IV кв. 9 г.</v>
      </c>
      <c r="AL49" s="301" t="str">
        <f t="shared" si="38"/>
        <v>I кв. 10 г.</v>
      </c>
      <c r="AM49" s="301" t="str">
        <f t="shared" si="38"/>
        <v>II кв. 10 г.</v>
      </c>
      <c r="AN49" s="301" t="str">
        <f t="shared" si="38"/>
        <v>III кв. 10 г.</v>
      </c>
      <c r="AO49" s="301" t="str">
        <f t="shared" si="38"/>
        <v>IV кв. 10 г.</v>
      </c>
      <c r="AP49" s="301" t="str">
        <f t="shared" si="38"/>
        <v>I кв. 11 г.</v>
      </c>
      <c r="AQ49" s="301" t="str">
        <f t="shared" si="38"/>
        <v>II кв. 11 г.</v>
      </c>
      <c r="AR49" s="301" t="str">
        <f t="shared" ref="AR49:AS49" si="39">AR47</f>
        <v>III кв. 11 г.</v>
      </c>
      <c r="AS49" s="233" t="str">
        <f t="shared" si="39"/>
        <v>IV кв. 11 г.</v>
      </c>
    </row>
    <row r="50" spans="1:45" ht="31.5" x14ac:dyDescent="0.25">
      <c r="A50" s="15" t="s">
        <v>38</v>
      </c>
      <c r="B50" s="50">
        <f>допущения!$F$26*0.015/4</f>
        <v>0</v>
      </c>
      <c r="C50" s="50">
        <f>B50</f>
        <v>0</v>
      </c>
      <c r="D50" s="50">
        <f t="shared" ref="D50:E50" si="40">C50</f>
        <v>0</v>
      </c>
      <c r="E50" s="50">
        <f t="shared" si="40"/>
        <v>0</v>
      </c>
      <c r="F50" s="50">
        <f t="shared" ref="F50:AQ50" si="41">$F$41*0.015/4</f>
        <v>0</v>
      </c>
      <c r="G50" s="50">
        <f t="shared" si="41"/>
        <v>0</v>
      </c>
      <c r="H50" s="50">
        <f t="shared" si="41"/>
        <v>0</v>
      </c>
      <c r="I50" s="50">
        <f t="shared" si="41"/>
        <v>0</v>
      </c>
      <c r="J50" s="50">
        <f t="shared" si="41"/>
        <v>0</v>
      </c>
      <c r="K50" s="50">
        <f t="shared" si="41"/>
        <v>0</v>
      </c>
      <c r="L50" s="50">
        <f t="shared" si="41"/>
        <v>0</v>
      </c>
      <c r="M50" s="48">
        <f t="shared" si="41"/>
        <v>0</v>
      </c>
      <c r="N50" s="48">
        <f t="shared" si="41"/>
        <v>0</v>
      </c>
      <c r="O50" s="48">
        <f t="shared" si="41"/>
        <v>0</v>
      </c>
      <c r="P50" s="48">
        <f t="shared" si="41"/>
        <v>0</v>
      </c>
      <c r="Q50" s="48">
        <f t="shared" si="41"/>
        <v>0</v>
      </c>
      <c r="R50" s="48">
        <f t="shared" si="41"/>
        <v>0</v>
      </c>
      <c r="S50" s="48">
        <f t="shared" si="41"/>
        <v>0</v>
      </c>
      <c r="T50" s="48">
        <f t="shared" si="41"/>
        <v>0</v>
      </c>
      <c r="U50" s="48">
        <f t="shared" si="41"/>
        <v>0</v>
      </c>
      <c r="V50" s="48">
        <f t="shared" si="41"/>
        <v>0</v>
      </c>
      <c r="W50" s="48">
        <f t="shared" si="41"/>
        <v>0</v>
      </c>
      <c r="X50" s="48">
        <f t="shared" si="41"/>
        <v>0</v>
      </c>
      <c r="Y50" s="48">
        <f t="shared" si="41"/>
        <v>0</v>
      </c>
      <c r="Z50" s="48">
        <f t="shared" si="41"/>
        <v>0</v>
      </c>
      <c r="AA50" s="48">
        <f t="shared" si="41"/>
        <v>0</v>
      </c>
      <c r="AB50" s="48">
        <f t="shared" si="41"/>
        <v>0</v>
      </c>
      <c r="AC50" s="48">
        <f t="shared" si="41"/>
        <v>0</v>
      </c>
      <c r="AD50" s="48">
        <f t="shared" si="41"/>
        <v>0</v>
      </c>
      <c r="AE50" s="48">
        <f t="shared" si="41"/>
        <v>0</v>
      </c>
      <c r="AF50" s="48">
        <f t="shared" si="41"/>
        <v>0</v>
      </c>
      <c r="AG50" s="48">
        <f t="shared" si="41"/>
        <v>0</v>
      </c>
      <c r="AH50" s="48">
        <f t="shared" si="41"/>
        <v>0</v>
      </c>
      <c r="AI50" s="48">
        <f t="shared" si="41"/>
        <v>0</v>
      </c>
      <c r="AJ50" s="48">
        <f t="shared" si="41"/>
        <v>0</v>
      </c>
      <c r="AK50" s="48">
        <f t="shared" si="41"/>
        <v>0</v>
      </c>
      <c r="AL50" s="48">
        <f t="shared" si="41"/>
        <v>0</v>
      </c>
      <c r="AM50" s="48">
        <f t="shared" si="41"/>
        <v>0</v>
      </c>
      <c r="AN50" s="48">
        <f t="shared" si="41"/>
        <v>0</v>
      </c>
      <c r="AO50" s="48">
        <f t="shared" si="41"/>
        <v>0</v>
      </c>
      <c r="AP50" s="48">
        <f t="shared" si="41"/>
        <v>0</v>
      </c>
      <c r="AQ50" s="49">
        <f t="shared" si="41"/>
        <v>0</v>
      </c>
      <c r="AR50" s="49">
        <f t="shared" ref="AR50:AS50" si="42">$F$41*0.015/4</f>
        <v>0</v>
      </c>
      <c r="AS50" s="48">
        <f t="shared" si="42"/>
        <v>0</v>
      </c>
    </row>
    <row r="51" spans="1:45" x14ac:dyDescent="0.25">
      <c r="A51" s="296"/>
      <c r="B51" s="299" t="str">
        <f t="shared" ref="B51:L51" si="43">B37</f>
        <v>1 год</v>
      </c>
      <c r="C51" s="299" t="str">
        <f t="shared" si="43"/>
        <v>2 год</v>
      </c>
      <c r="D51" s="299" t="str">
        <f t="shared" si="43"/>
        <v>3 год</v>
      </c>
      <c r="E51" s="299" t="str">
        <f t="shared" si="43"/>
        <v>4 год</v>
      </c>
      <c r="F51" s="299" t="str">
        <f t="shared" si="43"/>
        <v>5 год</v>
      </c>
      <c r="G51" s="299" t="str">
        <f t="shared" si="43"/>
        <v>6 год</v>
      </c>
      <c r="H51" s="299" t="str">
        <f t="shared" si="43"/>
        <v>7 год</v>
      </c>
      <c r="I51" s="299" t="str">
        <f t="shared" si="43"/>
        <v>8 год</v>
      </c>
      <c r="J51" s="299" t="str">
        <f t="shared" si="43"/>
        <v>9 год</v>
      </c>
      <c r="K51" s="299" t="str">
        <f t="shared" si="43"/>
        <v>10 год</v>
      </c>
      <c r="L51" s="299" t="str">
        <f t="shared" si="43"/>
        <v>11 год</v>
      </c>
      <c r="V51" s="14"/>
      <c r="Z51" s="12"/>
    </row>
    <row r="52" spans="1:45" ht="33.75" customHeight="1" x14ac:dyDescent="0.25">
      <c r="A52" s="15" t="str">
        <f>A50</f>
        <v>Земельный налог без ТОР</v>
      </c>
      <c r="B52" s="48">
        <f>SUM(B50:E50)</f>
        <v>0</v>
      </c>
      <c r="C52" s="48">
        <f>B52</f>
        <v>0</v>
      </c>
      <c r="D52" s="48">
        <f t="shared" ref="D52:L52" si="44">C52</f>
        <v>0</v>
      </c>
      <c r="E52" s="48">
        <f t="shared" si="44"/>
        <v>0</v>
      </c>
      <c r="F52" s="48">
        <f t="shared" si="44"/>
        <v>0</v>
      </c>
      <c r="G52" s="48">
        <f t="shared" si="44"/>
        <v>0</v>
      </c>
      <c r="H52" s="48">
        <f t="shared" si="44"/>
        <v>0</v>
      </c>
      <c r="I52" s="48">
        <f t="shared" si="44"/>
        <v>0</v>
      </c>
      <c r="J52" s="48">
        <f t="shared" si="44"/>
        <v>0</v>
      </c>
      <c r="K52" s="48">
        <f t="shared" si="44"/>
        <v>0</v>
      </c>
      <c r="L52" s="48">
        <f t="shared" si="44"/>
        <v>0</v>
      </c>
      <c r="V52" s="14"/>
      <c r="Z52" s="12"/>
    </row>
    <row r="56" spans="1:45" ht="47.25" x14ac:dyDescent="0.25">
      <c r="A56" s="296" t="s">
        <v>488</v>
      </c>
      <c r="D56" s="759" t="s">
        <v>484</v>
      </c>
      <c r="E56" s="759"/>
      <c r="F56" s="13"/>
    </row>
    <row r="57" spans="1:45" ht="31.5" x14ac:dyDescent="0.25">
      <c r="B57" s="13" t="s">
        <v>489</v>
      </c>
      <c r="C57" s="13" t="s">
        <v>481</v>
      </c>
      <c r="D57" s="13" t="s">
        <v>483</v>
      </c>
      <c r="E57" s="13" t="s">
        <v>480</v>
      </c>
      <c r="F57" s="12" t="s">
        <v>491</v>
      </c>
      <c r="G57" s="13"/>
    </row>
    <row r="58" spans="1:45" x14ac:dyDescent="0.25">
      <c r="A58" s="13" t="s">
        <v>477</v>
      </c>
      <c r="B58" s="13">
        <v>31.5</v>
      </c>
      <c r="C58" s="13">
        <v>8</v>
      </c>
      <c r="D58" s="13">
        <f>C58*B58</f>
        <v>252</v>
      </c>
      <c r="E58" s="13">
        <f>(D58*24*365)*0.8</f>
        <v>1766016</v>
      </c>
      <c r="F58" s="12">
        <f>E58*4</f>
        <v>7064064</v>
      </c>
      <c r="G58" s="540" t="s">
        <v>479</v>
      </c>
    </row>
    <row r="59" spans="1:45" x14ac:dyDescent="0.25">
      <c r="A59" s="13" t="s">
        <v>476</v>
      </c>
      <c r="B59" s="13">
        <v>6.5</v>
      </c>
      <c r="C59" s="543">
        <v>8</v>
      </c>
      <c r="D59" s="13">
        <f t="shared" ref="D59:D65" si="45">C59*B59</f>
        <v>52</v>
      </c>
      <c r="E59" s="13">
        <f>(D59*24*365)*0.8</f>
        <v>364416</v>
      </c>
      <c r="F59" s="12">
        <f t="shared" ref="F59:F65" si="46">E59*4</f>
        <v>1457664</v>
      </c>
      <c r="G59" s="540" t="s">
        <v>448</v>
      </c>
    </row>
    <row r="60" spans="1:45" ht="36.75" customHeight="1" x14ac:dyDescent="0.25">
      <c r="A60" s="13" t="s">
        <v>485</v>
      </c>
      <c r="B60" s="13">
        <v>5.5</v>
      </c>
      <c r="C60" s="13">
        <v>4</v>
      </c>
      <c r="D60" s="13">
        <f t="shared" si="45"/>
        <v>22</v>
      </c>
      <c r="E60" s="13">
        <f>(D60*24*365)*0.8</f>
        <v>154176</v>
      </c>
      <c r="F60" s="12">
        <f t="shared" si="46"/>
        <v>616704</v>
      </c>
      <c r="G60" s="13"/>
    </row>
    <row r="61" spans="1:45" ht="34.5" customHeight="1" x14ac:dyDescent="0.25">
      <c r="A61" s="13" t="s">
        <v>478</v>
      </c>
      <c r="B61" s="13">
        <v>3.5</v>
      </c>
      <c r="C61" s="13">
        <v>6</v>
      </c>
      <c r="D61" s="13">
        <f t="shared" si="45"/>
        <v>21</v>
      </c>
      <c r="E61" s="13">
        <f>(D61*24*365)*0.8</f>
        <v>147168</v>
      </c>
      <c r="F61" s="12">
        <f t="shared" si="46"/>
        <v>588672</v>
      </c>
      <c r="G61" s="13"/>
    </row>
    <row r="62" spans="1:45" ht="50.25" customHeight="1" x14ac:dyDescent="0.25">
      <c r="A62" s="13" t="s">
        <v>486</v>
      </c>
      <c r="B62" s="545">
        <f>250/1000</f>
        <v>0.25</v>
      </c>
      <c r="C62" s="13">
        <v>20</v>
      </c>
      <c r="D62" s="13">
        <f t="shared" si="45"/>
        <v>5</v>
      </c>
      <c r="E62" s="13">
        <f>D62*C62*B62*365</f>
        <v>9125</v>
      </c>
      <c r="F62" s="12">
        <f t="shared" si="46"/>
        <v>36500</v>
      </c>
      <c r="G62" s="13"/>
    </row>
    <row r="63" spans="1:45" ht="50.25" customHeight="1" x14ac:dyDescent="0.25">
      <c r="A63" s="13" t="s">
        <v>490</v>
      </c>
      <c r="B63" s="546">
        <v>4.5</v>
      </c>
      <c r="C63" s="13">
        <v>1</v>
      </c>
      <c r="D63" s="13">
        <f t="shared" si="45"/>
        <v>4.5</v>
      </c>
      <c r="E63" s="13">
        <f>D63*C63*B63*365</f>
        <v>7391.25</v>
      </c>
      <c r="F63" s="12">
        <f t="shared" si="46"/>
        <v>29565</v>
      </c>
      <c r="G63" s="13"/>
    </row>
    <row r="64" spans="1:45" ht="36.75" customHeight="1" x14ac:dyDescent="0.25">
      <c r="A64" s="13" t="s">
        <v>487</v>
      </c>
      <c r="B64" s="546">
        <f>250/1000</f>
        <v>0.25</v>
      </c>
      <c r="C64" s="13">
        <v>6</v>
      </c>
      <c r="D64" s="13">
        <f t="shared" si="45"/>
        <v>1.5</v>
      </c>
      <c r="E64" s="13">
        <f>D64*3*365</f>
        <v>1642.5</v>
      </c>
      <c r="F64" s="12">
        <f t="shared" si="46"/>
        <v>6570</v>
      </c>
      <c r="G64" s="13"/>
    </row>
    <row r="65" spans="1:7" ht="31.5" x14ac:dyDescent="0.25">
      <c r="A65" s="13" t="s">
        <v>482</v>
      </c>
      <c r="B65" s="13">
        <f>250/1000</f>
        <v>0.25</v>
      </c>
      <c r="C65" s="13">
        <v>3</v>
      </c>
      <c r="D65" s="13">
        <f t="shared" si="45"/>
        <v>0.75</v>
      </c>
      <c r="E65" s="13">
        <f>D65*2*365</f>
        <v>547.5</v>
      </c>
      <c r="F65" s="12">
        <f t="shared" si="46"/>
        <v>2190</v>
      </c>
      <c r="G65" s="13"/>
    </row>
    <row r="66" spans="1:7" x14ac:dyDescent="0.25">
      <c r="A66" s="12"/>
      <c r="G66" s="13"/>
    </row>
    <row r="67" spans="1:7" x14ac:dyDescent="0.25">
      <c r="C67" s="547" t="s">
        <v>17</v>
      </c>
      <c r="D67" s="547">
        <f>SUM(D58:D65)</f>
        <v>358.75</v>
      </c>
      <c r="E67" s="544">
        <f>SUM(E58:E66)</f>
        <v>2450482.25</v>
      </c>
      <c r="G67" s="540"/>
    </row>
    <row r="68" spans="1:7" x14ac:dyDescent="0.25">
      <c r="D68" s="12"/>
      <c r="E68" s="545"/>
      <c r="G68" s="13"/>
    </row>
    <row r="69" spans="1:7" x14ac:dyDescent="0.25">
      <c r="F69" s="13"/>
    </row>
  </sheetData>
  <mergeCells count="2">
    <mergeCell ref="A19:A20"/>
    <mergeCell ref="D56:E56"/>
  </mergeCells>
  <hyperlinks>
    <hyperlink ref="G58" r:id="rId1" display="https://tenteks.ru/product/kartofel-vent/" xr:uid="{4894B8D3-BD36-4D52-AAA0-972C9D12FD03}"/>
    <hyperlink ref="G59" r:id="rId2" display="https://ronaxclimate.ru/type/konditsionery-dlya-ovoschehranilischa?ysclid=lg52gvbuk5920929183" xr:uid="{6EF6C5F9-996D-40CE-AAAA-709AC80FCDB3}"/>
  </hyperlinks>
  <pageMargins left="0.7" right="0.7" top="0.75" bottom="0.75" header="0.3" footer="0.3"/>
  <pageSetup paperSize="9" scale="77" firstPageNumber="2147483648" orientation="landscape"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8">
    <tabColor rgb="FF7030A0"/>
    <pageSetUpPr fitToPage="1"/>
  </sheetPr>
  <dimension ref="A1:BG91"/>
  <sheetViews>
    <sheetView zoomScale="90" zoomScaleNormal="90" workbookViewId="0">
      <pane xSplit="1" ySplit="1" topLeftCell="AG2" activePane="bottomRight" state="frozen"/>
      <selection pane="topRight" activeCell="B1" sqref="B1"/>
      <selection pane="bottomLeft" activeCell="A2" sqref="A2"/>
      <selection pane="bottomRight" activeCell="BB15" activeCellId="1" sqref="BB6:BB7 BB15:BB16"/>
    </sheetView>
  </sheetViews>
  <sheetFormatPr defaultColWidth="9.140625" defaultRowHeight="15" x14ac:dyDescent="0.25"/>
  <cols>
    <col min="1" max="1" width="22.28515625" style="5" customWidth="1"/>
    <col min="2" max="2" width="13.140625" style="72" customWidth="1"/>
    <col min="3" max="3" width="12.140625" style="83" customWidth="1"/>
    <col min="4" max="5" width="12.140625" style="72" customWidth="1"/>
    <col min="6" max="6" width="13.7109375" style="72" customWidth="1"/>
    <col min="7" max="7" width="14.28515625" style="72" customWidth="1"/>
    <col min="8" max="9" width="12.140625" style="72" customWidth="1"/>
    <col min="10" max="10" width="13.85546875" style="72" customWidth="1"/>
    <col min="11" max="11" width="14.28515625" style="72" customWidth="1"/>
    <col min="12" max="12" width="14" style="72" customWidth="1"/>
    <col min="13" max="13" width="16.28515625" style="72" customWidth="1"/>
    <col min="14" max="14" width="14" style="72" customWidth="1"/>
    <col min="15" max="15" width="11.28515625" style="72" customWidth="1"/>
    <col min="16" max="17" width="9.28515625" style="72" bestFit="1" customWidth="1"/>
    <col min="18" max="18" width="11.28515625" style="72" bestFit="1" customWidth="1"/>
    <col min="19" max="19" width="11.7109375" style="72" bestFit="1" customWidth="1"/>
    <col min="20" max="20" width="9.28515625" style="72" bestFit="1" customWidth="1"/>
    <col min="21" max="22" width="11.28515625" style="72" bestFit="1" customWidth="1"/>
    <col min="23" max="26" width="11.140625" style="72" customWidth="1"/>
    <col min="27" max="27" width="10.28515625" style="72" bestFit="1" customWidth="1"/>
    <col min="28" max="28" width="11.7109375" style="72" customWidth="1"/>
    <col min="29" max="29" width="9.28515625" style="72" bestFit="1" customWidth="1"/>
    <col min="30" max="30" width="12.7109375" style="72" bestFit="1" customWidth="1"/>
    <col min="31" max="31" width="10.28515625" style="72" bestFit="1" customWidth="1"/>
    <col min="32" max="33" width="9.28515625" style="72" bestFit="1" customWidth="1"/>
    <col min="34" max="34" width="12.7109375" style="72" bestFit="1" customWidth="1"/>
    <col min="35" max="35" width="10.28515625" style="72" bestFit="1" customWidth="1"/>
    <col min="36" max="37" width="9.28515625" style="72" bestFit="1" customWidth="1"/>
    <col min="38" max="38" width="12.7109375" style="72" bestFit="1" customWidth="1"/>
    <col min="39" max="39" width="10.28515625" style="72" bestFit="1" customWidth="1"/>
    <col min="40" max="41" width="9.28515625" style="72" bestFit="1" customWidth="1"/>
    <col min="42" max="42" width="12.7109375" style="72" bestFit="1" customWidth="1"/>
    <col min="43" max="43" width="10.28515625" style="72" bestFit="1" customWidth="1"/>
    <col min="44" max="46" width="10.28515625" style="72" customWidth="1"/>
    <col min="47" max="48" width="9.140625" style="72" customWidth="1"/>
    <col min="49" max="49" width="9.42578125" style="72" bestFit="1" customWidth="1"/>
    <col min="50" max="51" width="9.28515625" style="72" bestFit="1" customWidth="1"/>
    <col min="52" max="58" width="10.28515625" style="72" bestFit="1" customWidth="1"/>
    <col min="59" max="16384" width="9.140625" style="72"/>
  </cols>
  <sheetData>
    <row r="1" spans="1:59" s="322" customFormat="1" ht="59.25" customHeight="1" x14ac:dyDescent="0.25">
      <c r="A1" s="571" t="s">
        <v>109</v>
      </c>
      <c r="B1" s="572" t="s">
        <v>110</v>
      </c>
      <c r="C1" s="573" t="s">
        <v>111</v>
      </c>
      <c r="D1" s="572" t="str">
        <f>'выручка по кв и годам'!D1</f>
        <v>I кв. 1 г.</v>
      </c>
      <c r="E1" s="572" t="str">
        <f>'выручка по кв и годам'!E1</f>
        <v>II кв. 1 г.</v>
      </c>
      <c r="F1" s="572" t="str">
        <f>'выручка по кв и годам'!F1</f>
        <v>III кв. 1 г.</v>
      </c>
      <c r="G1" s="572" t="str">
        <f>'выручка по кв и годам'!G1</f>
        <v>IV кв. 1 г.</v>
      </c>
      <c r="H1" s="572" t="str">
        <f>'выручка по кв и годам'!H1</f>
        <v>I кв. 2 г.</v>
      </c>
      <c r="I1" s="572" t="str">
        <f>'выручка по кв и годам'!I1</f>
        <v>II кв. 2 г.</v>
      </c>
      <c r="J1" s="572" t="str">
        <f>'выручка по кв и годам'!J1</f>
        <v>III кв. 2 г.</v>
      </c>
      <c r="K1" s="572" t="str">
        <f>'выручка по кв и годам'!K1</f>
        <v>IV кв. 2 г.</v>
      </c>
      <c r="L1" s="572" t="str">
        <f>'выручка по кв и годам'!L1</f>
        <v>I кв. 3 г.</v>
      </c>
      <c r="M1" s="572" t="str">
        <f>'выручка по кв и годам'!M1</f>
        <v>II кв. 3 г.</v>
      </c>
      <c r="N1" s="572" t="str">
        <f>'выручка по кв и годам'!N1</f>
        <v>III кв. 3 г.</v>
      </c>
      <c r="O1" s="572" t="str">
        <f>'выручка по кв и годам'!O1</f>
        <v>IV кв. 3 г.</v>
      </c>
      <c r="P1" s="572" t="str">
        <f>'выручка по кв и годам'!P1</f>
        <v>I кв. 4 г.</v>
      </c>
      <c r="Q1" s="572" t="str">
        <f>'выручка по кв и годам'!Q1</f>
        <v>II кв. 4 г.</v>
      </c>
      <c r="R1" s="572" t="str">
        <f>'выручка по кв и годам'!R1</f>
        <v>III кв. 4 г.</v>
      </c>
      <c r="S1" s="572" t="str">
        <f>'выручка по кв и годам'!S1</f>
        <v>IV кв. 4 г.</v>
      </c>
      <c r="T1" s="572" t="str">
        <f>'выручка по кв и годам'!T1</f>
        <v>I кв. 5 г.</v>
      </c>
      <c r="U1" s="572" t="str">
        <f>'выручка по кв и годам'!U1</f>
        <v>II кв. 5 г.</v>
      </c>
      <c r="V1" s="572" t="str">
        <f>'выручка по кв и годам'!V1</f>
        <v>III кв. 5 г.</v>
      </c>
      <c r="W1" s="572" t="str">
        <f>'выручка по кв и годам'!W1</f>
        <v>IV кв. 5 г.</v>
      </c>
      <c r="X1" s="572" t="str">
        <f>'выручка по кв и годам'!X1</f>
        <v>I кв. 6 г.</v>
      </c>
      <c r="Y1" s="572" t="str">
        <f>'выручка по кв и годам'!Y1</f>
        <v>II кв. 6 г.</v>
      </c>
      <c r="Z1" s="572" t="str">
        <f>'выручка по кв и годам'!Z1</f>
        <v>III кв. 6 г.</v>
      </c>
      <c r="AA1" s="572" t="str">
        <f>'выручка по кв и годам'!AA1</f>
        <v>IV кв. 6 г.</v>
      </c>
      <c r="AB1" s="572" t="str">
        <f>'выручка по кв и годам'!AB1</f>
        <v>I кв. 7 г.</v>
      </c>
      <c r="AC1" s="572" t="str">
        <f>'выручка по кв и годам'!AC1</f>
        <v>II кв. 7 г.</v>
      </c>
      <c r="AD1" s="572" t="str">
        <f>'выручка по кв и годам'!AD1</f>
        <v>III кв. 7 г.</v>
      </c>
      <c r="AE1" s="572" t="str">
        <f>'выручка по кв и годам'!AE1</f>
        <v>IV кв. 7 г.</v>
      </c>
      <c r="AF1" s="572" t="str">
        <f>'выручка по кв и годам'!AF1</f>
        <v>I кв. 8 г.</v>
      </c>
      <c r="AG1" s="572" t="str">
        <f>'выручка по кв и годам'!AG1</f>
        <v>II кв. 8 г.</v>
      </c>
      <c r="AH1" s="572" t="str">
        <f>'выручка по кв и годам'!AH1</f>
        <v>III кв. 8 г.</v>
      </c>
      <c r="AI1" s="572" t="str">
        <f>'выручка по кв и годам'!AI1</f>
        <v>IV кв. 8 г.</v>
      </c>
      <c r="AJ1" s="572" t="str">
        <f>'выручка по кв и годам'!AJ1</f>
        <v>I кв. 9 г.</v>
      </c>
      <c r="AK1" s="572" t="str">
        <f>'выручка по кв и годам'!AK1</f>
        <v>II кв. 9 г.</v>
      </c>
      <c r="AL1" s="572" t="str">
        <f>'выручка по кв и годам'!AL1</f>
        <v>III кв. 9 г.</v>
      </c>
      <c r="AM1" s="572" t="str">
        <f>'выручка по кв и годам'!AM1</f>
        <v>IV кв. 9 г.</v>
      </c>
      <c r="AN1" s="572" t="str">
        <f>'выручка по кв и годам'!AN1</f>
        <v>I кв. 10 г.</v>
      </c>
      <c r="AO1" s="572" t="str">
        <f>'выручка по кв и годам'!AO1</f>
        <v>II кв. 10 г.</v>
      </c>
      <c r="AP1" s="572" t="str">
        <f>'выручка по кв и годам'!AP1</f>
        <v>III кв. 10 г.</v>
      </c>
      <c r="AQ1" s="572" t="str">
        <f>'выручка по кв и годам'!AQ1</f>
        <v>IV кв. 10 г.</v>
      </c>
      <c r="AR1" s="572" t="str">
        <f>'выручка по кв и годам'!AR1</f>
        <v>I кв. 11 г.</v>
      </c>
      <c r="AS1" s="572" t="str">
        <f>'выручка по кв и годам'!AS1</f>
        <v>II кв. 11 г.</v>
      </c>
      <c r="AT1" s="572" t="str">
        <f>'выручка по кв и годам'!AT1</f>
        <v>III кв. 11 г.</v>
      </c>
      <c r="AU1" s="572" t="str">
        <f>'выручка по кв и годам'!AU1</f>
        <v>IV кв. 11 г.</v>
      </c>
      <c r="AV1" s="312"/>
      <c r="AW1" s="312" t="str">
        <f>'объем работ 100% загр'!C2</f>
        <v>1 год</v>
      </c>
      <c r="AX1" s="312" t="str">
        <f>'объем работ 100% загр'!D2</f>
        <v>2 год</v>
      </c>
      <c r="AY1" s="312" t="str">
        <f>'объем работ 100% загр'!E2</f>
        <v>3 год</v>
      </c>
      <c r="AZ1" s="312" t="str">
        <f>'объем работ 100% загр'!F2</f>
        <v>4 год</v>
      </c>
      <c r="BA1" s="312" t="str">
        <f>'объем работ 100% загр'!G2</f>
        <v>5 год</v>
      </c>
      <c r="BB1" s="312" t="str">
        <f>'объем работ 100% загр'!H2</f>
        <v>6 год</v>
      </c>
      <c r="BC1" s="312" t="str">
        <f>'объем работ 100% загр'!I2</f>
        <v>7 год</v>
      </c>
      <c r="BD1" s="312" t="str">
        <f>'объем работ 100% загр'!J2</f>
        <v>8 год</v>
      </c>
      <c r="BE1" s="312" t="str">
        <f>'объем работ 100% загр'!K2</f>
        <v>9 год</v>
      </c>
      <c r="BF1" s="312" t="str">
        <f>'объем работ 100% загр'!L2</f>
        <v>10 год</v>
      </c>
      <c r="BG1" s="312" t="str">
        <f>'объем работ 100% загр'!M2</f>
        <v>11 год</v>
      </c>
    </row>
    <row r="2" spans="1:59" s="321" customFormat="1" ht="46.5" customHeight="1" x14ac:dyDescent="0.25">
      <c r="A2" s="574" t="s">
        <v>112</v>
      </c>
      <c r="B2" s="575">
        <v>1</v>
      </c>
      <c r="C2" s="467">
        <v>75</v>
      </c>
      <c r="D2" s="318">
        <f>C2*B2*3</f>
        <v>225</v>
      </c>
      <c r="E2" s="318">
        <f>C2*B2*3</f>
        <v>225</v>
      </c>
      <c r="F2" s="318">
        <f>C2*B2*3</f>
        <v>225</v>
      </c>
      <c r="G2" s="318">
        <f>C2*B2*3</f>
        <v>225</v>
      </c>
      <c r="H2" s="318">
        <f>B2*C2*3</f>
        <v>225</v>
      </c>
      <c r="I2" s="318">
        <f>H2</f>
        <v>225</v>
      </c>
      <c r="J2" s="318">
        <f>B2*C2*3</f>
        <v>225</v>
      </c>
      <c r="K2" s="318">
        <f>J2</f>
        <v>225</v>
      </c>
      <c r="L2" s="318">
        <f>K2*(1+допущения!C36)</f>
        <v>238.5</v>
      </c>
      <c r="M2" s="318">
        <f>L2</f>
        <v>238.5</v>
      </c>
      <c r="N2" s="318">
        <f t="shared" ref="N2:O2" si="0">M2</f>
        <v>238.5</v>
      </c>
      <c r="O2" s="318">
        <f t="shared" si="0"/>
        <v>238.5</v>
      </c>
      <c r="P2" s="318">
        <f>O2*(1+допущения!C36)</f>
        <v>252.81</v>
      </c>
      <c r="Q2" s="318">
        <f>P2</f>
        <v>252.81</v>
      </c>
      <c r="R2" s="318">
        <f t="shared" ref="R2:S2" si="1">Q2</f>
        <v>252.81</v>
      </c>
      <c r="S2" s="318">
        <f t="shared" si="1"/>
        <v>252.81</v>
      </c>
      <c r="T2" s="318">
        <f>S2*(1+допущения!$C$36)</f>
        <v>267.97860000000003</v>
      </c>
      <c r="U2" s="318">
        <f t="shared" ref="U2:AE5" si="2">T2</f>
        <v>267.97860000000003</v>
      </c>
      <c r="V2" s="318">
        <f>U2</f>
        <v>267.97860000000003</v>
      </c>
      <c r="W2" s="318">
        <f>V2</f>
        <v>267.97860000000003</v>
      </c>
      <c r="X2" s="318">
        <f>W2*(1+допущения!$C$36)</f>
        <v>284.05731600000007</v>
      </c>
      <c r="Y2" s="318">
        <f t="shared" ref="Y2:AE2" si="3">X2</f>
        <v>284.05731600000007</v>
      </c>
      <c r="Z2" s="318">
        <f t="shared" si="3"/>
        <v>284.05731600000007</v>
      </c>
      <c r="AA2" s="318">
        <f t="shared" si="3"/>
        <v>284.05731600000007</v>
      </c>
      <c r="AB2" s="318">
        <f>AA2*(1+допущения!$C$36)</f>
        <v>301.10075496000007</v>
      </c>
      <c r="AC2" s="318">
        <f t="shared" si="3"/>
        <v>301.10075496000007</v>
      </c>
      <c r="AD2" s="318">
        <f t="shared" si="3"/>
        <v>301.10075496000007</v>
      </c>
      <c r="AE2" s="318">
        <f t="shared" si="3"/>
        <v>301.10075496000007</v>
      </c>
      <c r="AF2" s="318">
        <f>AE2*(1+допущения!C36)</f>
        <v>319.16680025760007</v>
      </c>
      <c r="AG2" s="318">
        <f t="shared" ref="AG2:AQ5" si="4">AF2</f>
        <v>319.16680025760007</v>
      </c>
      <c r="AH2" s="318">
        <f t="shared" ref="AH2:AQ2" si="5">AG2</f>
        <v>319.16680025760007</v>
      </c>
      <c r="AI2" s="318">
        <f t="shared" si="5"/>
        <v>319.16680025760007</v>
      </c>
      <c r="AJ2" s="318">
        <f>AI2*(1+допущения!$C$36)</f>
        <v>338.3168082730561</v>
      </c>
      <c r="AK2" s="318">
        <f t="shared" si="5"/>
        <v>338.3168082730561</v>
      </c>
      <c r="AL2" s="318">
        <f t="shared" si="5"/>
        <v>338.3168082730561</v>
      </c>
      <c r="AM2" s="318">
        <f t="shared" si="5"/>
        <v>338.3168082730561</v>
      </c>
      <c r="AN2" s="318">
        <f>AM2*(1+допущения!$C$36)</f>
        <v>358.6158167694395</v>
      </c>
      <c r="AO2" s="318">
        <f t="shared" si="5"/>
        <v>358.6158167694395</v>
      </c>
      <c r="AP2" s="318">
        <f t="shared" si="5"/>
        <v>358.6158167694395</v>
      </c>
      <c r="AQ2" s="318">
        <f t="shared" si="5"/>
        <v>358.6158167694395</v>
      </c>
      <c r="AR2" s="318">
        <f>AQ2*(1+допущения!$C$36)</f>
        <v>380.13276577560589</v>
      </c>
      <c r="AS2" s="318">
        <f>AR2</f>
        <v>380.13276577560589</v>
      </c>
      <c r="AT2" s="318">
        <f t="shared" ref="AT2:AU2" si="6">AS2</f>
        <v>380.13276577560589</v>
      </c>
      <c r="AU2" s="318">
        <f t="shared" si="6"/>
        <v>380.13276577560589</v>
      </c>
      <c r="AV2" s="319"/>
      <c r="AW2" s="320">
        <f>SUM(D2:G2)</f>
        <v>900</v>
      </c>
      <c r="AX2" s="320">
        <f t="shared" ref="AX2:AX48" si="7">SUM(H2:K2)</f>
        <v>900</v>
      </c>
      <c r="AY2" s="320">
        <f t="shared" ref="AY2:AY48" si="8">SUM(L2:O2)</f>
        <v>954</v>
      </c>
      <c r="AZ2" s="320">
        <f>SUM(P2:S2)</f>
        <v>1011.24</v>
      </c>
      <c r="BA2" s="320">
        <f t="shared" ref="BA2:BA48" si="9">SUM(T2:W2)</f>
        <v>1071.9144000000001</v>
      </c>
      <c r="BB2" s="320">
        <f t="shared" ref="BB2:BB48" si="10">SUM(X2:AA2)</f>
        <v>1136.2292640000003</v>
      </c>
      <c r="BC2" s="320">
        <f t="shared" ref="BC2:BC48" si="11">SUM(AB2:AE2)</f>
        <v>1204.4030198400003</v>
      </c>
      <c r="BD2" s="320">
        <f t="shared" ref="BD2:BD48" si="12">SUM(AF2:AI2)</f>
        <v>1276.6672010304003</v>
      </c>
      <c r="BE2" s="320">
        <f t="shared" ref="BE2:BE48" si="13">SUM(AJ2:AM2)</f>
        <v>1353.2672330922244</v>
      </c>
      <c r="BF2" s="320">
        <f t="shared" ref="BF2:BF48" si="14">SUM(AN2:AQ2)</f>
        <v>1434.463267077758</v>
      </c>
      <c r="BG2" s="320">
        <f>SUM(AR2:AU2)</f>
        <v>1520.5310631024236</v>
      </c>
    </row>
    <row r="3" spans="1:59" s="321" customFormat="1" ht="30" x14ac:dyDescent="0.25">
      <c r="A3" s="574" t="s">
        <v>113</v>
      </c>
      <c r="B3" s="575">
        <v>2</v>
      </c>
      <c r="C3" s="467">
        <v>60</v>
      </c>
      <c r="D3" s="318">
        <v>0</v>
      </c>
      <c r="E3" s="318">
        <f>C3*B3</f>
        <v>120</v>
      </c>
      <c r="F3" s="318">
        <f>C3*B3*3</f>
        <v>360</v>
      </c>
      <c r="G3" s="318">
        <f>C3*B3*3</f>
        <v>360</v>
      </c>
      <c r="H3" s="318">
        <f t="shared" ref="H3:H5" si="15">B3*C3*3</f>
        <v>360</v>
      </c>
      <c r="I3" s="318">
        <f>H3</f>
        <v>360</v>
      </c>
      <c r="J3" s="318">
        <f t="shared" ref="J3:J5" si="16">B3*C3*3</f>
        <v>360</v>
      </c>
      <c r="K3" s="318">
        <f t="shared" ref="K3:K5" si="17">J3</f>
        <v>360</v>
      </c>
      <c r="L3" s="318">
        <f>K3*(1+допущения!C37)</f>
        <v>381.6</v>
      </c>
      <c r="M3" s="318">
        <f t="shared" ref="M3:O5" si="18">L3</f>
        <v>381.6</v>
      </c>
      <c r="N3" s="318">
        <f t="shared" si="18"/>
        <v>381.6</v>
      </c>
      <c r="O3" s="318">
        <f t="shared" si="18"/>
        <v>381.6</v>
      </c>
      <c r="P3" s="318">
        <f>O3*(1+допущения!C37)</f>
        <v>404.49600000000004</v>
      </c>
      <c r="Q3" s="318">
        <f>P3*(1+допущения!D37)</f>
        <v>404.49600000000004</v>
      </c>
      <c r="R3" s="318">
        <f>Q3*(1+допущения!E37)</f>
        <v>404.49600000000004</v>
      </c>
      <c r="S3" s="318">
        <f>R3*(1+допущения!F37)</f>
        <v>404.49600000000004</v>
      </c>
      <c r="T3" s="318">
        <f>S3*(1+допущения!$C$36)</f>
        <v>428.76576000000006</v>
      </c>
      <c r="U3" s="318">
        <f t="shared" si="2"/>
        <v>428.76576000000006</v>
      </c>
      <c r="V3" s="318">
        <f t="shared" si="2"/>
        <v>428.76576000000006</v>
      </c>
      <c r="W3" s="318">
        <f t="shared" si="2"/>
        <v>428.76576000000006</v>
      </c>
      <c r="X3" s="318">
        <f>W3*(1+допущения!$C$36)</f>
        <v>454.4917056000001</v>
      </c>
      <c r="Y3" s="318">
        <f t="shared" si="2"/>
        <v>454.4917056000001</v>
      </c>
      <c r="Z3" s="318">
        <f t="shared" si="2"/>
        <v>454.4917056000001</v>
      </c>
      <c r="AA3" s="318">
        <f t="shared" si="2"/>
        <v>454.4917056000001</v>
      </c>
      <c r="AB3" s="318">
        <f>AA3*(1+допущения!$C$36)</f>
        <v>481.76120793600012</v>
      </c>
      <c r="AC3" s="318">
        <f t="shared" si="2"/>
        <v>481.76120793600012</v>
      </c>
      <c r="AD3" s="318">
        <f t="shared" si="2"/>
        <v>481.76120793600012</v>
      </c>
      <c r="AE3" s="318">
        <f t="shared" si="2"/>
        <v>481.76120793600012</v>
      </c>
      <c r="AF3" s="318">
        <f>AE3*(1+допущения!C37)</f>
        <v>510.66688041216014</v>
      </c>
      <c r="AG3" s="318">
        <f t="shared" si="4"/>
        <v>510.66688041216014</v>
      </c>
      <c r="AH3" s="318">
        <f t="shared" si="4"/>
        <v>510.66688041216014</v>
      </c>
      <c r="AI3" s="318">
        <f t="shared" si="4"/>
        <v>510.66688041216014</v>
      </c>
      <c r="AJ3" s="318">
        <f>AI3*(1+допущения!$C$36)</f>
        <v>541.30689323688978</v>
      </c>
      <c r="AK3" s="318">
        <f t="shared" si="4"/>
        <v>541.30689323688978</v>
      </c>
      <c r="AL3" s="318">
        <f t="shared" si="4"/>
        <v>541.30689323688978</v>
      </c>
      <c r="AM3" s="318">
        <f t="shared" si="4"/>
        <v>541.30689323688978</v>
      </c>
      <c r="AN3" s="318">
        <f>AM3*(1+допущения!$C$36)</f>
        <v>573.78530683110318</v>
      </c>
      <c r="AO3" s="318">
        <f t="shared" si="4"/>
        <v>573.78530683110318</v>
      </c>
      <c r="AP3" s="318">
        <f t="shared" si="4"/>
        <v>573.78530683110318</v>
      </c>
      <c r="AQ3" s="318">
        <f t="shared" si="4"/>
        <v>573.78530683110318</v>
      </c>
      <c r="AR3" s="318">
        <f>AQ3*(1+допущения!$C$36)</f>
        <v>608.21242524096942</v>
      </c>
      <c r="AS3" s="318">
        <f t="shared" ref="AS3:AU5" si="19">AR3</f>
        <v>608.21242524096942</v>
      </c>
      <c r="AT3" s="318">
        <f t="shared" si="19"/>
        <v>608.21242524096942</v>
      </c>
      <c r="AU3" s="318">
        <f t="shared" si="19"/>
        <v>608.21242524096942</v>
      </c>
      <c r="AV3" s="319"/>
      <c r="AW3" s="319">
        <f t="shared" ref="AW3:AW48" si="20">SUM(D3:G3)</f>
        <v>840</v>
      </c>
      <c r="AX3" s="320">
        <f t="shared" si="7"/>
        <v>1440</v>
      </c>
      <c r="AY3" s="320">
        <f t="shared" si="8"/>
        <v>1526.4</v>
      </c>
      <c r="AZ3" s="320">
        <f t="shared" ref="AZ3:AZ48" si="21">SUM(K3:N3)</f>
        <v>1504.8000000000002</v>
      </c>
      <c r="BA3" s="320">
        <f t="shared" si="9"/>
        <v>1715.0630400000002</v>
      </c>
      <c r="BB3" s="320">
        <f t="shared" si="10"/>
        <v>1817.9668224000004</v>
      </c>
      <c r="BC3" s="320">
        <f t="shared" si="11"/>
        <v>1927.0448317440005</v>
      </c>
      <c r="BD3" s="320">
        <f t="shared" si="12"/>
        <v>2042.6675216486406</v>
      </c>
      <c r="BE3" s="320">
        <f t="shared" si="13"/>
        <v>2165.2275729475591</v>
      </c>
      <c r="BF3" s="320">
        <f t="shared" si="14"/>
        <v>2295.1412273244127</v>
      </c>
      <c r="BG3" s="320">
        <f t="shared" ref="BG3:BG58" si="22">SUM(AR3:AU3)</f>
        <v>2432.8497009638777</v>
      </c>
    </row>
    <row r="4" spans="1:59" s="321" customFormat="1" ht="30" customHeight="1" x14ac:dyDescent="0.25">
      <c r="A4" s="574" t="s">
        <v>416</v>
      </c>
      <c r="B4" s="575">
        <v>2</v>
      </c>
      <c r="C4" s="467">
        <v>65</v>
      </c>
      <c r="D4" s="318">
        <f>C4*B4*3</f>
        <v>390</v>
      </c>
      <c r="E4" s="318">
        <f>C4*B4*3</f>
        <v>390</v>
      </c>
      <c r="F4" s="318">
        <f>C4*B4*3</f>
        <v>390</v>
      </c>
      <c r="G4" s="318">
        <f>C4*B4*3</f>
        <v>390</v>
      </c>
      <c r="H4" s="318">
        <f t="shared" si="15"/>
        <v>390</v>
      </c>
      <c r="I4" s="318">
        <f t="shared" ref="I4:I5" si="23">H4</f>
        <v>390</v>
      </c>
      <c r="J4" s="318">
        <f t="shared" si="16"/>
        <v>390</v>
      </c>
      <c r="K4" s="318">
        <f t="shared" si="17"/>
        <v>390</v>
      </c>
      <c r="L4" s="318">
        <f>K4*(1+допущения!C38)</f>
        <v>390</v>
      </c>
      <c r="M4" s="318">
        <f t="shared" si="18"/>
        <v>390</v>
      </c>
      <c r="N4" s="318">
        <f t="shared" si="18"/>
        <v>390</v>
      </c>
      <c r="O4" s="318">
        <f t="shared" si="18"/>
        <v>390</v>
      </c>
      <c r="P4" s="318">
        <f>O4*(1+допущения!C38)</f>
        <v>390</v>
      </c>
      <c r="Q4" s="318">
        <f>P4*(1+допущения!D38)</f>
        <v>390</v>
      </c>
      <c r="R4" s="318">
        <f>Q4*(1+допущения!E38)</f>
        <v>390</v>
      </c>
      <c r="S4" s="318">
        <f>R4*(1+допущения!F38)</f>
        <v>390</v>
      </c>
      <c r="T4" s="318">
        <f>S4*(1+допущения!$C$36)</f>
        <v>413.40000000000003</v>
      </c>
      <c r="U4" s="318">
        <f t="shared" si="2"/>
        <v>413.40000000000003</v>
      </c>
      <c r="V4" s="318">
        <f t="shared" si="2"/>
        <v>413.40000000000003</v>
      </c>
      <c r="W4" s="318">
        <f t="shared" si="2"/>
        <v>413.40000000000003</v>
      </c>
      <c r="X4" s="318">
        <f>W4*(1+допущения!$C$36)</f>
        <v>438.20400000000006</v>
      </c>
      <c r="Y4" s="318">
        <f t="shared" si="2"/>
        <v>438.20400000000006</v>
      </c>
      <c r="Z4" s="318">
        <f t="shared" si="2"/>
        <v>438.20400000000006</v>
      </c>
      <c r="AA4" s="318">
        <f t="shared" si="2"/>
        <v>438.20400000000006</v>
      </c>
      <c r="AB4" s="318">
        <f>AA4*(1+допущения!$C$36)</f>
        <v>464.49624000000011</v>
      </c>
      <c r="AC4" s="318">
        <f t="shared" si="2"/>
        <v>464.49624000000011</v>
      </c>
      <c r="AD4" s="318">
        <f t="shared" si="2"/>
        <v>464.49624000000011</v>
      </c>
      <c r="AE4" s="318">
        <f t="shared" si="2"/>
        <v>464.49624000000011</v>
      </c>
      <c r="AF4" s="318">
        <f>AE4*(1+допущения!C38)</f>
        <v>464.49624000000011</v>
      </c>
      <c r="AG4" s="318">
        <f t="shared" si="4"/>
        <v>464.49624000000011</v>
      </c>
      <c r="AH4" s="318">
        <f t="shared" si="4"/>
        <v>464.49624000000011</v>
      </c>
      <c r="AI4" s="318">
        <f t="shared" si="4"/>
        <v>464.49624000000011</v>
      </c>
      <c r="AJ4" s="318">
        <f>AI4*(1+допущения!$C$36)</f>
        <v>492.36601440000015</v>
      </c>
      <c r="AK4" s="318">
        <f t="shared" si="4"/>
        <v>492.36601440000015</v>
      </c>
      <c r="AL4" s="318">
        <f t="shared" si="4"/>
        <v>492.36601440000015</v>
      </c>
      <c r="AM4" s="318">
        <f t="shared" si="4"/>
        <v>492.36601440000015</v>
      </c>
      <c r="AN4" s="318">
        <f>AM4*(1+допущения!$C$36)</f>
        <v>521.90797526400024</v>
      </c>
      <c r="AO4" s="318">
        <f t="shared" si="4"/>
        <v>521.90797526400024</v>
      </c>
      <c r="AP4" s="318">
        <f t="shared" si="4"/>
        <v>521.90797526400024</v>
      </c>
      <c r="AQ4" s="318">
        <f t="shared" si="4"/>
        <v>521.90797526400024</v>
      </c>
      <c r="AR4" s="318">
        <f>AQ4*(1+допущения!$C$36)</f>
        <v>553.22245377984029</v>
      </c>
      <c r="AS4" s="318">
        <f t="shared" si="19"/>
        <v>553.22245377984029</v>
      </c>
      <c r="AT4" s="318">
        <f t="shared" si="19"/>
        <v>553.22245377984029</v>
      </c>
      <c r="AU4" s="318">
        <f t="shared" si="19"/>
        <v>553.22245377984029</v>
      </c>
      <c r="AV4" s="319"/>
      <c r="AW4" s="319">
        <f t="shared" si="20"/>
        <v>1560</v>
      </c>
      <c r="AX4" s="320">
        <f t="shared" si="7"/>
        <v>1560</v>
      </c>
      <c r="AY4" s="320">
        <f t="shared" si="8"/>
        <v>1560</v>
      </c>
      <c r="AZ4" s="320">
        <f t="shared" si="21"/>
        <v>1560</v>
      </c>
      <c r="BA4" s="320">
        <f t="shared" si="9"/>
        <v>1653.6000000000001</v>
      </c>
      <c r="BB4" s="320">
        <f t="shared" si="10"/>
        <v>1752.8160000000003</v>
      </c>
      <c r="BC4" s="320">
        <f t="shared" si="11"/>
        <v>1857.9849600000005</v>
      </c>
      <c r="BD4" s="320">
        <f t="shared" si="12"/>
        <v>1857.9849600000005</v>
      </c>
      <c r="BE4" s="320">
        <f t="shared" si="13"/>
        <v>1969.4640576000006</v>
      </c>
      <c r="BF4" s="320">
        <f t="shared" si="14"/>
        <v>2087.631901056001</v>
      </c>
      <c r="BG4" s="320">
        <f t="shared" si="22"/>
        <v>2212.8898151193612</v>
      </c>
    </row>
    <row r="5" spans="1:59" s="321" customFormat="1" ht="45.75" customHeight="1" x14ac:dyDescent="0.25">
      <c r="A5" s="574" t="s">
        <v>417</v>
      </c>
      <c r="B5" s="575">
        <v>1</v>
      </c>
      <c r="C5" s="467">
        <v>55</v>
      </c>
      <c r="D5" s="318">
        <f>C5*B5*3</f>
        <v>165</v>
      </c>
      <c r="E5" s="318">
        <f>C5*B5*3</f>
        <v>165</v>
      </c>
      <c r="F5" s="318">
        <f>C5*B5*3</f>
        <v>165</v>
      </c>
      <c r="G5" s="318">
        <f>C5*B5*3</f>
        <v>165</v>
      </c>
      <c r="H5" s="318">
        <f t="shared" si="15"/>
        <v>165</v>
      </c>
      <c r="I5" s="318">
        <f t="shared" si="23"/>
        <v>165</v>
      </c>
      <c r="J5" s="318">
        <f t="shared" si="16"/>
        <v>165</v>
      </c>
      <c r="K5" s="318">
        <f t="shared" si="17"/>
        <v>165</v>
      </c>
      <c r="L5" s="318">
        <f>K5*(1+допущения!C39)</f>
        <v>174.9</v>
      </c>
      <c r="M5" s="318">
        <f t="shared" si="18"/>
        <v>174.9</v>
      </c>
      <c r="N5" s="318">
        <f t="shared" si="18"/>
        <v>174.9</v>
      </c>
      <c r="O5" s="318">
        <f t="shared" si="18"/>
        <v>174.9</v>
      </c>
      <c r="P5" s="318">
        <f>O5*(1+допущения!C39)</f>
        <v>185.39400000000001</v>
      </c>
      <c r="Q5" s="318">
        <f>P5</f>
        <v>185.39400000000001</v>
      </c>
      <c r="R5" s="318">
        <f>Q5*(1+допущения!E39)</f>
        <v>185.39400000000001</v>
      </c>
      <c r="S5" s="318">
        <f>R5*(1+допущения!F39)</f>
        <v>185.39400000000001</v>
      </c>
      <c r="T5" s="318">
        <f>S5*(1+допущения!$C$36)</f>
        <v>196.51764000000003</v>
      </c>
      <c r="U5" s="318">
        <f t="shared" si="2"/>
        <v>196.51764000000003</v>
      </c>
      <c r="V5" s="318">
        <f t="shared" si="2"/>
        <v>196.51764000000003</v>
      </c>
      <c r="W5" s="318">
        <f t="shared" si="2"/>
        <v>196.51764000000003</v>
      </c>
      <c r="X5" s="318">
        <f>W5*(1+допущения!$C$36)</f>
        <v>208.30869840000005</v>
      </c>
      <c r="Y5" s="318">
        <f t="shared" si="2"/>
        <v>208.30869840000005</v>
      </c>
      <c r="Z5" s="318">
        <f t="shared" si="2"/>
        <v>208.30869840000005</v>
      </c>
      <c r="AA5" s="318">
        <f t="shared" si="2"/>
        <v>208.30869840000005</v>
      </c>
      <c r="AB5" s="318">
        <f>AA5*(1+допущения!$C$36)</f>
        <v>220.80722030400005</v>
      </c>
      <c r="AC5" s="318">
        <f t="shared" si="2"/>
        <v>220.80722030400005</v>
      </c>
      <c r="AD5" s="318">
        <f t="shared" si="2"/>
        <v>220.80722030400005</v>
      </c>
      <c r="AE5" s="318">
        <f t="shared" si="2"/>
        <v>220.80722030400005</v>
      </c>
      <c r="AF5" s="318">
        <f>AE5*(1+допущения!C39)</f>
        <v>234.05565352224008</v>
      </c>
      <c r="AG5" s="318">
        <f t="shared" si="4"/>
        <v>234.05565352224008</v>
      </c>
      <c r="AH5" s="318">
        <f t="shared" si="4"/>
        <v>234.05565352224008</v>
      </c>
      <c r="AI5" s="318">
        <f t="shared" si="4"/>
        <v>234.05565352224008</v>
      </c>
      <c r="AJ5" s="318">
        <f>AI5*(1+допущения!$C$36)</f>
        <v>248.09899273357451</v>
      </c>
      <c r="AK5" s="318">
        <f t="shared" si="4"/>
        <v>248.09899273357451</v>
      </c>
      <c r="AL5" s="318">
        <f t="shared" si="4"/>
        <v>248.09899273357451</v>
      </c>
      <c r="AM5" s="318">
        <f t="shared" si="4"/>
        <v>248.09899273357451</v>
      </c>
      <c r="AN5" s="318">
        <f>AM5*(1+допущения!$C$36)</f>
        <v>262.98493229758901</v>
      </c>
      <c r="AO5" s="318">
        <f t="shared" si="4"/>
        <v>262.98493229758901</v>
      </c>
      <c r="AP5" s="318">
        <f t="shared" si="4"/>
        <v>262.98493229758901</v>
      </c>
      <c r="AQ5" s="318">
        <f t="shared" si="4"/>
        <v>262.98493229758901</v>
      </c>
      <c r="AR5" s="318">
        <f>AQ5*(1+допущения!$C$36)</f>
        <v>278.76402823544436</v>
      </c>
      <c r="AS5" s="318">
        <f t="shared" si="19"/>
        <v>278.76402823544436</v>
      </c>
      <c r="AT5" s="318">
        <f t="shared" si="19"/>
        <v>278.76402823544436</v>
      </c>
      <c r="AU5" s="318">
        <f t="shared" si="19"/>
        <v>278.76402823544436</v>
      </c>
      <c r="AV5" s="319"/>
      <c r="AW5" s="319">
        <f t="shared" si="20"/>
        <v>660</v>
      </c>
      <c r="AX5" s="320">
        <f t="shared" si="7"/>
        <v>660</v>
      </c>
      <c r="AY5" s="320">
        <f t="shared" si="8"/>
        <v>699.6</v>
      </c>
      <c r="AZ5" s="320">
        <f t="shared" si="21"/>
        <v>689.69999999999993</v>
      </c>
      <c r="BA5" s="320">
        <f t="shared" si="9"/>
        <v>786.07056000000011</v>
      </c>
      <c r="BB5" s="320">
        <f t="shared" si="10"/>
        <v>833.23479360000022</v>
      </c>
      <c r="BC5" s="320">
        <f t="shared" si="11"/>
        <v>883.22888121600022</v>
      </c>
      <c r="BD5" s="320">
        <f t="shared" si="12"/>
        <v>936.22261408896031</v>
      </c>
      <c r="BE5" s="320">
        <f t="shared" si="13"/>
        <v>992.39597093429802</v>
      </c>
      <c r="BF5" s="320">
        <f t="shared" si="14"/>
        <v>1051.939729190356</v>
      </c>
      <c r="BG5" s="320">
        <f>SUM(AR5:AU5)</f>
        <v>1115.0561129417774</v>
      </c>
    </row>
    <row r="6" spans="1:59" s="86" customFormat="1" ht="30" x14ac:dyDescent="0.25">
      <c r="A6" s="576" t="s">
        <v>114</v>
      </c>
      <c r="B6" s="90">
        <f>SUM(B2:B5)</f>
        <v>6</v>
      </c>
      <c r="C6" s="89"/>
      <c r="D6" s="90">
        <f>SUM(D2:D5)</f>
        <v>780</v>
      </c>
      <c r="E6" s="90">
        <f t="shared" ref="E6:AU6" si="24">SUM(E2:E5)</f>
        <v>900</v>
      </c>
      <c r="F6" s="90">
        <f t="shared" si="24"/>
        <v>1140</v>
      </c>
      <c r="G6" s="90">
        <f t="shared" si="24"/>
        <v>1140</v>
      </c>
      <c r="H6" s="90">
        <f t="shared" si="24"/>
        <v>1140</v>
      </c>
      <c r="I6" s="90">
        <f t="shared" si="24"/>
        <v>1140</v>
      </c>
      <c r="J6" s="90">
        <f t="shared" si="24"/>
        <v>1140</v>
      </c>
      <c r="K6" s="90">
        <f t="shared" si="24"/>
        <v>1140</v>
      </c>
      <c r="L6" s="90">
        <f t="shared" si="24"/>
        <v>1185</v>
      </c>
      <c r="M6" s="90">
        <f t="shared" si="24"/>
        <v>1185</v>
      </c>
      <c r="N6" s="90">
        <f t="shared" si="24"/>
        <v>1185</v>
      </c>
      <c r="O6" s="90">
        <f t="shared" si="24"/>
        <v>1185</v>
      </c>
      <c r="P6" s="90">
        <f t="shared" si="24"/>
        <v>1232.7</v>
      </c>
      <c r="Q6" s="90">
        <f t="shared" si="24"/>
        <v>1232.7</v>
      </c>
      <c r="R6" s="90">
        <f t="shared" si="24"/>
        <v>1232.7</v>
      </c>
      <c r="S6" s="90">
        <f t="shared" si="24"/>
        <v>1232.7</v>
      </c>
      <c r="T6" s="90">
        <f t="shared" si="24"/>
        <v>1306.6620000000003</v>
      </c>
      <c r="U6" s="90">
        <f t="shared" si="24"/>
        <v>1306.6620000000003</v>
      </c>
      <c r="V6" s="90">
        <f t="shared" si="24"/>
        <v>1306.6620000000003</v>
      </c>
      <c r="W6" s="90">
        <f t="shared" si="24"/>
        <v>1306.6620000000003</v>
      </c>
      <c r="X6" s="90">
        <f t="shared" si="24"/>
        <v>1385.0617200000004</v>
      </c>
      <c r="Y6" s="90">
        <f t="shared" si="24"/>
        <v>1385.0617200000004</v>
      </c>
      <c r="Z6" s="90">
        <f t="shared" si="24"/>
        <v>1385.0617200000004</v>
      </c>
      <c r="AA6" s="90">
        <f t="shared" si="24"/>
        <v>1385.0617200000004</v>
      </c>
      <c r="AB6" s="90">
        <f t="shared" si="24"/>
        <v>1468.1654232000005</v>
      </c>
      <c r="AC6" s="90">
        <f t="shared" si="24"/>
        <v>1468.1654232000005</v>
      </c>
      <c r="AD6" s="90">
        <f t="shared" si="24"/>
        <v>1468.1654232000005</v>
      </c>
      <c r="AE6" s="90">
        <f t="shared" si="24"/>
        <v>1468.1654232000005</v>
      </c>
      <c r="AF6" s="90">
        <f t="shared" si="24"/>
        <v>1528.3855741920006</v>
      </c>
      <c r="AG6" s="90">
        <f t="shared" si="24"/>
        <v>1528.3855741920006</v>
      </c>
      <c r="AH6" s="90">
        <f t="shared" si="24"/>
        <v>1528.3855741920006</v>
      </c>
      <c r="AI6" s="90">
        <f t="shared" si="24"/>
        <v>1528.3855741920006</v>
      </c>
      <c r="AJ6" s="90">
        <f t="shared" si="24"/>
        <v>1620.0887086435205</v>
      </c>
      <c r="AK6" s="90">
        <f t="shared" si="24"/>
        <v>1620.0887086435205</v>
      </c>
      <c r="AL6" s="90">
        <f t="shared" si="24"/>
        <v>1620.0887086435205</v>
      </c>
      <c r="AM6" s="90">
        <f t="shared" si="24"/>
        <v>1620.0887086435205</v>
      </c>
      <c r="AN6" s="90">
        <f t="shared" si="24"/>
        <v>1717.2940311621319</v>
      </c>
      <c r="AO6" s="90">
        <f t="shared" si="24"/>
        <v>1717.2940311621319</v>
      </c>
      <c r="AP6" s="90">
        <f t="shared" si="24"/>
        <v>1717.2940311621319</v>
      </c>
      <c r="AQ6" s="447">
        <f t="shared" si="24"/>
        <v>1717.2940311621319</v>
      </c>
      <c r="AR6" s="447">
        <f t="shared" si="24"/>
        <v>1820.33167303186</v>
      </c>
      <c r="AS6" s="447">
        <f t="shared" si="24"/>
        <v>1820.33167303186</v>
      </c>
      <c r="AT6" s="447">
        <f t="shared" si="24"/>
        <v>1820.33167303186</v>
      </c>
      <c r="AU6" s="447">
        <f t="shared" si="24"/>
        <v>1820.33167303186</v>
      </c>
      <c r="AV6" s="448"/>
      <c r="AW6" s="448">
        <f t="shared" si="20"/>
        <v>3960</v>
      </c>
      <c r="AX6" s="449">
        <f t="shared" si="7"/>
        <v>4560</v>
      </c>
      <c r="AY6" s="449">
        <f t="shared" si="8"/>
        <v>4740</v>
      </c>
      <c r="AZ6" s="449">
        <f t="shared" si="21"/>
        <v>4695</v>
      </c>
      <c r="BA6" s="449">
        <f t="shared" si="9"/>
        <v>5226.648000000001</v>
      </c>
      <c r="BB6" s="449">
        <f t="shared" si="10"/>
        <v>5540.2468800000015</v>
      </c>
      <c r="BC6" s="449">
        <f t="shared" si="11"/>
        <v>5872.6616928000021</v>
      </c>
      <c r="BD6" s="449">
        <f t="shared" si="12"/>
        <v>6113.5422967680024</v>
      </c>
      <c r="BE6" s="449">
        <f t="shared" si="13"/>
        <v>6480.3548345740819</v>
      </c>
      <c r="BF6" s="449">
        <f t="shared" si="14"/>
        <v>6869.1761246485275</v>
      </c>
      <c r="BG6" s="449">
        <f>SUM(AR6:AU6)</f>
        <v>7281.3266921274399</v>
      </c>
    </row>
    <row r="7" spans="1:59" s="91" customFormat="1" ht="16.5" customHeight="1" x14ac:dyDescent="0.25">
      <c r="A7" s="577" t="s">
        <v>115</v>
      </c>
      <c r="B7" s="94"/>
      <c r="C7" s="93"/>
      <c r="D7" s="94">
        <f>D6*$B$61</f>
        <v>234</v>
      </c>
      <c r="E7" s="94">
        <f t="shared" ref="E7:AU7" si="25">E6*$B$61</f>
        <v>270</v>
      </c>
      <c r="F7" s="94">
        <f t="shared" si="25"/>
        <v>342</v>
      </c>
      <c r="G7" s="94">
        <f t="shared" si="25"/>
        <v>342</v>
      </c>
      <c r="H7" s="94">
        <f>H6*$B$61</f>
        <v>342</v>
      </c>
      <c r="I7" s="94">
        <f t="shared" si="25"/>
        <v>342</v>
      </c>
      <c r="J7" s="94">
        <f t="shared" si="25"/>
        <v>342</v>
      </c>
      <c r="K7" s="94">
        <f t="shared" si="25"/>
        <v>342</v>
      </c>
      <c r="L7" s="94">
        <f t="shared" si="25"/>
        <v>355.5</v>
      </c>
      <c r="M7" s="94">
        <f t="shared" si="25"/>
        <v>355.5</v>
      </c>
      <c r="N7" s="94">
        <f t="shared" si="25"/>
        <v>355.5</v>
      </c>
      <c r="O7" s="94">
        <f t="shared" si="25"/>
        <v>355.5</v>
      </c>
      <c r="P7" s="94">
        <f t="shared" si="25"/>
        <v>369.81</v>
      </c>
      <c r="Q7" s="94">
        <f t="shared" si="25"/>
        <v>369.81</v>
      </c>
      <c r="R7" s="94">
        <f t="shared" si="25"/>
        <v>369.81</v>
      </c>
      <c r="S7" s="94">
        <f t="shared" si="25"/>
        <v>369.81</v>
      </c>
      <c r="T7" s="94">
        <f t="shared" si="25"/>
        <v>391.99860000000007</v>
      </c>
      <c r="U7" s="94">
        <f t="shared" si="25"/>
        <v>391.99860000000007</v>
      </c>
      <c r="V7" s="94">
        <f t="shared" si="25"/>
        <v>391.99860000000007</v>
      </c>
      <c r="W7" s="94">
        <f t="shared" si="25"/>
        <v>391.99860000000007</v>
      </c>
      <c r="X7" s="94">
        <f t="shared" si="25"/>
        <v>415.51851600000009</v>
      </c>
      <c r="Y7" s="94">
        <f t="shared" si="25"/>
        <v>415.51851600000009</v>
      </c>
      <c r="Z7" s="94">
        <f t="shared" si="25"/>
        <v>415.51851600000009</v>
      </c>
      <c r="AA7" s="94">
        <f t="shared" si="25"/>
        <v>415.51851600000009</v>
      </c>
      <c r="AB7" s="94">
        <f t="shared" si="25"/>
        <v>440.44962696000016</v>
      </c>
      <c r="AC7" s="94">
        <f t="shared" si="25"/>
        <v>440.44962696000016</v>
      </c>
      <c r="AD7" s="94">
        <f t="shared" si="25"/>
        <v>440.44962696000016</v>
      </c>
      <c r="AE7" s="94">
        <f t="shared" si="25"/>
        <v>440.44962696000016</v>
      </c>
      <c r="AF7" s="94">
        <f t="shared" si="25"/>
        <v>458.51567225760016</v>
      </c>
      <c r="AG7" s="94">
        <f t="shared" si="25"/>
        <v>458.51567225760016</v>
      </c>
      <c r="AH7" s="94">
        <f t="shared" si="25"/>
        <v>458.51567225760016</v>
      </c>
      <c r="AI7" s="94">
        <f t="shared" si="25"/>
        <v>458.51567225760016</v>
      </c>
      <c r="AJ7" s="94">
        <f t="shared" si="25"/>
        <v>486.02661259305614</v>
      </c>
      <c r="AK7" s="94">
        <f t="shared" si="25"/>
        <v>486.02661259305614</v>
      </c>
      <c r="AL7" s="94">
        <f t="shared" si="25"/>
        <v>486.02661259305614</v>
      </c>
      <c r="AM7" s="94">
        <f t="shared" si="25"/>
        <v>486.02661259305614</v>
      </c>
      <c r="AN7" s="94">
        <f t="shared" si="25"/>
        <v>515.18820934863959</v>
      </c>
      <c r="AO7" s="94">
        <f t="shared" si="25"/>
        <v>515.18820934863959</v>
      </c>
      <c r="AP7" s="94">
        <f t="shared" si="25"/>
        <v>515.18820934863959</v>
      </c>
      <c r="AQ7" s="94">
        <f t="shared" si="25"/>
        <v>515.18820934863959</v>
      </c>
      <c r="AR7" s="94">
        <f t="shared" si="25"/>
        <v>546.09950190955794</v>
      </c>
      <c r="AS7" s="94">
        <f t="shared" si="25"/>
        <v>546.09950190955794</v>
      </c>
      <c r="AT7" s="94">
        <f t="shared" si="25"/>
        <v>546.09950190955794</v>
      </c>
      <c r="AU7" s="94">
        <f t="shared" si="25"/>
        <v>546.09950190955794</v>
      </c>
      <c r="AV7" s="92"/>
      <c r="AW7" s="450">
        <f t="shared" si="20"/>
        <v>1188</v>
      </c>
      <c r="AX7" s="330">
        <f t="shared" si="7"/>
        <v>1368</v>
      </c>
      <c r="AY7" s="330">
        <f t="shared" si="8"/>
        <v>1422</v>
      </c>
      <c r="AZ7" s="330">
        <f t="shared" si="21"/>
        <v>1408.5</v>
      </c>
      <c r="BA7" s="330">
        <f t="shared" si="9"/>
        <v>1567.9944000000003</v>
      </c>
      <c r="BB7" s="330">
        <f t="shared" si="10"/>
        <v>1662.0740640000004</v>
      </c>
      <c r="BC7" s="330">
        <f t="shared" si="11"/>
        <v>1761.7985078400006</v>
      </c>
      <c r="BD7" s="330">
        <f t="shared" si="12"/>
        <v>1834.0626890304006</v>
      </c>
      <c r="BE7" s="330">
        <f t="shared" si="13"/>
        <v>1944.1064503722246</v>
      </c>
      <c r="BF7" s="330">
        <f t="shared" si="14"/>
        <v>2060.7528373945584</v>
      </c>
      <c r="BG7" s="330">
        <f t="shared" si="22"/>
        <v>2184.3980076382318</v>
      </c>
    </row>
    <row r="8" spans="1:59" x14ac:dyDescent="0.25">
      <c r="A8" s="578" t="s">
        <v>116</v>
      </c>
      <c r="B8" s="85"/>
      <c r="C8" s="9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85"/>
      <c r="Q8" s="85"/>
      <c r="R8" s="85"/>
      <c r="S8" s="85"/>
      <c r="T8" s="85"/>
      <c r="U8" s="85"/>
      <c r="V8" s="85"/>
      <c r="W8" s="85"/>
      <c r="X8" s="85"/>
      <c r="Y8" s="85"/>
      <c r="Z8" s="85"/>
      <c r="AA8" s="85"/>
      <c r="AB8" s="85"/>
      <c r="AC8" s="85"/>
      <c r="AD8" s="85"/>
      <c r="AE8" s="85"/>
      <c r="AF8" s="85"/>
      <c r="AG8" s="85"/>
      <c r="AH8" s="85"/>
      <c r="AI8" s="85"/>
      <c r="AJ8" s="85"/>
      <c r="AK8" s="85"/>
      <c r="AL8" s="85"/>
      <c r="AM8" s="85"/>
      <c r="AN8" s="85"/>
      <c r="AO8" s="85"/>
      <c r="AP8" s="85"/>
      <c r="AQ8" s="85"/>
      <c r="AR8" s="85"/>
      <c r="AS8" s="85"/>
      <c r="AT8" s="85"/>
      <c r="AU8" s="85"/>
      <c r="AV8" s="75"/>
      <c r="AW8" s="96">
        <f t="shared" si="20"/>
        <v>0</v>
      </c>
      <c r="AX8" s="320">
        <f t="shared" si="7"/>
        <v>0</v>
      </c>
      <c r="AY8" s="320">
        <f t="shared" si="8"/>
        <v>0</v>
      </c>
      <c r="AZ8" s="320">
        <f t="shared" si="21"/>
        <v>0</v>
      </c>
      <c r="BA8" s="320">
        <f t="shared" si="9"/>
        <v>0</v>
      </c>
      <c r="BB8" s="320">
        <f t="shared" si="10"/>
        <v>0</v>
      </c>
      <c r="BC8" s="320">
        <f t="shared" si="11"/>
        <v>0</v>
      </c>
      <c r="BD8" s="320">
        <f t="shared" si="12"/>
        <v>0</v>
      </c>
      <c r="BE8" s="320">
        <f t="shared" si="13"/>
        <v>0</v>
      </c>
      <c r="BF8" s="320">
        <f t="shared" si="14"/>
        <v>0</v>
      </c>
      <c r="BG8" s="320">
        <f t="shared" si="22"/>
        <v>0</v>
      </c>
    </row>
    <row r="9" spans="1:59" s="321" customFormat="1" x14ac:dyDescent="0.25">
      <c r="A9" s="574" t="s">
        <v>418</v>
      </c>
      <c r="B9" s="575">
        <v>4</v>
      </c>
      <c r="C9" s="467">
        <v>55</v>
      </c>
      <c r="D9" s="320">
        <v>0</v>
      </c>
      <c r="E9" s="320">
        <f>C9*B9</f>
        <v>220</v>
      </c>
      <c r="F9" s="318">
        <f>C9*B9*3</f>
        <v>660</v>
      </c>
      <c r="G9" s="318">
        <f>C9*B9*3</f>
        <v>660</v>
      </c>
      <c r="H9" s="320">
        <f>B9*C9*3</f>
        <v>660</v>
      </c>
      <c r="I9" s="320">
        <f t="shared" ref="I9" si="26">H9</f>
        <v>660</v>
      </c>
      <c r="J9" s="320">
        <f>B9*C9*3</f>
        <v>660</v>
      </c>
      <c r="K9" s="320">
        <f>J9</f>
        <v>660</v>
      </c>
      <c r="L9" s="320">
        <f>K9*(1+допущения!C36)</f>
        <v>699.6</v>
      </c>
      <c r="M9" s="320">
        <f>L9</f>
        <v>699.6</v>
      </c>
      <c r="N9" s="320">
        <f t="shared" ref="N9:O9" si="27">M9</f>
        <v>699.6</v>
      </c>
      <c r="O9" s="320">
        <f t="shared" si="27"/>
        <v>699.6</v>
      </c>
      <c r="P9" s="320">
        <f>O9*(1+допущения!C36)</f>
        <v>741.57600000000002</v>
      </c>
      <c r="Q9" s="320">
        <f>P9</f>
        <v>741.57600000000002</v>
      </c>
      <c r="R9" s="320">
        <f>Q9</f>
        <v>741.57600000000002</v>
      </c>
      <c r="S9" s="320">
        <f>R9</f>
        <v>741.57600000000002</v>
      </c>
      <c r="T9" s="320">
        <f>S9*(1+допущения!$C$36)</f>
        <v>786.07056000000011</v>
      </c>
      <c r="U9" s="320">
        <f>T9</f>
        <v>786.07056000000011</v>
      </c>
      <c r="V9" s="320">
        <f>U9</f>
        <v>786.07056000000011</v>
      </c>
      <c r="W9" s="320">
        <f>V9</f>
        <v>786.07056000000011</v>
      </c>
      <c r="X9" s="320">
        <f>W9*(1+допущения!$C$36)</f>
        <v>833.23479360000022</v>
      </c>
      <c r="Y9" s="320">
        <f>X9</f>
        <v>833.23479360000022</v>
      </c>
      <c r="Z9" s="320">
        <f t="shared" ref="Z9:AE9" si="28">Y9</f>
        <v>833.23479360000022</v>
      </c>
      <c r="AA9" s="320">
        <f t="shared" si="28"/>
        <v>833.23479360000022</v>
      </c>
      <c r="AB9" s="320">
        <f>AA9*(1+допущения!$C$36)</f>
        <v>883.22888121600022</v>
      </c>
      <c r="AC9" s="320">
        <f t="shared" si="28"/>
        <v>883.22888121600022</v>
      </c>
      <c r="AD9" s="320">
        <f t="shared" si="28"/>
        <v>883.22888121600022</v>
      </c>
      <c r="AE9" s="320">
        <f t="shared" si="28"/>
        <v>883.22888121600022</v>
      </c>
      <c r="AF9" s="320">
        <f>AE9*(1+допущения!$C$36)</f>
        <v>936.22261408896031</v>
      </c>
      <c r="AG9" s="320">
        <f>AF9</f>
        <v>936.22261408896031</v>
      </c>
      <c r="AH9" s="320">
        <f t="shared" ref="AH9:AQ9" si="29">AG9</f>
        <v>936.22261408896031</v>
      </c>
      <c r="AI9" s="320">
        <f t="shared" si="29"/>
        <v>936.22261408896031</v>
      </c>
      <c r="AJ9" s="320">
        <f>AI9*(1+допущения!$C$36)</f>
        <v>992.39597093429802</v>
      </c>
      <c r="AK9" s="320">
        <f t="shared" si="29"/>
        <v>992.39597093429802</v>
      </c>
      <c r="AL9" s="320">
        <f t="shared" si="29"/>
        <v>992.39597093429802</v>
      </c>
      <c r="AM9" s="320">
        <f t="shared" si="29"/>
        <v>992.39597093429802</v>
      </c>
      <c r="AN9" s="320">
        <f>AM9*(1+допущения!$C$36)</f>
        <v>1051.939729190356</v>
      </c>
      <c r="AO9" s="320">
        <f t="shared" si="29"/>
        <v>1051.939729190356</v>
      </c>
      <c r="AP9" s="320">
        <f t="shared" si="29"/>
        <v>1051.939729190356</v>
      </c>
      <c r="AQ9" s="320">
        <f t="shared" si="29"/>
        <v>1051.939729190356</v>
      </c>
      <c r="AR9" s="320">
        <f>AQ9*(1+допущения!$C$36)</f>
        <v>1115.0561129417774</v>
      </c>
      <c r="AS9" s="320">
        <f>AR9</f>
        <v>1115.0561129417774</v>
      </c>
      <c r="AT9" s="320">
        <f t="shared" ref="AT9:AU9" si="30">AS9</f>
        <v>1115.0561129417774</v>
      </c>
      <c r="AU9" s="320">
        <f t="shared" si="30"/>
        <v>1115.0561129417774</v>
      </c>
      <c r="AV9" s="319"/>
      <c r="AW9" s="96">
        <f t="shared" si="20"/>
        <v>1540</v>
      </c>
      <c r="AX9" s="320">
        <f t="shared" si="7"/>
        <v>2640</v>
      </c>
      <c r="AY9" s="320">
        <f t="shared" si="8"/>
        <v>2798.4</v>
      </c>
      <c r="AZ9" s="320">
        <f t="shared" si="21"/>
        <v>2758.7999999999997</v>
      </c>
      <c r="BA9" s="320">
        <f t="shared" si="9"/>
        <v>3144.2822400000005</v>
      </c>
      <c r="BB9" s="320">
        <f t="shared" si="10"/>
        <v>3332.9391744000009</v>
      </c>
      <c r="BC9" s="320">
        <f t="shared" si="11"/>
        <v>3532.9155248640009</v>
      </c>
      <c r="BD9" s="320">
        <f t="shared" si="12"/>
        <v>3744.8904563558413</v>
      </c>
      <c r="BE9" s="320">
        <f t="shared" si="13"/>
        <v>3969.5838837371921</v>
      </c>
      <c r="BF9" s="320">
        <f t="shared" si="14"/>
        <v>4207.7589167614242</v>
      </c>
      <c r="BG9" s="320">
        <f t="shared" si="22"/>
        <v>4460.2244517671097</v>
      </c>
    </row>
    <row r="10" spans="1:59" s="321" customFormat="1" x14ac:dyDescent="0.25">
      <c r="A10" s="574" t="s">
        <v>419</v>
      </c>
      <c r="B10" s="575">
        <v>4</v>
      </c>
      <c r="C10" s="467">
        <v>40</v>
      </c>
      <c r="D10" s="320">
        <v>0</v>
      </c>
      <c r="E10" s="320">
        <f t="shared" ref="E10:E14" si="31">C10*B10</f>
        <v>160</v>
      </c>
      <c r="F10" s="318">
        <f t="shared" ref="F10:F14" si="32">C10*B10*3</f>
        <v>480</v>
      </c>
      <c r="G10" s="318">
        <f t="shared" ref="G10:G14" si="33">C10*B10*3</f>
        <v>480</v>
      </c>
      <c r="H10" s="320">
        <f t="shared" ref="H10:H14" si="34">B10*C10*3</f>
        <v>480</v>
      </c>
      <c r="I10" s="320">
        <f t="shared" ref="I10:I14" si="35">H10</f>
        <v>480</v>
      </c>
      <c r="J10" s="320">
        <f t="shared" ref="J10:J14" si="36">B10*C10*3</f>
        <v>480</v>
      </c>
      <c r="K10" s="320">
        <f t="shared" ref="K10:K14" si="37">J10</f>
        <v>480</v>
      </c>
      <c r="L10" s="320">
        <f>K10*(1+допущения!C37)</f>
        <v>508.8</v>
      </c>
      <c r="M10" s="320">
        <f t="shared" ref="M10:O14" si="38">L10</f>
        <v>508.8</v>
      </c>
      <c r="N10" s="320">
        <f t="shared" si="38"/>
        <v>508.8</v>
      </c>
      <c r="O10" s="320">
        <f t="shared" si="38"/>
        <v>508.8</v>
      </c>
      <c r="P10" s="320">
        <f>O10*(1+допущения!C37)</f>
        <v>539.32800000000009</v>
      </c>
      <c r="Q10" s="320">
        <f t="shared" ref="Q10:S14" si="39">P10</f>
        <v>539.32800000000009</v>
      </c>
      <c r="R10" s="320">
        <f t="shared" si="39"/>
        <v>539.32800000000009</v>
      </c>
      <c r="S10" s="320">
        <f t="shared" si="39"/>
        <v>539.32800000000009</v>
      </c>
      <c r="T10" s="320">
        <f>S10*(1+допущения!$C$36)</f>
        <v>571.68768000000011</v>
      </c>
      <c r="U10" s="320">
        <f t="shared" ref="U10:AE12" si="40">T10</f>
        <v>571.68768000000011</v>
      </c>
      <c r="V10" s="320">
        <f t="shared" si="40"/>
        <v>571.68768000000011</v>
      </c>
      <c r="W10" s="320">
        <f t="shared" si="40"/>
        <v>571.68768000000011</v>
      </c>
      <c r="X10" s="320">
        <f>W10*(1+допущения!$C$36)</f>
        <v>605.98894080000014</v>
      </c>
      <c r="Y10" s="320">
        <f t="shared" si="40"/>
        <v>605.98894080000014</v>
      </c>
      <c r="Z10" s="320">
        <f t="shared" si="40"/>
        <v>605.98894080000014</v>
      </c>
      <c r="AA10" s="320">
        <f t="shared" si="40"/>
        <v>605.98894080000014</v>
      </c>
      <c r="AB10" s="320">
        <f>AA10*(1+допущения!$C$36)</f>
        <v>642.34827724800016</v>
      </c>
      <c r="AC10" s="320">
        <f t="shared" si="40"/>
        <v>642.34827724800016</v>
      </c>
      <c r="AD10" s="320">
        <f t="shared" si="40"/>
        <v>642.34827724800016</v>
      </c>
      <c r="AE10" s="320">
        <f t="shared" si="40"/>
        <v>642.34827724800016</v>
      </c>
      <c r="AF10" s="320">
        <f>AE10*(1+допущения!$C$36)</f>
        <v>680.88917388288019</v>
      </c>
      <c r="AG10" s="320">
        <f t="shared" ref="AG10:AQ14" si="41">AF10</f>
        <v>680.88917388288019</v>
      </c>
      <c r="AH10" s="320">
        <f t="shared" si="41"/>
        <v>680.88917388288019</v>
      </c>
      <c r="AI10" s="320">
        <f t="shared" si="41"/>
        <v>680.88917388288019</v>
      </c>
      <c r="AJ10" s="320">
        <f>AI10*(1+допущения!$C$36)</f>
        <v>721.74252431585307</v>
      </c>
      <c r="AK10" s="320">
        <f t="shared" si="41"/>
        <v>721.74252431585307</v>
      </c>
      <c r="AL10" s="320">
        <f t="shared" si="41"/>
        <v>721.74252431585307</v>
      </c>
      <c r="AM10" s="320">
        <f t="shared" si="41"/>
        <v>721.74252431585307</v>
      </c>
      <c r="AN10" s="320">
        <f>AM10*(1+допущения!$C$36)</f>
        <v>765.04707577480428</v>
      </c>
      <c r="AO10" s="320">
        <f t="shared" si="41"/>
        <v>765.04707577480428</v>
      </c>
      <c r="AP10" s="320">
        <f t="shared" si="41"/>
        <v>765.04707577480428</v>
      </c>
      <c r="AQ10" s="320">
        <f t="shared" si="41"/>
        <v>765.04707577480428</v>
      </c>
      <c r="AR10" s="320">
        <f>AQ10*(1+допущения!$C$36)</f>
        <v>810.9499003212926</v>
      </c>
      <c r="AS10" s="320">
        <f t="shared" ref="AS10:AU14" si="42">AR10</f>
        <v>810.9499003212926</v>
      </c>
      <c r="AT10" s="320">
        <f t="shared" si="42"/>
        <v>810.9499003212926</v>
      </c>
      <c r="AU10" s="320">
        <f t="shared" si="42"/>
        <v>810.9499003212926</v>
      </c>
      <c r="AV10" s="319"/>
      <c r="AW10" s="96">
        <f t="shared" ref="AW10:AW13" si="43">SUM(D10:G10)</f>
        <v>1120</v>
      </c>
      <c r="AX10" s="320">
        <f t="shared" si="7"/>
        <v>1920</v>
      </c>
      <c r="AY10" s="320">
        <f t="shared" si="8"/>
        <v>2035.2</v>
      </c>
      <c r="AZ10" s="320">
        <f t="shared" si="21"/>
        <v>2006.3999999999999</v>
      </c>
      <c r="BA10" s="320">
        <f t="shared" si="9"/>
        <v>2286.7507200000005</v>
      </c>
      <c r="BB10" s="320">
        <f t="shared" si="10"/>
        <v>2423.9557632000005</v>
      </c>
      <c r="BC10" s="320">
        <f t="shared" si="11"/>
        <v>2569.3931089920006</v>
      </c>
      <c r="BD10" s="320">
        <f t="shared" si="12"/>
        <v>2723.5566955315207</v>
      </c>
      <c r="BE10" s="320">
        <f t="shared" si="13"/>
        <v>2886.9700972634123</v>
      </c>
      <c r="BF10" s="320">
        <f t="shared" si="14"/>
        <v>3060.1883030992171</v>
      </c>
      <c r="BG10" s="320">
        <f t="shared" si="22"/>
        <v>3243.7996012851704</v>
      </c>
    </row>
    <row r="11" spans="1:59" s="321" customFormat="1" x14ac:dyDescent="0.25">
      <c r="A11" s="574" t="s">
        <v>420</v>
      </c>
      <c r="B11" s="575">
        <v>4</v>
      </c>
      <c r="C11" s="467">
        <v>40</v>
      </c>
      <c r="D11" s="320">
        <v>0</v>
      </c>
      <c r="E11" s="320">
        <f t="shared" si="31"/>
        <v>160</v>
      </c>
      <c r="F11" s="318">
        <f t="shared" si="32"/>
        <v>480</v>
      </c>
      <c r="G11" s="318">
        <f t="shared" si="33"/>
        <v>480</v>
      </c>
      <c r="H11" s="320">
        <f t="shared" si="34"/>
        <v>480</v>
      </c>
      <c r="I11" s="320">
        <f t="shared" si="35"/>
        <v>480</v>
      </c>
      <c r="J11" s="320">
        <f t="shared" si="36"/>
        <v>480</v>
      </c>
      <c r="K11" s="320">
        <f t="shared" si="37"/>
        <v>480</v>
      </c>
      <c r="L11" s="320">
        <f>K11*(1+допущения!C38)</f>
        <v>480</v>
      </c>
      <c r="M11" s="320">
        <f t="shared" si="38"/>
        <v>480</v>
      </c>
      <c r="N11" s="320">
        <f t="shared" si="38"/>
        <v>480</v>
      </c>
      <c r="O11" s="320">
        <f t="shared" si="38"/>
        <v>480</v>
      </c>
      <c r="P11" s="320">
        <f>O11*(1+допущения!C38)</f>
        <v>480</v>
      </c>
      <c r="Q11" s="320">
        <f t="shared" si="39"/>
        <v>480</v>
      </c>
      <c r="R11" s="320">
        <f t="shared" si="39"/>
        <v>480</v>
      </c>
      <c r="S11" s="320">
        <f t="shared" si="39"/>
        <v>480</v>
      </c>
      <c r="T11" s="320">
        <f>S11*(1+допущения!$C$36)</f>
        <v>508.8</v>
      </c>
      <c r="U11" s="320">
        <f t="shared" si="40"/>
        <v>508.8</v>
      </c>
      <c r="V11" s="320">
        <f t="shared" si="40"/>
        <v>508.8</v>
      </c>
      <c r="W11" s="320">
        <f t="shared" si="40"/>
        <v>508.8</v>
      </c>
      <c r="X11" s="320">
        <f>W11*(1+допущения!$C$36)</f>
        <v>539.32800000000009</v>
      </c>
      <c r="Y11" s="320">
        <f t="shared" si="40"/>
        <v>539.32800000000009</v>
      </c>
      <c r="Z11" s="320">
        <f t="shared" si="40"/>
        <v>539.32800000000009</v>
      </c>
      <c r="AA11" s="320">
        <f t="shared" si="40"/>
        <v>539.32800000000009</v>
      </c>
      <c r="AB11" s="320">
        <f>AA11*(1+допущения!$C$36)</f>
        <v>571.68768000000011</v>
      </c>
      <c r="AC11" s="320">
        <f t="shared" si="40"/>
        <v>571.68768000000011</v>
      </c>
      <c r="AD11" s="320">
        <f t="shared" si="40"/>
        <v>571.68768000000011</v>
      </c>
      <c r="AE11" s="320">
        <f t="shared" si="40"/>
        <v>571.68768000000011</v>
      </c>
      <c r="AF11" s="320">
        <f>AE11*(1+допущения!$C$36)</f>
        <v>605.98894080000014</v>
      </c>
      <c r="AG11" s="320">
        <f t="shared" si="41"/>
        <v>605.98894080000014</v>
      </c>
      <c r="AH11" s="320">
        <f t="shared" si="41"/>
        <v>605.98894080000014</v>
      </c>
      <c r="AI11" s="320">
        <f t="shared" si="41"/>
        <v>605.98894080000014</v>
      </c>
      <c r="AJ11" s="320">
        <f>AI11*(1+допущения!$C$36)</f>
        <v>642.34827724800016</v>
      </c>
      <c r="AK11" s="320">
        <f t="shared" si="41"/>
        <v>642.34827724800016</v>
      </c>
      <c r="AL11" s="320">
        <f t="shared" si="41"/>
        <v>642.34827724800016</v>
      </c>
      <c r="AM11" s="320">
        <f t="shared" si="41"/>
        <v>642.34827724800016</v>
      </c>
      <c r="AN11" s="320">
        <f>AM11*(1+допущения!$C$36)</f>
        <v>680.88917388288019</v>
      </c>
      <c r="AO11" s="320">
        <f t="shared" si="41"/>
        <v>680.88917388288019</v>
      </c>
      <c r="AP11" s="320">
        <f t="shared" si="41"/>
        <v>680.88917388288019</v>
      </c>
      <c r="AQ11" s="320">
        <f t="shared" si="41"/>
        <v>680.88917388288019</v>
      </c>
      <c r="AR11" s="320">
        <f>AQ11*(1+допущения!$C$36)</f>
        <v>721.74252431585307</v>
      </c>
      <c r="AS11" s="320">
        <f t="shared" si="42"/>
        <v>721.74252431585307</v>
      </c>
      <c r="AT11" s="320">
        <f t="shared" si="42"/>
        <v>721.74252431585307</v>
      </c>
      <c r="AU11" s="320">
        <f t="shared" si="42"/>
        <v>721.74252431585307</v>
      </c>
      <c r="AV11" s="319"/>
      <c r="AW11" s="96">
        <f t="shared" si="43"/>
        <v>1120</v>
      </c>
      <c r="AX11" s="320">
        <f t="shared" si="7"/>
        <v>1920</v>
      </c>
      <c r="AY11" s="320">
        <f t="shared" si="8"/>
        <v>1920</v>
      </c>
      <c r="AZ11" s="320">
        <f t="shared" si="21"/>
        <v>1920</v>
      </c>
      <c r="BA11" s="320">
        <f t="shared" si="9"/>
        <v>2035.2</v>
      </c>
      <c r="BB11" s="320">
        <f t="shared" si="10"/>
        <v>2157.3120000000004</v>
      </c>
      <c r="BC11" s="320">
        <f t="shared" si="11"/>
        <v>2286.7507200000005</v>
      </c>
      <c r="BD11" s="320">
        <f t="shared" si="12"/>
        <v>2423.9557632000005</v>
      </c>
      <c r="BE11" s="320">
        <f t="shared" si="13"/>
        <v>2569.3931089920006</v>
      </c>
      <c r="BF11" s="320">
        <f t="shared" si="14"/>
        <v>2723.5566955315207</v>
      </c>
      <c r="BG11" s="320">
        <f t="shared" si="22"/>
        <v>2886.9700972634123</v>
      </c>
    </row>
    <row r="12" spans="1:59" s="321" customFormat="1" ht="14.25" customHeight="1" x14ac:dyDescent="0.25">
      <c r="A12" s="574" t="s">
        <v>421</v>
      </c>
      <c r="B12" s="575">
        <v>4</v>
      </c>
      <c r="C12" s="467">
        <v>50</v>
      </c>
      <c r="D12" s="320">
        <v>0</v>
      </c>
      <c r="E12" s="320">
        <f t="shared" si="31"/>
        <v>200</v>
      </c>
      <c r="F12" s="318">
        <f t="shared" si="32"/>
        <v>600</v>
      </c>
      <c r="G12" s="318">
        <f t="shared" si="33"/>
        <v>600</v>
      </c>
      <c r="H12" s="320">
        <f t="shared" si="34"/>
        <v>600</v>
      </c>
      <c r="I12" s="320">
        <f t="shared" si="35"/>
        <v>600</v>
      </c>
      <c r="J12" s="320">
        <f t="shared" si="36"/>
        <v>600</v>
      </c>
      <c r="K12" s="320">
        <f t="shared" si="37"/>
        <v>600</v>
      </c>
      <c r="L12" s="320">
        <f>K12*(1+допущения!C39)</f>
        <v>636</v>
      </c>
      <c r="M12" s="320">
        <f t="shared" si="38"/>
        <v>636</v>
      </c>
      <c r="N12" s="320">
        <f t="shared" si="38"/>
        <v>636</v>
      </c>
      <c r="O12" s="320">
        <f t="shared" si="38"/>
        <v>636</v>
      </c>
      <c r="P12" s="320">
        <f>O12*(1+допущения!C39)</f>
        <v>674.16000000000008</v>
      </c>
      <c r="Q12" s="320">
        <f t="shared" si="39"/>
        <v>674.16000000000008</v>
      </c>
      <c r="R12" s="320">
        <f t="shared" si="39"/>
        <v>674.16000000000008</v>
      </c>
      <c r="S12" s="320">
        <f t="shared" si="39"/>
        <v>674.16000000000008</v>
      </c>
      <c r="T12" s="320">
        <f>S12*(1+допущения!$C$36)</f>
        <v>714.60960000000011</v>
      </c>
      <c r="U12" s="320">
        <f t="shared" si="40"/>
        <v>714.60960000000011</v>
      </c>
      <c r="V12" s="320">
        <f t="shared" si="40"/>
        <v>714.60960000000011</v>
      </c>
      <c r="W12" s="320">
        <f t="shared" si="40"/>
        <v>714.60960000000011</v>
      </c>
      <c r="X12" s="320">
        <f>W12*(1+допущения!$C$36)</f>
        <v>757.48617600000011</v>
      </c>
      <c r="Y12" s="320">
        <f t="shared" si="40"/>
        <v>757.48617600000011</v>
      </c>
      <c r="Z12" s="320">
        <f t="shared" si="40"/>
        <v>757.48617600000011</v>
      </c>
      <c r="AA12" s="320">
        <f t="shared" si="40"/>
        <v>757.48617600000011</v>
      </c>
      <c r="AB12" s="320">
        <f>AA12*(1+допущения!$C$36)</f>
        <v>802.9353465600002</v>
      </c>
      <c r="AC12" s="320">
        <f t="shared" si="40"/>
        <v>802.9353465600002</v>
      </c>
      <c r="AD12" s="320">
        <f t="shared" si="40"/>
        <v>802.9353465600002</v>
      </c>
      <c r="AE12" s="320">
        <f t="shared" si="40"/>
        <v>802.9353465600002</v>
      </c>
      <c r="AF12" s="320">
        <f>AE12*(1+допущения!$C$36)</f>
        <v>851.11146735360023</v>
      </c>
      <c r="AG12" s="320">
        <f t="shared" si="41"/>
        <v>851.11146735360023</v>
      </c>
      <c r="AH12" s="320">
        <f t="shared" si="41"/>
        <v>851.11146735360023</v>
      </c>
      <c r="AI12" s="320">
        <f t="shared" si="41"/>
        <v>851.11146735360023</v>
      </c>
      <c r="AJ12" s="320">
        <f>AI12*(1+допущения!$C$36)</f>
        <v>902.17815539481626</v>
      </c>
      <c r="AK12" s="320">
        <f t="shared" si="41"/>
        <v>902.17815539481626</v>
      </c>
      <c r="AL12" s="320">
        <f t="shared" si="41"/>
        <v>902.17815539481626</v>
      </c>
      <c r="AM12" s="320">
        <f t="shared" si="41"/>
        <v>902.17815539481626</v>
      </c>
      <c r="AN12" s="320">
        <f>AM12*(1+допущения!$C$36)</f>
        <v>956.30884471850527</v>
      </c>
      <c r="AO12" s="320">
        <f t="shared" si="41"/>
        <v>956.30884471850527</v>
      </c>
      <c r="AP12" s="320">
        <f t="shared" si="41"/>
        <v>956.30884471850527</v>
      </c>
      <c r="AQ12" s="320">
        <f t="shared" si="41"/>
        <v>956.30884471850527</v>
      </c>
      <c r="AR12" s="320">
        <f>AQ12*(1+допущения!$C$36)</f>
        <v>1013.6873754016157</v>
      </c>
      <c r="AS12" s="320">
        <f t="shared" si="42"/>
        <v>1013.6873754016157</v>
      </c>
      <c r="AT12" s="320">
        <f t="shared" si="42"/>
        <v>1013.6873754016157</v>
      </c>
      <c r="AU12" s="320">
        <f t="shared" si="42"/>
        <v>1013.6873754016157</v>
      </c>
      <c r="AV12" s="319"/>
      <c r="AW12" s="96">
        <f t="shared" si="43"/>
        <v>1400</v>
      </c>
      <c r="AX12" s="320">
        <f t="shared" si="7"/>
        <v>2400</v>
      </c>
      <c r="AY12" s="320">
        <f t="shared" si="8"/>
        <v>2544</v>
      </c>
      <c r="AZ12" s="320">
        <f t="shared" si="21"/>
        <v>2508</v>
      </c>
      <c r="BA12" s="320">
        <f t="shared" si="9"/>
        <v>2858.4384000000005</v>
      </c>
      <c r="BB12" s="320">
        <f t="shared" si="10"/>
        <v>3029.9447040000005</v>
      </c>
      <c r="BC12" s="320">
        <f t="shared" si="11"/>
        <v>3211.7413862400008</v>
      </c>
      <c r="BD12" s="320">
        <f t="shared" si="12"/>
        <v>3404.4458694144009</v>
      </c>
      <c r="BE12" s="320">
        <f t="shared" si="13"/>
        <v>3608.712621579265</v>
      </c>
      <c r="BF12" s="320">
        <f t="shared" si="14"/>
        <v>3825.2353788740211</v>
      </c>
      <c r="BG12" s="320">
        <f t="shared" si="22"/>
        <v>4054.7495016064627</v>
      </c>
    </row>
    <row r="13" spans="1:59" s="321" customFormat="1" ht="13.5" customHeight="1" x14ac:dyDescent="0.25">
      <c r="A13" s="579" t="s">
        <v>117</v>
      </c>
      <c r="B13" s="575">
        <v>0</v>
      </c>
      <c r="C13" s="467">
        <v>0</v>
      </c>
      <c r="D13" s="320">
        <v>0</v>
      </c>
      <c r="E13" s="320">
        <f t="shared" si="31"/>
        <v>0</v>
      </c>
      <c r="F13" s="318">
        <f t="shared" si="32"/>
        <v>0</v>
      </c>
      <c r="G13" s="318">
        <f t="shared" si="33"/>
        <v>0</v>
      </c>
      <c r="H13" s="320">
        <f t="shared" si="34"/>
        <v>0</v>
      </c>
      <c r="I13" s="320">
        <v>0</v>
      </c>
      <c r="J13" s="320">
        <f t="shared" si="36"/>
        <v>0</v>
      </c>
      <c r="K13" s="320">
        <f t="shared" si="37"/>
        <v>0</v>
      </c>
      <c r="L13" s="320">
        <f>K13*(1+допущения!C40)</f>
        <v>0</v>
      </c>
      <c r="M13" s="320">
        <f t="shared" si="38"/>
        <v>0</v>
      </c>
      <c r="N13" s="320">
        <v>0</v>
      </c>
      <c r="O13" s="320">
        <v>0</v>
      </c>
      <c r="P13" s="320">
        <f>O13*(1+допущения!C40)</f>
        <v>0</v>
      </c>
      <c r="Q13" s="320">
        <f t="shared" si="39"/>
        <v>0</v>
      </c>
      <c r="R13" s="320">
        <f t="shared" si="39"/>
        <v>0</v>
      </c>
      <c r="S13" s="320">
        <f t="shared" si="39"/>
        <v>0</v>
      </c>
      <c r="T13" s="320">
        <f>S13*(1+допущения!$C$36)</f>
        <v>0</v>
      </c>
      <c r="U13" s="320">
        <f t="shared" ref="U13:AQ13" si="44">$B$13*$C$13*3</f>
        <v>0</v>
      </c>
      <c r="V13" s="320">
        <f t="shared" si="44"/>
        <v>0</v>
      </c>
      <c r="W13" s="320">
        <f t="shared" si="44"/>
        <v>0</v>
      </c>
      <c r="X13" s="320">
        <f>W13*(1+допущения!$C$36)</f>
        <v>0</v>
      </c>
      <c r="Y13" s="320">
        <f t="shared" si="44"/>
        <v>0</v>
      </c>
      <c r="Z13" s="320">
        <f t="shared" si="44"/>
        <v>0</v>
      </c>
      <c r="AA13" s="320">
        <f t="shared" si="44"/>
        <v>0</v>
      </c>
      <c r="AB13" s="320">
        <f>AA13*(1+допущения!$C$36)</f>
        <v>0</v>
      </c>
      <c r="AC13" s="320">
        <f t="shared" si="44"/>
        <v>0</v>
      </c>
      <c r="AD13" s="320">
        <f t="shared" si="44"/>
        <v>0</v>
      </c>
      <c r="AE13" s="320">
        <f t="shared" si="44"/>
        <v>0</v>
      </c>
      <c r="AF13" s="320">
        <f>AE13*(1+допущения!$C$36)</f>
        <v>0</v>
      </c>
      <c r="AG13" s="320">
        <f t="shared" si="41"/>
        <v>0</v>
      </c>
      <c r="AH13" s="320">
        <f t="shared" si="44"/>
        <v>0</v>
      </c>
      <c r="AI13" s="320">
        <f t="shared" si="44"/>
        <v>0</v>
      </c>
      <c r="AJ13" s="320">
        <f>AI13*(1+допущения!$C$36)</f>
        <v>0</v>
      </c>
      <c r="AK13" s="320">
        <f t="shared" si="44"/>
        <v>0</v>
      </c>
      <c r="AL13" s="320">
        <f t="shared" si="44"/>
        <v>0</v>
      </c>
      <c r="AM13" s="320">
        <f t="shared" si="44"/>
        <v>0</v>
      </c>
      <c r="AN13" s="320">
        <f>AM13*(1+допущения!$C$36)</f>
        <v>0</v>
      </c>
      <c r="AO13" s="320">
        <f t="shared" si="44"/>
        <v>0</v>
      </c>
      <c r="AP13" s="320">
        <f t="shared" si="44"/>
        <v>0</v>
      </c>
      <c r="AQ13" s="320">
        <f t="shared" si="44"/>
        <v>0</v>
      </c>
      <c r="AR13" s="320">
        <f>AQ13*(1+допущения!$C$36)</f>
        <v>0</v>
      </c>
      <c r="AS13" s="320">
        <f t="shared" si="42"/>
        <v>0</v>
      </c>
      <c r="AT13" s="320">
        <f t="shared" si="42"/>
        <v>0</v>
      </c>
      <c r="AU13" s="320">
        <f t="shared" si="42"/>
        <v>0</v>
      </c>
      <c r="AV13" s="319"/>
      <c r="AW13" s="96">
        <f t="shared" si="43"/>
        <v>0</v>
      </c>
      <c r="AX13" s="320">
        <f t="shared" si="7"/>
        <v>0</v>
      </c>
      <c r="AY13" s="320">
        <f t="shared" si="8"/>
        <v>0</v>
      </c>
      <c r="AZ13" s="320">
        <f t="shared" si="21"/>
        <v>0</v>
      </c>
      <c r="BA13" s="320">
        <f t="shared" si="9"/>
        <v>0</v>
      </c>
      <c r="BB13" s="320">
        <f t="shared" si="10"/>
        <v>0</v>
      </c>
      <c r="BC13" s="320">
        <f t="shared" si="11"/>
        <v>0</v>
      </c>
      <c r="BD13" s="320">
        <f t="shared" si="12"/>
        <v>0</v>
      </c>
      <c r="BE13" s="320">
        <f t="shared" si="13"/>
        <v>0</v>
      </c>
      <c r="BF13" s="320">
        <f t="shared" si="14"/>
        <v>0</v>
      </c>
      <c r="BG13" s="320">
        <f t="shared" si="22"/>
        <v>0</v>
      </c>
    </row>
    <row r="14" spans="1:59" s="321" customFormat="1" ht="30" x14ac:dyDescent="0.25">
      <c r="A14" s="574" t="s">
        <v>422</v>
      </c>
      <c r="B14" s="575">
        <v>4</v>
      </c>
      <c r="C14" s="467">
        <v>45</v>
      </c>
      <c r="D14" s="320">
        <v>0</v>
      </c>
      <c r="E14" s="320">
        <f t="shared" si="31"/>
        <v>180</v>
      </c>
      <c r="F14" s="318">
        <f t="shared" si="32"/>
        <v>540</v>
      </c>
      <c r="G14" s="318">
        <f t="shared" si="33"/>
        <v>540</v>
      </c>
      <c r="H14" s="320">
        <f t="shared" si="34"/>
        <v>540</v>
      </c>
      <c r="I14" s="320">
        <f t="shared" si="35"/>
        <v>540</v>
      </c>
      <c r="J14" s="320">
        <f t="shared" si="36"/>
        <v>540</v>
      </c>
      <c r="K14" s="320">
        <f t="shared" si="37"/>
        <v>540</v>
      </c>
      <c r="L14" s="320">
        <f>K14*(1+допущения!C41)</f>
        <v>540</v>
      </c>
      <c r="M14" s="320">
        <f t="shared" si="38"/>
        <v>540</v>
      </c>
      <c r="N14" s="320">
        <f t="shared" si="38"/>
        <v>540</v>
      </c>
      <c r="O14" s="320">
        <f t="shared" si="38"/>
        <v>540</v>
      </c>
      <c r="P14" s="320">
        <f>O14*(1+допущения!C41)</f>
        <v>540</v>
      </c>
      <c r="Q14" s="320">
        <f t="shared" si="39"/>
        <v>540</v>
      </c>
      <c r="R14" s="320">
        <f t="shared" si="39"/>
        <v>540</v>
      </c>
      <c r="S14" s="320">
        <f t="shared" si="39"/>
        <v>540</v>
      </c>
      <c r="T14" s="320">
        <f>S14*(1+допущения!$C$36)</f>
        <v>572.4</v>
      </c>
      <c r="U14" s="320">
        <f>T14</f>
        <v>572.4</v>
      </c>
      <c r="V14" s="320">
        <f>U14</f>
        <v>572.4</v>
      </c>
      <c r="W14" s="320">
        <f>V14</f>
        <v>572.4</v>
      </c>
      <c r="X14" s="320">
        <f>W14*(1+допущения!$C$36)</f>
        <v>606.74400000000003</v>
      </c>
      <c r="Y14" s="320">
        <f t="shared" ref="Y14:AE14" si="45">X14</f>
        <v>606.74400000000003</v>
      </c>
      <c r="Z14" s="320">
        <f t="shared" si="45"/>
        <v>606.74400000000003</v>
      </c>
      <c r="AA14" s="320">
        <f t="shared" si="45"/>
        <v>606.74400000000003</v>
      </c>
      <c r="AB14" s="320">
        <f>AA14*(1+допущения!$C$36)</f>
        <v>643.14864000000011</v>
      </c>
      <c r="AC14" s="320">
        <f t="shared" si="45"/>
        <v>643.14864000000011</v>
      </c>
      <c r="AD14" s="320">
        <f t="shared" si="45"/>
        <v>643.14864000000011</v>
      </c>
      <c r="AE14" s="320">
        <f t="shared" si="45"/>
        <v>643.14864000000011</v>
      </c>
      <c r="AF14" s="320">
        <f>AE14*(1+допущения!$C$36)</f>
        <v>681.73755840000013</v>
      </c>
      <c r="AG14" s="320">
        <f t="shared" si="41"/>
        <v>681.73755840000013</v>
      </c>
      <c r="AH14" s="320">
        <f>AG14</f>
        <v>681.73755840000013</v>
      </c>
      <c r="AI14" s="320">
        <f t="shared" ref="AI14:AQ14" si="46">AH14</f>
        <v>681.73755840000013</v>
      </c>
      <c r="AJ14" s="320">
        <f>AI14*(1+допущения!$C$36)</f>
        <v>722.64181190400018</v>
      </c>
      <c r="AK14" s="320">
        <f t="shared" si="46"/>
        <v>722.64181190400018</v>
      </c>
      <c r="AL14" s="320">
        <f t="shared" si="46"/>
        <v>722.64181190400018</v>
      </c>
      <c r="AM14" s="320">
        <f t="shared" si="46"/>
        <v>722.64181190400018</v>
      </c>
      <c r="AN14" s="320">
        <f>AM14*(1+допущения!$C$36)</f>
        <v>766.00032061824027</v>
      </c>
      <c r="AO14" s="320">
        <f t="shared" si="46"/>
        <v>766.00032061824027</v>
      </c>
      <c r="AP14" s="320">
        <f t="shared" si="46"/>
        <v>766.00032061824027</v>
      </c>
      <c r="AQ14" s="320">
        <f t="shared" si="46"/>
        <v>766.00032061824027</v>
      </c>
      <c r="AR14" s="320">
        <f>AQ14*(1+допущения!$C$36)</f>
        <v>811.96033985533472</v>
      </c>
      <c r="AS14" s="320">
        <f t="shared" si="42"/>
        <v>811.96033985533472</v>
      </c>
      <c r="AT14" s="320">
        <f t="shared" si="42"/>
        <v>811.96033985533472</v>
      </c>
      <c r="AU14" s="320">
        <f t="shared" si="42"/>
        <v>811.96033985533472</v>
      </c>
      <c r="AV14" s="319"/>
      <c r="AW14" s="96">
        <f t="shared" si="20"/>
        <v>1260</v>
      </c>
      <c r="AX14" s="320">
        <f t="shared" si="7"/>
        <v>2160</v>
      </c>
      <c r="AY14" s="320">
        <f t="shared" si="8"/>
        <v>2160</v>
      </c>
      <c r="AZ14" s="320">
        <f t="shared" si="21"/>
        <v>2160</v>
      </c>
      <c r="BA14" s="320">
        <f t="shared" si="9"/>
        <v>2289.6</v>
      </c>
      <c r="BB14" s="320">
        <f t="shared" si="10"/>
        <v>2426.9760000000001</v>
      </c>
      <c r="BC14" s="320">
        <f t="shared" si="11"/>
        <v>2572.5945600000005</v>
      </c>
      <c r="BD14" s="320">
        <f t="shared" si="12"/>
        <v>2726.9502336000005</v>
      </c>
      <c r="BE14" s="320">
        <f t="shared" si="13"/>
        <v>2890.5672476160007</v>
      </c>
      <c r="BF14" s="320">
        <f t="shared" si="14"/>
        <v>3064.0012824729611</v>
      </c>
      <c r="BG14" s="320">
        <f t="shared" si="22"/>
        <v>3247.8413594213389</v>
      </c>
    </row>
    <row r="15" spans="1:59" s="86" customFormat="1" ht="30" customHeight="1" x14ac:dyDescent="0.25">
      <c r="A15" s="576" t="s">
        <v>114</v>
      </c>
      <c r="B15" s="90">
        <f>SUM(B9:B14)</f>
        <v>20</v>
      </c>
      <c r="C15" s="97"/>
      <c r="D15" s="90">
        <f>SUM(D9:D14)</f>
        <v>0</v>
      </c>
      <c r="E15" s="90">
        <f t="shared" ref="E15:AQ15" si="47">SUM(E9:E14)</f>
        <v>920</v>
      </c>
      <c r="F15" s="90">
        <f t="shared" si="47"/>
        <v>2760</v>
      </c>
      <c r="G15" s="90">
        <f t="shared" si="47"/>
        <v>2760</v>
      </c>
      <c r="H15" s="90">
        <f t="shared" si="47"/>
        <v>2760</v>
      </c>
      <c r="I15" s="90">
        <f t="shared" si="47"/>
        <v>2760</v>
      </c>
      <c r="J15" s="90">
        <f t="shared" si="47"/>
        <v>2760</v>
      </c>
      <c r="K15" s="90">
        <f t="shared" si="47"/>
        <v>2760</v>
      </c>
      <c r="L15" s="90">
        <f t="shared" si="47"/>
        <v>2864.4</v>
      </c>
      <c r="M15" s="90">
        <f t="shared" si="47"/>
        <v>2864.4</v>
      </c>
      <c r="N15" s="90">
        <f t="shared" si="47"/>
        <v>2864.4</v>
      </c>
      <c r="O15" s="90">
        <f t="shared" si="47"/>
        <v>2864.4</v>
      </c>
      <c r="P15" s="90">
        <f t="shared" si="47"/>
        <v>2975.0640000000003</v>
      </c>
      <c r="Q15" s="90">
        <f t="shared" si="47"/>
        <v>2975.0640000000003</v>
      </c>
      <c r="R15" s="90">
        <f t="shared" si="47"/>
        <v>2975.0640000000003</v>
      </c>
      <c r="S15" s="90">
        <f t="shared" si="47"/>
        <v>2975.0640000000003</v>
      </c>
      <c r="T15" s="90">
        <f t="shared" si="47"/>
        <v>3153.5678400000002</v>
      </c>
      <c r="U15" s="90">
        <f t="shared" si="47"/>
        <v>3153.5678400000002</v>
      </c>
      <c r="V15" s="90">
        <f t="shared" si="47"/>
        <v>3153.5678400000002</v>
      </c>
      <c r="W15" s="90">
        <f t="shared" si="47"/>
        <v>3153.5678400000002</v>
      </c>
      <c r="X15" s="90">
        <f t="shared" si="47"/>
        <v>3342.7819104000005</v>
      </c>
      <c r="Y15" s="90">
        <f t="shared" si="47"/>
        <v>3342.7819104000005</v>
      </c>
      <c r="Z15" s="90">
        <f t="shared" si="47"/>
        <v>3342.7819104000005</v>
      </c>
      <c r="AA15" s="90">
        <f t="shared" si="47"/>
        <v>3342.7819104000005</v>
      </c>
      <c r="AB15" s="90">
        <f t="shared" si="47"/>
        <v>3543.3488250240007</v>
      </c>
      <c r="AC15" s="90">
        <f t="shared" si="47"/>
        <v>3543.3488250240007</v>
      </c>
      <c r="AD15" s="90">
        <f t="shared" si="47"/>
        <v>3543.3488250240007</v>
      </c>
      <c r="AE15" s="90">
        <f t="shared" si="47"/>
        <v>3543.3488250240007</v>
      </c>
      <c r="AF15" s="90">
        <f t="shared" si="47"/>
        <v>3755.9497545254408</v>
      </c>
      <c r="AG15" s="90">
        <f t="shared" si="47"/>
        <v>3755.9497545254408</v>
      </c>
      <c r="AH15" s="90">
        <f t="shared" si="47"/>
        <v>3755.9497545254408</v>
      </c>
      <c r="AI15" s="90">
        <f t="shared" si="47"/>
        <v>3755.9497545254408</v>
      </c>
      <c r="AJ15" s="90">
        <f t="shared" si="47"/>
        <v>3981.306739796968</v>
      </c>
      <c r="AK15" s="90">
        <f t="shared" si="47"/>
        <v>3981.306739796968</v>
      </c>
      <c r="AL15" s="90">
        <f t="shared" si="47"/>
        <v>3981.306739796968</v>
      </c>
      <c r="AM15" s="90">
        <f t="shared" si="47"/>
        <v>3981.306739796968</v>
      </c>
      <c r="AN15" s="90">
        <f t="shared" si="47"/>
        <v>4220.1851441847857</v>
      </c>
      <c r="AO15" s="90">
        <f t="shared" si="47"/>
        <v>4220.1851441847857</v>
      </c>
      <c r="AP15" s="90">
        <f t="shared" si="47"/>
        <v>4220.1851441847857</v>
      </c>
      <c r="AQ15" s="90">
        <f t="shared" si="47"/>
        <v>4220.1851441847857</v>
      </c>
      <c r="AR15" s="90">
        <f t="shared" ref="AR15:AU15" si="48">SUM(AR9:AR14)</f>
        <v>4473.3962528358734</v>
      </c>
      <c r="AS15" s="90">
        <f t="shared" si="48"/>
        <v>4473.3962528358734</v>
      </c>
      <c r="AT15" s="90">
        <f t="shared" si="48"/>
        <v>4473.3962528358734</v>
      </c>
      <c r="AU15" s="90">
        <f t="shared" si="48"/>
        <v>4473.3962528358734</v>
      </c>
      <c r="AV15" s="88"/>
      <c r="AW15" s="448">
        <f>SUM(AW9:AW14)</f>
        <v>6440</v>
      </c>
      <c r="AX15" s="449">
        <f t="shared" si="7"/>
        <v>11040</v>
      </c>
      <c r="AY15" s="449">
        <f t="shared" si="8"/>
        <v>11457.6</v>
      </c>
      <c r="AZ15" s="449">
        <f t="shared" si="21"/>
        <v>11353.199999999999</v>
      </c>
      <c r="BA15" s="449">
        <f t="shared" si="9"/>
        <v>12614.271360000001</v>
      </c>
      <c r="BB15" s="449">
        <f t="shared" si="10"/>
        <v>13371.127641600002</v>
      </c>
      <c r="BC15" s="449">
        <f t="shared" si="11"/>
        <v>14173.395300096003</v>
      </c>
      <c r="BD15" s="449">
        <f t="shared" si="12"/>
        <v>15023.799018101763</v>
      </c>
      <c r="BE15" s="449">
        <f t="shared" si="13"/>
        <v>15925.226959187872</v>
      </c>
      <c r="BF15" s="449">
        <f t="shared" si="14"/>
        <v>16880.740576739143</v>
      </c>
      <c r="BG15" s="449">
        <f t="shared" si="22"/>
        <v>17893.585011343494</v>
      </c>
    </row>
    <row r="16" spans="1:59" s="91" customFormat="1" ht="16.5" customHeight="1" x14ac:dyDescent="0.25">
      <c r="A16" s="577" t="s">
        <v>115</v>
      </c>
      <c r="B16" s="94"/>
      <c r="C16" s="98"/>
      <c r="D16" s="94">
        <f>D15*$B$61</f>
        <v>0</v>
      </c>
      <c r="E16" s="94">
        <f t="shared" ref="E16:AQ16" si="49">E15*$B$61</f>
        <v>276</v>
      </c>
      <c r="F16" s="94">
        <f t="shared" si="49"/>
        <v>828</v>
      </c>
      <c r="G16" s="94">
        <f t="shared" si="49"/>
        <v>828</v>
      </c>
      <c r="H16" s="94">
        <f>H15*$B$61</f>
        <v>828</v>
      </c>
      <c r="I16" s="94">
        <f t="shared" si="49"/>
        <v>828</v>
      </c>
      <c r="J16" s="94">
        <f t="shared" si="49"/>
        <v>828</v>
      </c>
      <c r="K16" s="94">
        <f t="shared" si="49"/>
        <v>828</v>
      </c>
      <c r="L16" s="94">
        <f t="shared" si="49"/>
        <v>859.32</v>
      </c>
      <c r="M16" s="94">
        <f t="shared" si="49"/>
        <v>859.32</v>
      </c>
      <c r="N16" s="94">
        <f t="shared" si="49"/>
        <v>859.32</v>
      </c>
      <c r="O16" s="94">
        <f t="shared" si="49"/>
        <v>859.32</v>
      </c>
      <c r="P16" s="94">
        <f t="shared" si="49"/>
        <v>892.51920000000007</v>
      </c>
      <c r="Q16" s="94">
        <f t="shared" si="49"/>
        <v>892.51920000000007</v>
      </c>
      <c r="R16" s="94">
        <f t="shared" si="49"/>
        <v>892.51920000000007</v>
      </c>
      <c r="S16" s="94">
        <f t="shared" si="49"/>
        <v>892.51920000000007</v>
      </c>
      <c r="T16" s="94">
        <f t="shared" si="49"/>
        <v>946.07035199999996</v>
      </c>
      <c r="U16" s="94">
        <f t="shared" si="49"/>
        <v>946.07035199999996</v>
      </c>
      <c r="V16" s="94">
        <f t="shared" si="49"/>
        <v>946.07035199999996</v>
      </c>
      <c r="W16" s="94">
        <f t="shared" si="49"/>
        <v>946.07035199999996</v>
      </c>
      <c r="X16" s="94">
        <f t="shared" si="49"/>
        <v>1002.8345731200001</v>
      </c>
      <c r="Y16" s="94">
        <f t="shared" si="49"/>
        <v>1002.8345731200001</v>
      </c>
      <c r="Z16" s="94">
        <f t="shared" si="49"/>
        <v>1002.8345731200001</v>
      </c>
      <c r="AA16" s="94">
        <f t="shared" si="49"/>
        <v>1002.8345731200001</v>
      </c>
      <c r="AB16" s="94">
        <f t="shared" si="49"/>
        <v>1063.0046475072002</v>
      </c>
      <c r="AC16" s="94">
        <f t="shared" si="49"/>
        <v>1063.0046475072002</v>
      </c>
      <c r="AD16" s="94">
        <f t="shared" si="49"/>
        <v>1063.0046475072002</v>
      </c>
      <c r="AE16" s="94">
        <f t="shared" si="49"/>
        <v>1063.0046475072002</v>
      </c>
      <c r="AF16" s="94">
        <f>AF15*$B$61</f>
        <v>1126.7849263576322</v>
      </c>
      <c r="AG16" s="94">
        <f t="shared" si="49"/>
        <v>1126.7849263576322</v>
      </c>
      <c r="AH16" s="94">
        <f t="shared" si="49"/>
        <v>1126.7849263576322</v>
      </c>
      <c r="AI16" s="94">
        <f t="shared" si="49"/>
        <v>1126.7849263576322</v>
      </c>
      <c r="AJ16" s="94">
        <f t="shared" si="49"/>
        <v>1194.3920219390905</v>
      </c>
      <c r="AK16" s="94">
        <f t="shared" si="49"/>
        <v>1194.3920219390905</v>
      </c>
      <c r="AL16" s="94">
        <f t="shared" si="49"/>
        <v>1194.3920219390905</v>
      </c>
      <c r="AM16" s="94">
        <f t="shared" si="49"/>
        <v>1194.3920219390905</v>
      </c>
      <c r="AN16" s="94">
        <f t="shared" si="49"/>
        <v>1266.0555432554356</v>
      </c>
      <c r="AO16" s="94">
        <f t="shared" si="49"/>
        <v>1266.0555432554356</v>
      </c>
      <c r="AP16" s="94">
        <f t="shared" si="49"/>
        <v>1266.0555432554356</v>
      </c>
      <c r="AQ16" s="94">
        <f t="shared" si="49"/>
        <v>1266.0555432554356</v>
      </c>
      <c r="AR16" s="94">
        <f t="shared" ref="AR16:AU16" si="50">AR15*$B$61</f>
        <v>1342.018875850762</v>
      </c>
      <c r="AS16" s="94">
        <f t="shared" si="50"/>
        <v>1342.018875850762</v>
      </c>
      <c r="AT16" s="94">
        <f t="shared" si="50"/>
        <v>1342.018875850762</v>
      </c>
      <c r="AU16" s="94">
        <f t="shared" si="50"/>
        <v>1342.018875850762</v>
      </c>
      <c r="AV16" s="92"/>
      <c r="AW16" s="450">
        <f>0.3*AW15</f>
        <v>1932</v>
      </c>
      <c r="AX16" s="330">
        <f t="shared" si="7"/>
        <v>3312</v>
      </c>
      <c r="AY16" s="330">
        <f t="shared" si="8"/>
        <v>3437.28</v>
      </c>
      <c r="AZ16" s="330">
        <f t="shared" si="21"/>
        <v>3405.9600000000005</v>
      </c>
      <c r="BA16" s="330">
        <f t="shared" si="9"/>
        <v>3784.2814079999998</v>
      </c>
      <c r="BB16" s="330">
        <f t="shared" si="10"/>
        <v>4011.3382924800003</v>
      </c>
      <c r="BC16" s="330">
        <f t="shared" si="11"/>
        <v>4252.0185900288006</v>
      </c>
      <c r="BD16" s="330">
        <f t="shared" si="12"/>
        <v>4507.1397054305289</v>
      </c>
      <c r="BE16" s="330">
        <f t="shared" si="13"/>
        <v>4777.5680877563618</v>
      </c>
      <c r="BF16" s="330">
        <f t="shared" si="14"/>
        <v>5064.2221730217425</v>
      </c>
      <c r="BG16" s="330">
        <f t="shared" si="22"/>
        <v>5368.0755034030481</v>
      </c>
    </row>
    <row r="17" spans="1:59" x14ac:dyDescent="0.25">
      <c r="A17" s="578" t="s">
        <v>118</v>
      </c>
      <c r="B17" s="85"/>
      <c r="C17" s="580"/>
      <c r="D17" s="85"/>
      <c r="E17" s="85"/>
      <c r="F17" s="85"/>
      <c r="G17" s="85"/>
      <c r="H17" s="85"/>
      <c r="I17" s="85"/>
      <c r="J17" s="85"/>
      <c r="K17" s="85"/>
      <c r="L17" s="85"/>
      <c r="M17" s="85"/>
      <c r="N17" s="85"/>
      <c r="O17" s="85"/>
      <c r="P17" s="85"/>
      <c r="Q17" s="85"/>
      <c r="R17" s="85"/>
      <c r="S17" s="85"/>
      <c r="T17" s="85"/>
      <c r="U17" s="85"/>
      <c r="V17" s="85"/>
      <c r="W17" s="85"/>
      <c r="X17" s="85"/>
      <c r="Y17" s="85"/>
      <c r="Z17" s="85"/>
      <c r="AA17" s="85"/>
      <c r="AB17" s="85"/>
      <c r="AC17" s="85"/>
      <c r="AD17" s="85"/>
      <c r="AE17" s="85"/>
      <c r="AF17" s="85"/>
      <c r="AG17" s="85"/>
      <c r="AH17" s="85"/>
      <c r="AI17" s="85"/>
      <c r="AJ17" s="85"/>
      <c r="AK17" s="85"/>
      <c r="AL17" s="85"/>
      <c r="AM17" s="85"/>
      <c r="AN17" s="85"/>
      <c r="AO17" s="85"/>
      <c r="AP17" s="85"/>
      <c r="AQ17" s="85"/>
      <c r="AR17" s="85"/>
      <c r="AS17" s="85"/>
      <c r="AT17" s="85"/>
      <c r="AU17" s="85"/>
      <c r="AV17" s="75"/>
      <c r="AW17" s="96">
        <f t="shared" si="20"/>
        <v>0</v>
      </c>
      <c r="AX17" s="320">
        <f t="shared" si="7"/>
        <v>0</v>
      </c>
      <c r="AY17" s="320">
        <f t="shared" si="8"/>
        <v>0</v>
      </c>
      <c r="AZ17" s="320">
        <f t="shared" si="21"/>
        <v>0</v>
      </c>
      <c r="BA17" s="320">
        <f t="shared" si="9"/>
        <v>0</v>
      </c>
      <c r="BB17" s="320">
        <f t="shared" si="10"/>
        <v>0</v>
      </c>
      <c r="BC17" s="320">
        <f t="shared" si="11"/>
        <v>0</v>
      </c>
      <c r="BD17" s="320">
        <f t="shared" si="12"/>
        <v>0</v>
      </c>
      <c r="BE17" s="320">
        <f t="shared" si="13"/>
        <v>0</v>
      </c>
      <c r="BF17" s="320">
        <f t="shared" si="14"/>
        <v>0</v>
      </c>
      <c r="BG17" s="320">
        <f t="shared" si="22"/>
        <v>0</v>
      </c>
    </row>
    <row r="18" spans="1:59" ht="45" x14ac:dyDescent="0.25">
      <c r="A18" s="574" t="s">
        <v>424</v>
      </c>
      <c r="B18" s="575">
        <v>13</v>
      </c>
      <c r="C18" s="467">
        <v>70</v>
      </c>
      <c r="D18" s="85">
        <v>0</v>
      </c>
      <c r="E18" s="85">
        <v>0</v>
      </c>
      <c r="F18" s="85">
        <f>C18*B18*3</f>
        <v>2730</v>
      </c>
      <c r="G18" s="85">
        <v>0</v>
      </c>
      <c r="H18" s="85">
        <v>0</v>
      </c>
      <c r="I18" s="85">
        <v>0</v>
      </c>
      <c r="J18" s="85">
        <f>$B$18*$C$18*3*(1+допущения!$C$36)</f>
        <v>2893.8</v>
      </c>
      <c r="K18" s="85">
        <v>0</v>
      </c>
      <c r="L18" s="85">
        <v>0</v>
      </c>
      <c r="M18" s="85">
        <v>0</v>
      </c>
      <c r="N18" s="85">
        <f>J18*(1+допущения!$C$36)</f>
        <v>3067.4280000000003</v>
      </c>
      <c r="O18" s="85">
        <v>0</v>
      </c>
      <c r="P18" s="85">
        <v>0</v>
      </c>
      <c r="Q18" s="85">
        <v>0</v>
      </c>
      <c r="R18" s="85">
        <f>N18*(1+допущения!$C$36)</f>
        <v>3251.4736800000005</v>
      </c>
      <c r="S18" s="85">
        <v>0</v>
      </c>
      <c r="T18" s="85">
        <v>0</v>
      </c>
      <c r="U18" s="85">
        <v>0</v>
      </c>
      <c r="V18" s="85">
        <f>R18*(1+допущения!$C$36)</f>
        <v>3446.5621008000007</v>
      </c>
      <c r="W18" s="85">
        <v>0</v>
      </c>
      <c r="X18" s="85">
        <v>0</v>
      </c>
      <c r="Y18" s="85">
        <v>0</v>
      </c>
      <c r="Z18" s="85">
        <f>V18*(1+допущения!$C$36)</f>
        <v>3653.355826848001</v>
      </c>
      <c r="AA18" s="85">
        <v>0</v>
      </c>
      <c r="AB18" s="85">
        <v>0</v>
      </c>
      <c r="AC18" s="85">
        <v>0</v>
      </c>
      <c r="AD18" s="85">
        <f>Z18*(1+допущения!$C$36)</f>
        <v>3872.5571764588813</v>
      </c>
      <c r="AE18" s="85">
        <v>0</v>
      </c>
      <c r="AF18" s="85">
        <v>0</v>
      </c>
      <c r="AG18" s="85">
        <v>0</v>
      </c>
      <c r="AH18" s="85">
        <f>AD18*(1+допущения!$C$36)</f>
        <v>4104.910607046414</v>
      </c>
      <c r="AI18" s="85">
        <v>0</v>
      </c>
      <c r="AJ18" s="85">
        <v>0</v>
      </c>
      <c r="AK18" s="85">
        <v>0</v>
      </c>
      <c r="AL18" s="85">
        <f>AH18*(1+допущения!$C$36)</f>
        <v>4351.2052434691996</v>
      </c>
      <c r="AM18" s="85">
        <v>0</v>
      </c>
      <c r="AN18" s="85">
        <v>0</v>
      </c>
      <c r="AO18" s="85">
        <v>0</v>
      </c>
      <c r="AP18" s="85">
        <f>AL18*(1+допущения!$C$36)</f>
        <v>4612.2775580773514</v>
      </c>
      <c r="AQ18" s="85">
        <v>0</v>
      </c>
      <c r="AR18" s="85">
        <v>0</v>
      </c>
      <c r="AS18" s="85">
        <v>0</v>
      </c>
      <c r="AT18" s="85">
        <f>AP18*(1+допущения!$C$36)</f>
        <v>4889.0142115619929</v>
      </c>
      <c r="AU18" s="85">
        <v>0</v>
      </c>
      <c r="AV18" s="75"/>
      <c r="AW18" s="96">
        <f t="shared" si="20"/>
        <v>2730</v>
      </c>
      <c r="AX18" s="320">
        <f t="shared" si="7"/>
        <v>2893.8</v>
      </c>
      <c r="AY18" s="320">
        <f t="shared" si="8"/>
        <v>3067.4280000000003</v>
      </c>
      <c r="AZ18" s="320">
        <f t="shared" si="21"/>
        <v>3067.4280000000003</v>
      </c>
      <c r="BA18" s="320">
        <f t="shared" si="9"/>
        <v>3446.5621008000007</v>
      </c>
      <c r="BB18" s="320">
        <f t="shared" si="10"/>
        <v>3653.355826848001</v>
      </c>
      <c r="BC18" s="320">
        <f t="shared" si="11"/>
        <v>3872.5571764588813</v>
      </c>
      <c r="BD18" s="320">
        <f t="shared" si="12"/>
        <v>4104.910607046414</v>
      </c>
      <c r="BE18" s="320">
        <f t="shared" si="13"/>
        <v>4351.2052434691996</v>
      </c>
      <c r="BF18" s="320">
        <f t="shared" si="14"/>
        <v>4612.2775580773514</v>
      </c>
      <c r="BG18" s="320">
        <f t="shared" si="22"/>
        <v>4889.0142115619929</v>
      </c>
    </row>
    <row r="19" spans="1:59" x14ac:dyDescent="0.25">
      <c r="A19" s="574" t="s">
        <v>119</v>
      </c>
      <c r="B19" s="581">
        <v>0</v>
      </c>
      <c r="C19" s="582">
        <v>0</v>
      </c>
      <c r="D19" s="85">
        <f>$B$19*$C$19*3</f>
        <v>0</v>
      </c>
      <c r="E19" s="85">
        <v>0</v>
      </c>
      <c r="F19" s="85">
        <f t="shared" ref="F19:AQ19" si="51">$B$19*$C$19*3</f>
        <v>0</v>
      </c>
      <c r="G19" s="85" t="s">
        <v>120</v>
      </c>
      <c r="H19" s="85">
        <f t="shared" si="51"/>
        <v>0</v>
      </c>
      <c r="I19" s="85">
        <f t="shared" si="51"/>
        <v>0</v>
      </c>
      <c r="J19" s="85">
        <f t="shared" si="51"/>
        <v>0</v>
      </c>
      <c r="K19" s="85">
        <f t="shared" si="51"/>
        <v>0</v>
      </c>
      <c r="L19" s="85">
        <f t="shared" si="51"/>
        <v>0</v>
      </c>
      <c r="M19" s="85">
        <f t="shared" si="51"/>
        <v>0</v>
      </c>
      <c r="N19" s="85">
        <f t="shared" si="51"/>
        <v>0</v>
      </c>
      <c r="O19" s="85">
        <f t="shared" si="51"/>
        <v>0</v>
      </c>
      <c r="P19" s="85">
        <f t="shared" si="51"/>
        <v>0</v>
      </c>
      <c r="Q19" s="85">
        <f t="shared" si="51"/>
        <v>0</v>
      </c>
      <c r="R19" s="85">
        <f t="shared" si="51"/>
        <v>0</v>
      </c>
      <c r="S19" s="85">
        <f t="shared" si="51"/>
        <v>0</v>
      </c>
      <c r="T19" s="85">
        <f t="shared" si="51"/>
        <v>0</v>
      </c>
      <c r="U19" s="85">
        <f t="shared" si="51"/>
        <v>0</v>
      </c>
      <c r="V19" s="85">
        <f t="shared" si="51"/>
        <v>0</v>
      </c>
      <c r="W19" s="85">
        <f t="shared" si="51"/>
        <v>0</v>
      </c>
      <c r="X19" s="85">
        <f t="shared" si="51"/>
        <v>0</v>
      </c>
      <c r="Y19" s="85">
        <f t="shared" si="51"/>
        <v>0</v>
      </c>
      <c r="Z19" s="85">
        <f t="shared" si="51"/>
        <v>0</v>
      </c>
      <c r="AA19" s="85">
        <f t="shared" si="51"/>
        <v>0</v>
      </c>
      <c r="AB19" s="85">
        <f t="shared" si="51"/>
        <v>0</v>
      </c>
      <c r="AC19" s="85">
        <f t="shared" si="51"/>
        <v>0</v>
      </c>
      <c r="AD19" s="85">
        <f t="shared" si="51"/>
        <v>0</v>
      </c>
      <c r="AE19" s="85">
        <f t="shared" si="51"/>
        <v>0</v>
      </c>
      <c r="AF19" s="85">
        <f t="shared" si="51"/>
        <v>0</v>
      </c>
      <c r="AG19" s="85">
        <f t="shared" si="51"/>
        <v>0</v>
      </c>
      <c r="AH19" s="85">
        <f t="shared" si="51"/>
        <v>0</v>
      </c>
      <c r="AI19" s="85">
        <f t="shared" si="51"/>
        <v>0</v>
      </c>
      <c r="AJ19" s="85">
        <f t="shared" si="51"/>
        <v>0</v>
      </c>
      <c r="AK19" s="85">
        <f t="shared" si="51"/>
        <v>0</v>
      </c>
      <c r="AL19" s="85">
        <f t="shared" si="51"/>
        <v>0</v>
      </c>
      <c r="AM19" s="85">
        <f t="shared" si="51"/>
        <v>0</v>
      </c>
      <c r="AN19" s="85">
        <f t="shared" si="51"/>
        <v>0</v>
      </c>
      <c r="AO19" s="85">
        <f t="shared" si="51"/>
        <v>0</v>
      </c>
      <c r="AP19" s="85">
        <f t="shared" si="51"/>
        <v>0</v>
      </c>
      <c r="AQ19" s="85">
        <f t="shared" si="51"/>
        <v>0</v>
      </c>
      <c r="AR19" s="85">
        <v>0</v>
      </c>
      <c r="AS19" s="85">
        <v>0</v>
      </c>
      <c r="AT19" s="85">
        <v>0</v>
      </c>
      <c r="AU19" s="85">
        <v>0</v>
      </c>
      <c r="AV19" s="75"/>
      <c r="AW19" s="96">
        <f t="shared" si="20"/>
        <v>0</v>
      </c>
      <c r="AX19" s="320">
        <f t="shared" si="7"/>
        <v>0</v>
      </c>
      <c r="AY19" s="320">
        <f t="shared" si="8"/>
        <v>0</v>
      </c>
      <c r="AZ19" s="320">
        <f t="shared" si="21"/>
        <v>0</v>
      </c>
      <c r="BA19" s="320">
        <f t="shared" si="9"/>
        <v>0</v>
      </c>
      <c r="BB19" s="320">
        <f t="shared" si="10"/>
        <v>0</v>
      </c>
      <c r="BC19" s="320">
        <f t="shared" si="11"/>
        <v>0</v>
      </c>
      <c r="BD19" s="320">
        <f t="shared" si="12"/>
        <v>0</v>
      </c>
      <c r="BE19" s="320">
        <f t="shared" si="13"/>
        <v>0</v>
      </c>
      <c r="BF19" s="320">
        <f t="shared" si="14"/>
        <v>0</v>
      </c>
      <c r="BG19" s="320">
        <f t="shared" si="22"/>
        <v>0</v>
      </c>
    </row>
    <row r="20" spans="1:59" x14ac:dyDescent="0.25">
      <c r="A20" s="574" t="s">
        <v>121</v>
      </c>
      <c r="B20" s="581">
        <v>0</v>
      </c>
      <c r="C20" s="582">
        <v>0</v>
      </c>
      <c r="D20" s="85">
        <f>$B$20*C20*3</f>
        <v>0</v>
      </c>
      <c r="E20" s="85">
        <f t="shared" ref="E20:AQ20" si="52">$B$20*D20*3</f>
        <v>0</v>
      </c>
      <c r="F20" s="85">
        <f t="shared" si="52"/>
        <v>0</v>
      </c>
      <c r="G20" s="85">
        <f t="shared" si="52"/>
        <v>0</v>
      </c>
      <c r="H20" s="85">
        <f t="shared" si="52"/>
        <v>0</v>
      </c>
      <c r="I20" s="85">
        <f t="shared" si="52"/>
        <v>0</v>
      </c>
      <c r="J20" s="85">
        <f t="shared" si="52"/>
        <v>0</v>
      </c>
      <c r="K20" s="85">
        <f t="shared" si="52"/>
        <v>0</v>
      </c>
      <c r="L20" s="85">
        <f t="shared" si="52"/>
        <v>0</v>
      </c>
      <c r="M20" s="85">
        <f t="shared" si="52"/>
        <v>0</v>
      </c>
      <c r="N20" s="85">
        <f t="shared" si="52"/>
        <v>0</v>
      </c>
      <c r="O20" s="85">
        <f t="shared" si="52"/>
        <v>0</v>
      </c>
      <c r="P20" s="85">
        <f t="shared" si="52"/>
        <v>0</v>
      </c>
      <c r="Q20" s="85">
        <f t="shared" si="52"/>
        <v>0</v>
      </c>
      <c r="R20" s="85">
        <f t="shared" si="52"/>
        <v>0</v>
      </c>
      <c r="S20" s="85">
        <f t="shared" si="52"/>
        <v>0</v>
      </c>
      <c r="T20" s="85">
        <f t="shared" si="52"/>
        <v>0</v>
      </c>
      <c r="U20" s="85">
        <f t="shared" si="52"/>
        <v>0</v>
      </c>
      <c r="V20" s="85">
        <f t="shared" si="52"/>
        <v>0</v>
      </c>
      <c r="W20" s="85">
        <f t="shared" si="52"/>
        <v>0</v>
      </c>
      <c r="X20" s="85">
        <f t="shared" si="52"/>
        <v>0</v>
      </c>
      <c r="Y20" s="85">
        <f t="shared" si="52"/>
        <v>0</v>
      </c>
      <c r="Z20" s="85">
        <f t="shared" si="52"/>
        <v>0</v>
      </c>
      <c r="AA20" s="85">
        <f t="shared" si="52"/>
        <v>0</v>
      </c>
      <c r="AB20" s="85">
        <f t="shared" si="52"/>
        <v>0</v>
      </c>
      <c r="AC20" s="85">
        <f t="shared" si="52"/>
        <v>0</v>
      </c>
      <c r="AD20" s="85">
        <f t="shared" si="52"/>
        <v>0</v>
      </c>
      <c r="AE20" s="85">
        <f t="shared" si="52"/>
        <v>0</v>
      </c>
      <c r="AF20" s="85">
        <f t="shared" si="52"/>
        <v>0</v>
      </c>
      <c r="AG20" s="85">
        <f t="shared" si="52"/>
        <v>0</v>
      </c>
      <c r="AH20" s="85">
        <f t="shared" si="52"/>
        <v>0</v>
      </c>
      <c r="AI20" s="85">
        <f t="shared" si="52"/>
        <v>0</v>
      </c>
      <c r="AJ20" s="85">
        <f t="shared" si="52"/>
        <v>0</v>
      </c>
      <c r="AK20" s="85">
        <f t="shared" si="52"/>
        <v>0</v>
      </c>
      <c r="AL20" s="85">
        <f t="shared" si="52"/>
        <v>0</v>
      </c>
      <c r="AM20" s="85">
        <f t="shared" si="52"/>
        <v>0</v>
      </c>
      <c r="AN20" s="85">
        <f t="shared" si="52"/>
        <v>0</v>
      </c>
      <c r="AO20" s="85">
        <f t="shared" si="52"/>
        <v>0</v>
      </c>
      <c r="AP20" s="85">
        <f t="shared" si="52"/>
        <v>0</v>
      </c>
      <c r="AQ20" s="85">
        <f t="shared" si="52"/>
        <v>0</v>
      </c>
      <c r="AR20" s="85">
        <v>0</v>
      </c>
      <c r="AS20" s="85">
        <v>0</v>
      </c>
      <c r="AT20" s="85">
        <v>0</v>
      </c>
      <c r="AU20" s="85">
        <v>0</v>
      </c>
      <c r="AV20" s="75"/>
      <c r="AW20" s="96">
        <f t="shared" si="20"/>
        <v>0</v>
      </c>
      <c r="AX20" s="320">
        <f t="shared" si="7"/>
        <v>0</v>
      </c>
      <c r="AY20" s="320">
        <f t="shared" si="8"/>
        <v>0</v>
      </c>
      <c r="AZ20" s="320">
        <f t="shared" si="21"/>
        <v>0</v>
      </c>
      <c r="BA20" s="320">
        <f t="shared" si="9"/>
        <v>0</v>
      </c>
      <c r="BB20" s="320">
        <f t="shared" si="10"/>
        <v>0</v>
      </c>
      <c r="BC20" s="320">
        <f t="shared" si="11"/>
        <v>0</v>
      </c>
      <c r="BD20" s="320">
        <f t="shared" si="12"/>
        <v>0</v>
      </c>
      <c r="BE20" s="320">
        <f t="shared" si="13"/>
        <v>0</v>
      </c>
      <c r="BF20" s="320">
        <f t="shared" si="14"/>
        <v>0</v>
      </c>
      <c r="BG20" s="320">
        <f t="shared" si="22"/>
        <v>0</v>
      </c>
    </row>
    <row r="21" spans="1:59" x14ac:dyDescent="0.25">
      <c r="A21" s="574" t="s">
        <v>122</v>
      </c>
      <c r="B21" s="581">
        <v>0</v>
      </c>
      <c r="C21" s="582">
        <v>0</v>
      </c>
      <c r="D21" s="85">
        <f>$B$21*C21*3</f>
        <v>0</v>
      </c>
      <c r="E21" s="85">
        <f t="shared" ref="E21:AQ21" si="53">$B$21*D21*3</f>
        <v>0</v>
      </c>
      <c r="F21" s="85">
        <f t="shared" si="53"/>
        <v>0</v>
      </c>
      <c r="G21" s="85">
        <f t="shared" si="53"/>
        <v>0</v>
      </c>
      <c r="H21" s="85">
        <f t="shared" si="53"/>
        <v>0</v>
      </c>
      <c r="I21" s="85">
        <f t="shared" si="53"/>
        <v>0</v>
      </c>
      <c r="J21" s="85">
        <f t="shared" si="53"/>
        <v>0</v>
      </c>
      <c r="K21" s="85">
        <f t="shared" si="53"/>
        <v>0</v>
      </c>
      <c r="L21" s="85">
        <f t="shared" si="53"/>
        <v>0</v>
      </c>
      <c r="M21" s="85">
        <f t="shared" si="53"/>
        <v>0</v>
      </c>
      <c r="N21" s="85">
        <f t="shared" si="53"/>
        <v>0</v>
      </c>
      <c r="O21" s="85">
        <f t="shared" si="53"/>
        <v>0</v>
      </c>
      <c r="P21" s="85">
        <f t="shared" si="53"/>
        <v>0</v>
      </c>
      <c r="Q21" s="85">
        <f t="shared" si="53"/>
        <v>0</v>
      </c>
      <c r="R21" s="85">
        <f t="shared" si="53"/>
        <v>0</v>
      </c>
      <c r="S21" s="85">
        <f t="shared" si="53"/>
        <v>0</v>
      </c>
      <c r="T21" s="85">
        <f t="shared" si="53"/>
        <v>0</v>
      </c>
      <c r="U21" s="85">
        <f t="shared" si="53"/>
        <v>0</v>
      </c>
      <c r="V21" s="85">
        <f t="shared" si="53"/>
        <v>0</v>
      </c>
      <c r="W21" s="85">
        <f t="shared" si="53"/>
        <v>0</v>
      </c>
      <c r="X21" s="85">
        <f t="shared" si="53"/>
        <v>0</v>
      </c>
      <c r="Y21" s="85">
        <f t="shared" si="53"/>
        <v>0</v>
      </c>
      <c r="Z21" s="85">
        <f t="shared" si="53"/>
        <v>0</v>
      </c>
      <c r="AA21" s="85">
        <f t="shared" si="53"/>
        <v>0</v>
      </c>
      <c r="AB21" s="85">
        <f t="shared" si="53"/>
        <v>0</v>
      </c>
      <c r="AC21" s="85">
        <f t="shared" si="53"/>
        <v>0</v>
      </c>
      <c r="AD21" s="85">
        <f t="shared" si="53"/>
        <v>0</v>
      </c>
      <c r="AE21" s="85">
        <f t="shared" si="53"/>
        <v>0</v>
      </c>
      <c r="AF21" s="85">
        <f t="shared" si="53"/>
        <v>0</v>
      </c>
      <c r="AG21" s="85">
        <f t="shared" si="53"/>
        <v>0</v>
      </c>
      <c r="AH21" s="85">
        <f t="shared" si="53"/>
        <v>0</v>
      </c>
      <c r="AI21" s="85">
        <f t="shared" si="53"/>
        <v>0</v>
      </c>
      <c r="AJ21" s="85">
        <f t="shared" si="53"/>
        <v>0</v>
      </c>
      <c r="AK21" s="85">
        <f t="shared" si="53"/>
        <v>0</v>
      </c>
      <c r="AL21" s="85">
        <f t="shared" si="53"/>
        <v>0</v>
      </c>
      <c r="AM21" s="85">
        <f t="shared" si="53"/>
        <v>0</v>
      </c>
      <c r="AN21" s="85">
        <f t="shared" si="53"/>
        <v>0</v>
      </c>
      <c r="AO21" s="85">
        <f t="shared" si="53"/>
        <v>0</v>
      </c>
      <c r="AP21" s="85">
        <f t="shared" si="53"/>
        <v>0</v>
      </c>
      <c r="AQ21" s="85">
        <f t="shared" si="53"/>
        <v>0</v>
      </c>
      <c r="AR21" s="85">
        <v>0</v>
      </c>
      <c r="AS21" s="85">
        <v>0</v>
      </c>
      <c r="AT21" s="85">
        <v>0</v>
      </c>
      <c r="AU21" s="85">
        <v>0</v>
      </c>
      <c r="AV21" s="75"/>
      <c r="AW21" s="96">
        <f t="shared" si="20"/>
        <v>0</v>
      </c>
      <c r="AX21" s="320">
        <f t="shared" si="7"/>
        <v>0</v>
      </c>
      <c r="AY21" s="320">
        <f t="shared" si="8"/>
        <v>0</v>
      </c>
      <c r="AZ21" s="320">
        <f t="shared" si="21"/>
        <v>0</v>
      </c>
      <c r="BA21" s="320">
        <f t="shared" si="9"/>
        <v>0</v>
      </c>
      <c r="BB21" s="320">
        <f t="shared" si="10"/>
        <v>0</v>
      </c>
      <c r="BC21" s="320">
        <f t="shared" si="11"/>
        <v>0</v>
      </c>
      <c r="BD21" s="320">
        <f t="shared" si="12"/>
        <v>0</v>
      </c>
      <c r="BE21" s="320">
        <f t="shared" si="13"/>
        <v>0</v>
      </c>
      <c r="BF21" s="320">
        <f t="shared" si="14"/>
        <v>0</v>
      </c>
      <c r="BG21" s="320">
        <f t="shared" si="22"/>
        <v>0</v>
      </c>
    </row>
    <row r="22" spans="1:59" x14ac:dyDescent="0.25">
      <c r="A22" s="574" t="s">
        <v>123</v>
      </c>
      <c r="B22" s="581">
        <v>0</v>
      </c>
      <c r="C22" s="582">
        <v>0</v>
      </c>
      <c r="D22" s="85">
        <f>$B$22*C22*3</f>
        <v>0</v>
      </c>
      <c r="E22" s="85">
        <f t="shared" ref="E22:AQ22" si="54">$B$22*D22*3</f>
        <v>0</v>
      </c>
      <c r="F22" s="85">
        <f t="shared" si="54"/>
        <v>0</v>
      </c>
      <c r="G22" s="85">
        <f t="shared" si="54"/>
        <v>0</v>
      </c>
      <c r="H22" s="85">
        <f t="shared" si="54"/>
        <v>0</v>
      </c>
      <c r="I22" s="85">
        <f t="shared" si="54"/>
        <v>0</v>
      </c>
      <c r="J22" s="85">
        <f t="shared" si="54"/>
        <v>0</v>
      </c>
      <c r="K22" s="85">
        <f t="shared" si="54"/>
        <v>0</v>
      </c>
      <c r="L22" s="85">
        <f t="shared" si="54"/>
        <v>0</v>
      </c>
      <c r="M22" s="85">
        <f t="shared" si="54"/>
        <v>0</v>
      </c>
      <c r="N22" s="85">
        <f t="shared" si="54"/>
        <v>0</v>
      </c>
      <c r="O22" s="85">
        <f t="shared" si="54"/>
        <v>0</v>
      </c>
      <c r="P22" s="85">
        <f t="shared" si="54"/>
        <v>0</v>
      </c>
      <c r="Q22" s="85">
        <f t="shared" si="54"/>
        <v>0</v>
      </c>
      <c r="R22" s="85">
        <f t="shared" si="54"/>
        <v>0</v>
      </c>
      <c r="S22" s="85">
        <f t="shared" si="54"/>
        <v>0</v>
      </c>
      <c r="T22" s="85">
        <f t="shared" si="54"/>
        <v>0</v>
      </c>
      <c r="U22" s="85">
        <f t="shared" si="54"/>
        <v>0</v>
      </c>
      <c r="V22" s="85">
        <f t="shared" si="54"/>
        <v>0</v>
      </c>
      <c r="W22" s="85">
        <f t="shared" si="54"/>
        <v>0</v>
      </c>
      <c r="X22" s="85">
        <f t="shared" si="54"/>
        <v>0</v>
      </c>
      <c r="Y22" s="85">
        <f t="shared" si="54"/>
        <v>0</v>
      </c>
      <c r="Z22" s="85">
        <f t="shared" si="54"/>
        <v>0</v>
      </c>
      <c r="AA22" s="85">
        <f t="shared" si="54"/>
        <v>0</v>
      </c>
      <c r="AB22" s="85">
        <f t="shared" si="54"/>
        <v>0</v>
      </c>
      <c r="AC22" s="85">
        <f t="shared" si="54"/>
        <v>0</v>
      </c>
      <c r="AD22" s="85">
        <f t="shared" si="54"/>
        <v>0</v>
      </c>
      <c r="AE22" s="85">
        <f t="shared" si="54"/>
        <v>0</v>
      </c>
      <c r="AF22" s="85">
        <f t="shared" si="54"/>
        <v>0</v>
      </c>
      <c r="AG22" s="85">
        <f t="shared" si="54"/>
        <v>0</v>
      </c>
      <c r="AH22" s="85">
        <f t="shared" si="54"/>
        <v>0</v>
      </c>
      <c r="AI22" s="85">
        <f t="shared" si="54"/>
        <v>0</v>
      </c>
      <c r="AJ22" s="85">
        <f t="shared" si="54"/>
        <v>0</v>
      </c>
      <c r="AK22" s="85">
        <f t="shared" si="54"/>
        <v>0</v>
      </c>
      <c r="AL22" s="85">
        <f t="shared" si="54"/>
        <v>0</v>
      </c>
      <c r="AM22" s="85">
        <f t="shared" si="54"/>
        <v>0</v>
      </c>
      <c r="AN22" s="85">
        <f t="shared" si="54"/>
        <v>0</v>
      </c>
      <c r="AO22" s="85">
        <f t="shared" si="54"/>
        <v>0</v>
      </c>
      <c r="AP22" s="85">
        <f t="shared" si="54"/>
        <v>0</v>
      </c>
      <c r="AQ22" s="85">
        <f t="shared" si="54"/>
        <v>0</v>
      </c>
      <c r="AR22" s="85">
        <v>0</v>
      </c>
      <c r="AS22" s="85">
        <v>0</v>
      </c>
      <c r="AT22" s="85">
        <v>0</v>
      </c>
      <c r="AU22" s="85">
        <v>0</v>
      </c>
      <c r="AV22" s="75"/>
      <c r="AW22" s="96">
        <f t="shared" si="20"/>
        <v>0</v>
      </c>
      <c r="AX22" s="320">
        <f t="shared" si="7"/>
        <v>0</v>
      </c>
      <c r="AY22" s="320">
        <f t="shared" si="8"/>
        <v>0</v>
      </c>
      <c r="AZ22" s="320">
        <f t="shared" si="21"/>
        <v>0</v>
      </c>
      <c r="BA22" s="320">
        <f t="shared" si="9"/>
        <v>0</v>
      </c>
      <c r="BB22" s="320">
        <f t="shared" si="10"/>
        <v>0</v>
      </c>
      <c r="BC22" s="320">
        <f t="shared" si="11"/>
        <v>0</v>
      </c>
      <c r="BD22" s="320">
        <f t="shared" si="12"/>
        <v>0</v>
      </c>
      <c r="BE22" s="320">
        <f t="shared" si="13"/>
        <v>0</v>
      </c>
      <c r="BF22" s="320">
        <f t="shared" si="14"/>
        <v>0</v>
      </c>
      <c r="BG22" s="320">
        <f t="shared" si="22"/>
        <v>0</v>
      </c>
    </row>
    <row r="23" spans="1:59" s="86" customFormat="1" ht="30" x14ac:dyDescent="0.25">
      <c r="A23" s="576" t="s">
        <v>114</v>
      </c>
      <c r="B23" s="90">
        <f>SUM(B18:B22)</f>
        <v>13</v>
      </c>
      <c r="C23" s="97"/>
      <c r="D23" s="90">
        <f>SUM(D18:D22)</f>
        <v>0</v>
      </c>
      <c r="E23" s="90">
        <f t="shared" ref="E23:AU23" si="55">SUM(E18:E22)</f>
        <v>0</v>
      </c>
      <c r="F23" s="90">
        <f t="shared" si="55"/>
        <v>2730</v>
      </c>
      <c r="G23" s="90">
        <f t="shared" si="55"/>
        <v>0</v>
      </c>
      <c r="H23" s="90">
        <f t="shared" si="55"/>
        <v>0</v>
      </c>
      <c r="I23" s="90">
        <f t="shared" si="55"/>
        <v>0</v>
      </c>
      <c r="J23" s="90">
        <f t="shared" si="55"/>
        <v>2893.8</v>
      </c>
      <c r="K23" s="90">
        <f t="shared" si="55"/>
        <v>0</v>
      </c>
      <c r="L23" s="90">
        <f t="shared" si="55"/>
        <v>0</v>
      </c>
      <c r="M23" s="90">
        <f t="shared" si="55"/>
        <v>0</v>
      </c>
      <c r="N23" s="90">
        <f t="shared" si="55"/>
        <v>3067.4280000000003</v>
      </c>
      <c r="O23" s="90">
        <f t="shared" si="55"/>
        <v>0</v>
      </c>
      <c r="P23" s="90">
        <f t="shared" si="55"/>
        <v>0</v>
      </c>
      <c r="Q23" s="90">
        <f t="shared" si="55"/>
        <v>0</v>
      </c>
      <c r="R23" s="90">
        <f t="shared" si="55"/>
        <v>3251.4736800000005</v>
      </c>
      <c r="S23" s="90">
        <f t="shared" si="55"/>
        <v>0</v>
      </c>
      <c r="T23" s="90">
        <f t="shared" si="55"/>
        <v>0</v>
      </c>
      <c r="U23" s="90">
        <f t="shared" si="55"/>
        <v>0</v>
      </c>
      <c r="V23" s="90">
        <f t="shared" si="55"/>
        <v>3446.5621008000007</v>
      </c>
      <c r="W23" s="90">
        <f t="shared" si="55"/>
        <v>0</v>
      </c>
      <c r="X23" s="90">
        <f t="shared" si="55"/>
        <v>0</v>
      </c>
      <c r="Y23" s="90">
        <f t="shared" si="55"/>
        <v>0</v>
      </c>
      <c r="Z23" s="90">
        <f t="shared" si="55"/>
        <v>3653.355826848001</v>
      </c>
      <c r="AA23" s="90">
        <f t="shared" si="55"/>
        <v>0</v>
      </c>
      <c r="AB23" s="90">
        <f t="shared" si="55"/>
        <v>0</v>
      </c>
      <c r="AC23" s="90">
        <f t="shared" si="55"/>
        <v>0</v>
      </c>
      <c r="AD23" s="90">
        <f t="shared" si="55"/>
        <v>3872.5571764588813</v>
      </c>
      <c r="AE23" s="90">
        <f t="shared" si="55"/>
        <v>0</v>
      </c>
      <c r="AF23" s="90">
        <f t="shared" si="55"/>
        <v>0</v>
      </c>
      <c r="AG23" s="90">
        <f t="shared" si="55"/>
        <v>0</v>
      </c>
      <c r="AH23" s="90">
        <f t="shared" si="55"/>
        <v>4104.910607046414</v>
      </c>
      <c r="AI23" s="90">
        <f t="shared" si="55"/>
        <v>0</v>
      </c>
      <c r="AJ23" s="90">
        <f t="shared" si="55"/>
        <v>0</v>
      </c>
      <c r="AK23" s="90">
        <f t="shared" si="55"/>
        <v>0</v>
      </c>
      <c r="AL23" s="90">
        <f t="shared" si="55"/>
        <v>4351.2052434691996</v>
      </c>
      <c r="AM23" s="90">
        <f t="shared" si="55"/>
        <v>0</v>
      </c>
      <c r="AN23" s="90">
        <f t="shared" si="55"/>
        <v>0</v>
      </c>
      <c r="AO23" s="90">
        <f t="shared" si="55"/>
        <v>0</v>
      </c>
      <c r="AP23" s="90">
        <f t="shared" si="55"/>
        <v>4612.2775580773514</v>
      </c>
      <c r="AQ23" s="90">
        <f t="shared" si="55"/>
        <v>0</v>
      </c>
      <c r="AR23" s="90">
        <f t="shared" si="55"/>
        <v>0</v>
      </c>
      <c r="AS23" s="90">
        <f t="shared" si="55"/>
        <v>0</v>
      </c>
      <c r="AT23" s="90">
        <f t="shared" si="55"/>
        <v>4889.0142115619929</v>
      </c>
      <c r="AU23" s="90">
        <f t="shared" si="55"/>
        <v>0</v>
      </c>
      <c r="AV23" s="88"/>
      <c r="AW23" s="88">
        <f t="shared" si="20"/>
        <v>2730</v>
      </c>
      <c r="AX23" s="449">
        <f t="shared" si="7"/>
        <v>2893.8</v>
      </c>
      <c r="AY23" s="449">
        <f t="shared" si="8"/>
        <v>3067.4280000000003</v>
      </c>
      <c r="AZ23" s="449">
        <f t="shared" si="21"/>
        <v>3067.4280000000003</v>
      </c>
      <c r="BA23" s="449">
        <f t="shared" si="9"/>
        <v>3446.5621008000007</v>
      </c>
      <c r="BB23" s="449">
        <f t="shared" si="10"/>
        <v>3653.355826848001</v>
      </c>
      <c r="BC23" s="449">
        <f t="shared" si="11"/>
        <v>3872.5571764588813</v>
      </c>
      <c r="BD23" s="449">
        <f t="shared" si="12"/>
        <v>4104.910607046414</v>
      </c>
      <c r="BE23" s="449">
        <f t="shared" si="13"/>
        <v>4351.2052434691996</v>
      </c>
      <c r="BF23" s="449">
        <f t="shared" si="14"/>
        <v>4612.2775580773514</v>
      </c>
      <c r="BG23" s="449">
        <f t="shared" si="22"/>
        <v>4889.0142115619929</v>
      </c>
    </row>
    <row r="24" spans="1:59" s="91" customFormat="1" ht="18" customHeight="1" x14ac:dyDescent="0.25">
      <c r="A24" s="577" t="s">
        <v>115</v>
      </c>
      <c r="B24" s="94"/>
      <c r="C24" s="98"/>
      <c r="D24" s="94">
        <f>D23*$B$61</f>
        <v>0</v>
      </c>
      <c r="E24" s="94">
        <f t="shared" ref="E24:AU24" si="56">E23*$B$61</f>
        <v>0</v>
      </c>
      <c r="F24" s="94">
        <f t="shared" si="56"/>
        <v>819</v>
      </c>
      <c r="G24" s="94">
        <f t="shared" si="56"/>
        <v>0</v>
      </c>
      <c r="H24" s="94">
        <f t="shared" si="56"/>
        <v>0</v>
      </c>
      <c r="I24" s="94">
        <f t="shared" si="56"/>
        <v>0</v>
      </c>
      <c r="J24" s="94">
        <f>J23*$B$61</f>
        <v>868.14</v>
      </c>
      <c r="K24" s="94">
        <f t="shared" si="56"/>
        <v>0</v>
      </c>
      <c r="L24" s="94">
        <f t="shared" si="56"/>
        <v>0</v>
      </c>
      <c r="M24" s="94">
        <f t="shared" si="56"/>
        <v>0</v>
      </c>
      <c r="N24" s="94">
        <f t="shared" si="56"/>
        <v>920.22840000000008</v>
      </c>
      <c r="O24" s="94">
        <f t="shared" si="56"/>
        <v>0</v>
      </c>
      <c r="P24" s="94">
        <f t="shared" si="56"/>
        <v>0</v>
      </c>
      <c r="Q24" s="94">
        <f t="shared" si="56"/>
        <v>0</v>
      </c>
      <c r="R24" s="94">
        <f t="shared" si="56"/>
        <v>975.44210400000009</v>
      </c>
      <c r="S24" s="94">
        <f t="shared" si="56"/>
        <v>0</v>
      </c>
      <c r="T24" s="94">
        <f t="shared" si="56"/>
        <v>0</v>
      </c>
      <c r="U24" s="94">
        <f t="shared" si="56"/>
        <v>0</v>
      </c>
      <c r="V24" s="94">
        <f t="shared" si="56"/>
        <v>1033.9686302400003</v>
      </c>
      <c r="W24" s="94">
        <f t="shared" si="56"/>
        <v>0</v>
      </c>
      <c r="X24" s="94">
        <f t="shared" si="56"/>
        <v>0</v>
      </c>
      <c r="Y24" s="94">
        <f t="shared" si="56"/>
        <v>0</v>
      </c>
      <c r="Z24" s="94">
        <f t="shared" si="56"/>
        <v>1096.0067480544003</v>
      </c>
      <c r="AA24" s="94">
        <f t="shared" si="56"/>
        <v>0</v>
      </c>
      <c r="AB24" s="94">
        <f t="shared" si="56"/>
        <v>0</v>
      </c>
      <c r="AC24" s="94">
        <f t="shared" si="56"/>
        <v>0</v>
      </c>
      <c r="AD24" s="94">
        <f t="shared" si="56"/>
        <v>1161.7671529376644</v>
      </c>
      <c r="AE24" s="94">
        <f t="shared" si="56"/>
        <v>0</v>
      </c>
      <c r="AF24" s="94">
        <f t="shared" si="56"/>
        <v>0</v>
      </c>
      <c r="AG24" s="94">
        <f t="shared" si="56"/>
        <v>0</v>
      </c>
      <c r="AH24" s="94">
        <f t="shared" si="56"/>
        <v>1231.4731821139242</v>
      </c>
      <c r="AI24" s="94">
        <f t="shared" si="56"/>
        <v>0</v>
      </c>
      <c r="AJ24" s="94">
        <f t="shared" si="56"/>
        <v>0</v>
      </c>
      <c r="AK24" s="94">
        <f t="shared" si="56"/>
        <v>0</v>
      </c>
      <c r="AL24" s="94">
        <f t="shared" si="56"/>
        <v>1305.3615730407598</v>
      </c>
      <c r="AM24" s="94">
        <f t="shared" si="56"/>
        <v>0</v>
      </c>
      <c r="AN24" s="94">
        <f t="shared" si="56"/>
        <v>0</v>
      </c>
      <c r="AO24" s="94">
        <f t="shared" si="56"/>
        <v>0</v>
      </c>
      <c r="AP24" s="94">
        <f t="shared" si="56"/>
        <v>1383.6832674232053</v>
      </c>
      <c r="AQ24" s="94">
        <f t="shared" si="56"/>
        <v>0</v>
      </c>
      <c r="AR24" s="94">
        <f t="shared" si="56"/>
        <v>0</v>
      </c>
      <c r="AS24" s="94">
        <f t="shared" si="56"/>
        <v>0</v>
      </c>
      <c r="AT24" s="94">
        <f t="shared" si="56"/>
        <v>1466.7042634685979</v>
      </c>
      <c r="AU24" s="94">
        <f t="shared" si="56"/>
        <v>0</v>
      </c>
      <c r="AV24" s="92"/>
      <c r="AW24" s="450">
        <f t="shared" si="20"/>
        <v>819</v>
      </c>
      <c r="AX24" s="330">
        <f t="shared" si="7"/>
        <v>868.14</v>
      </c>
      <c r="AY24" s="330">
        <f t="shared" si="8"/>
        <v>920.22840000000008</v>
      </c>
      <c r="AZ24" s="330">
        <f t="shared" si="21"/>
        <v>920.22840000000008</v>
      </c>
      <c r="BA24" s="330">
        <f t="shared" si="9"/>
        <v>1033.9686302400003</v>
      </c>
      <c r="BB24" s="330">
        <f t="shared" si="10"/>
        <v>1096.0067480544003</v>
      </c>
      <c r="BC24" s="330">
        <f t="shared" si="11"/>
        <v>1161.7671529376644</v>
      </c>
      <c r="BD24" s="330">
        <f t="shared" si="12"/>
        <v>1231.4731821139242</v>
      </c>
      <c r="BE24" s="330">
        <f t="shared" si="13"/>
        <v>1305.3615730407598</v>
      </c>
      <c r="BF24" s="330">
        <f t="shared" si="14"/>
        <v>1383.6832674232053</v>
      </c>
      <c r="BG24" s="330">
        <f t="shared" si="22"/>
        <v>1466.7042634685979</v>
      </c>
    </row>
    <row r="25" spans="1:59" x14ac:dyDescent="0.25">
      <c r="A25" s="574" t="s">
        <v>124</v>
      </c>
      <c r="B25" s="581">
        <v>0</v>
      </c>
      <c r="C25" s="582">
        <v>0</v>
      </c>
      <c r="D25" s="85">
        <f>$B$25*$C$25*3</f>
        <v>0</v>
      </c>
      <c r="E25" s="85">
        <f t="shared" ref="E25:AQ25" si="57">$B$25*$C$25*3</f>
        <v>0</v>
      </c>
      <c r="F25" s="85">
        <f t="shared" si="57"/>
        <v>0</v>
      </c>
      <c r="G25" s="85">
        <f t="shared" si="57"/>
        <v>0</v>
      </c>
      <c r="H25" s="85">
        <f t="shared" si="57"/>
        <v>0</v>
      </c>
      <c r="I25" s="85">
        <f t="shared" si="57"/>
        <v>0</v>
      </c>
      <c r="J25" s="85">
        <f t="shared" si="57"/>
        <v>0</v>
      </c>
      <c r="K25" s="85">
        <f t="shared" si="57"/>
        <v>0</v>
      </c>
      <c r="L25" s="85">
        <f t="shared" si="57"/>
        <v>0</v>
      </c>
      <c r="M25" s="85">
        <f t="shared" si="57"/>
        <v>0</v>
      </c>
      <c r="N25" s="85">
        <f t="shared" si="57"/>
        <v>0</v>
      </c>
      <c r="O25" s="85">
        <f t="shared" si="57"/>
        <v>0</v>
      </c>
      <c r="P25" s="85">
        <f t="shared" si="57"/>
        <v>0</v>
      </c>
      <c r="Q25" s="85">
        <f t="shared" si="57"/>
        <v>0</v>
      </c>
      <c r="R25" s="85">
        <f t="shared" si="57"/>
        <v>0</v>
      </c>
      <c r="S25" s="85">
        <f t="shared" si="57"/>
        <v>0</v>
      </c>
      <c r="T25" s="85">
        <f t="shared" si="57"/>
        <v>0</v>
      </c>
      <c r="U25" s="85">
        <f t="shared" si="57"/>
        <v>0</v>
      </c>
      <c r="V25" s="85">
        <f t="shared" si="57"/>
        <v>0</v>
      </c>
      <c r="W25" s="85">
        <f t="shared" si="57"/>
        <v>0</v>
      </c>
      <c r="X25" s="85">
        <f t="shared" si="57"/>
        <v>0</v>
      </c>
      <c r="Y25" s="85">
        <f t="shared" si="57"/>
        <v>0</v>
      </c>
      <c r="Z25" s="85">
        <f t="shared" si="57"/>
        <v>0</v>
      </c>
      <c r="AA25" s="85">
        <f t="shared" si="57"/>
        <v>0</v>
      </c>
      <c r="AB25" s="85">
        <f t="shared" si="57"/>
        <v>0</v>
      </c>
      <c r="AC25" s="85">
        <f t="shared" si="57"/>
        <v>0</v>
      </c>
      <c r="AD25" s="85">
        <f t="shared" si="57"/>
        <v>0</v>
      </c>
      <c r="AE25" s="85">
        <f t="shared" si="57"/>
        <v>0</v>
      </c>
      <c r="AF25" s="85">
        <f t="shared" si="57"/>
        <v>0</v>
      </c>
      <c r="AG25" s="85">
        <f t="shared" si="57"/>
        <v>0</v>
      </c>
      <c r="AH25" s="85">
        <f t="shared" si="57"/>
        <v>0</v>
      </c>
      <c r="AI25" s="85">
        <f t="shared" si="57"/>
        <v>0</v>
      </c>
      <c r="AJ25" s="85">
        <f t="shared" si="57"/>
        <v>0</v>
      </c>
      <c r="AK25" s="85">
        <f t="shared" si="57"/>
        <v>0</v>
      </c>
      <c r="AL25" s="85">
        <f t="shared" si="57"/>
        <v>0</v>
      </c>
      <c r="AM25" s="85">
        <f t="shared" si="57"/>
        <v>0</v>
      </c>
      <c r="AN25" s="85">
        <f t="shared" si="57"/>
        <v>0</v>
      </c>
      <c r="AO25" s="85">
        <f t="shared" si="57"/>
        <v>0</v>
      </c>
      <c r="AP25" s="85">
        <f t="shared" si="57"/>
        <v>0</v>
      </c>
      <c r="AQ25" s="85">
        <f t="shared" si="57"/>
        <v>0</v>
      </c>
      <c r="AR25" s="85"/>
      <c r="AS25" s="85"/>
      <c r="AT25" s="85"/>
      <c r="AU25" s="85"/>
      <c r="AV25" s="75"/>
      <c r="AW25" s="96">
        <f t="shared" si="20"/>
        <v>0</v>
      </c>
      <c r="AX25" s="320">
        <f t="shared" si="7"/>
        <v>0</v>
      </c>
      <c r="AY25" s="320">
        <f t="shared" si="8"/>
        <v>0</v>
      </c>
      <c r="AZ25" s="320">
        <f t="shared" si="21"/>
        <v>0</v>
      </c>
      <c r="BA25" s="320">
        <f t="shared" si="9"/>
        <v>0</v>
      </c>
      <c r="BB25" s="320">
        <f t="shared" si="10"/>
        <v>0</v>
      </c>
      <c r="BC25" s="320">
        <f t="shared" si="11"/>
        <v>0</v>
      </c>
      <c r="BD25" s="320">
        <f t="shared" si="12"/>
        <v>0</v>
      </c>
      <c r="BE25" s="320">
        <f t="shared" si="13"/>
        <v>0</v>
      </c>
      <c r="BF25" s="320">
        <f t="shared" si="14"/>
        <v>0</v>
      </c>
      <c r="BG25" s="320">
        <f t="shared" si="22"/>
        <v>0</v>
      </c>
    </row>
    <row r="26" spans="1:59" s="86" customFormat="1" ht="30" x14ac:dyDescent="0.25">
      <c r="A26" s="576" t="s">
        <v>114</v>
      </c>
      <c r="B26" s="90"/>
      <c r="C26" s="97"/>
      <c r="D26" s="90">
        <f>SUM(D25)</f>
        <v>0</v>
      </c>
      <c r="E26" s="90">
        <f t="shared" ref="E26:AQ26" si="58">SUM(E25)</f>
        <v>0</v>
      </c>
      <c r="F26" s="90">
        <f t="shared" si="58"/>
        <v>0</v>
      </c>
      <c r="G26" s="90">
        <f t="shared" si="58"/>
        <v>0</v>
      </c>
      <c r="H26" s="90">
        <f t="shared" si="58"/>
        <v>0</v>
      </c>
      <c r="I26" s="90">
        <f t="shared" si="58"/>
        <v>0</v>
      </c>
      <c r="J26" s="90">
        <f t="shared" si="58"/>
        <v>0</v>
      </c>
      <c r="K26" s="90">
        <f t="shared" si="58"/>
        <v>0</v>
      </c>
      <c r="L26" s="90">
        <f t="shared" si="58"/>
        <v>0</v>
      </c>
      <c r="M26" s="90">
        <f t="shared" si="58"/>
        <v>0</v>
      </c>
      <c r="N26" s="90">
        <f t="shared" si="58"/>
        <v>0</v>
      </c>
      <c r="O26" s="90">
        <f t="shared" si="58"/>
        <v>0</v>
      </c>
      <c r="P26" s="90">
        <f t="shared" si="58"/>
        <v>0</v>
      </c>
      <c r="Q26" s="90">
        <f t="shared" si="58"/>
        <v>0</v>
      </c>
      <c r="R26" s="90">
        <f t="shared" si="58"/>
        <v>0</v>
      </c>
      <c r="S26" s="90">
        <f t="shared" si="58"/>
        <v>0</v>
      </c>
      <c r="T26" s="90">
        <f t="shared" si="58"/>
        <v>0</v>
      </c>
      <c r="U26" s="90">
        <f t="shared" si="58"/>
        <v>0</v>
      </c>
      <c r="V26" s="90">
        <f t="shared" si="58"/>
        <v>0</v>
      </c>
      <c r="W26" s="90">
        <f t="shared" si="58"/>
        <v>0</v>
      </c>
      <c r="X26" s="90">
        <f t="shared" si="58"/>
        <v>0</v>
      </c>
      <c r="Y26" s="90">
        <f t="shared" si="58"/>
        <v>0</v>
      </c>
      <c r="Z26" s="90">
        <f t="shared" si="58"/>
        <v>0</v>
      </c>
      <c r="AA26" s="90">
        <f t="shared" si="58"/>
        <v>0</v>
      </c>
      <c r="AB26" s="90">
        <f t="shared" si="58"/>
        <v>0</v>
      </c>
      <c r="AC26" s="90">
        <f t="shared" si="58"/>
        <v>0</v>
      </c>
      <c r="AD26" s="90">
        <f t="shared" si="58"/>
        <v>0</v>
      </c>
      <c r="AE26" s="90">
        <f t="shared" si="58"/>
        <v>0</v>
      </c>
      <c r="AF26" s="90">
        <f t="shared" si="58"/>
        <v>0</v>
      </c>
      <c r="AG26" s="90">
        <f t="shared" si="58"/>
        <v>0</v>
      </c>
      <c r="AH26" s="90">
        <f t="shared" si="58"/>
        <v>0</v>
      </c>
      <c r="AI26" s="90">
        <f t="shared" si="58"/>
        <v>0</v>
      </c>
      <c r="AJ26" s="90">
        <f t="shared" si="58"/>
        <v>0</v>
      </c>
      <c r="AK26" s="90">
        <f t="shared" si="58"/>
        <v>0</v>
      </c>
      <c r="AL26" s="90">
        <f t="shared" si="58"/>
        <v>0</v>
      </c>
      <c r="AM26" s="90">
        <f t="shared" si="58"/>
        <v>0</v>
      </c>
      <c r="AN26" s="90">
        <f t="shared" si="58"/>
        <v>0</v>
      </c>
      <c r="AO26" s="90">
        <f t="shared" si="58"/>
        <v>0</v>
      </c>
      <c r="AP26" s="90">
        <f t="shared" si="58"/>
        <v>0</v>
      </c>
      <c r="AQ26" s="90">
        <f t="shared" si="58"/>
        <v>0</v>
      </c>
      <c r="AR26" s="90">
        <f t="shared" ref="AR26:AU26" si="59">SUM(AR25)</f>
        <v>0</v>
      </c>
      <c r="AS26" s="90">
        <f t="shared" si="59"/>
        <v>0</v>
      </c>
      <c r="AT26" s="90">
        <f t="shared" si="59"/>
        <v>0</v>
      </c>
      <c r="AU26" s="90">
        <f t="shared" si="59"/>
        <v>0</v>
      </c>
      <c r="AV26" s="88"/>
      <c r="AW26" s="448">
        <f t="shared" si="20"/>
        <v>0</v>
      </c>
      <c r="AX26" s="449">
        <f t="shared" si="7"/>
        <v>0</v>
      </c>
      <c r="AY26" s="449">
        <f t="shared" si="8"/>
        <v>0</v>
      </c>
      <c r="AZ26" s="449">
        <f t="shared" si="21"/>
        <v>0</v>
      </c>
      <c r="BA26" s="449">
        <f t="shared" si="9"/>
        <v>0</v>
      </c>
      <c r="BB26" s="449">
        <f t="shared" si="10"/>
        <v>0</v>
      </c>
      <c r="BC26" s="449">
        <f t="shared" si="11"/>
        <v>0</v>
      </c>
      <c r="BD26" s="449">
        <f t="shared" si="12"/>
        <v>0</v>
      </c>
      <c r="BE26" s="449">
        <f t="shared" si="13"/>
        <v>0</v>
      </c>
      <c r="BF26" s="449">
        <f t="shared" si="14"/>
        <v>0</v>
      </c>
      <c r="BG26" s="449">
        <f t="shared" si="22"/>
        <v>0</v>
      </c>
    </row>
    <row r="27" spans="1:59" s="91" customFormat="1" ht="18.75" customHeight="1" x14ac:dyDescent="0.25">
      <c r="A27" s="577" t="s">
        <v>115</v>
      </c>
      <c r="B27" s="94"/>
      <c r="C27" s="98"/>
      <c r="D27" s="94">
        <f>D26*$B$61</f>
        <v>0</v>
      </c>
      <c r="E27" s="94">
        <f t="shared" ref="E27:AQ27" si="60">E26*$B$61</f>
        <v>0</v>
      </c>
      <c r="F27" s="94">
        <f t="shared" si="60"/>
        <v>0</v>
      </c>
      <c r="G27" s="94">
        <f t="shared" si="60"/>
        <v>0</v>
      </c>
      <c r="H27" s="94">
        <f t="shared" si="60"/>
        <v>0</v>
      </c>
      <c r="I27" s="94">
        <f t="shared" si="60"/>
        <v>0</v>
      </c>
      <c r="J27" s="94">
        <f t="shared" si="60"/>
        <v>0</v>
      </c>
      <c r="K27" s="94">
        <f t="shared" si="60"/>
        <v>0</v>
      </c>
      <c r="L27" s="94">
        <f t="shared" si="60"/>
        <v>0</v>
      </c>
      <c r="M27" s="94">
        <f t="shared" si="60"/>
        <v>0</v>
      </c>
      <c r="N27" s="94">
        <f t="shared" si="60"/>
        <v>0</v>
      </c>
      <c r="O27" s="94">
        <f t="shared" si="60"/>
        <v>0</v>
      </c>
      <c r="P27" s="94">
        <f t="shared" si="60"/>
        <v>0</v>
      </c>
      <c r="Q27" s="94">
        <f t="shared" si="60"/>
        <v>0</v>
      </c>
      <c r="R27" s="94">
        <f t="shared" si="60"/>
        <v>0</v>
      </c>
      <c r="S27" s="94">
        <f t="shared" si="60"/>
        <v>0</v>
      </c>
      <c r="T27" s="94">
        <f t="shared" si="60"/>
        <v>0</v>
      </c>
      <c r="U27" s="94">
        <f t="shared" si="60"/>
        <v>0</v>
      </c>
      <c r="V27" s="94">
        <f t="shared" si="60"/>
        <v>0</v>
      </c>
      <c r="W27" s="94">
        <f t="shared" si="60"/>
        <v>0</v>
      </c>
      <c r="X27" s="94">
        <f t="shared" si="60"/>
        <v>0</v>
      </c>
      <c r="Y27" s="94">
        <f t="shared" si="60"/>
        <v>0</v>
      </c>
      <c r="Z27" s="94">
        <f t="shared" si="60"/>
        <v>0</v>
      </c>
      <c r="AA27" s="94">
        <f t="shared" si="60"/>
        <v>0</v>
      </c>
      <c r="AB27" s="94">
        <f t="shared" si="60"/>
        <v>0</v>
      </c>
      <c r="AC27" s="94">
        <f t="shared" si="60"/>
        <v>0</v>
      </c>
      <c r="AD27" s="94">
        <f t="shared" si="60"/>
        <v>0</v>
      </c>
      <c r="AE27" s="94">
        <f t="shared" si="60"/>
        <v>0</v>
      </c>
      <c r="AF27" s="94">
        <f t="shared" si="60"/>
        <v>0</v>
      </c>
      <c r="AG27" s="94">
        <f t="shared" si="60"/>
        <v>0</v>
      </c>
      <c r="AH27" s="94">
        <f t="shared" si="60"/>
        <v>0</v>
      </c>
      <c r="AI27" s="94">
        <f t="shared" si="60"/>
        <v>0</v>
      </c>
      <c r="AJ27" s="94">
        <f t="shared" si="60"/>
        <v>0</v>
      </c>
      <c r="AK27" s="94">
        <f t="shared" si="60"/>
        <v>0</v>
      </c>
      <c r="AL27" s="94">
        <f t="shared" si="60"/>
        <v>0</v>
      </c>
      <c r="AM27" s="94">
        <f t="shared" si="60"/>
        <v>0</v>
      </c>
      <c r="AN27" s="94">
        <f t="shared" si="60"/>
        <v>0</v>
      </c>
      <c r="AO27" s="94">
        <f t="shared" si="60"/>
        <v>0</v>
      </c>
      <c r="AP27" s="94">
        <f t="shared" si="60"/>
        <v>0</v>
      </c>
      <c r="AQ27" s="94">
        <f t="shared" si="60"/>
        <v>0</v>
      </c>
      <c r="AR27" s="94">
        <f t="shared" ref="AR27:AU27" si="61">AR26*$B$61</f>
        <v>0</v>
      </c>
      <c r="AS27" s="94">
        <f t="shared" si="61"/>
        <v>0</v>
      </c>
      <c r="AT27" s="94">
        <f t="shared" si="61"/>
        <v>0</v>
      </c>
      <c r="AU27" s="94">
        <f t="shared" si="61"/>
        <v>0</v>
      </c>
      <c r="AV27" s="92"/>
      <c r="AW27" s="450">
        <f t="shared" si="20"/>
        <v>0</v>
      </c>
      <c r="AX27" s="330">
        <f t="shared" si="7"/>
        <v>0</v>
      </c>
      <c r="AY27" s="330">
        <f t="shared" si="8"/>
        <v>0</v>
      </c>
      <c r="AZ27" s="330">
        <f t="shared" si="21"/>
        <v>0</v>
      </c>
      <c r="BA27" s="330">
        <f t="shared" si="9"/>
        <v>0</v>
      </c>
      <c r="BB27" s="330">
        <f t="shared" si="10"/>
        <v>0</v>
      </c>
      <c r="BC27" s="330">
        <f t="shared" si="11"/>
        <v>0</v>
      </c>
      <c r="BD27" s="330">
        <f t="shared" si="12"/>
        <v>0</v>
      </c>
      <c r="BE27" s="330">
        <f t="shared" si="13"/>
        <v>0</v>
      </c>
      <c r="BF27" s="330">
        <f t="shared" si="14"/>
        <v>0</v>
      </c>
      <c r="BG27" s="330">
        <f t="shared" si="22"/>
        <v>0</v>
      </c>
    </row>
    <row r="28" spans="1:59" ht="30" x14ac:dyDescent="0.25">
      <c r="A28" s="578" t="s">
        <v>125</v>
      </c>
      <c r="B28" s="85"/>
      <c r="C28" s="580"/>
      <c r="D28" s="85"/>
      <c r="E28" s="85"/>
      <c r="F28" s="85"/>
      <c r="G28" s="85"/>
      <c r="H28" s="85"/>
      <c r="I28" s="85"/>
      <c r="J28" s="85"/>
      <c r="K28" s="85"/>
      <c r="L28" s="85"/>
      <c r="M28" s="85"/>
      <c r="N28" s="85"/>
      <c r="O28" s="85"/>
      <c r="P28" s="85"/>
      <c r="Q28" s="85"/>
      <c r="R28" s="85"/>
      <c r="S28" s="85"/>
      <c r="T28" s="85"/>
      <c r="U28" s="85"/>
      <c r="V28" s="85"/>
      <c r="W28" s="85"/>
      <c r="X28" s="85"/>
      <c r="Y28" s="85"/>
      <c r="Z28" s="85"/>
      <c r="AA28" s="85"/>
      <c r="AB28" s="85"/>
      <c r="AC28" s="85"/>
      <c r="AD28" s="85"/>
      <c r="AE28" s="85"/>
      <c r="AF28" s="85"/>
      <c r="AG28" s="85"/>
      <c r="AH28" s="85"/>
      <c r="AI28" s="85"/>
      <c r="AJ28" s="85"/>
      <c r="AK28" s="85"/>
      <c r="AL28" s="85"/>
      <c r="AM28" s="85"/>
      <c r="AN28" s="85"/>
      <c r="AO28" s="85"/>
      <c r="AP28" s="85"/>
      <c r="AQ28" s="85"/>
      <c r="AR28" s="85"/>
      <c r="AS28" s="85"/>
      <c r="AT28" s="85"/>
      <c r="AU28" s="85"/>
      <c r="AV28" s="75"/>
      <c r="AW28" s="96">
        <f t="shared" si="20"/>
        <v>0</v>
      </c>
      <c r="AX28" s="320">
        <f t="shared" si="7"/>
        <v>0</v>
      </c>
      <c r="AY28" s="320">
        <f t="shared" si="8"/>
        <v>0</v>
      </c>
      <c r="AZ28" s="320">
        <f t="shared" si="21"/>
        <v>0</v>
      </c>
      <c r="BA28" s="320">
        <f t="shared" si="9"/>
        <v>0</v>
      </c>
      <c r="BB28" s="320">
        <f t="shared" si="10"/>
        <v>0</v>
      </c>
      <c r="BC28" s="320">
        <f t="shared" si="11"/>
        <v>0</v>
      </c>
      <c r="BD28" s="320">
        <f t="shared" si="12"/>
        <v>0</v>
      </c>
      <c r="BE28" s="320">
        <f t="shared" si="13"/>
        <v>0</v>
      </c>
      <c r="BF28" s="320">
        <f t="shared" si="14"/>
        <v>0</v>
      </c>
      <c r="BG28" s="320">
        <f t="shared" si="22"/>
        <v>0</v>
      </c>
    </row>
    <row r="29" spans="1:59" x14ac:dyDescent="0.25">
      <c r="A29" s="574" t="s">
        <v>126</v>
      </c>
      <c r="B29" s="581">
        <v>0</v>
      </c>
      <c r="C29" s="582">
        <v>0</v>
      </c>
      <c r="D29" s="85">
        <f>$B$29*$C$29*3</f>
        <v>0</v>
      </c>
      <c r="E29" s="85">
        <f t="shared" ref="E29:AQ29" si="62">$B$29*$C$29*3</f>
        <v>0</v>
      </c>
      <c r="F29" s="85">
        <f t="shared" si="62"/>
        <v>0</v>
      </c>
      <c r="G29" s="85">
        <f t="shared" si="62"/>
        <v>0</v>
      </c>
      <c r="H29" s="85">
        <f t="shared" si="62"/>
        <v>0</v>
      </c>
      <c r="I29" s="85">
        <f t="shared" si="62"/>
        <v>0</v>
      </c>
      <c r="J29" s="85">
        <f t="shared" si="62"/>
        <v>0</v>
      </c>
      <c r="K29" s="85">
        <f t="shared" si="62"/>
        <v>0</v>
      </c>
      <c r="L29" s="85">
        <f t="shared" si="62"/>
        <v>0</v>
      </c>
      <c r="M29" s="85">
        <f t="shared" si="62"/>
        <v>0</v>
      </c>
      <c r="N29" s="85">
        <f t="shared" si="62"/>
        <v>0</v>
      </c>
      <c r="O29" s="85">
        <f t="shared" si="62"/>
        <v>0</v>
      </c>
      <c r="P29" s="85">
        <f t="shared" si="62"/>
        <v>0</v>
      </c>
      <c r="Q29" s="85">
        <f t="shared" si="62"/>
        <v>0</v>
      </c>
      <c r="R29" s="85">
        <f t="shared" si="62"/>
        <v>0</v>
      </c>
      <c r="S29" s="85">
        <f t="shared" si="62"/>
        <v>0</v>
      </c>
      <c r="T29" s="85">
        <f t="shared" si="62"/>
        <v>0</v>
      </c>
      <c r="U29" s="85">
        <f t="shared" si="62"/>
        <v>0</v>
      </c>
      <c r="V29" s="85">
        <f t="shared" si="62"/>
        <v>0</v>
      </c>
      <c r="W29" s="85">
        <f t="shared" si="62"/>
        <v>0</v>
      </c>
      <c r="X29" s="85">
        <f t="shared" si="62"/>
        <v>0</v>
      </c>
      <c r="Y29" s="85">
        <f t="shared" si="62"/>
        <v>0</v>
      </c>
      <c r="Z29" s="85">
        <f t="shared" si="62"/>
        <v>0</v>
      </c>
      <c r="AA29" s="85">
        <f t="shared" si="62"/>
        <v>0</v>
      </c>
      <c r="AB29" s="85">
        <f t="shared" si="62"/>
        <v>0</v>
      </c>
      <c r="AC29" s="85">
        <f t="shared" si="62"/>
        <v>0</v>
      </c>
      <c r="AD29" s="85">
        <f t="shared" si="62"/>
        <v>0</v>
      </c>
      <c r="AE29" s="85">
        <f t="shared" si="62"/>
        <v>0</v>
      </c>
      <c r="AF29" s="85">
        <f t="shared" si="62"/>
        <v>0</v>
      </c>
      <c r="AG29" s="85">
        <f t="shared" si="62"/>
        <v>0</v>
      </c>
      <c r="AH29" s="85">
        <f t="shared" si="62"/>
        <v>0</v>
      </c>
      <c r="AI29" s="85">
        <f t="shared" si="62"/>
        <v>0</v>
      </c>
      <c r="AJ29" s="85">
        <f t="shared" si="62"/>
        <v>0</v>
      </c>
      <c r="AK29" s="85">
        <f t="shared" si="62"/>
        <v>0</v>
      </c>
      <c r="AL29" s="85">
        <f t="shared" si="62"/>
        <v>0</v>
      </c>
      <c r="AM29" s="85">
        <f t="shared" si="62"/>
        <v>0</v>
      </c>
      <c r="AN29" s="85">
        <f t="shared" si="62"/>
        <v>0</v>
      </c>
      <c r="AO29" s="85">
        <f t="shared" si="62"/>
        <v>0</v>
      </c>
      <c r="AP29" s="85">
        <f t="shared" si="62"/>
        <v>0</v>
      </c>
      <c r="AQ29" s="85">
        <f t="shared" si="62"/>
        <v>0</v>
      </c>
      <c r="AR29" s="85">
        <v>0</v>
      </c>
      <c r="AS29" s="85">
        <v>0</v>
      </c>
      <c r="AT29" s="85">
        <v>0</v>
      </c>
      <c r="AU29" s="85">
        <v>0</v>
      </c>
      <c r="AV29" s="75"/>
      <c r="AW29" s="96">
        <f t="shared" si="20"/>
        <v>0</v>
      </c>
      <c r="AX29" s="320">
        <f t="shared" si="7"/>
        <v>0</v>
      </c>
      <c r="AY29" s="320">
        <f t="shared" si="8"/>
        <v>0</v>
      </c>
      <c r="AZ29" s="320">
        <f t="shared" si="21"/>
        <v>0</v>
      </c>
      <c r="BA29" s="320">
        <f t="shared" si="9"/>
        <v>0</v>
      </c>
      <c r="BB29" s="320">
        <f t="shared" si="10"/>
        <v>0</v>
      </c>
      <c r="BC29" s="320">
        <f t="shared" si="11"/>
        <v>0</v>
      </c>
      <c r="BD29" s="320">
        <f t="shared" si="12"/>
        <v>0</v>
      </c>
      <c r="BE29" s="320">
        <f t="shared" si="13"/>
        <v>0</v>
      </c>
      <c r="BF29" s="320">
        <f t="shared" si="14"/>
        <v>0</v>
      </c>
      <c r="BG29" s="320">
        <f t="shared" si="22"/>
        <v>0</v>
      </c>
    </row>
    <row r="30" spans="1:59" x14ac:dyDescent="0.25">
      <c r="A30" s="574" t="s">
        <v>127</v>
      </c>
      <c r="B30" s="581">
        <v>0</v>
      </c>
      <c r="C30" s="582">
        <v>0</v>
      </c>
      <c r="D30" s="85">
        <f>$B$30*$C$30*3</f>
        <v>0</v>
      </c>
      <c r="E30" s="85">
        <f t="shared" ref="E30:AQ30" si="63">$B$30*$C$30*3</f>
        <v>0</v>
      </c>
      <c r="F30" s="85">
        <f t="shared" si="63"/>
        <v>0</v>
      </c>
      <c r="G30" s="85">
        <f t="shared" si="63"/>
        <v>0</v>
      </c>
      <c r="H30" s="85">
        <f t="shared" si="63"/>
        <v>0</v>
      </c>
      <c r="I30" s="85">
        <f t="shared" si="63"/>
        <v>0</v>
      </c>
      <c r="J30" s="85">
        <f t="shared" si="63"/>
        <v>0</v>
      </c>
      <c r="K30" s="85">
        <f t="shared" si="63"/>
        <v>0</v>
      </c>
      <c r="L30" s="85">
        <f t="shared" si="63"/>
        <v>0</v>
      </c>
      <c r="M30" s="85">
        <f t="shared" si="63"/>
        <v>0</v>
      </c>
      <c r="N30" s="85">
        <f t="shared" si="63"/>
        <v>0</v>
      </c>
      <c r="O30" s="85">
        <f t="shared" si="63"/>
        <v>0</v>
      </c>
      <c r="P30" s="85">
        <f t="shared" si="63"/>
        <v>0</v>
      </c>
      <c r="Q30" s="85">
        <f t="shared" si="63"/>
        <v>0</v>
      </c>
      <c r="R30" s="85">
        <f t="shared" si="63"/>
        <v>0</v>
      </c>
      <c r="S30" s="85">
        <f t="shared" si="63"/>
        <v>0</v>
      </c>
      <c r="T30" s="85">
        <f t="shared" si="63"/>
        <v>0</v>
      </c>
      <c r="U30" s="85">
        <f t="shared" si="63"/>
        <v>0</v>
      </c>
      <c r="V30" s="85">
        <f t="shared" si="63"/>
        <v>0</v>
      </c>
      <c r="W30" s="85">
        <f t="shared" si="63"/>
        <v>0</v>
      </c>
      <c r="X30" s="85">
        <f t="shared" si="63"/>
        <v>0</v>
      </c>
      <c r="Y30" s="85">
        <f t="shared" si="63"/>
        <v>0</v>
      </c>
      <c r="Z30" s="85">
        <f t="shared" si="63"/>
        <v>0</v>
      </c>
      <c r="AA30" s="85">
        <f t="shared" si="63"/>
        <v>0</v>
      </c>
      <c r="AB30" s="85">
        <f t="shared" si="63"/>
        <v>0</v>
      </c>
      <c r="AC30" s="85">
        <f t="shared" si="63"/>
        <v>0</v>
      </c>
      <c r="AD30" s="85">
        <f t="shared" si="63"/>
        <v>0</v>
      </c>
      <c r="AE30" s="85">
        <f t="shared" si="63"/>
        <v>0</v>
      </c>
      <c r="AF30" s="85">
        <f t="shared" si="63"/>
        <v>0</v>
      </c>
      <c r="AG30" s="85">
        <f t="shared" si="63"/>
        <v>0</v>
      </c>
      <c r="AH30" s="85">
        <f t="shared" si="63"/>
        <v>0</v>
      </c>
      <c r="AI30" s="85">
        <f t="shared" si="63"/>
        <v>0</v>
      </c>
      <c r="AJ30" s="85">
        <f t="shared" si="63"/>
        <v>0</v>
      </c>
      <c r="AK30" s="85">
        <f t="shared" si="63"/>
        <v>0</v>
      </c>
      <c r="AL30" s="85">
        <f t="shared" si="63"/>
        <v>0</v>
      </c>
      <c r="AM30" s="85">
        <f t="shared" si="63"/>
        <v>0</v>
      </c>
      <c r="AN30" s="85">
        <f t="shared" si="63"/>
        <v>0</v>
      </c>
      <c r="AO30" s="85">
        <f t="shared" si="63"/>
        <v>0</v>
      </c>
      <c r="AP30" s="85">
        <f t="shared" si="63"/>
        <v>0</v>
      </c>
      <c r="AQ30" s="85">
        <f t="shared" si="63"/>
        <v>0</v>
      </c>
      <c r="AR30" s="85">
        <v>0</v>
      </c>
      <c r="AS30" s="85">
        <v>0</v>
      </c>
      <c r="AT30" s="85">
        <v>0</v>
      </c>
      <c r="AU30" s="85">
        <v>0</v>
      </c>
      <c r="AV30" s="75"/>
      <c r="AW30" s="96">
        <f t="shared" si="20"/>
        <v>0</v>
      </c>
      <c r="AX30" s="320">
        <f t="shared" si="7"/>
        <v>0</v>
      </c>
      <c r="AY30" s="320">
        <f t="shared" si="8"/>
        <v>0</v>
      </c>
      <c r="AZ30" s="320">
        <f t="shared" si="21"/>
        <v>0</v>
      </c>
      <c r="BA30" s="320">
        <f t="shared" si="9"/>
        <v>0</v>
      </c>
      <c r="BB30" s="320">
        <f t="shared" si="10"/>
        <v>0</v>
      </c>
      <c r="BC30" s="320">
        <f t="shared" si="11"/>
        <v>0</v>
      </c>
      <c r="BD30" s="320">
        <f t="shared" si="12"/>
        <v>0</v>
      </c>
      <c r="BE30" s="320">
        <f t="shared" si="13"/>
        <v>0</v>
      </c>
      <c r="BF30" s="320">
        <f t="shared" si="14"/>
        <v>0</v>
      </c>
      <c r="BG30" s="320">
        <f t="shared" si="22"/>
        <v>0</v>
      </c>
    </row>
    <row r="31" spans="1:59" x14ac:dyDescent="0.25">
      <c r="A31" s="574" t="s">
        <v>128</v>
      </c>
      <c r="B31" s="581">
        <v>0</v>
      </c>
      <c r="C31" s="582">
        <v>0</v>
      </c>
      <c r="D31" s="85">
        <f>$B$31*$C$31*3</f>
        <v>0</v>
      </c>
      <c r="E31" s="85">
        <f t="shared" ref="E31:AQ31" si="64">$B$31*$C$31*3</f>
        <v>0</v>
      </c>
      <c r="F31" s="85">
        <f t="shared" si="64"/>
        <v>0</v>
      </c>
      <c r="G31" s="85">
        <f t="shared" si="64"/>
        <v>0</v>
      </c>
      <c r="H31" s="85">
        <f t="shared" si="64"/>
        <v>0</v>
      </c>
      <c r="I31" s="85">
        <f t="shared" si="64"/>
        <v>0</v>
      </c>
      <c r="J31" s="85">
        <f t="shared" si="64"/>
        <v>0</v>
      </c>
      <c r="K31" s="85">
        <f t="shared" si="64"/>
        <v>0</v>
      </c>
      <c r="L31" s="85">
        <f t="shared" si="64"/>
        <v>0</v>
      </c>
      <c r="M31" s="85">
        <f t="shared" si="64"/>
        <v>0</v>
      </c>
      <c r="N31" s="85">
        <f t="shared" si="64"/>
        <v>0</v>
      </c>
      <c r="O31" s="85">
        <f t="shared" si="64"/>
        <v>0</v>
      </c>
      <c r="P31" s="85">
        <f t="shared" si="64"/>
        <v>0</v>
      </c>
      <c r="Q31" s="85">
        <f t="shared" si="64"/>
        <v>0</v>
      </c>
      <c r="R31" s="85">
        <f t="shared" si="64"/>
        <v>0</v>
      </c>
      <c r="S31" s="85">
        <f t="shared" si="64"/>
        <v>0</v>
      </c>
      <c r="T31" s="85">
        <f t="shared" si="64"/>
        <v>0</v>
      </c>
      <c r="U31" s="85">
        <f t="shared" si="64"/>
        <v>0</v>
      </c>
      <c r="V31" s="85">
        <f t="shared" si="64"/>
        <v>0</v>
      </c>
      <c r="W31" s="85">
        <f t="shared" si="64"/>
        <v>0</v>
      </c>
      <c r="X31" s="85">
        <f t="shared" si="64"/>
        <v>0</v>
      </c>
      <c r="Y31" s="85">
        <f t="shared" si="64"/>
        <v>0</v>
      </c>
      <c r="Z31" s="85">
        <f t="shared" si="64"/>
        <v>0</v>
      </c>
      <c r="AA31" s="85">
        <f t="shared" si="64"/>
        <v>0</v>
      </c>
      <c r="AB31" s="85">
        <f t="shared" si="64"/>
        <v>0</v>
      </c>
      <c r="AC31" s="85">
        <f t="shared" si="64"/>
        <v>0</v>
      </c>
      <c r="AD31" s="85">
        <f t="shared" si="64"/>
        <v>0</v>
      </c>
      <c r="AE31" s="85">
        <f t="shared" si="64"/>
        <v>0</v>
      </c>
      <c r="AF31" s="85">
        <f t="shared" si="64"/>
        <v>0</v>
      </c>
      <c r="AG31" s="85">
        <f t="shared" si="64"/>
        <v>0</v>
      </c>
      <c r="AH31" s="85">
        <f t="shared" si="64"/>
        <v>0</v>
      </c>
      <c r="AI31" s="85">
        <f t="shared" si="64"/>
        <v>0</v>
      </c>
      <c r="AJ31" s="85">
        <f t="shared" si="64"/>
        <v>0</v>
      </c>
      <c r="AK31" s="85">
        <f t="shared" si="64"/>
        <v>0</v>
      </c>
      <c r="AL31" s="85">
        <f t="shared" si="64"/>
        <v>0</v>
      </c>
      <c r="AM31" s="85">
        <f t="shared" si="64"/>
        <v>0</v>
      </c>
      <c r="AN31" s="85">
        <f t="shared" si="64"/>
        <v>0</v>
      </c>
      <c r="AO31" s="85">
        <f t="shared" si="64"/>
        <v>0</v>
      </c>
      <c r="AP31" s="85">
        <f t="shared" si="64"/>
        <v>0</v>
      </c>
      <c r="AQ31" s="85">
        <f t="shared" si="64"/>
        <v>0</v>
      </c>
      <c r="AR31" s="85">
        <v>0</v>
      </c>
      <c r="AS31" s="85">
        <v>0</v>
      </c>
      <c r="AT31" s="85">
        <v>0</v>
      </c>
      <c r="AU31" s="85">
        <v>0</v>
      </c>
      <c r="AV31" s="75"/>
      <c r="AW31" s="96">
        <f t="shared" si="20"/>
        <v>0</v>
      </c>
      <c r="AX31" s="320">
        <f t="shared" si="7"/>
        <v>0</v>
      </c>
      <c r="AY31" s="320">
        <f t="shared" si="8"/>
        <v>0</v>
      </c>
      <c r="AZ31" s="320">
        <f t="shared" si="21"/>
        <v>0</v>
      </c>
      <c r="BA31" s="320">
        <f t="shared" si="9"/>
        <v>0</v>
      </c>
      <c r="BB31" s="320">
        <f t="shared" si="10"/>
        <v>0</v>
      </c>
      <c r="BC31" s="320">
        <f t="shared" si="11"/>
        <v>0</v>
      </c>
      <c r="BD31" s="320">
        <f t="shared" si="12"/>
        <v>0</v>
      </c>
      <c r="BE31" s="320">
        <f t="shared" si="13"/>
        <v>0</v>
      </c>
      <c r="BF31" s="320">
        <f t="shared" si="14"/>
        <v>0</v>
      </c>
      <c r="BG31" s="320">
        <f t="shared" si="22"/>
        <v>0</v>
      </c>
    </row>
    <row r="32" spans="1:59" x14ac:dyDescent="0.25">
      <c r="A32" s="574" t="s">
        <v>129</v>
      </c>
      <c r="B32" s="581">
        <v>0</v>
      </c>
      <c r="C32" s="582">
        <v>0</v>
      </c>
      <c r="D32" s="85">
        <f>$B$32*$C$32*3</f>
        <v>0</v>
      </c>
      <c r="E32" s="85">
        <f t="shared" ref="E32:AQ32" si="65">$B$32*$C$32*3</f>
        <v>0</v>
      </c>
      <c r="F32" s="85">
        <f t="shared" si="65"/>
        <v>0</v>
      </c>
      <c r="G32" s="85">
        <f t="shared" si="65"/>
        <v>0</v>
      </c>
      <c r="H32" s="85">
        <f t="shared" si="65"/>
        <v>0</v>
      </c>
      <c r="I32" s="85">
        <f t="shared" si="65"/>
        <v>0</v>
      </c>
      <c r="J32" s="85">
        <f t="shared" si="65"/>
        <v>0</v>
      </c>
      <c r="K32" s="85">
        <f t="shared" si="65"/>
        <v>0</v>
      </c>
      <c r="L32" s="85">
        <f t="shared" si="65"/>
        <v>0</v>
      </c>
      <c r="M32" s="85">
        <f t="shared" si="65"/>
        <v>0</v>
      </c>
      <c r="N32" s="85">
        <f t="shared" si="65"/>
        <v>0</v>
      </c>
      <c r="O32" s="85">
        <f t="shared" si="65"/>
        <v>0</v>
      </c>
      <c r="P32" s="85">
        <f t="shared" si="65"/>
        <v>0</v>
      </c>
      <c r="Q32" s="85">
        <f t="shared" si="65"/>
        <v>0</v>
      </c>
      <c r="R32" s="85">
        <f t="shared" si="65"/>
        <v>0</v>
      </c>
      <c r="S32" s="85">
        <f t="shared" si="65"/>
        <v>0</v>
      </c>
      <c r="T32" s="85">
        <f t="shared" si="65"/>
        <v>0</v>
      </c>
      <c r="U32" s="85">
        <f t="shared" si="65"/>
        <v>0</v>
      </c>
      <c r="V32" s="85">
        <f t="shared" si="65"/>
        <v>0</v>
      </c>
      <c r="W32" s="85">
        <f t="shared" si="65"/>
        <v>0</v>
      </c>
      <c r="X32" s="85">
        <f t="shared" si="65"/>
        <v>0</v>
      </c>
      <c r="Y32" s="85">
        <f t="shared" si="65"/>
        <v>0</v>
      </c>
      <c r="Z32" s="85">
        <f t="shared" si="65"/>
        <v>0</v>
      </c>
      <c r="AA32" s="85">
        <f t="shared" si="65"/>
        <v>0</v>
      </c>
      <c r="AB32" s="85">
        <f t="shared" si="65"/>
        <v>0</v>
      </c>
      <c r="AC32" s="85">
        <f t="shared" si="65"/>
        <v>0</v>
      </c>
      <c r="AD32" s="85">
        <f t="shared" si="65"/>
        <v>0</v>
      </c>
      <c r="AE32" s="85">
        <f t="shared" si="65"/>
        <v>0</v>
      </c>
      <c r="AF32" s="85">
        <f t="shared" si="65"/>
        <v>0</v>
      </c>
      <c r="AG32" s="85">
        <f t="shared" si="65"/>
        <v>0</v>
      </c>
      <c r="AH32" s="85">
        <f t="shared" si="65"/>
        <v>0</v>
      </c>
      <c r="AI32" s="85">
        <f t="shared" si="65"/>
        <v>0</v>
      </c>
      <c r="AJ32" s="85">
        <f t="shared" si="65"/>
        <v>0</v>
      </c>
      <c r="AK32" s="85">
        <f t="shared" si="65"/>
        <v>0</v>
      </c>
      <c r="AL32" s="85">
        <f t="shared" si="65"/>
        <v>0</v>
      </c>
      <c r="AM32" s="85">
        <f t="shared" si="65"/>
        <v>0</v>
      </c>
      <c r="AN32" s="85">
        <f t="shared" si="65"/>
        <v>0</v>
      </c>
      <c r="AO32" s="85">
        <f t="shared" si="65"/>
        <v>0</v>
      </c>
      <c r="AP32" s="85">
        <f t="shared" si="65"/>
        <v>0</v>
      </c>
      <c r="AQ32" s="85">
        <f t="shared" si="65"/>
        <v>0</v>
      </c>
      <c r="AR32" s="85">
        <v>0</v>
      </c>
      <c r="AS32" s="85">
        <v>0</v>
      </c>
      <c r="AT32" s="85">
        <v>0</v>
      </c>
      <c r="AU32" s="85">
        <v>0</v>
      </c>
      <c r="AV32" s="75"/>
      <c r="AW32" s="96">
        <f t="shared" si="20"/>
        <v>0</v>
      </c>
      <c r="AX32" s="320">
        <f t="shared" si="7"/>
        <v>0</v>
      </c>
      <c r="AY32" s="320">
        <f t="shared" si="8"/>
        <v>0</v>
      </c>
      <c r="AZ32" s="320">
        <f t="shared" si="21"/>
        <v>0</v>
      </c>
      <c r="BA32" s="320">
        <f t="shared" si="9"/>
        <v>0</v>
      </c>
      <c r="BB32" s="320">
        <f t="shared" si="10"/>
        <v>0</v>
      </c>
      <c r="BC32" s="320">
        <f t="shared" si="11"/>
        <v>0</v>
      </c>
      <c r="BD32" s="320">
        <f t="shared" si="12"/>
        <v>0</v>
      </c>
      <c r="BE32" s="320">
        <f t="shared" si="13"/>
        <v>0</v>
      </c>
      <c r="BF32" s="320">
        <f t="shared" si="14"/>
        <v>0</v>
      </c>
      <c r="BG32" s="320">
        <f t="shared" si="22"/>
        <v>0</v>
      </c>
    </row>
    <row r="33" spans="1:59" x14ac:dyDescent="0.25">
      <c r="A33" s="574" t="s">
        <v>130</v>
      </c>
      <c r="B33" s="581">
        <v>0</v>
      </c>
      <c r="C33" s="582">
        <v>0</v>
      </c>
      <c r="D33" s="85">
        <f>$B$33*$C$33*3</f>
        <v>0</v>
      </c>
      <c r="E33" s="85">
        <f t="shared" ref="E33:AQ33" si="66">$B$33*$C$33*3</f>
        <v>0</v>
      </c>
      <c r="F33" s="85">
        <f t="shared" si="66"/>
        <v>0</v>
      </c>
      <c r="G33" s="85">
        <f t="shared" si="66"/>
        <v>0</v>
      </c>
      <c r="H33" s="85">
        <f t="shared" si="66"/>
        <v>0</v>
      </c>
      <c r="I33" s="85">
        <f t="shared" si="66"/>
        <v>0</v>
      </c>
      <c r="J33" s="85">
        <f t="shared" si="66"/>
        <v>0</v>
      </c>
      <c r="K33" s="85">
        <f t="shared" si="66"/>
        <v>0</v>
      </c>
      <c r="L33" s="85">
        <f t="shared" si="66"/>
        <v>0</v>
      </c>
      <c r="M33" s="85">
        <f t="shared" si="66"/>
        <v>0</v>
      </c>
      <c r="N33" s="85">
        <f t="shared" si="66"/>
        <v>0</v>
      </c>
      <c r="O33" s="85">
        <f t="shared" si="66"/>
        <v>0</v>
      </c>
      <c r="P33" s="85">
        <f t="shared" si="66"/>
        <v>0</v>
      </c>
      <c r="Q33" s="85">
        <f t="shared" si="66"/>
        <v>0</v>
      </c>
      <c r="R33" s="85">
        <f t="shared" si="66"/>
        <v>0</v>
      </c>
      <c r="S33" s="85">
        <f t="shared" si="66"/>
        <v>0</v>
      </c>
      <c r="T33" s="85">
        <f t="shared" si="66"/>
        <v>0</v>
      </c>
      <c r="U33" s="85">
        <f t="shared" si="66"/>
        <v>0</v>
      </c>
      <c r="V33" s="85">
        <f t="shared" si="66"/>
        <v>0</v>
      </c>
      <c r="W33" s="85">
        <f t="shared" si="66"/>
        <v>0</v>
      </c>
      <c r="X33" s="85">
        <f t="shared" si="66"/>
        <v>0</v>
      </c>
      <c r="Y33" s="85">
        <f t="shared" si="66"/>
        <v>0</v>
      </c>
      <c r="Z33" s="85">
        <f t="shared" si="66"/>
        <v>0</v>
      </c>
      <c r="AA33" s="85">
        <f t="shared" si="66"/>
        <v>0</v>
      </c>
      <c r="AB33" s="85">
        <f t="shared" si="66"/>
        <v>0</v>
      </c>
      <c r="AC33" s="85">
        <f t="shared" si="66"/>
        <v>0</v>
      </c>
      <c r="AD33" s="85">
        <f t="shared" si="66"/>
        <v>0</v>
      </c>
      <c r="AE33" s="85">
        <f t="shared" si="66"/>
        <v>0</v>
      </c>
      <c r="AF33" s="85">
        <f t="shared" si="66"/>
        <v>0</v>
      </c>
      <c r="AG33" s="85">
        <f t="shared" si="66"/>
        <v>0</v>
      </c>
      <c r="AH33" s="85">
        <f t="shared" si="66"/>
        <v>0</v>
      </c>
      <c r="AI33" s="85">
        <f t="shared" si="66"/>
        <v>0</v>
      </c>
      <c r="AJ33" s="85">
        <f t="shared" si="66"/>
        <v>0</v>
      </c>
      <c r="AK33" s="85">
        <f t="shared" si="66"/>
        <v>0</v>
      </c>
      <c r="AL33" s="85">
        <f t="shared" si="66"/>
        <v>0</v>
      </c>
      <c r="AM33" s="85">
        <f t="shared" si="66"/>
        <v>0</v>
      </c>
      <c r="AN33" s="85">
        <f t="shared" si="66"/>
        <v>0</v>
      </c>
      <c r="AO33" s="85">
        <f t="shared" si="66"/>
        <v>0</v>
      </c>
      <c r="AP33" s="85">
        <f t="shared" si="66"/>
        <v>0</v>
      </c>
      <c r="AQ33" s="85">
        <f t="shared" si="66"/>
        <v>0</v>
      </c>
      <c r="AR33" s="85">
        <v>0</v>
      </c>
      <c r="AS33" s="85">
        <v>0</v>
      </c>
      <c r="AT33" s="85">
        <v>0</v>
      </c>
      <c r="AU33" s="85">
        <v>0</v>
      </c>
      <c r="AV33" s="75"/>
      <c r="AW33" s="96">
        <f t="shared" si="20"/>
        <v>0</v>
      </c>
      <c r="AX33" s="320">
        <f t="shared" si="7"/>
        <v>0</v>
      </c>
      <c r="AY33" s="320">
        <f t="shared" si="8"/>
        <v>0</v>
      </c>
      <c r="AZ33" s="320">
        <f t="shared" si="21"/>
        <v>0</v>
      </c>
      <c r="BA33" s="320">
        <f t="shared" si="9"/>
        <v>0</v>
      </c>
      <c r="BB33" s="320">
        <f t="shared" si="10"/>
        <v>0</v>
      </c>
      <c r="BC33" s="320">
        <f t="shared" si="11"/>
        <v>0</v>
      </c>
      <c r="BD33" s="320">
        <f t="shared" si="12"/>
        <v>0</v>
      </c>
      <c r="BE33" s="320">
        <f t="shared" si="13"/>
        <v>0</v>
      </c>
      <c r="BF33" s="320">
        <f t="shared" si="14"/>
        <v>0</v>
      </c>
      <c r="BG33" s="320">
        <f t="shared" si="22"/>
        <v>0</v>
      </c>
    </row>
    <row r="34" spans="1:59" s="86" customFormat="1" ht="30" x14ac:dyDescent="0.25">
      <c r="A34" s="576" t="s">
        <v>114</v>
      </c>
      <c r="B34" s="90"/>
      <c r="C34" s="97"/>
      <c r="D34" s="90">
        <f>SUM(D29:D33)</f>
        <v>0</v>
      </c>
      <c r="E34" s="90">
        <f t="shared" ref="E34:AU34" si="67">SUM(E29:E33)</f>
        <v>0</v>
      </c>
      <c r="F34" s="90">
        <f t="shared" si="67"/>
        <v>0</v>
      </c>
      <c r="G34" s="90">
        <f t="shared" si="67"/>
        <v>0</v>
      </c>
      <c r="H34" s="90">
        <f t="shared" si="67"/>
        <v>0</v>
      </c>
      <c r="I34" s="90">
        <f t="shared" si="67"/>
        <v>0</v>
      </c>
      <c r="J34" s="90">
        <f t="shared" si="67"/>
        <v>0</v>
      </c>
      <c r="K34" s="90">
        <f t="shared" si="67"/>
        <v>0</v>
      </c>
      <c r="L34" s="90">
        <f t="shared" si="67"/>
        <v>0</v>
      </c>
      <c r="M34" s="90">
        <f t="shared" si="67"/>
        <v>0</v>
      </c>
      <c r="N34" s="90">
        <f t="shared" si="67"/>
        <v>0</v>
      </c>
      <c r="O34" s="90">
        <f t="shared" si="67"/>
        <v>0</v>
      </c>
      <c r="P34" s="90">
        <f t="shared" si="67"/>
        <v>0</v>
      </c>
      <c r="Q34" s="90">
        <f t="shared" si="67"/>
        <v>0</v>
      </c>
      <c r="R34" s="90">
        <f t="shared" si="67"/>
        <v>0</v>
      </c>
      <c r="S34" s="90">
        <f t="shared" si="67"/>
        <v>0</v>
      </c>
      <c r="T34" s="90">
        <f t="shared" si="67"/>
        <v>0</v>
      </c>
      <c r="U34" s="90">
        <f t="shared" si="67"/>
        <v>0</v>
      </c>
      <c r="V34" s="90">
        <f t="shared" si="67"/>
        <v>0</v>
      </c>
      <c r="W34" s="90">
        <f t="shared" si="67"/>
        <v>0</v>
      </c>
      <c r="X34" s="90">
        <f t="shared" si="67"/>
        <v>0</v>
      </c>
      <c r="Y34" s="90">
        <f t="shared" si="67"/>
        <v>0</v>
      </c>
      <c r="Z34" s="90">
        <f t="shared" si="67"/>
        <v>0</v>
      </c>
      <c r="AA34" s="90">
        <f t="shared" si="67"/>
        <v>0</v>
      </c>
      <c r="AB34" s="90">
        <f t="shared" si="67"/>
        <v>0</v>
      </c>
      <c r="AC34" s="90">
        <f t="shared" si="67"/>
        <v>0</v>
      </c>
      <c r="AD34" s="90">
        <f t="shared" si="67"/>
        <v>0</v>
      </c>
      <c r="AE34" s="90">
        <f t="shared" si="67"/>
        <v>0</v>
      </c>
      <c r="AF34" s="90">
        <f t="shared" si="67"/>
        <v>0</v>
      </c>
      <c r="AG34" s="90">
        <f t="shared" si="67"/>
        <v>0</v>
      </c>
      <c r="AH34" s="90">
        <f t="shared" si="67"/>
        <v>0</v>
      </c>
      <c r="AI34" s="90">
        <f t="shared" si="67"/>
        <v>0</v>
      </c>
      <c r="AJ34" s="90">
        <f t="shared" si="67"/>
        <v>0</v>
      </c>
      <c r="AK34" s="90">
        <f t="shared" si="67"/>
        <v>0</v>
      </c>
      <c r="AL34" s="90">
        <f t="shared" si="67"/>
        <v>0</v>
      </c>
      <c r="AM34" s="90">
        <f t="shared" si="67"/>
        <v>0</v>
      </c>
      <c r="AN34" s="90">
        <f t="shared" si="67"/>
        <v>0</v>
      </c>
      <c r="AO34" s="90">
        <f t="shared" si="67"/>
        <v>0</v>
      </c>
      <c r="AP34" s="90">
        <f t="shared" si="67"/>
        <v>0</v>
      </c>
      <c r="AQ34" s="90">
        <f t="shared" si="67"/>
        <v>0</v>
      </c>
      <c r="AR34" s="90">
        <f t="shared" si="67"/>
        <v>0</v>
      </c>
      <c r="AS34" s="90">
        <f t="shared" si="67"/>
        <v>0</v>
      </c>
      <c r="AT34" s="90">
        <f t="shared" si="67"/>
        <v>0</v>
      </c>
      <c r="AU34" s="90">
        <f t="shared" si="67"/>
        <v>0</v>
      </c>
      <c r="AV34" s="88"/>
      <c r="AW34" s="448">
        <f t="shared" si="20"/>
        <v>0</v>
      </c>
      <c r="AX34" s="449">
        <f t="shared" si="7"/>
        <v>0</v>
      </c>
      <c r="AY34" s="449">
        <f t="shared" si="8"/>
        <v>0</v>
      </c>
      <c r="AZ34" s="449">
        <f t="shared" si="21"/>
        <v>0</v>
      </c>
      <c r="BA34" s="449">
        <f t="shared" si="9"/>
        <v>0</v>
      </c>
      <c r="BB34" s="449">
        <f t="shared" si="10"/>
        <v>0</v>
      </c>
      <c r="BC34" s="449">
        <f t="shared" si="11"/>
        <v>0</v>
      </c>
      <c r="BD34" s="449">
        <f t="shared" si="12"/>
        <v>0</v>
      </c>
      <c r="BE34" s="449">
        <f t="shared" si="13"/>
        <v>0</v>
      </c>
      <c r="BF34" s="449">
        <f t="shared" si="14"/>
        <v>0</v>
      </c>
      <c r="BG34" s="449">
        <f t="shared" si="22"/>
        <v>0</v>
      </c>
    </row>
    <row r="35" spans="1:59" s="91" customFormat="1" ht="18.75" customHeight="1" x14ac:dyDescent="0.25">
      <c r="A35" s="577" t="s">
        <v>115</v>
      </c>
      <c r="B35" s="94"/>
      <c r="C35" s="98"/>
      <c r="D35" s="94">
        <f>D34*$B$61</f>
        <v>0</v>
      </c>
      <c r="E35" s="94">
        <f t="shared" ref="E35:AU35" si="68">E34*$B$61</f>
        <v>0</v>
      </c>
      <c r="F35" s="94">
        <f t="shared" si="68"/>
        <v>0</v>
      </c>
      <c r="G35" s="94">
        <f t="shared" si="68"/>
        <v>0</v>
      </c>
      <c r="H35" s="94">
        <f t="shared" si="68"/>
        <v>0</v>
      </c>
      <c r="I35" s="94">
        <f t="shared" si="68"/>
        <v>0</v>
      </c>
      <c r="J35" s="94">
        <f t="shared" si="68"/>
        <v>0</v>
      </c>
      <c r="K35" s="94">
        <f t="shared" si="68"/>
        <v>0</v>
      </c>
      <c r="L35" s="94">
        <f t="shared" si="68"/>
        <v>0</v>
      </c>
      <c r="M35" s="94">
        <f t="shared" si="68"/>
        <v>0</v>
      </c>
      <c r="N35" s="94">
        <f t="shared" si="68"/>
        <v>0</v>
      </c>
      <c r="O35" s="94">
        <f t="shared" si="68"/>
        <v>0</v>
      </c>
      <c r="P35" s="94">
        <f t="shared" si="68"/>
        <v>0</v>
      </c>
      <c r="Q35" s="94">
        <f t="shared" si="68"/>
        <v>0</v>
      </c>
      <c r="R35" s="94">
        <f t="shared" si="68"/>
        <v>0</v>
      </c>
      <c r="S35" s="94">
        <f t="shared" si="68"/>
        <v>0</v>
      </c>
      <c r="T35" s="94">
        <f t="shared" si="68"/>
        <v>0</v>
      </c>
      <c r="U35" s="94">
        <f t="shared" si="68"/>
        <v>0</v>
      </c>
      <c r="V35" s="94">
        <f t="shared" si="68"/>
        <v>0</v>
      </c>
      <c r="W35" s="94">
        <f t="shared" si="68"/>
        <v>0</v>
      </c>
      <c r="X35" s="94">
        <f t="shared" si="68"/>
        <v>0</v>
      </c>
      <c r="Y35" s="94">
        <f t="shared" si="68"/>
        <v>0</v>
      </c>
      <c r="Z35" s="94">
        <f t="shared" si="68"/>
        <v>0</v>
      </c>
      <c r="AA35" s="94">
        <f t="shared" si="68"/>
        <v>0</v>
      </c>
      <c r="AB35" s="94">
        <f t="shared" si="68"/>
        <v>0</v>
      </c>
      <c r="AC35" s="94">
        <f t="shared" si="68"/>
        <v>0</v>
      </c>
      <c r="AD35" s="94">
        <f t="shared" si="68"/>
        <v>0</v>
      </c>
      <c r="AE35" s="94">
        <f t="shared" si="68"/>
        <v>0</v>
      </c>
      <c r="AF35" s="94">
        <f t="shared" si="68"/>
        <v>0</v>
      </c>
      <c r="AG35" s="94">
        <f t="shared" si="68"/>
        <v>0</v>
      </c>
      <c r="AH35" s="94">
        <f t="shared" si="68"/>
        <v>0</v>
      </c>
      <c r="AI35" s="94">
        <f t="shared" si="68"/>
        <v>0</v>
      </c>
      <c r="AJ35" s="94">
        <f t="shared" si="68"/>
        <v>0</v>
      </c>
      <c r="AK35" s="94">
        <f t="shared" si="68"/>
        <v>0</v>
      </c>
      <c r="AL35" s="94">
        <f t="shared" si="68"/>
        <v>0</v>
      </c>
      <c r="AM35" s="94">
        <f t="shared" si="68"/>
        <v>0</v>
      </c>
      <c r="AN35" s="94">
        <f t="shared" si="68"/>
        <v>0</v>
      </c>
      <c r="AO35" s="94">
        <f t="shared" si="68"/>
        <v>0</v>
      </c>
      <c r="AP35" s="94">
        <f t="shared" si="68"/>
        <v>0</v>
      </c>
      <c r="AQ35" s="94">
        <f t="shared" si="68"/>
        <v>0</v>
      </c>
      <c r="AR35" s="94">
        <f t="shared" si="68"/>
        <v>0</v>
      </c>
      <c r="AS35" s="94">
        <f t="shared" si="68"/>
        <v>0</v>
      </c>
      <c r="AT35" s="94">
        <f t="shared" si="68"/>
        <v>0</v>
      </c>
      <c r="AU35" s="94">
        <f t="shared" si="68"/>
        <v>0</v>
      </c>
      <c r="AV35" s="92"/>
      <c r="AW35" s="450">
        <f t="shared" si="20"/>
        <v>0</v>
      </c>
      <c r="AX35" s="330">
        <f t="shared" si="7"/>
        <v>0</v>
      </c>
      <c r="AY35" s="330">
        <f t="shared" si="8"/>
        <v>0</v>
      </c>
      <c r="AZ35" s="330">
        <f t="shared" si="21"/>
        <v>0</v>
      </c>
      <c r="BA35" s="330">
        <f t="shared" si="9"/>
        <v>0</v>
      </c>
      <c r="BB35" s="330">
        <f t="shared" si="10"/>
        <v>0</v>
      </c>
      <c r="BC35" s="330">
        <f t="shared" si="11"/>
        <v>0</v>
      </c>
      <c r="BD35" s="330">
        <f t="shared" si="12"/>
        <v>0</v>
      </c>
      <c r="BE35" s="330">
        <f t="shared" si="13"/>
        <v>0</v>
      </c>
      <c r="BF35" s="330">
        <f t="shared" si="14"/>
        <v>0</v>
      </c>
      <c r="BG35" s="330">
        <f t="shared" si="22"/>
        <v>0</v>
      </c>
    </row>
    <row r="36" spans="1:59" ht="45" x14ac:dyDescent="0.25">
      <c r="A36" s="578" t="s">
        <v>131</v>
      </c>
      <c r="B36" s="85"/>
      <c r="C36" s="580"/>
      <c r="D36" s="85"/>
      <c r="E36" s="85"/>
      <c r="F36" s="85"/>
      <c r="G36" s="85"/>
      <c r="H36" s="85"/>
      <c r="I36" s="85"/>
      <c r="J36" s="85"/>
      <c r="K36" s="85"/>
      <c r="L36" s="85"/>
      <c r="M36" s="85"/>
      <c r="N36" s="85"/>
      <c r="O36" s="85"/>
      <c r="P36" s="85"/>
      <c r="Q36" s="85"/>
      <c r="R36" s="85"/>
      <c r="S36" s="85"/>
      <c r="T36" s="85"/>
      <c r="U36" s="85"/>
      <c r="V36" s="85"/>
      <c r="W36" s="85"/>
      <c r="X36" s="85"/>
      <c r="Y36" s="85"/>
      <c r="Z36" s="85"/>
      <c r="AA36" s="85"/>
      <c r="AB36" s="85"/>
      <c r="AC36" s="85"/>
      <c r="AD36" s="85"/>
      <c r="AE36" s="85"/>
      <c r="AF36" s="85"/>
      <c r="AG36" s="85"/>
      <c r="AH36" s="85"/>
      <c r="AI36" s="85"/>
      <c r="AJ36" s="85">
        <v>0</v>
      </c>
      <c r="AK36" s="85">
        <v>0</v>
      </c>
      <c r="AL36" s="85">
        <v>0</v>
      </c>
      <c r="AM36" s="85">
        <v>0</v>
      </c>
      <c r="AN36" s="85">
        <v>0</v>
      </c>
      <c r="AO36" s="85">
        <v>0</v>
      </c>
      <c r="AP36" s="85">
        <v>0</v>
      </c>
      <c r="AQ36" s="85">
        <v>0</v>
      </c>
      <c r="AR36" s="85">
        <v>0</v>
      </c>
      <c r="AS36" s="85">
        <v>0</v>
      </c>
      <c r="AT36" s="85">
        <v>0</v>
      </c>
      <c r="AU36" s="85">
        <v>0</v>
      </c>
      <c r="AV36" s="75"/>
      <c r="AW36" s="96">
        <f t="shared" si="20"/>
        <v>0</v>
      </c>
      <c r="AX36" s="320">
        <f t="shared" si="7"/>
        <v>0</v>
      </c>
      <c r="AY36" s="320">
        <f t="shared" si="8"/>
        <v>0</v>
      </c>
      <c r="AZ36" s="320">
        <f t="shared" si="21"/>
        <v>0</v>
      </c>
      <c r="BA36" s="320">
        <f t="shared" si="9"/>
        <v>0</v>
      </c>
      <c r="BB36" s="320">
        <f t="shared" si="10"/>
        <v>0</v>
      </c>
      <c r="BC36" s="320">
        <f t="shared" si="11"/>
        <v>0</v>
      </c>
      <c r="BD36" s="320">
        <f t="shared" si="12"/>
        <v>0</v>
      </c>
      <c r="BE36" s="320">
        <f t="shared" si="13"/>
        <v>0</v>
      </c>
      <c r="BF36" s="320">
        <f t="shared" si="14"/>
        <v>0</v>
      </c>
      <c r="BG36" s="320">
        <f t="shared" si="22"/>
        <v>0</v>
      </c>
    </row>
    <row r="37" spans="1:59" x14ac:dyDescent="0.25">
      <c r="A37" s="583" t="s">
        <v>132</v>
      </c>
      <c r="B37" s="584">
        <v>0</v>
      </c>
      <c r="C37" s="585">
        <v>0</v>
      </c>
      <c r="D37" s="85">
        <f>$C$37*$B$37*3</f>
        <v>0</v>
      </c>
      <c r="E37" s="85">
        <f t="shared" ref="E37:AI45" si="69">$B$37*$C$37*3</f>
        <v>0</v>
      </c>
      <c r="F37" s="85">
        <f t="shared" si="69"/>
        <v>0</v>
      </c>
      <c r="G37" s="85">
        <f t="shared" si="69"/>
        <v>0</v>
      </c>
      <c r="H37" s="85">
        <f t="shared" si="69"/>
        <v>0</v>
      </c>
      <c r="I37" s="85">
        <f t="shared" si="69"/>
        <v>0</v>
      </c>
      <c r="J37" s="85">
        <f t="shared" si="69"/>
        <v>0</v>
      </c>
      <c r="K37" s="85">
        <f t="shared" si="69"/>
        <v>0</v>
      </c>
      <c r="L37" s="85">
        <f t="shared" si="69"/>
        <v>0</v>
      </c>
      <c r="M37" s="85">
        <f t="shared" si="69"/>
        <v>0</v>
      </c>
      <c r="N37" s="85">
        <f t="shared" si="69"/>
        <v>0</v>
      </c>
      <c r="O37" s="85">
        <f t="shared" si="69"/>
        <v>0</v>
      </c>
      <c r="P37" s="85">
        <f t="shared" si="69"/>
        <v>0</v>
      </c>
      <c r="Q37" s="85">
        <f t="shared" si="69"/>
        <v>0</v>
      </c>
      <c r="R37" s="85">
        <f t="shared" si="69"/>
        <v>0</v>
      </c>
      <c r="S37" s="85">
        <f t="shared" si="69"/>
        <v>0</v>
      </c>
      <c r="T37" s="85">
        <f t="shared" si="69"/>
        <v>0</v>
      </c>
      <c r="U37" s="85">
        <f t="shared" si="69"/>
        <v>0</v>
      </c>
      <c r="V37" s="85">
        <f t="shared" si="69"/>
        <v>0</v>
      </c>
      <c r="W37" s="85">
        <f t="shared" si="69"/>
        <v>0</v>
      </c>
      <c r="X37" s="85">
        <f t="shared" si="69"/>
        <v>0</v>
      </c>
      <c r="Y37" s="85">
        <f t="shared" si="69"/>
        <v>0</v>
      </c>
      <c r="Z37" s="85">
        <f t="shared" si="69"/>
        <v>0</v>
      </c>
      <c r="AA37" s="85">
        <f t="shared" si="69"/>
        <v>0</v>
      </c>
      <c r="AB37" s="85">
        <f t="shared" si="69"/>
        <v>0</v>
      </c>
      <c r="AC37" s="85">
        <f t="shared" si="69"/>
        <v>0</v>
      </c>
      <c r="AD37" s="85">
        <f t="shared" si="69"/>
        <v>0</v>
      </c>
      <c r="AE37" s="85">
        <f t="shared" si="69"/>
        <v>0</v>
      </c>
      <c r="AF37" s="85">
        <f t="shared" si="69"/>
        <v>0</v>
      </c>
      <c r="AG37" s="85">
        <f t="shared" si="69"/>
        <v>0</v>
      </c>
      <c r="AH37" s="85">
        <f t="shared" si="69"/>
        <v>0</v>
      </c>
      <c r="AI37" s="85">
        <f t="shared" si="69"/>
        <v>0</v>
      </c>
      <c r="AJ37" s="85">
        <v>0</v>
      </c>
      <c r="AK37" s="85">
        <v>0</v>
      </c>
      <c r="AL37" s="85">
        <v>0</v>
      </c>
      <c r="AM37" s="85">
        <v>0</v>
      </c>
      <c r="AN37" s="85">
        <v>0</v>
      </c>
      <c r="AO37" s="85">
        <v>0</v>
      </c>
      <c r="AP37" s="85">
        <v>0</v>
      </c>
      <c r="AQ37" s="85">
        <v>0</v>
      </c>
      <c r="AR37" s="85">
        <v>0</v>
      </c>
      <c r="AS37" s="85">
        <v>0</v>
      </c>
      <c r="AT37" s="85">
        <v>0</v>
      </c>
      <c r="AU37" s="85">
        <v>0</v>
      </c>
      <c r="AV37" s="75"/>
      <c r="AW37" s="96">
        <f t="shared" si="20"/>
        <v>0</v>
      </c>
      <c r="AX37" s="320">
        <f t="shared" si="7"/>
        <v>0</v>
      </c>
      <c r="AY37" s="320">
        <f t="shared" si="8"/>
        <v>0</v>
      </c>
      <c r="AZ37" s="320">
        <f t="shared" si="21"/>
        <v>0</v>
      </c>
      <c r="BA37" s="320">
        <f t="shared" si="9"/>
        <v>0</v>
      </c>
      <c r="BB37" s="320">
        <f t="shared" si="10"/>
        <v>0</v>
      </c>
      <c r="BC37" s="320">
        <f t="shared" si="11"/>
        <v>0</v>
      </c>
      <c r="BD37" s="320">
        <f t="shared" si="12"/>
        <v>0</v>
      </c>
      <c r="BE37" s="320">
        <f t="shared" si="13"/>
        <v>0</v>
      </c>
      <c r="BF37" s="320">
        <f t="shared" si="14"/>
        <v>0</v>
      </c>
      <c r="BG37" s="320">
        <f t="shared" si="22"/>
        <v>0</v>
      </c>
    </row>
    <row r="38" spans="1:59" x14ac:dyDescent="0.25">
      <c r="A38" s="583" t="s">
        <v>133</v>
      </c>
      <c r="B38" s="584">
        <v>0</v>
      </c>
      <c r="C38" s="585">
        <v>0</v>
      </c>
      <c r="D38" s="85">
        <f>$C$38*$B$38*3</f>
        <v>0</v>
      </c>
      <c r="E38" s="85">
        <f t="shared" ref="E38:V38" si="70">$B$38*$C$38*3</f>
        <v>0</v>
      </c>
      <c r="F38" s="85">
        <f t="shared" si="70"/>
        <v>0</v>
      </c>
      <c r="G38" s="85">
        <f t="shared" si="70"/>
        <v>0</v>
      </c>
      <c r="H38" s="85">
        <f t="shared" si="70"/>
        <v>0</v>
      </c>
      <c r="I38" s="85">
        <f t="shared" si="70"/>
        <v>0</v>
      </c>
      <c r="J38" s="85">
        <f t="shared" si="70"/>
        <v>0</v>
      </c>
      <c r="K38" s="85">
        <f t="shared" si="70"/>
        <v>0</v>
      </c>
      <c r="L38" s="85">
        <f t="shared" si="70"/>
        <v>0</v>
      </c>
      <c r="M38" s="85">
        <f t="shared" si="70"/>
        <v>0</v>
      </c>
      <c r="N38" s="85">
        <f t="shared" si="70"/>
        <v>0</v>
      </c>
      <c r="O38" s="85">
        <f t="shared" si="70"/>
        <v>0</v>
      </c>
      <c r="P38" s="85">
        <f t="shared" si="70"/>
        <v>0</v>
      </c>
      <c r="Q38" s="85">
        <f t="shared" si="70"/>
        <v>0</v>
      </c>
      <c r="R38" s="85">
        <f t="shared" si="70"/>
        <v>0</v>
      </c>
      <c r="S38" s="85">
        <f t="shared" si="70"/>
        <v>0</v>
      </c>
      <c r="T38" s="85">
        <f t="shared" si="70"/>
        <v>0</v>
      </c>
      <c r="U38" s="85">
        <f t="shared" si="70"/>
        <v>0</v>
      </c>
      <c r="V38" s="85">
        <f t="shared" si="70"/>
        <v>0</v>
      </c>
      <c r="W38" s="85">
        <f t="shared" si="69"/>
        <v>0</v>
      </c>
      <c r="X38" s="85">
        <f t="shared" si="69"/>
        <v>0</v>
      </c>
      <c r="Y38" s="85">
        <f t="shared" si="69"/>
        <v>0</v>
      </c>
      <c r="Z38" s="85">
        <f t="shared" si="69"/>
        <v>0</v>
      </c>
      <c r="AA38" s="85">
        <f t="shared" si="69"/>
        <v>0</v>
      </c>
      <c r="AB38" s="85">
        <f t="shared" si="69"/>
        <v>0</v>
      </c>
      <c r="AC38" s="85">
        <f t="shared" si="69"/>
        <v>0</v>
      </c>
      <c r="AD38" s="85">
        <f t="shared" si="69"/>
        <v>0</v>
      </c>
      <c r="AE38" s="85">
        <f t="shared" si="69"/>
        <v>0</v>
      </c>
      <c r="AF38" s="85">
        <f t="shared" si="69"/>
        <v>0</v>
      </c>
      <c r="AG38" s="85">
        <f t="shared" si="69"/>
        <v>0</v>
      </c>
      <c r="AH38" s="85">
        <f t="shared" si="69"/>
        <v>0</v>
      </c>
      <c r="AI38" s="85">
        <f t="shared" si="69"/>
        <v>0</v>
      </c>
      <c r="AJ38" s="85">
        <v>0</v>
      </c>
      <c r="AK38" s="85">
        <v>0</v>
      </c>
      <c r="AL38" s="85">
        <v>0</v>
      </c>
      <c r="AM38" s="85">
        <v>0</v>
      </c>
      <c r="AN38" s="85">
        <v>0</v>
      </c>
      <c r="AO38" s="85">
        <v>0</v>
      </c>
      <c r="AP38" s="85">
        <v>0</v>
      </c>
      <c r="AQ38" s="85">
        <v>0</v>
      </c>
      <c r="AR38" s="85">
        <v>0</v>
      </c>
      <c r="AS38" s="85">
        <v>0</v>
      </c>
      <c r="AT38" s="85">
        <v>0</v>
      </c>
      <c r="AU38" s="85">
        <v>0</v>
      </c>
      <c r="AV38" s="75"/>
      <c r="AW38" s="96">
        <f t="shared" si="20"/>
        <v>0</v>
      </c>
      <c r="AX38" s="320">
        <f t="shared" si="7"/>
        <v>0</v>
      </c>
      <c r="AY38" s="320">
        <f t="shared" si="8"/>
        <v>0</v>
      </c>
      <c r="AZ38" s="320">
        <f t="shared" si="21"/>
        <v>0</v>
      </c>
      <c r="BA38" s="320">
        <f t="shared" si="9"/>
        <v>0</v>
      </c>
      <c r="BB38" s="320">
        <f t="shared" si="10"/>
        <v>0</v>
      </c>
      <c r="BC38" s="320">
        <f t="shared" si="11"/>
        <v>0</v>
      </c>
      <c r="BD38" s="320">
        <f t="shared" si="12"/>
        <v>0</v>
      </c>
      <c r="BE38" s="320">
        <f t="shared" si="13"/>
        <v>0</v>
      </c>
      <c r="BF38" s="320">
        <f t="shared" si="14"/>
        <v>0</v>
      </c>
      <c r="BG38" s="320">
        <f t="shared" si="22"/>
        <v>0</v>
      </c>
    </row>
    <row r="39" spans="1:59" x14ac:dyDescent="0.25">
      <c r="A39" s="583" t="s">
        <v>134</v>
      </c>
      <c r="B39" s="584">
        <v>0</v>
      </c>
      <c r="C39" s="585">
        <v>0</v>
      </c>
      <c r="D39" s="85">
        <f>$C$39*$B$39*3</f>
        <v>0</v>
      </c>
      <c r="E39" s="85">
        <f t="shared" ref="E39:V39" si="71">$B$39*$C$39*3</f>
        <v>0</v>
      </c>
      <c r="F39" s="85">
        <f t="shared" si="71"/>
        <v>0</v>
      </c>
      <c r="G39" s="85">
        <f t="shared" si="71"/>
        <v>0</v>
      </c>
      <c r="H39" s="85">
        <f t="shared" si="71"/>
        <v>0</v>
      </c>
      <c r="I39" s="85">
        <f t="shared" si="71"/>
        <v>0</v>
      </c>
      <c r="J39" s="85">
        <f t="shared" si="71"/>
        <v>0</v>
      </c>
      <c r="K39" s="85">
        <f t="shared" si="71"/>
        <v>0</v>
      </c>
      <c r="L39" s="85">
        <f t="shared" si="71"/>
        <v>0</v>
      </c>
      <c r="M39" s="85">
        <f t="shared" si="71"/>
        <v>0</v>
      </c>
      <c r="N39" s="85">
        <f t="shared" si="71"/>
        <v>0</v>
      </c>
      <c r="O39" s="85">
        <f t="shared" si="71"/>
        <v>0</v>
      </c>
      <c r="P39" s="85">
        <f t="shared" si="71"/>
        <v>0</v>
      </c>
      <c r="Q39" s="85">
        <f t="shared" si="71"/>
        <v>0</v>
      </c>
      <c r="R39" s="85">
        <f t="shared" si="71"/>
        <v>0</v>
      </c>
      <c r="S39" s="85">
        <f t="shared" si="71"/>
        <v>0</v>
      </c>
      <c r="T39" s="85">
        <f t="shared" si="71"/>
        <v>0</v>
      </c>
      <c r="U39" s="85">
        <f t="shared" si="71"/>
        <v>0</v>
      </c>
      <c r="V39" s="85">
        <f t="shared" si="71"/>
        <v>0</v>
      </c>
      <c r="W39" s="85">
        <f t="shared" si="69"/>
        <v>0</v>
      </c>
      <c r="X39" s="85">
        <f t="shared" si="69"/>
        <v>0</v>
      </c>
      <c r="Y39" s="85">
        <f t="shared" si="69"/>
        <v>0</v>
      </c>
      <c r="Z39" s="85">
        <f t="shared" si="69"/>
        <v>0</v>
      </c>
      <c r="AA39" s="85">
        <f t="shared" si="69"/>
        <v>0</v>
      </c>
      <c r="AB39" s="85">
        <f t="shared" si="69"/>
        <v>0</v>
      </c>
      <c r="AC39" s="85">
        <f t="shared" si="69"/>
        <v>0</v>
      </c>
      <c r="AD39" s="85">
        <f t="shared" si="69"/>
        <v>0</v>
      </c>
      <c r="AE39" s="85">
        <f t="shared" si="69"/>
        <v>0</v>
      </c>
      <c r="AF39" s="85">
        <f t="shared" si="69"/>
        <v>0</v>
      </c>
      <c r="AG39" s="85">
        <f t="shared" si="69"/>
        <v>0</v>
      </c>
      <c r="AH39" s="85">
        <f t="shared" si="69"/>
        <v>0</v>
      </c>
      <c r="AI39" s="85">
        <f t="shared" si="69"/>
        <v>0</v>
      </c>
      <c r="AJ39" s="85">
        <v>0</v>
      </c>
      <c r="AK39" s="85">
        <v>0</v>
      </c>
      <c r="AL39" s="85">
        <v>0</v>
      </c>
      <c r="AM39" s="85">
        <v>0</v>
      </c>
      <c r="AN39" s="85">
        <v>0</v>
      </c>
      <c r="AO39" s="85">
        <v>0</v>
      </c>
      <c r="AP39" s="85">
        <v>0</v>
      </c>
      <c r="AQ39" s="85">
        <v>0</v>
      </c>
      <c r="AR39" s="85">
        <v>0</v>
      </c>
      <c r="AS39" s="85">
        <v>0</v>
      </c>
      <c r="AT39" s="85">
        <v>0</v>
      </c>
      <c r="AU39" s="85">
        <v>0</v>
      </c>
      <c r="AV39" s="75"/>
      <c r="AW39" s="96">
        <f t="shared" si="20"/>
        <v>0</v>
      </c>
      <c r="AX39" s="320">
        <f t="shared" si="7"/>
        <v>0</v>
      </c>
      <c r="AY39" s="320">
        <f t="shared" si="8"/>
        <v>0</v>
      </c>
      <c r="AZ39" s="320">
        <f t="shared" si="21"/>
        <v>0</v>
      </c>
      <c r="BA39" s="320">
        <f t="shared" si="9"/>
        <v>0</v>
      </c>
      <c r="BB39" s="320">
        <f t="shared" si="10"/>
        <v>0</v>
      </c>
      <c r="BC39" s="320">
        <f t="shared" si="11"/>
        <v>0</v>
      </c>
      <c r="BD39" s="320">
        <f t="shared" si="12"/>
        <v>0</v>
      </c>
      <c r="BE39" s="320">
        <f t="shared" si="13"/>
        <v>0</v>
      </c>
      <c r="BF39" s="320">
        <f t="shared" si="14"/>
        <v>0</v>
      </c>
      <c r="BG39" s="320">
        <f t="shared" si="22"/>
        <v>0</v>
      </c>
    </row>
    <row r="40" spans="1:59" x14ac:dyDescent="0.25">
      <c r="A40" s="583" t="s">
        <v>135</v>
      </c>
      <c r="B40" s="584">
        <v>0</v>
      </c>
      <c r="C40" s="585">
        <v>0</v>
      </c>
      <c r="D40" s="85">
        <f>$C$40*$B$40*3</f>
        <v>0</v>
      </c>
      <c r="E40" s="85">
        <f t="shared" ref="E40:V40" si="72">$B$40*$C$40*3</f>
        <v>0</v>
      </c>
      <c r="F40" s="85">
        <f t="shared" si="72"/>
        <v>0</v>
      </c>
      <c r="G40" s="85">
        <f t="shared" si="72"/>
        <v>0</v>
      </c>
      <c r="H40" s="85">
        <f t="shared" si="72"/>
        <v>0</v>
      </c>
      <c r="I40" s="85">
        <f t="shared" si="72"/>
        <v>0</v>
      </c>
      <c r="J40" s="85">
        <f t="shared" si="72"/>
        <v>0</v>
      </c>
      <c r="K40" s="85">
        <f t="shared" si="72"/>
        <v>0</v>
      </c>
      <c r="L40" s="85">
        <f t="shared" si="72"/>
        <v>0</v>
      </c>
      <c r="M40" s="85">
        <f t="shared" si="72"/>
        <v>0</v>
      </c>
      <c r="N40" s="85">
        <f t="shared" si="72"/>
        <v>0</v>
      </c>
      <c r="O40" s="85">
        <f t="shared" si="72"/>
        <v>0</v>
      </c>
      <c r="P40" s="85">
        <f t="shared" si="72"/>
        <v>0</v>
      </c>
      <c r="Q40" s="85">
        <f t="shared" si="72"/>
        <v>0</v>
      </c>
      <c r="R40" s="85">
        <f t="shared" si="72"/>
        <v>0</v>
      </c>
      <c r="S40" s="85">
        <f t="shared" si="72"/>
        <v>0</v>
      </c>
      <c r="T40" s="85">
        <f t="shared" si="72"/>
        <v>0</v>
      </c>
      <c r="U40" s="85">
        <f t="shared" si="72"/>
        <v>0</v>
      </c>
      <c r="V40" s="85">
        <f t="shared" si="72"/>
        <v>0</v>
      </c>
      <c r="W40" s="85">
        <f t="shared" si="69"/>
        <v>0</v>
      </c>
      <c r="X40" s="85">
        <f t="shared" si="69"/>
        <v>0</v>
      </c>
      <c r="Y40" s="85">
        <f t="shared" si="69"/>
        <v>0</v>
      </c>
      <c r="Z40" s="85">
        <f t="shared" si="69"/>
        <v>0</v>
      </c>
      <c r="AA40" s="85">
        <f t="shared" si="69"/>
        <v>0</v>
      </c>
      <c r="AB40" s="85">
        <f t="shared" si="69"/>
        <v>0</v>
      </c>
      <c r="AC40" s="85">
        <f t="shared" si="69"/>
        <v>0</v>
      </c>
      <c r="AD40" s="85">
        <f t="shared" si="69"/>
        <v>0</v>
      </c>
      <c r="AE40" s="85">
        <f t="shared" si="69"/>
        <v>0</v>
      </c>
      <c r="AF40" s="85">
        <f t="shared" si="69"/>
        <v>0</v>
      </c>
      <c r="AG40" s="85">
        <f t="shared" si="69"/>
        <v>0</v>
      </c>
      <c r="AH40" s="85">
        <f t="shared" si="69"/>
        <v>0</v>
      </c>
      <c r="AI40" s="85">
        <f t="shared" si="69"/>
        <v>0</v>
      </c>
      <c r="AJ40" s="85">
        <v>0</v>
      </c>
      <c r="AK40" s="85">
        <v>0</v>
      </c>
      <c r="AL40" s="85">
        <v>0</v>
      </c>
      <c r="AM40" s="85">
        <v>0</v>
      </c>
      <c r="AN40" s="85">
        <v>0</v>
      </c>
      <c r="AO40" s="85">
        <v>0</v>
      </c>
      <c r="AP40" s="85">
        <v>0</v>
      </c>
      <c r="AQ40" s="85">
        <v>0</v>
      </c>
      <c r="AR40" s="85">
        <v>0</v>
      </c>
      <c r="AS40" s="85">
        <v>0</v>
      </c>
      <c r="AT40" s="85">
        <v>0</v>
      </c>
      <c r="AU40" s="85">
        <v>0</v>
      </c>
      <c r="AV40" s="75"/>
      <c r="AW40" s="96">
        <f t="shared" si="20"/>
        <v>0</v>
      </c>
      <c r="AX40" s="320">
        <f t="shared" si="7"/>
        <v>0</v>
      </c>
      <c r="AY40" s="320">
        <f t="shared" si="8"/>
        <v>0</v>
      </c>
      <c r="AZ40" s="320">
        <f t="shared" si="21"/>
        <v>0</v>
      </c>
      <c r="BA40" s="320">
        <f t="shared" si="9"/>
        <v>0</v>
      </c>
      <c r="BB40" s="320">
        <f t="shared" si="10"/>
        <v>0</v>
      </c>
      <c r="BC40" s="320">
        <f t="shared" si="11"/>
        <v>0</v>
      </c>
      <c r="BD40" s="320">
        <f t="shared" si="12"/>
        <v>0</v>
      </c>
      <c r="BE40" s="320">
        <f t="shared" si="13"/>
        <v>0</v>
      </c>
      <c r="BF40" s="320">
        <f t="shared" si="14"/>
        <v>0</v>
      </c>
      <c r="BG40" s="320">
        <f t="shared" si="22"/>
        <v>0</v>
      </c>
    </row>
    <row r="41" spans="1:59" x14ac:dyDescent="0.25">
      <c r="A41" s="583" t="s">
        <v>136</v>
      </c>
      <c r="B41" s="584">
        <v>0</v>
      </c>
      <c r="C41" s="585">
        <v>0</v>
      </c>
      <c r="D41" s="85">
        <f>$C$41*$B$41*3</f>
        <v>0</v>
      </c>
      <c r="E41" s="85">
        <f t="shared" ref="E41:V41" si="73">$B$41*$C$41*3</f>
        <v>0</v>
      </c>
      <c r="F41" s="85">
        <f t="shared" si="73"/>
        <v>0</v>
      </c>
      <c r="G41" s="85">
        <f t="shared" si="73"/>
        <v>0</v>
      </c>
      <c r="H41" s="85">
        <f t="shared" si="73"/>
        <v>0</v>
      </c>
      <c r="I41" s="85">
        <f t="shared" si="73"/>
        <v>0</v>
      </c>
      <c r="J41" s="85">
        <f t="shared" si="73"/>
        <v>0</v>
      </c>
      <c r="K41" s="85">
        <f t="shared" si="73"/>
        <v>0</v>
      </c>
      <c r="L41" s="85">
        <f t="shared" si="73"/>
        <v>0</v>
      </c>
      <c r="M41" s="85">
        <f t="shared" si="73"/>
        <v>0</v>
      </c>
      <c r="N41" s="85">
        <f t="shared" si="73"/>
        <v>0</v>
      </c>
      <c r="O41" s="85">
        <f t="shared" si="73"/>
        <v>0</v>
      </c>
      <c r="P41" s="85">
        <f t="shared" si="73"/>
        <v>0</v>
      </c>
      <c r="Q41" s="85">
        <f t="shared" si="73"/>
        <v>0</v>
      </c>
      <c r="R41" s="85">
        <f t="shared" si="73"/>
        <v>0</v>
      </c>
      <c r="S41" s="85">
        <f t="shared" si="73"/>
        <v>0</v>
      </c>
      <c r="T41" s="85">
        <f t="shared" si="73"/>
        <v>0</v>
      </c>
      <c r="U41" s="85">
        <f t="shared" si="73"/>
        <v>0</v>
      </c>
      <c r="V41" s="85">
        <f t="shared" si="73"/>
        <v>0</v>
      </c>
      <c r="W41" s="85">
        <f t="shared" si="69"/>
        <v>0</v>
      </c>
      <c r="X41" s="85">
        <f t="shared" si="69"/>
        <v>0</v>
      </c>
      <c r="Y41" s="85">
        <f t="shared" si="69"/>
        <v>0</v>
      </c>
      <c r="Z41" s="85">
        <f t="shared" si="69"/>
        <v>0</v>
      </c>
      <c r="AA41" s="85">
        <f t="shared" si="69"/>
        <v>0</v>
      </c>
      <c r="AB41" s="85">
        <f t="shared" si="69"/>
        <v>0</v>
      </c>
      <c r="AC41" s="85">
        <f t="shared" si="69"/>
        <v>0</v>
      </c>
      <c r="AD41" s="85">
        <f t="shared" si="69"/>
        <v>0</v>
      </c>
      <c r="AE41" s="85">
        <f t="shared" si="69"/>
        <v>0</v>
      </c>
      <c r="AF41" s="85">
        <f t="shared" si="69"/>
        <v>0</v>
      </c>
      <c r="AG41" s="85">
        <f t="shared" si="69"/>
        <v>0</v>
      </c>
      <c r="AH41" s="85">
        <f t="shared" si="69"/>
        <v>0</v>
      </c>
      <c r="AI41" s="85">
        <f t="shared" si="69"/>
        <v>0</v>
      </c>
      <c r="AJ41" s="85">
        <v>0</v>
      </c>
      <c r="AK41" s="85">
        <v>0</v>
      </c>
      <c r="AL41" s="85">
        <v>0</v>
      </c>
      <c r="AM41" s="85">
        <v>0</v>
      </c>
      <c r="AN41" s="85">
        <v>0</v>
      </c>
      <c r="AO41" s="85">
        <v>0</v>
      </c>
      <c r="AP41" s="85">
        <v>0</v>
      </c>
      <c r="AQ41" s="85">
        <v>0</v>
      </c>
      <c r="AR41" s="85">
        <v>0</v>
      </c>
      <c r="AS41" s="85">
        <v>0</v>
      </c>
      <c r="AT41" s="85">
        <v>0</v>
      </c>
      <c r="AU41" s="85">
        <v>0</v>
      </c>
      <c r="AV41" s="75"/>
      <c r="AW41" s="96">
        <f t="shared" si="20"/>
        <v>0</v>
      </c>
      <c r="AX41" s="320">
        <f t="shared" si="7"/>
        <v>0</v>
      </c>
      <c r="AY41" s="320">
        <f t="shared" si="8"/>
        <v>0</v>
      </c>
      <c r="AZ41" s="320">
        <f t="shared" si="21"/>
        <v>0</v>
      </c>
      <c r="BA41" s="320">
        <f t="shared" si="9"/>
        <v>0</v>
      </c>
      <c r="BB41" s="320">
        <f t="shared" si="10"/>
        <v>0</v>
      </c>
      <c r="BC41" s="320">
        <f t="shared" si="11"/>
        <v>0</v>
      </c>
      <c r="BD41" s="320">
        <f t="shared" si="12"/>
        <v>0</v>
      </c>
      <c r="BE41" s="320">
        <f t="shared" si="13"/>
        <v>0</v>
      </c>
      <c r="BF41" s="320">
        <f t="shared" si="14"/>
        <v>0</v>
      </c>
      <c r="BG41" s="320">
        <f t="shared" si="22"/>
        <v>0</v>
      </c>
    </row>
    <row r="42" spans="1:59" x14ac:dyDescent="0.25">
      <c r="A42" s="583" t="s">
        <v>137</v>
      </c>
      <c r="B42" s="584">
        <v>0</v>
      </c>
      <c r="C42" s="585">
        <v>0</v>
      </c>
      <c r="D42" s="85">
        <f>$C$42*$B$42*3</f>
        <v>0</v>
      </c>
      <c r="E42" s="85">
        <f t="shared" ref="E42:V42" si="74">$B$42*$C$42*3</f>
        <v>0</v>
      </c>
      <c r="F42" s="85">
        <f t="shared" si="74"/>
        <v>0</v>
      </c>
      <c r="G42" s="85">
        <f t="shared" si="74"/>
        <v>0</v>
      </c>
      <c r="H42" s="85">
        <f t="shared" si="74"/>
        <v>0</v>
      </c>
      <c r="I42" s="85">
        <f t="shared" si="74"/>
        <v>0</v>
      </c>
      <c r="J42" s="85">
        <f t="shared" si="74"/>
        <v>0</v>
      </c>
      <c r="K42" s="85">
        <f t="shared" si="74"/>
        <v>0</v>
      </c>
      <c r="L42" s="85">
        <f t="shared" si="74"/>
        <v>0</v>
      </c>
      <c r="M42" s="85">
        <f t="shared" si="74"/>
        <v>0</v>
      </c>
      <c r="N42" s="85">
        <f t="shared" si="74"/>
        <v>0</v>
      </c>
      <c r="O42" s="85">
        <f t="shared" si="74"/>
        <v>0</v>
      </c>
      <c r="P42" s="85">
        <f t="shared" si="74"/>
        <v>0</v>
      </c>
      <c r="Q42" s="85">
        <f t="shared" si="74"/>
        <v>0</v>
      </c>
      <c r="R42" s="85">
        <f t="shared" si="74"/>
        <v>0</v>
      </c>
      <c r="S42" s="85">
        <f t="shared" si="74"/>
        <v>0</v>
      </c>
      <c r="T42" s="85">
        <f t="shared" si="74"/>
        <v>0</v>
      </c>
      <c r="U42" s="85">
        <f t="shared" si="74"/>
        <v>0</v>
      </c>
      <c r="V42" s="85">
        <f t="shared" si="74"/>
        <v>0</v>
      </c>
      <c r="W42" s="85">
        <f t="shared" si="69"/>
        <v>0</v>
      </c>
      <c r="X42" s="85">
        <f t="shared" si="69"/>
        <v>0</v>
      </c>
      <c r="Y42" s="85">
        <f t="shared" si="69"/>
        <v>0</v>
      </c>
      <c r="Z42" s="85">
        <f t="shared" si="69"/>
        <v>0</v>
      </c>
      <c r="AA42" s="85">
        <f t="shared" si="69"/>
        <v>0</v>
      </c>
      <c r="AB42" s="85">
        <f t="shared" si="69"/>
        <v>0</v>
      </c>
      <c r="AC42" s="85">
        <f t="shared" si="69"/>
        <v>0</v>
      </c>
      <c r="AD42" s="85">
        <f t="shared" si="69"/>
        <v>0</v>
      </c>
      <c r="AE42" s="85">
        <f t="shared" si="69"/>
        <v>0</v>
      </c>
      <c r="AF42" s="85">
        <f t="shared" si="69"/>
        <v>0</v>
      </c>
      <c r="AG42" s="85">
        <f t="shared" si="69"/>
        <v>0</v>
      </c>
      <c r="AH42" s="85">
        <f t="shared" si="69"/>
        <v>0</v>
      </c>
      <c r="AI42" s="85">
        <f t="shared" si="69"/>
        <v>0</v>
      </c>
      <c r="AJ42" s="85">
        <v>0</v>
      </c>
      <c r="AK42" s="85">
        <v>0</v>
      </c>
      <c r="AL42" s="85">
        <v>0</v>
      </c>
      <c r="AM42" s="85">
        <v>0</v>
      </c>
      <c r="AN42" s="85">
        <v>0</v>
      </c>
      <c r="AO42" s="85">
        <v>0</v>
      </c>
      <c r="AP42" s="85">
        <v>0</v>
      </c>
      <c r="AQ42" s="85">
        <v>0</v>
      </c>
      <c r="AR42" s="85">
        <v>0</v>
      </c>
      <c r="AS42" s="85">
        <v>0</v>
      </c>
      <c r="AT42" s="85">
        <v>0</v>
      </c>
      <c r="AU42" s="85">
        <v>0</v>
      </c>
      <c r="AV42" s="75"/>
      <c r="AW42" s="96">
        <f t="shared" si="20"/>
        <v>0</v>
      </c>
      <c r="AX42" s="320">
        <f t="shared" si="7"/>
        <v>0</v>
      </c>
      <c r="AY42" s="320">
        <f t="shared" si="8"/>
        <v>0</v>
      </c>
      <c r="AZ42" s="320">
        <f t="shared" si="21"/>
        <v>0</v>
      </c>
      <c r="BA42" s="320">
        <f t="shared" si="9"/>
        <v>0</v>
      </c>
      <c r="BB42" s="320">
        <f t="shared" si="10"/>
        <v>0</v>
      </c>
      <c r="BC42" s="320">
        <f t="shared" si="11"/>
        <v>0</v>
      </c>
      <c r="BD42" s="320">
        <f t="shared" si="12"/>
        <v>0</v>
      </c>
      <c r="BE42" s="320">
        <f t="shared" si="13"/>
        <v>0</v>
      </c>
      <c r="BF42" s="320">
        <f t="shared" si="14"/>
        <v>0</v>
      </c>
      <c r="BG42" s="320">
        <f t="shared" si="22"/>
        <v>0</v>
      </c>
    </row>
    <row r="43" spans="1:59" x14ac:dyDescent="0.25">
      <c r="A43" s="583" t="s">
        <v>138</v>
      </c>
      <c r="B43" s="584">
        <v>0</v>
      </c>
      <c r="C43" s="585">
        <v>0</v>
      </c>
      <c r="D43" s="85">
        <f>$C$43*$B$43*3</f>
        <v>0</v>
      </c>
      <c r="E43" s="85">
        <f t="shared" ref="E43:V43" si="75">$B$43*$C$43*3</f>
        <v>0</v>
      </c>
      <c r="F43" s="85">
        <f t="shared" si="75"/>
        <v>0</v>
      </c>
      <c r="G43" s="85">
        <f t="shared" si="75"/>
        <v>0</v>
      </c>
      <c r="H43" s="85">
        <f t="shared" si="75"/>
        <v>0</v>
      </c>
      <c r="I43" s="85">
        <f t="shared" si="75"/>
        <v>0</v>
      </c>
      <c r="J43" s="85">
        <f t="shared" si="75"/>
        <v>0</v>
      </c>
      <c r="K43" s="85">
        <f t="shared" si="75"/>
        <v>0</v>
      </c>
      <c r="L43" s="85">
        <f t="shared" si="75"/>
        <v>0</v>
      </c>
      <c r="M43" s="85">
        <f t="shared" si="75"/>
        <v>0</v>
      </c>
      <c r="N43" s="85">
        <f t="shared" si="75"/>
        <v>0</v>
      </c>
      <c r="O43" s="85">
        <f t="shared" si="75"/>
        <v>0</v>
      </c>
      <c r="P43" s="85">
        <f t="shared" si="75"/>
        <v>0</v>
      </c>
      <c r="Q43" s="85">
        <f t="shared" si="75"/>
        <v>0</v>
      </c>
      <c r="R43" s="85">
        <f t="shared" si="75"/>
        <v>0</v>
      </c>
      <c r="S43" s="85">
        <f t="shared" si="75"/>
        <v>0</v>
      </c>
      <c r="T43" s="85">
        <f t="shared" si="75"/>
        <v>0</v>
      </c>
      <c r="U43" s="85">
        <f t="shared" si="75"/>
        <v>0</v>
      </c>
      <c r="V43" s="85">
        <f t="shared" si="75"/>
        <v>0</v>
      </c>
      <c r="W43" s="85">
        <f t="shared" si="69"/>
        <v>0</v>
      </c>
      <c r="X43" s="85">
        <f t="shared" si="69"/>
        <v>0</v>
      </c>
      <c r="Y43" s="85">
        <f t="shared" si="69"/>
        <v>0</v>
      </c>
      <c r="Z43" s="85">
        <f t="shared" si="69"/>
        <v>0</v>
      </c>
      <c r="AA43" s="85">
        <f t="shared" si="69"/>
        <v>0</v>
      </c>
      <c r="AB43" s="85">
        <f t="shared" si="69"/>
        <v>0</v>
      </c>
      <c r="AC43" s="85">
        <f t="shared" si="69"/>
        <v>0</v>
      </c>
      <c r="AD43" s="85">
        <f t="shared" si="69"/>
        <v>0</v>
      </c>
      <c r="AE43" s="85">
        <f t="shared" si="69"/>
        <v>0</v>
      </c>
      <c r="AF43" s="85">
        <f t="shared" si="69"/>
        <v>0</v>
      </c>
      <c r="AG43" s="85">
        <f t="shared" si="69"/>
        <v>0</v>
      </c>
      <c r="AH43" s="85">
        <f t="shared" si="69"/>
        <v>0</v>
      </c>
      <c r="AI43" s="85">
        <f t="shared" si="69"/>
        <v>0</v>
      </c>
      <c r="AJ43" s="85">
        <v>0</v>
      </c>
      <c r="AK43" s="85">
        <v>0</v>
      </c>
      <c r="AL43" s="85">
        <v>0</v>
      </c>
      <c r="AM43" s="85">
        <v>0</v>
      </c>
      <c r="AN43" s="85">
        <v>0</v>
      </c>
      <c r="AO43" s="85">
        <v>0</v>
      </c>
      <c r="AP43" s="85">
        <v>0</v>
      </c>
      <c r="AQ43" s="85">
        <v>0</v>
      </c>
      <c r="AR43" s="85">
        <v>0</v>
      </c>
      <c r="AS43" s="85">
        <v>0</v>
      </c>
      <c r="AT43" s="85">
        <v>0</v>
      </c>
      <c r="AU43" s="85">
        <v>0</v>
      </c>
      <c r="AV43" s="75"/>
      <c r="AW43" s="96">
        <f t="shared" si="20"/>
        <v>0</v>
      </c>
      <c r="AX43" s="320">
        <f t="shared" si="7"/>
        <v>0</v>
      </c>
      <c r="AY43" s="320">
        <f t="shared" si="8"/>
        <v>0</v>
      </c>
      <c r="AZ43" s="320">
        <f t="shared" si="21"/>
        <v>0</v>
      </c>
      <c r="BA43" s="320">
        <f t="shared" si="9"/>
        <v>0</v>
      </c>
      <c r="BB43" s="320">
        <f t="shared" si="10"/>
        <v>0</v>
      </c>
      <c r="BC43" s="320">
        <f t="shared" si="11"/>
        <v>0</v>
      </c>
      <c r="BD43" s="320">
        <f t="shared" si="12"/>
        <v>0</v>
      </c>
      <c r="BE43" s="320">
        <f t="shared" si="13"/>
        <v>0</v>
      </c>
      <c r="BF43" s="320">
        <f t="shared" si="14"/>
        <v>0</v>
      </c>
      <c r="BG43" s="320">
        <f t="shared" si="22"/>
        <v>0</v>
      </c>
    </row>
    <row r="44" spans="1:59" x14ac:dyDescent="0.25">
      <c r="A44" s="583" t="s">
        <v>139</v>
      </c>
      <c r="B44" s="584">
        <v>0</v>
      </c>
      <c r="C44" s="585">
        <v>0</v>
      </c>
      <c r="D44" s="85">
        <f>$C$44*$B$44*3</f>
        <v>0</v>
      </c>
      <c r="E44" s="85">
        <f t="shared" ref="E44:V44" si="76">$B$44*$C$44*3</f>
        <v>0</v>
      </c>
      <c r="F44" s="85">
        <f t="shared" si="76"/>
        <v>0</v>
      </c>
      <c r="G44" s="85">
        <f t="shared" si="76"/>
        <v>0</v>
      </c>
      <c r="H44" s="85">
        <f t="shared" si="76"/>
        <v>0</v>
      </c>
      <c r="I44" s="85">
        <f t="shared" si="76"/>
        <v>0</v>
      </c>
      <c r="J44" s="85">
        <f t="shared" si="76"/>
        <v>0</v>
      </c>
      <c r="K44" s="85">
        <f t="shared" si="76"/>
        <v>0</v>
      </c>
      <c r="L44" s="85">
        <f t="shared" si="76"/>
        <v>0</v>
      </c>
      <c r="M44" s="85">
        <f t="shared" si="76"/>
        <v>0</v>
      </c>
      <c r="N44" s="85">
        <f t="shared" si="76"/>
        <v>0</v>
      </c>
      <c r="O44" s="85">
        <f t="shared" si="76"/>
        <v>0</v>
      </c>
      <c r="P44" s="85">
        <f t="shared" si="76"/>
        <v>0</v>
      </c>
      <c r="Q44" s="85">
        <f t="shared" si="76"/>
        <v>0</v>
      </c>
      <c r="R44" s="85">
        <f t="shared" si="76"/>
        <v>0</v>
      </c>
      <c r="S44" s="85">
        <f t="shared" si="76"/>
        <v>0</v>
      </c>
      <c r="T44" s="85">
        <f t="shared" si="76"/>
        <v>0</v>
      </c>
      <c r="U44" s="85">
        <f t="shared" si="76"/>
        <v>0</v>
      </c>
      <c r="V44" s="85">
        <f t="shared" si="76"/>
        <v>0</v>
      </c>
      <c r="W44" s="85">
        <f t="shared" si="69"/>
        <v>0</v>
      </c>
      <c r="X44" s="85">
        <f t="shared" si="69"/>
        <v>0</v>
      </c>
      <c r="Y44" s="85">
        <f t="shared" si="69"/>
        <v>0</v>
      </c>
      <c r="Z44" s="85">
        <f t="shared" si="69"/>
        <v>0</v>
      </c>
      <c r="AA44" s="85">
        <f t="shared" si="69"/>
        <v>0</v>
      </c>
      <c r="AB44" s="85">
        <f t="shared" si="69"/>
        <v>0</v>
      </c>
      <c r="AC44" s="85">
        <f t="shared" si="69"/>
        <v>0</v>
      </c>
      <c r="AD44" s="85">
        <f t="shared" si="69"/>
        <v>0</v>
      </c>
      <c r="AE44" s="85">
        <f t="shared" si="69"/>
        <v>0</v>
      </c>
      <c r="AF44" s="85">
        <f t="shared" si="69"/>
        <v>0</v>
      </c>
      <c r="AG44" s="85">
        <f t="shared" si="69"/>
        <v>0</v>
      </c>
      <c r="AH44" s="85">
        <f t="shared" si="69"/>
        <v>0</v>
      </c>
      <c r="AI44" s="85">
        <f t="shared" si="69"/>
        <v>0</v>
      </c>
      <c r="AJ44" s="85">
        <v>0</v>
      </c>
      <c r="AK44" s="85">
        <v>0</v>
      </c>
      <c r="AL44" s="85">
        <v>0</v>
      </c>
      <c r="AM44" s="85">
        <v>0</v>
      </c>
      <c r="AN44" s="85">
        <v>0</v>
      </c>
      <c r="AO44" s="85">
        <v>0</v>
      </c>
      <c r="AP44" s="85">
        <v>0</v>
      </c>
      <c r="AQ44" s="85">
        <v>0</v>
      </c>
      <c r="AR44" s="85">
        <v>0</v>
      </c>
      <c r="AS44" s="85">
        <v>0</v>
      </c>
      <c r="AT44" s="85">
        <v>0</v>
      </c>
      <c r="AU44" s="85">
        <v>0</v>
      </c>
      <c r="AV44" s="75"/>
      <c r="AW44" s="96">
        <f t="shared" si="20"/>
        <v>0</v>
      </c>
      <c r="AX44" s="320">
        <f t="shared" si="7"/>
        <v>0</v>
      </c>
      <c r="AY44" s="320">
        <f t="shared" si="8"/>
        <v>0</v>
      </c>
      <c r="AZ44" s="320">
        <f t="shared" si="21"/>
        <v>0</v>
      </c>
      <c r="BA44" s="320">
        <f t="shared" si="9"/>
        <v>0</v>
      </c>
      <c r="BB44" s="320">
        <f t="shared" si="10"/>
        <v>0</v>
      </c>
      <c r="BC44" s="320">
        <f t="shared" si="11"/>
        <v>0</v>
      </c>
      <c r="BD44" s="320">
        <f t="shared" si="12"/>
        <v>0</v>
      </c>
      <c r="BE44" s="320">
        <f t="shared" si="13"/>
        <v>0</v>
      </c>
      <c r="BF44" s="320">
        <f t="shared" si="14"/>
        <v>0</v>
      </c>
      <c r="BG44" s="320">
        <f t="shared" si="22"/>
        <v>0</v>
      </c>
    </row>
    <row r="45" spans="1:59" x14ac:dyDescent="0.25">
      <c r="A45" s="583" t="s">
        <v>140</v>
      </c>
      <c r="B45" s="584">
        <v>0</v>
      </c>
      <c r="C45" s="585">
        <v>0</v>
      </c>
      <c r="D45" s="85">
        <f>$C$45*$B$45*3</f>
        <v>0</v>
      </c>
      <c r="E45" s="85">
        <f>$B$45*$C$45*3</f>
        <v>0</v>
      </c>
      <c r="F45" s="85">
        <f t="shared" ref="F45:V45" si="77">$B$45*$C$45*3</f>
        <v>0</v>
      </c>
      <c r="G45" s="85">
        <f t="shared" si="77"/>
        <v>0</v>
      </c>
      <c r="H45" s="85">
        <f t="shared" si="77"/>
        <v>0</v>
      </c>
      <c r="I45" s="85">
        <f t="shared" si="77"/>
        <v>0</v>
      </c>
      <c r="J45" s="85">
        <f t="shared" si="77"/>
        <v>0</v>
      </c>
      <c r="K45" s="85">
        <f t="shared" si="77"/>
        <v>0</v>
      </c>
      <c r="L45" s="85">
        <f t="shared" si="77"/>
        <v>0</v>
      </c>
      <c r="M45" s="85">
        <f t="shared" si="77"/>
        <v>0</v>
      </c>
      <c r="N45" s="85">
        <f t="shared" si="77"/>
        <v>0</v>
      </c>
      <c r="O45" s="85">
        <f t="shared" si="77"/>
        <v>0</v>
      </c>
      <c r="P45" s="85">
        <f t="shared" si="77"/>
        <v>0</v>
      </c>
      <c r="Q45" s="85">
        <f t="shared" si="77"/>
        <v>0</v>
      </c>
      <c r="R45" s="85">
        <f t="shared" si="77"/>
        <v>0</v>
      </c>
      <c r="S45" s="85">
        <f t="shared" si="77"/>
        <v>0</v>
      </c>
      <c r="T45" s="85">
        <f t="shared" si="77"/>
        <v>0</v>
      </c>
      <c r="U45" s="85">
        <f t="shared" si="77"/>
        <v>0</v>
      </c>
      <c r="V45" s="85">
        <f t="shared" si="77"/>
        <v>0</v>
      </c>
      <c r="W45" s="85">
        <f t="shared" si="69"/>
        <v>0</v>
      </c>
      <c r="X45" s="85">
        <f t="shared" si="69"/>
        <v>0</v>
      </c>
      <c r="Y45" s="85">
        <f t="shared" si="69"/>
        <v>0</v>
      </c>
      <c r="Z45" s="85">
        <f t="shared" si="69"/>
        <v>0</v>
      </c>
      <c r="AA45" s="85">
        <f t="shared" si="69"/>
        <v>0</v>
      </c>
      <c r="AB45" s="85">
        <f t="shared" si="69"/>
        <v>0</v>
      </c>
      <c r="AC45" s="85">
        <f t="shared" si="69"/>
        <v>0</v>
      </c>
      <c r="AD45" s="85">
        <f t="shared" si="69"/>
        <v>0</v>
      </c>
      <c r="AE45" s="85">
        <f t="shared" si="69"/>
        <v>0</v>
      </c>
      <c r="AF45" s="85">
        <f t="shared" si="69"/>
        <v>0</v>
      </c>
      <c r="AG45" s="85">
        <f t="shared" si="69"/>
        <v>0</v>
      </c>
      <c r="AH45" s="85">
        <f t="shared" si="69"/>
        <v>0</v>
      </c>
      <c r="AI45" s="85">
        <f t="shared" si="69"/>
        <v>0</v>
      </c>
      <c r="AJ45" s="85">
        <v>0</v>
      </c>
      <c r="AK45" s="85">
        <v>0</v>
      </c>
      <c r="AL45" s="85">
        <v>0</v>
      </c>
      <c r="AM45" s="85">
        <v>0</v>
      </c>
      <c r="AN45" s="85">
        <v>0</v>
      </c>
      <c r="AO45" s="85">
        <v>0</v>
      </c>
      <c r="AP45" s="85">
        <v>0</v>
      </c>
      <c r="AQ45" s="85">
        <v>0</v>
      </c>
      <c r="AR45" s="85">
        <v>0</v>
      </c>
      <c r="AS45" s="85">
        <v>0</v>
      </c>
      <c r="AT45" s="85">
        <v>0</v>
      </c>
      <c r="AU45" s="85">
        <v>0</v>
      </c>
      <c r="AV45" s="75"/>
      <c r="AW45" s="96">
        <f t="shared" si="20"/>
        <v>0</v>
      </c>
      <c r="AX45" s="320">
        <f t="shared" si="7"/>
        <v>0</v>
      </c>
      <c r="AY45" s="320">
        <f t="shared" si="8"/>
        <v>0</v>
      </c>
      <c r="AZ45" s="320">
        <f t="shared" si="21"/>
        <v>0</v>
      </c>
      <c r="BA45" s="320">
        <f t="shared" si="9"/>
        <v>0</v>
      </c>
      <c r="BB45" s="320">
        <f t="shared" si="10"/>
        <v>0</v>
      </c>
      <c r="BC45" s="320">
        <f t="shared" si="11"/>
        <v>0</v>
      </c>
      <c r="BD45" s="320">
        <f t="shared" si="12"/>
        <v>0</v>
      </c>
      <c r="BE45" s="320">
        <f t="shared" si="13"/>
        <v>0</v>
      </c>
      <c r="BF45" s="320">
        <f t="shared" si="14"/>
        <v>0</v>
      </c>
      <c r="BG45" s="320">
        <f t="shared" si="22"/>
        <v>0</v>
      </c>
    </row>
    <row r="46" spans="1:59" ht="30" x14ac:dyDescent="0.25">
      <c r="A46" s="583" t="s">
        <v>141</v>
      </c>
      <c r="B46" s="584">
        <v>0</v>
      </c>
      <c r="C46" s="585">
        <v>0</v>
      </c>
      <c r="D46" s="85">
        <f>$C$46*$B$46*3</f>
        <v>0</v>
      </c>
      <c r="E46" s="85">
        <f t="shared" ref="E46:AQ46" si="78">$C$46*$B$46*3</f>
        <v>0</v>
      </c>
      <c r="F46" s="85">
        <f t="shared" si="78"/>
        <v>0</v>
      </c>
      <c r="G46" s="85">
        <f t="shared" si="78"/>
        <v>0</v>
      </c>
      <c r="H46" s="85">
        <f t="shared" si="78"/>
        <v>0</v>
      </c>
      <c r="I46" s="85">
        <f t="shared" si="78"/>
        <v>0</v>
      </c>
      <c r="J46" s="85">
        <f t="shared" si="78"/>
        <v>0</v>
      </c>
      <c r="K46" s="85">
        <f t="shared" si="78"/>
        <v>0</v>
      </c>
      <c r="L46" s="85">
        <f t="shared" si="78"/>
        <v>0</v>
      </c>
      <c r="M46" s="85">
        <f t="shared" si="78"/>
        <v>0</v>
      </c>
      <c r="N46" s="85">
        <f t="shared" si="78"/>
        <v>0</v>
      </c>
      <c r="O46" s="85">
        <f t="shared" si="78"/>
        <v>0</v>
      </c>
      <c r="P46" s="85">
        <f t="shared" si="78"/>
        <v>0</v>
      </c>
      <c r="Q46" s="85">
        <f t="shared" si="78"/>
        <v>0</v>
      </c>
      <c r="R46" s="85">
        <f t="shared" si="78"/>
        <v>0</v>
      </c>
      <c r="S46" s="85">
        <f t="shared" si="78"/>
        <v>0</v>
      </c>
      <c r="T46" s="85">
        <f t="shared" si="78"/>
        <v>0</v>
      </c>
      <c r="U46" s="85">
        <f t="shared" si="78"/>
        <v>0</v>
      </c>
      <c r="V46" s="85">
        <f t="shared" si="78"/>
        <v>0</v>
      </c>
      <c r="W46" s="85">
        <f t="shared" si="78"/>
        <v>0</v>
      </c>
      <c r="X46" s="85">
        <f t="shared" si="78"/>
        <v>0</v>
      </c>
      <c r="Y46" s="85">
        <f t="shared" si="78"/>
        <v>0</v>
      </c>
      <c r="Z46" s="85">
        <f t="shared" si="78"/>
        <v>0</v>
      </c>
      <c r="AA46" s="85">
        <f t="shared" si="78"/>
        <v>0</v>
      </c>
      <c r="AB46" s="85">
        <f t="shared" si="78"/>
        <v>0</v>
      </c>
      <c r="AC46" s="85">
        <f t="shared" si="78"/>
        <v>0</v>
      </c>
      <c r="AD46" s="85">
        <f t="shared" si="78"/>
        <v>0</v>
      </c>
      <c r="AE46" s="85">
        <f t="shared" si="78"/>
        <v>0</v>
      </c>
      <c r="AF46" s="85">
        <f t="shared" si="78"/>
        <v>0</v>
      </c>
      <c r="AG46" s="85">
        <f t="shared" si="78"/>
        <v>0</v>
      </c>
      <c r="AH46" s="85">
        <f t="shared" si="78"/>
        <v>0</v>
      </c>
      <c r="AI46" s="85">
        <f t="shared" si="78"/>
        <v>0</v>
      </c>
      <c r="AJ46" s="85">
        <f t="shared" si="78"/>
        <v>0</v>
      </c>
      <c r="AK46" s="85">
        <f t="shared" si="78"/>
        <v>0</v>
      </c>
      <c r="AL46" s="85">
        <f t="shared" si="78"/>
        <v>0</v>
      </c>
      <c r="AM46" s="85">
        <f t="shared" si="78"/>
        <v>0</v>
      </c>
      <c r="AN46" s="85">
        <f t="shared" si="78"/>
        <v>0</v>
      </c>
      <c r="AO46" s="85">
        <f t="shared" si="78"/>
        <v>0</v>
      </c>
      <c r="AP46" s="85">
        <f t="shared" si="78"/>
        <v>0</v>
      </c>
      <c r="AQ46" s="85">
        <f t="shared" si="78"/>
        <v>0</v>
      </c>
      <c r="AR46" s="85">
        <v>0</v>
      </c>
      <c r="AS46" s="85">
        <v>0</v>
      </c>
      <c r="AT46" s="85">
        <v>0</v>
      </c>
      <c r="AU46" s="85">
        <v>0</v>
      </c>
      <c r="AV46" s="75"/>
      <c r="AW46" s="96">
        <f t="shared" si="20"/>
        <v>0</v>
      </c>
      <c r="AX46" s="320">
        <f t="shared" si="7"/>
        <v>0</v>
      </c>
      <c r="AY46" s="320">
        <f t="shared" si="8"/>
        <v>0</v>
      </c>
      <c r="AZ46" s="320">
        <f t="shared" si="21"/>
        <v>0</v>
      </c>
      <c r="BA46" s="320">
        <f t="shared" si="9"/>
        <v>0</v>
      </c>
      <c r="BB46" s="320">
        <f t="shared" si="10"/>
        <v>0</v>
      </c>
      <c r="BC46" s="320">
        <f t="shared" si="11"/>
        <v>0</v>
      </c>
      <c r="BD46" s="320">
        <f t="shared" si="12"/>
        <v>0</v>
      </c>
      <c r="BE46" s="320">
        <f t="shared" si="13"/>
        <v>0</v>
      </c>
      <c r="BF46" s="320">
        <f t="shared" si="14"/>
        <v>0</v>
      </c>
      <c r="BG46" s="320">
        <f t="shared" si="22"/>
        <v>0</v>
      </c>
    </row>
    <row r="47" spans="1:59" s="86" customFormat="1" ht="30" x14ac:dyDescent="0.25">
      <c r="A47" s="576" t="s">
        <v>114</v>
      </c>
      <c r="B47" s="90">
        <f>SUM(B37:B46)</f>
        <v>0</v>
      </c>
      <c r="C47" s="90">
        <f>SUM(C37:C46)</f>
        <v>0</v>
      </c>
      <c r="D47" s="90">
        <f>SUM(D37:D46)</f>
        <v>0</v>
      </c>
      <c r="E47" s="90">
        <f>SUM(E37:E46)</f>
        <v>0</v>
      </c>
      <c r="F47" s="90">
        <f t="shared" ref="F47:AU47" si="79">SUM(F37:F46)</f>
        <v>0</v>
      </c>
      <c r="G47" s="90">
        <f t="shared" si="79"/>
        <v>0</v>
      </c>
      <c r="H47" s="90">
        <f t="shared" si="79"/>
        <v>0</v>
      </c>
      <c r="I47" s="90">
        <f t="shared" si="79"/>
        <v>0</v>
      </c>
      <c r="J47" s="90">
        <f t="shared" si="79"/>
        <v>0</v>
      </c>
      <c r="K47" s="90">
        <f t="shared" si="79"/>
        <v>0</v>
      </c>
      <c r="L47" s="90">
        <f t="shared" si="79"/>
        <v>0</v>
      </c>
      <c r="M47" s="90">
        <f t="shared" si="79"/>
        <v>0</v>
      </c>
      <c r="N47" s="90">
        <f t="shared" si="79"/>
        <v>0</v>
      </c>
      <c r="O47" s="90">
        <f t="shared" si="79"/>
        <v>0</v>
      </c>
      <c r="P47" s="90">
        <f t="shared" si="79"/>
        <v>0</v>
      </c>
      <c r="Q47" s="90">
        <f t="shared" si="79"/>
        <v>0</v>
      </c>
      <c r="R47" s="90">
        <f t="shared" si="79"/>
        <v>0</v>
      </c>
      <c r="S47" s="90">
        <f t="shared" si="79"/>
        <v>0</v>
      </c>
      <c r="T47" s="90">
        <f t="shared" si="79"/>
        <v>0</v>
      </c>
      <c r="U47" s="90">
        <f t="shared" si="79"/>
        <v>0</v>
      </c>
      <c r="V47" s="90">
        <f t="shared" si="79"/>
        <v>0</v>
      </c>
      <c r="W47" s="90">
        <f t="shared" si="79"/>
        <v>0</v>
      </c>
      <c r="X47" s="90">
        <f t="shared" si="79"/>
        <v>0</v>
      </c>
      <c r="Y47" s="90">
        <f t="shared" si="79"/>
        <v>0</v>
      </c>
      <c r="Z47" s="90">
        <f t="shared" si="79"/>
        <v>0</v>
      </c>
      <c r="AA47" s="90">
        <f t="shared" si="79"/>
        <v>0</v>
      </c>
      <c r="AB47" s="90">
        <f t="shared" si="79"/>
        <v>0</v>
      </c>
      <c r="AC47" s="90">
        <f t="shared" si="79"/>
        <v>0</v>
      </c>
      <c r="AD47" s="90">
        <f t="shared" si="79"/>
        <v>0</v>
      </c>
      <c r="AE47" s="90">
        <f t="shared" si="79"/>
        <v>0</v>
      </c>
      <c r="AF47" s="90">
        <f t="shared" si="79"/>
        <v>0</v>
      </c>
      <c r="AG47" s="90">
        <f t="shared" si="79"/>
        <v>0</v>
      </c>
      <c r="AH47" s="90">
        <f t="shared" si="79"/>
        <v>0</v>
      </c>
      <c r="AI47" s="90">
        <f t="shared" si="79"/>
        <v>0</v>
      </c>
      <c r="AJ47" s="90">
        <f t="shared" si="79"/>
        <v>0</v>
      </c>
      <c r="AK47" s="90">
        <f t="shared" si="79"/>
        <v>0</v>
      </c>
      <c r="AL47" s="90">
        <f t="shared" si="79"/>
        <v>0</v>
      </c>
      <c r="AM47" s="90">
        <f t="shared" si="79"/>
        <v>0</v>
      </c>
      <c r="AN47" s="90">
        <f t="shared" si="79"/>
        <v>0</v>
      </c>
      <c r="AO47" s="90">
        <f t="shared" si="79"/>
        <v>0</v>
      </c>
      <c r="AP47" s="90">
        <f t="shared" si="79"/>
        <v>0</v>
      </c>
      <c r="AQ47" s="90">
        <f t="shared" si="79"/>
        <v>0</v>
      </c>
      <c r="AR47" s="90">
        <f t="shared" si="79"/>
        <v>0</v>
      </c>
      <c r="AS47" s="90">
        <f t="shared" si="79"/>
        <v>0</v>
      </c>
      <c r="AT47" s="90">
        <f t="shared" si="79"/>
        <v>0</v>
      </c>
      <c r="AU47" s="90">
        <f t="shared" si="79"/>
        <v>0</v>
      </c>
      <c r="AV47" s="88"/>
      <c r="AW47" s="448">
        <f t="shared" si="20"/>
        <v>0</v>
      </c>
      <c r="AX47" s="449">
        <f t="shared" si="7"/>
        <v>0</v>
      </c>
      <c r="AY47" s="449">
        <f t="shared" si="8"/>
        <v>0</v>
      </c>
      <c r="AZ47" s="449">
        <f t="shared" si="21"/>
        <v>0</v>
      </c>
      <c r="BA47" s="449">
        <f t="shared" si="9"/>
        <v>0</v>
      </c>
      <c r="BB47" s="449">
        <f t="shared" si="10"/>
        <v>0</v>
      </c>
      <c r="BC47" s="449">
        <f t="shared" si="11"/>
        <v>0</v>
      </c>
      <c r="BD47" s="449">
        <f t="shared" si="12"/>
        <v>0</v>
      </c>
      <c r="BE47" s="449">
        <f t="shared" si="13"/>
        <v>0</v>
      </c>
      <c r="BF47" s="449">
        <f t="shared" si="14"/>
        <v>0</v>
      </c>
      <c r="BG47" s="449">
        <f t="shared" si="22"/>
        <v>0</v>
      </c>
    </row>
    <row r="48" spans="1:59" s="91" customFormat="1" ht="30" x14ac:dyDescent="0.25">
      <c r="A48" s="577" t="s">
        <v>115</v>
      </c>
      <c r="B48" s="586"/>
      <c r="C48" s="98"/>
      <c r="D48" s="94">
        <f>D47*$B$61</f>
        <v>0</v>
      </c>
      <c r="E48" s="94">
        <f t="shared" ref="E48:AQ48" si="80">E47*$B$61</f>
        <v>0</v>
      </c>
      <c r="F48" s="94">
        <f t="shared" si="80"/>
        <v>0</v>
      </c>
      <c r="G48" s="94">
        <f t="shared" si="80"/>
        <v>0</v>
      </c>
      <c r="H48" s="94">
        <f t="shared" si="80"/>
        <v>0</v>
      </c>
      <c r="I48" s="94">
        <f t="shared" si="80"/>
        <v>0</v>
      </c>
      <c r="J48" s="94">
        <f t="shared" si="80"/>
        <v>0</v>
      </c>
      <c r="K48" s="94">
        <f t="shared" si="80"/>
        <v>0</v>
      </c>
      <c r="L48" s="94">
        <f t="shared" si="80"/>
        <v>0</v>
      </c>
      <c r="M48" s="94">
        <f t="shared" si="80"/>
        <v>0</v>
      </c>
      <c r="N48" s="94">
        <f t="shared" si="80"/>
        <v>0</v>
      </c>
      <c r="O48" s="94">
        <f t="shared" si="80"/>
        <v>0</v>
      </c>
      <c r="P48" s="94">
        <f t="shared" si="80"/>
        <v>0</v>
      </c>
      <c r="Q48" s="94">
        <f t="shared" si="80"/>
        <v>0</v>
      </c>
      <c r="R48" s="94">
        <f t="shared" si="80"/>
        <v>0</v>
      </c>
      <c r="S48" s="94">
        <f t="shared" si="80"/>
        <v>0</v>
      </c>
      <c r="T48" s="94">
        <f t="shared" si="80"/>
        <v>0</v>
      </c>
      <c r="U48" s="94">
        <f t="shared" si="80"/>
        <v>0</v>
      </c>
      <c r="V48" s="94">
        <f t="shared" si="80"/>
        <v>0</v>
      </c>
      <c r="W48" s="94">
        <f t="shared" si="80"/>
        <v>0</v>
      </c>
      <c r="X48" s="94">
        <f t="shared" si="80"/>
        <v>0</v>
      </c>
      <c r="Y48" s="94">
        <f t="shared" si="80"/>
        <v>0</v>
      </c>
      <c r="Z48" s="94">
        <f t="shared" si="80"/>
        <v>0</v>
      </c>
      <c r="AA48" s="94">
        <f t="shared" si="80"/>
        <v>0</v>
      </c>
      <c r="AB48" s="94">
        <f t="shared" si="80"/>
        <v>0</v>
      </c>
      <c r="AC48" s="94">
        <f t="shared" si="80"/>
        <v>0</v>
      </c>
      <c r="AD48" s="94">
        <f t="shared" si="80"/>
        <v>0</v>
      </c>
      <c r="AE48" s="94">
        <f t="shared" si="80"/>
        <v>0</v>
      </c>
      <c r="AF48" s="94">
        <f t="shared" si="80"/>
        <v>0</v>
      </c>
      <c r="AG48" s="94">
        <f t="shared" si="80"/>
        <v>0</v>
      </c>
      <c r="AH48" s="94">
        <f t="shared" si="80"/>
        <v>0</v>
      </c>
      <c r="AI48" s="94">
        <f t="shared" si="80"/>
        <v>0</v>
      </c>
      <c r="AJ48" s="94">
        <f t="shared" si="80"/>
        <v>0</v>
      </c>
      <c r="AK48" s="94">
        <f t="shared" si="80"/>
        <v>0</v>
      </c>
      <c r="AL48" s="94">
        <f t="shared" si="80"/>
        <v>0</v>
      </c>
      <c r="AM48" s="94">
        <f t="shared" si="80"/>
        <v>0</v>
      </c>
      <c r="AN48" s="94">
        <f t="shared" si="80"/>
        <v>0</v>
      </c>
      <c r="AO48" s="94">
        <f t="shared" si="80"/>
        <v>0</v>
      </c>
      <c r="AP48" s="94">
        <f t="shared" si="80"/>
        <v>0</v>
      </c>
      <c r="AQ48" s="94">
        <f t="shared" si="80"/>
        <v>0</v>
      </c>
      <c r="AR48" s="94"/>
      <c r="AS48" s="94"/>
      <c r="AT48" s="94"/>
      <c r="AU48" s="94"/>
      <c r="AV48" s="92"/>
      <c r="AW48" s="450">
        <f t="shared" si="20"/>
        <v>0</v>
      </c>
      <c r="AX48" s="330">
        <f t="shared" si="7"/>
        <v>0</v>
      </c>
      <c r="AY48" s="330">
        <f t="shared" si="8"/>
        <v>0</v>
      </c>
      <c r="AZ48" s="330">
        <f t="shared" si="21"/>
        <v>0</v>
      </c>
      <c r="BA48" s="330">
        <f t="shared" si="9"/>
        <v>0</v>
      </c>
      <c r="BB48" s="330">
        <f t="shared" si="10"/>
        <v>0</v>
      </c>
      <c r="BC48" s="330">
        <f t="shared" si="11"/>
        <v>0</v>
      </c>
      <c r="BD48" s="330">
        <f t="shared" si="12"/>
        <v>0</v>
      </c>
      <c r="BE48" s="330">
        <f t="shared" si="13"/>
        <v>0</v>
      </c>
      <c r="BF48" s="330">
        <f t="shared" si="14"/>
        <v>0</v>
      </c>
      <c r="BG48" s="330">
        <f t="shared" si="22"/>
        <v>0</v>
      </c>
    </row>
    <row r="49" spans="1:59" s="325" customFormat="1" x14ac:dyDescent="0.25">
      <c r="A49" s="587" t="s">
        <v>143</v>
      </c>
      <c r="B49" s="324"/>
      <c r="C49" s="588"/>
      <c r="D49" s="324">
        <f>D6+D15+D23+D26+D34+D47</f>
        <v>780</v>
      </c>
      <c r="E49" s="324">
        <f>E6+E15+E23+E26+E34+E47</f>
        <v>1820</v>
      </c>
      <c r="F49" s="324">
        <f t="shared" ref="F49:AU49" si="81">F6+F15+F23+F26+F34+F47</f>
        <v>6630</v>
      </c>
      <c r="G49" s="324">
        <f t="shared" si="81"/>
        <v>3900</v>
      </c>
      <c r="H49" s="324">
        <f>H6+H15+H23+H26+H34+H47</f>
        <v>3900</v>
      </c>
      <c r="I49" s="324">
        <f>I6+I15+I23+I26+I34+I47</f>
        <v>3900</v>
      </c>
      <c r="J49" s="324">
        <f>J6+J15+J23+J26+J34+J47</f>
        <v>6793.8</v>
      </c>
      <c r="K49" s="324">
        <f t="shared" si="81"/>
        <v>3900</v>
      </c>
      <c r="L49" s="324">
        <f t="shared" si="81"/>
        <v>4049.4</v>
      </c>
      <c r="M49" s="324">
        <f t="shared" si="81"/>
        <v>4049.4</v>
      </c>
      <c r="N49" s="324">
        <f>N6+N15+N23+N26+N34+N47</f>
        <v>7116.8280000000004</v>
      </c>
      <c r="O49" s="324">
        <f t="shared" si="81"/>
        <v>4049.4</v>
      </c>
      <c r="P49" s="324">
        <f t="shared" si="81"/>
        <v>4207.7640000000001</v>
      </c>
      <c r="Q49" s="324">
        <f t="shared" si="81"/>
        <v>4207.7640000000001</v>
      </c>
      <c r="R49" s="324">
        <f t="shared" si="81"/>
        <v>7459.2376800000002</v>
      </c>
      <c r="S49" s="324">
        <f t="shared" si="81"/>
        <v>4207.7640000000001</v>
      </c>
      <c r="T49" s="324">
        <f t="shared" si="81"/>
        <v>4460.22984</v>
      </c>
      <c r="U49" s="324">
        <f t="shared" si="81"/>
        <v>4460.22984</v>
      </c>
      <c r="V49" s="324">
        <f t="shared" si="81"/>
        <v>7906.7919408000007</v>
      </c>
      <c r="W49" s="324">
        <f t="shared" si="81"/>
        <v>4460.22984</v>
      </c>
      <c r="X49" s="324">
        <f t="shared" si="81"/>
        <v>4727.8436304000006</v>
      </c>
      <c r="Y49" s="324">
        <f t="shared" si="81"/>
        <v>4727.8436304000006</v>
      </c>
      <c r="Z49" s="324">
        <f t="shared" si="81"/>
        <v>8381.1994572480016</v>
      </c>
      <c r="AA49" s="324">
        <f t="shared" si="81"/>
        <v>4727.8436304000006</v>
      </c>
      <c r="AB49" s="324">
        <f t="shared" si="81"/>
        <v>5011.5142482240008</v>
      </c>
      <c r="AC49" s="324">
        <f t="shared" si="81"/>
        <v>5011.5142482240008</v>
      </c>
      <c r="AD49" s="324">
        <f t="shared" si="81"/>
        <v>8884.0714246828829</v>
      </c>
      <c r="AE49" s="324">
        <f t="shared" si="81"/>
        <v>5011.5142482240008</v>
      </c>
      <c r="AF49" s="324">
        <f t="shared" si="81"/>
        <v>5284.3353287174414</v>
      </c>
      <c r="AG49" s="324">
        <f t="shared" si="81"/>
        <v>5284.3353287174414</v>
      </c>
      <c r="AH49" s="324">
        <f t="shared" si="81"/>
        <v>9389.2459357638545</v>
      </c>
      <c r="AI49" s="324">
        <f t="shared" si="81"/>
        <v>5284.3353287174414</v>
      </c>
      <c r="AJ49" s="324">
        <f t="shared" si="81"/>
        <v>5601.3954484404885</v>
      </c>
      <c r="AK49" s="324">
        <f t="shared" si="81"/>
        <v>5601.3954484404885</v>
      </c>
      <c r="AL49" s="324">
        <f t="shared" si="81"/>
        <v>9952.6006919096872</v>
      </c>
      <c r="AM49" s="324">
        <f t="shared" si="81"/>
        <v>5601.3954484404885</v>
      </c>
      <c r="AN49" s="324">
        <f t="shared" si="81"/>
        <v>5937.4791753469181</v>
      </c>
      <c r="AO49" s="324">
        <f t="shared" si="81"/>
        <v>5937.4791753469181</v>
      </c>
      <c r="AP49" s="324">
        <f t="shared" si="81"/>
        <v>10549.75673342427</v>
      </c>
      <c r="AQ49" s="324">
        <f t="shared" si="81"/>
        <v>5937.4791753469181</v>
      </c>
      <c r="AR49" s="324">
        <f t="shared" si="81"/>
        <v>6293.7279258677336</v>
      </c>
      <c r="AS49" s="324">
        <f t="shared" si="81"/>
        <v>6293.7279258677336</v>
      </c>
      <c r="AT49" s="324">
        <f t="shared" si="81"/>
        <v>11182.742137429726</v>
      </c>
      <c r="AU49" s="324">
        <f t="shared" si="81"/>
        <v>6293.7279258677336</v>
      </c>
      <c r="AV49" s="323"/>
      <c r="AW49" s="324">
        <f>AW15+AW6+AW23</f>
        <v>13130</v>
      </c>
      <c r="AX49" s="324">
        <f t="shared" ref="AX49:BF49" si="82">AX15+AX6+AX23</f>
        <v>18493.8</v>
      </c>
      <c r="AY49" s="324">
        <f t="shared" si="82"/>
        <v>19265.028000000002</v>
      </c>
      <c r="AZ49" s="324">
        <f t="shared" si="82"/>
        <v>19115.628000000001</v>
      </c>
      <c r="BA49" s="324">
        <f t="shared" si="82"/>
        <v>21287.481460800002</v>
      </c>
      <c r="BB49" s="324">
        <f t="shared" si="82"/>
        <v>22564.730348448003</v>
      </c>
      <c r="BC49" s="324">
        <f t="shared" si="82"/>
        <v>23918.614169354885</v>
      </c>
      <c r="BD49" s="324">
        <f t="shared" si="82"/>
        <v>25242.25192191618</v>
      </c>
      <c r="BE49" s="324">
        <f t="shared" si="82"/>
        <v>26756.787037231152</v>
      </c>
      <c r="BF49" s="324">
        <f t="shared" si="82"/>
        <v>28362.194259465025</v>
      </c>
      <c r="BG49" s="330">
        <f t="shared" si="22"/>
        <v>30063.925915032927</v>
      </c>
    </row>
    <row r="50" spans="1:59" s="102" customFormat="1" x14ac:dyDescent="0.25">
      <c r="A50" s="589" t="s">
        <v>144</v>
      </c>
      <c r="B50" s="104"/>
      <c r="C50" s="580"/>
      <c r="D50" s="104"/>
      <c r="E50" s="104"/>
      <c r="F50" s="104"/>
      <c r="G50" s="104">
        <f>SUM(D49:G49)</f>
        <v>13130</v>
      </c>
      <c r="H50" s="104"/>
      <c r="I50" s="104"/>
      <c r="J50" s="104"/>
      <c r="K50" s="104">
        <f>SUM(H49:K49)</f>
        <v>18493.8</v>
      </c>
      <c r="L50" s="104"/>
      <c r="M50" s="104"/>
      <c r="N50" s="104"/>
      <c r="O50" s="104">
        <f>SUM(L49:O49)</f>
        <v>19265.028000000002</v>
      </c>
      <c r="P50" s="104"/>
      <c r="Q50" s="104"/>
      <c r="R50" s="104"/>
      <c r="S50" s="104">
        <f>SUM(P49:S49)</f>
        <v>20082.52968</v>
      </c>
      <c r="T50" s="104"/>
      <c r="U50" s="104"/>
      <c r="V50" s="104"/>
      <c r="W50" s="104">
        <f t="shared" ref="W50:AI50" si="83">SUM(T49:W49)</f>
        <v>21287.481460800002</v>
      </c>
      <c r="X50" s="104"/>
      <c r="Y50" s="104"/>
      <c r="Z50" s="104"/>
      <c r="AA50" s="104">
        <f t="shared" si="83"/>
        <v>22564.730348448</v>
      </c>
      <c r="AB50" s="104"/>
      <c r="AC50" s="104"/>
      <c r="AD50" s="104"/>
      <c r="AE50" s="104">
        <f t="shared" si="83"/>
        <v>23918.614169354885</v>
      </c>
      <c r="AF50" s="104"/>
      <c r="AG50" s="104"/>
      <c r="AH50" s="104"/>
      <c r="AI50" s="104">
        <f t="shared" si="83"/>
        <v>25242.251921916177</v>
      </c>
      <c r="AJ50" s="104"/>
      <c r="AK50" s="104"/>
      <c r="AL50" s="104"/>
      <c r="AM50" s="104">
        <f>SUM(AJ49:AM49)</f>
        <v>26756.787037231152</v>
      </c>
      <c r="AN50" s="104"/>
      <c r="AO50" s="104"/>
      <c r="AP50" s="104"/>
      <c r="AQ50" s="104">
        <f>SUM(AN49:AQ49)</f>
        <v>28362.194259465025</v>
      </c>
      <c r="AR50" s="104"/>
      <c r="AS50" s="104"/>
      <c r="AT50" s="104"/>
      <c r="AU50" s="104">
        <f t="shared" ref="AU50" si="84">SUM(AR49:AU49)</f>
        <v>30063.925915032927</v>
      </c>
      <c r="AV50" s="103"/>
      <c r="AW50" s="96">
        <f>AW49</f>
        <v>13130</v>
      </c>
      <c r="AX50" s="320">
        <f t="shared" ref="AX50:AX55" si="85">SUM(H50:K50)</f>
        <v>18493.8</v>
      </c>
      <c r="AY50" s="320">
        <f t="shared" ref="AY50:AY55" si="86">SUM(L50:O50)</f>
        <v>19265.028000000002</v>
      </c>
      <c r="AZ50" s="320">
        <f t="shared" ref="AZ50:AZ55" si="87">SUM(K50:N50)</f>
        <v>18493.8</v>
      </c>
      <c r="BA50" s="320">
        <f t="shared" ref="BA50:BA55" si="88">SUM(T50:W50)</f>
        <v>21287.481460800002</v>
      </c>
      <c r="BB50" s="320">
        <f t="shared" ref="BB50:BB55" si="89">SUM(X50:AA50)</f>
        <v>22564.730348448</v>
      </c>
      <c r="BC50" s="320">
        <f t="shared" ref="BC50:BC55" si="90">SUM(AB50:AE50)</f>
        <v>23918.614169354885</v>
      </c>
      <c r="BD50" s="320">
        <f t="shared" ref="BD50:BD55" si="91">SUM(AF50:AI50)</f>
        <v>25242.251921916177</v>
      </c>
      <c r="BE50" s="320">
        <f t="shared" ref="BE50:BE55" si="92">SUM(AJ50:AM50)</f>
        <v>26756.787037231152</v>
      </c>
      <c r="BF50" s="320">
        <f t="shared" ref="BF50:BF55" si="93">SUM(AN50:AQ50)</f>
        <v>28362.194259465025</v>
      </c>
      <c r="BG50" s="320">
        <f t="shared" si="22"/>
        <v>30063.925915032927</v>
      </c>
    </row>
    <row r="51" spans="1:59" s="325" customFormat="1" ht="28.5" customHeight="1" x14ac:dyDescent="0.25">
      <c r="A51" s="587" t="s">
        <v>145</v>
      </c>
      <c r="B51" s="324"/>
      <c r="C51" s="588"/>
      <c r="D51" s="324">
        <f>D7+D16+D24+D27+D35+D48</f>
        <v>234</v>
      </c>
      <c r="E51" s="324">
        <f>E7+E16+E24+E27+E35+E48</f>
        <v>546</v>
      </c>
      <c r="F51" s="324">
        <f>F7+F16+F24+F27+F35+F48</f>
        <v>1989</v>
      </c>
      <c r="G51" s="324">
        <f>G7+G16+G24+G27+G35+G48</f>
        <v>1170</v>
      </c>
      <c r="H51" s="324">
        <f>H7+H16+H24+H27+H35+H48</f>
        <v>1170</v>
      </c>
      <c r="I51" s="324">
        <f t="shared" ref="I51:R51" si="94">I7+I16+I24+I27+I35+I48</f>
        <v>1170</v>
      </c>
      <c r="J51" s="324">
        <f>J7+J16+J24+J27+J35+J48</f>
        <v>2038.1399999999999</v>
      </c>
      <c r="K51" s="324">
        <f t="shared" si="94"/>
        <v>1170</v>
      </c>
      <c r="L51" s="324">
        <f t="shared" si="94"/>
        <v>1214.8200000000002</v>
      </c>
      <c r="M51" s="324">
        <f t="shared" si="94"/>
        <v>1214.8200000000002</v>
      </c>
      <c r="N51" s="324">
        <f t="shared" si="94"/>
        <v>2135.0484000000001</v>
      </c>
      <c r="O51" s="324">
        <f t="shared" si="94"/>
        <v>1214.8200000000002</v>
      </c>
      <c r="P51" s="324">
        <f t="shared" si="94"/>
        <v>1262.3292000000001</v>
      </c>
      <c r="Q51" s="324">
        <f t="shared" si="94"/>
        <v>1262.3292000000001</v>
      </c>
      <c r="R51" s="324">
        <f t="shared" si="94"/>
        <v>2237.7713040000003</v>
      </c>
      <c r="S51" s="324">
        <f>S7+S16+S24+S27+S35+S48</f>
        <v>1262.3292000000001</v>
      </c>
      <c r="T51" s="324">
        <f>T7+T16+T24+T27+T35+T48</f>
        <v>1338.0689520000001</v>
      </c>
      <c r="U51" s="324">
        <f>U7+U16+U24+U27+U35+U48</f>
        <v>1338.0689520000001</v>
      </c>
      <c r="V51" s="324">
        <f>V7+V16+V24+V27+V35+V48</f>
        <v>2372.0375822400001</v>
      </c>
      <c r="W51" s="324">
        <f t="shared" ref="W51:AH51" si="95">W7+W16+W24+W27+W35+W48</f>
        <v>1338.0689520000001</v>
      </c>
      <c r="X51" s="324">
        <f t="shared" si="95"/>
        <v>1418.3530891200003</v>
      </c>
      <c r="Y51" s="324">
        <f t="shared" si="95"/>
        <v>1418.3530891200003</v>
      </c>
      <c r="Z51" s="324">
        <f t="shared" si="95"/>
        <v>2514.3598371744006</v>
      </c>
      <c r="AA51" s="324">
        <f t="shared" si="95"/>
        <v>1418.3530891200003</v>
      </c>
      <c r="AB51" s="324">
        <f t="shared" si="95"/>
        <v>1503.4542744672003</v>
      </c>
      <c r="AC51" s="324">
        <f t="shared" si="95"/>
        <v>1503.4542744672003</v>
      </c>
      <c r="AD51" s="324">
        <f t="shared" si="95"/>
        <v>2665.2214274048647</v>
      </c>
      <c r="AE51" s="324">
        <f t="shared" si="95"/>
        <v>1503.4542744672003</v>
      </c>
      <c r="AF51" s="324">
        <f t="shared" si="95"/>
        <v>1585.3005986152325</v>
      </c>
      <c r="AG51" s="324">
        <f t="shared" si="95"/>
        <v>1585.3005986152325</v>
      </c>
      <c r="AH51" s="324">
        <f t="shared" si="95"/>
        <v>2816.7737807291569</v>
      </c>
      <c r="AI51" s="324">
        <f>AI7+AI16+AI24+AI27+AI35+AI48</f>
        <v>1585.3005986152325</v>
      </c>
      <c r="AJ51" s="324">
        <f t="shared" ref="AJ51:AQ51" si="96">AJ7+AJ16+AJ24+AJ27+AJ35+AJ48</f>
        <v>1680.4186345321466</v>
      </c>
      <c r="AK51" s="324">
        <f t="shared" si="96"/>
        <v>1680.4186345321466</v>
      </c>
      <c r="AL51" s="324">
        <f t="shared" si="96"/>
        <v>2985.7802075729064</v>
      </c>
      <c r="AM51" s="324">
        <f t="shared" si="96"/>
        <v>1680.4186345321466</v>
      </c>
      <c r="AN51" s="324">
        <f t="shared" si="96"/>
        <v>1781.2437526040753</v>
      </c>
      <c r="AO51" s="324">
        <f t="shared" si="96"/>
        <v>1781.2437526040753</v>
      </c>
      <c r="AP51" s="324">
        <f t="shared" si="96"/>
        <v>3164.9270200272804</v>
      </c>
      <c r="AQ51" s="324">
        <f t="shared" si="96"/>
        <v>1781.2437526040753</v>
      </c>
      <c r="AR51" s="324">
        <f t="shared" ref="AR51:AU51" si="97">AR7+AR16+AR24+AR27+AR35+AR48</f>
        <v>1888.1183777603201</v>
      </c>
      <c r="AS51" s="324">
        <f t="shared" si="97"/>
        <v>1888.1183777603201</v>
      </c>
      <c r="AT51" s="324">
        <f t="shared" si="97"/>
        <v>3354.8226412289177</v>
      </c>
      <c r="AU51" s="324">
        <f t="shared" si="97"/>
        <v>1888.1183777603201</v>
      </c>
      <c r="AV51" s="323"/>
      <c r="AW51" s="323">
        <f>0.3*AW49</f>
        <v>3939</v>
      </c>
      <c r="AX51" s="330">
        <f t="shared" si="85"/>
        <v>5548.1399999999994</v>
      </c>
      <c r="AY51" s="330">
        <f t="shared" si="86"/>
        <v>5779.5084000000006</v>
      </c>
      <c r="AZ51" s="330">
        <f t="shared" si="87"/>
        <v>5734.6884000000009</v>
      </c>
      <c r="BA51" s="330">
        <f t="shared" si="88"/>
        <v>6386.2444382400008</v>
      </c>
      <c r="BB51" s="330">
        <f t="shared" si="89"/>
        <v>6769.4191045344014</v>
      </c>
      <c r="BC51" s="330">
        <f t="shared" si="90"/>
        <v>7175.5842508064652</v>
      </c>
      <c r="BD51" s="330">
        <f t="shared" si="91"/>
        <v>7572.6755765748549</v>
      </c>
      <c r="BE51" s="330">
        <f t="shared" si="92"/>
        <v>8027.0361111693464</v>
      </c>
      <c r="BF51" s="330">
        <f t="shared" si="93"/>
        <v>8508.6582778395059</v>
      </c>
      <c r="BG51" s="330">
        <f t="shared" si="22"/>
        <v>9019.1777745098771</v>
      </c>
    </row>
    <row r="52" spans="1:59" x14ac:dyDescent="0.25">
      <c r="A52" s="578" t="s">
        <v>146</v>
      </c>
      <c r="B52" s="85"/>
      <c r="C52" s="580"/>
      <c r="D52" s="85">
        <f>D49+D51</f>
        <v>1014</v>
      </c>
      <c r="E52" s="85">
        <f t="shared" ref="E52:T52" si="98">E49+E51</f>
        <v>2366</v>
      </c>
      <c r="F52" s="85">
        <f t="shared" si="98"/>
        <v>8619</v>
      </c>
      <c r="G52" s="85">
        <f t="shared" si="98"/>
        <v>5070</v>
      </c>
      <c r="H52" s="85">
        <f>H49+H51</f>
        <v>5070</v>
      </c>
      <c r="I52" s="85">
        <f t="shared" si="98"/>
        <v>5070</v>
      </c>
      <c r="J52" s="85">
        <f t="shared" si="98"/>
        <v>8831.94</v>
      </c>
      <c r="K52" s="85">
        <f t="shared" si="98"/>
        <v>5070</v>
      </c>
      <c r="L52" s="85">
        <f t="shared" si="98"/>
        <v>5264.22</v>
      </c>
      <c r="M52" s="85">
        <f t="shared" si="98"/>
        <v>5264.22</v>
      </c>
      <c r="N52" s="85">
        <f t="shared" si="98"/>
        <v>9251.876400000001</v>
      </c>
      <c r="O52" s="85">
        <f t="shared" si="98"/>
        <v>5264.22</v>
      </c>
      <c r="P52" s="85">
        <f t="shared" si="98"/>
        <v>5470.0932000000003</v>
      </c>
      <c r="Q52" s="85">
        <f t="shared" si="98"/>
        <v>5470.0932000000003</v>
      </c>
      <c r="R52" s="85">
        <f t="shared" si="98"/>
        <v>9697.0089840000001</v>
      </c>
      <c r="S52" s="85">
        <f t="shared" si="98"/>
        <v>5470.0932000000003</v>
      </c>
      <c r="T52" s="85">
        <f t="shared" si="98"/>
        <v>5798.2987919999996</v>
      </c>
      <c r="U52" s="85">
        <f>U49+U51</f>
        <v>5798.2987919999996</v>
      </c>
      <c r="V52" s="85">
        <f>V49+V51</f>
        <v>10278.82952304</v>
      </c>
      <c r="W52" s="85">
        <f t="shared" ref="W52:AI52" si="99">W49+W51</f>
        <v>5798.2987919999996</v>
      </c>
      <c r="X52" s="85">
        <f t="shared" si="99"/>
        <v>6146.1967195200014</v>
      </c>
      <c r="Y52" s="85">
        <f t="shared" si="99"/>
        <v>6146.1967195200014</v>
      </c>
      <c r="Z52" s="85">
        <f t="shared" si="99"/>
        <v>10895.559294422403</v>
      </c>
      <c r="AA52" s="85">
        <f t="shared" si="99"/>
        <v>6146.1967195200014</v>
      </c>
      <c r="AB52" s="85">
        <f t="shared" si="99"/>
        <v>6514.9685226912006</v>
      </c>
      <c r="AC52" s="85">
        <f t="shared" si="99"/>
        <v>6514.9685226912006</v>
      </c>
      <c r="AD52" s="85">
        <f t="shared" si="99"/>
        <v>11549.292852087747</v>
      </c>
      <c r="AE52" s="85">
        <f t="shared" si="99"/>
        <v>6514.9685226912006</v>
      </c>
      <c r="AF52" s="85">
        <f t="shared" si="99"/>
        <v>6869.6359273326743</v>
      </c>
      <c r="AG52" s="85">
        <f t="shared" si="99"/>
        <v>6869.6359273326743</v>
      </c>
      <c r="AH52" s="85">
        <f t="shared" si="99"/>
        <v>12206.01971649301</v>
      </c>
      <c r="AI52" s="85">
        <f t="shared" si="99"/>
        <v>6869.6359273326743</v>
      </c>
      <c r="AJ52" s="85">
        <f t="shared" ref="AJ52:AQ52" si="100">AJ49+AJ51</f>
        <v>7281.8140829726353</v>
      </c>
      <c r="AK52" s="85">
        <f t="shared" si="100"/>
        <v>7281.8140829726353</v>
      </c>
      <c r="AL52" s="85">
        <f t="shared" si="100"/>
        <v>12938.380899482594</v>
      </c>
      <c r="AM52" s="85">
        <f t="shared" si="100"/>
        <v>7281.8140829726353</v>
      </c>
      <c r="AN52" s="85">
        <f t="shared" si="100"/>
        <v>7718.7229279509938</v>
      </c>
      <c r="AO52" s="85">
        <f t="shared" si="100"/>
        <v>7718.7229279509938</v>
      </c>
      <c r="AP52" s="85">
        <f t="shared" si="100"/>
        <v>13714.683753451551</v>
      </c>
      <c r="AQ52" s="85">
        <f t="shared" si="100"/>
        <v>7718.7229279509938</v>
      </c>
      <c r="AR52" s="85">
        <f t="shared" ref="AR52:AU52" si="101">AR49+AR51</f>
        <v>8181.8463036280536</v>
      </c>
      <c r="AS52" s="85">
        <f t="shared" si="101"/>
        <v>8181.8463036280536</v>
      </c>
      <c r="AT52" s="85">
        <f t="shared" si="101"/>
        <v>14537.564778658645</v>
      </c>
      <c r="AU52" s="85">
        <f t="shared" si="101"/>
        <v>8181.8463036280536</v>
      </c>
      <c r="AV52" s="75"/>
      <c r="AW52" s="96">
        <f>AW49+AW51</f>
        <v>17069</v>
      </c>
      <c r="AX52" s="320">
        <f t="shared" si="85"/>
        <v>24041.940000000002</v>
      </c>
      <c r="AY52" s="320">
        <f t="shared" si="86"/>
        <v>25044.536400000005</v>
      </c>
      <c r="AZ52" s="320">
        <f t="shared" si="87"/>
        <v>24850.316400000003</v>
      </c>
      <c r="BA52" s="320">
        <f t="shared" si="88"/>
        <v>27673.725899040001</v>
      </c>
      <c r="BB52" s="320">
        <f t="shared" si="89"/>
        <v>29334.149452982409</v>
      </c>
      <c r="BC52" s="320">
        <f t="shared" si="90"/>
        <v>31094.198420161349</v>
      </c>
      <c r="BD52" s="320">
        <f t="shared" si="91"/>
        <v>32814.92749849103</v>
      </c>
      <c r="BE52" s="320">
        <f t="shared" si="92"/>
        <v>34783.823148400501</v>
      </c>
      <c r="BF52" s="320">
        <f t="shared" si="93"/>
        <v>36870.852537304534</v>
      </c>
      <c r="BG52" s="320">
        <f t="shared" si="22"/>
        <v>39083.103689542804</v>
      </c>
    </row>
    <row r="53" spans="1:59" s="328" customFormat="1" ht="30" x14ac:dyDescent="0.25">
      <c r="A53" s="590" t="s">
        <v>147</v>
      </c>
      <c r="B53" s="327"/>
      <c r="C53" s="591"/>
      <c r="D53" s="327">
        <f>D49*$B$60</f>
        <v>10.92</v>
      </c>
      <c r="E53" s="327">
        <f t="shared" ref="E53:AQ53" si="102">E49*$B$60</f>
        <v>25.48</v>
      </c>
      <c r="F53" s="327">
        <f t="shared" si="102"/>
        <v>92.820000000000007</v>
      </c>
      <c r="G53" s="327">
        <f t="shared" si="102"/>
        <v>54.6</v>
      </c>
      <c r="H53" s="327">
        <f>H49*$B$60</f>
        <v>54.6</v>
      </c>
      <c r="I53" s="327">
        <f t="shared" si="102"/>
        <v>54.6</v>
      </c>
      <c r="J53" s="327">
        <f t="shared" si="102"/>
        <v>95.113200000000006</v>
      </c>
      <c r="K53" s="327">
        <f t="shared" si="102"/>
        <v>54.6</v>
      </c>
      <c r="L53" s="327">
        <f t="shared" si="102"/>
        <v>56.691600000000001</v>
      </c>
      <c r="M53" s="327">
        <f t="shared" si="102"/>
        <v>56.691600000000001</v>
      </c>
      <c r="N53" s="327">
        <f t="shared" si="102"/>
        <v>99.635592000000003</v>
      </c>
      <c r="O53" s="327">
        <f t="shared" si="102"/>
        <v>56.691600000000001</v>
      </c>
      <c r="P53" s="327">
        <f t="shared" si="102"/>
        <v>58.908696000000006</v>
      </c>
      <c r="Q53" s="327">
        <f t="shared" si="102"/>
        <v>58.908696000000006</v>
      </c>
      <c r="R53" s="327">
        <f t="shared" si="102"/>
        <v>104.42932752</v>
      </c>
      <c r="S53" s="327">
        <f t="shared" si="102"/>
        <v>58.908696000000006</v>
      </c>
      <c r="T53" s="327">
        <f t="shared" si="102"/>
        <v>62.443217760000003</v>
      </c>
      <c r="U53" s="327">
        <f t="shared" si="102"/>
        <v>62.443217760000003</v>
      </c>
      <c r="V53" s="327">
        <f t="shared" si="102"/>
        <v>110.69508717120002</v>
      </c>
      <c r="W53" s="327">
        <f t="shared" si="102"/>
        <v>62.443217760000003</v>
      </c>
      <c r="X53" s="327">
        <f t="shared" si="102"/>
        <v>66.189810825600006</v>
      </c>
      <c r="Y53" s="327">
        <f t="shared" si="102"/>
        <v>66.189810825600006</v>
      </c>
      <c r="Z53" s="327">
        <f t="shared" si="102"/>
        <v>117.33679240147202</v>
      </c>
      <c r="AA53" s="327">
        <f t="shared" si="102"/>
        <v>66.189810825600006</v>
      </c>
      <c r="AB53" s="327">
        <f t="shared" si="102"/>
        <v>70.161199475136016</v>
      </c>
      <c r="AC53" s="327">
        <f t="shared" si="102"/>
        <v>70.161199475136016</v>
      </c>
      <c r="AD53" s="327">
        <f t="shared" si="102"/>
        <v>124.37699994556036</v>
      </c>
      <c r="AE53" s="327">
        <f t="shared" si="102"/>
        <v>70.161199475136016</v>
      </c>
      <c r="AF53" s="327">
        <f t="shared" si="102"/>
        <v>73.980694602044181</v>
      </c>
      <c r="AG53" s="327">
        <f t="shared" si="102"/>
        <v>73.980694602044181</v>
      </c>
      <c r="AH53" s="327">
        <f t="shared" si="102"/>
        <v>131.44944310069397</v>
      </c>
      <c r="AI53" s="327">
        <f t="shared" si="102"/>
        <v>73.980694602044181</v>
      </c>
      <c r="AJ53" s="327">
        <f t="shared" si="102"/>
        <v>78.419536278166845</v>
      </c>
      <c r="AK53" s="327">
        <f t="shared" si="102"/>
        <v>78.419536278166845</v>
      </c>
      <c r="AL53" s="327">
        <f t="shared" si="102"/>
        <v>139.33640968673564</v>
      </c>
      <c r="AM53" s="327">
        <f t="shared" si="102"/>
        <v>78.419536278166845</v>
      </c>
      <c r="AN53" s="327">
        <f t="shared" si="102"/>
        <v>83.124708454856858</v>
      </c>
      <c r="AO53" s="327">
        <f t="shared" si="102"/>
        <v>83.124708454856858</v>
      </c>
      <c r="AP53" s="327">
        <f t="shared" si="102"/>
        <v>147.69659426793979</v>
      </c>
      <c r="AQ53" s="327">
        <f t="shared" si="102"/>
        <v>83.124708454856858</v>
      </c>
      <c r="AR53" s="327">
        <f t="shared" ref="AR53:AU53" si="103">AR49*$B$60</f>
        <v>88.112190962148276</v>
      </c>
      <c r="AS53" s="327">
        <f t="shared" si="103"/>
        <v>88.112190962148276</v>
      </c>
      <c r="AT53" s="327">
        <f t="shared" si="103"/>
        <v>156.55838992401618</v>
      </c>
      <c r="AU53" s="327">
        <f t="shared" si="103"/>
        <v>88.112190962148276</v>
      </c>
      <c r="AV53" s="326"/>
      <c r="AW53" s="326">
        <f>AW49*0.014</f>
        <v>183.82</v>
      </c>
      <c r="AX53" s="330">
        <f t="shared" si="85"/>
        <v>258.91320000000002</v>
      </c>
      <c r="AY53" s="330">
        <f>SUM(L53:O53)</f>
        <v>269.71039200000001</v>
      </c>
      <c r="AZ53" s="330">
        <f>SUM(P53:S53)</f>
        <v>281.15541552000002</v>
      </c>
      <c r="BA53" s="330">
        <f t="shared" si="88"/>
        <v>298.02474045119999</v>
      </c>
      <c r="BB53" s="330">
        <f t="shared" si="89"/>
        <v>315.90622487827204</v>
      </c>
      <c r="BC53" s="330">
        <f t="shared" si="90"/>
        <v>334.86059837096838</v>
      </c>
      <c r="BD53" s="330">
        <f t="shared" si="91"/>
        <v>353.39152690682653</v>
      </c>
      <c r="BE53" s="330">
        <f t="shared" si="92"/>
        <v>374.59501852123617</v>
      </c>
      <c r="BF53" s="330">
        <f t="shared" si="93"/>
        <v>397.07071963251042</v>
      </c>
      <c r="BG53" s="330">
        <f t="shared" si="22"/>
        <v>420.89496281046104</v>
      </c>
    </row>
    <row r="54" spans="1:59" x14ac:dyDescent="0.25">
      <c r="A54" s="578" t="s">
        <v>148</v>
      </c>
      <c r="B54" s="85"/>
      <c r="C54" s="580"/>
      <c r="D54" s="85">
        <f>D52+D53</f>
        <v>1024.92</v>
      </c>
      <c r="E54" s="85">
        <f t="shared" ref="E54:AQ54" si="104">E52+E53</f>
        <v>2391.48</v>
      </c>
      <c r="F54" s="85">
        <f t="shared" si="104"/>
        <v>8711.82</v>
      </c>
      <c r="G54" s="85">
        <f t="shared" si="104"/>
        <v>5124.6000000000004</v>
      </c>
      <c r="H54" s="85">
        <f>H52+H53</f>
        <v>5124.6000000000004</v>
      </c>
      <c r="I54" s="85">
        <f t="shared" si="104"/>
        <v>5124.6000000000004</v>
      </c>
      <c r="J54" s="85">
        <f t="shared" si="104"/>
        <v>8927.0532000000003</v>
      </c>
      <c r="K54" s="85">
        <f t="shared" si="104"/>
        <v>5124.6000000000004</v>
      </c>
      <c r="L54" s="85">
        <f t="shared" si="104"/>
        <v>5320.9116000000004</v>
      </c>
      <c r="M54" s="85">
        <f t="shared" si="104"/>
        <v>5320.9116000000004</v>
      </c>
      <c r="N54" s="85">
        <f t="shared" si="104"/>
        <v>9351.5119920000016</v>
      </c>
      <c r="O54" s="85">
        <f t="shared" si="104"/>
        <v>5320.9116000000004</v>
      </c>
      <c r="P54" s="85">
        <f t="shared" si="104"/>
        <v>5529.0018960000007</v>
      </c>
      <c r="Q54" s="85">
        <f t="shared" si="104"/>
        <v>5529.0018960000007</v>
      </c>
      <c r="R54" s="85">
        <f t="shared" si="104"/>
        <v>9801.4383115199998</v>
      </c>
      <c r="S54" s="85">
        <f t="shared" si="104"/>
        <v>5529.0018960000007</v>
      </c>
      <c r="T54" s="85">
        <f t="shared" si="104"/>
        <v>5860.7420097599997</v>
      </c>
      <c r="U54" s="85">
        <f t="shared" si="104"/>
        <v>5860.7420097599997</v>
      </c>
      <c r="V54" s="85">
        <f t="shared" si="104"/>
        <v>10389.5246102112</v>
      </c>
      <c r="W54" s="85">
        <f t="shared" si="104"/>
        <v>5860.7420097599997</v>
      </c>
      <c r="X54" s="85">
        <f t="shared" si="104"/>
        <v>6212.3865303456014</v>
      </c>
      <c r="Y54" s="85">
        <f t="shared" si="104"/>
        <v>6212.3865303456014</v>
      </c>
      <c r="Z54" s="85">
        <f t="shared" si="104"/>
        <v>11012.896086823876</v>
      </c>
      <c r="AA54" s="85">
        <f t="shared" si="104"/>
        <v>6212.3865303456014</v>
      </c>
      <c r="AB54" s="85">
        <f t="shared" si="104"/>
        <v>6585.1297221663363</v>
      </c>
      <c r="AC54" s="85">
        <f t="shared" si="104"/>
        <v>6585.1297221663363</v>
      </c>
      <c r="AD54" s="85">
        <f t="shared" si="104"/>
        <v>11673.669852033307</v>
      </c>
      <c r="AE54" s="85">
        <f t="shared" si="104"/>
        <v>6585.1297221663363</v>
      </c>
      <c r="AF54" s="85">
        <f t="shared" si="104"/>
        <v>6943.6166219347188</v>
      </c>
      <c r="AG54" s="85">
        <f t="shared" si="104"/>
        <v>6943.6166219347188</v>
      </c>
      <c r="AH54" s="85">
        <f t="shared" si="104"/>
        <v>12337.469159593704</v>
      </c>
      <c r="AI54" s="85">
        <f t="shared" si="104"/>
        <v>6943.6166219347188</v>
      </c>
      <c r="AJ54" s="85">
        <f t="shared" si="104"/>
        <v>7360.2336192508019</v>
      </c>
      <c r="AK54" s="85">
        <f t="shared" si="104"/>
        <v>7360.2336192508019</v>
      </c>
      <c r="AL54" s="85">
        <f t="shared" si="104"/>
        <v>13077.717309169329</v>
      </c>
      <c r="AM54" s="85">
        <f t="shared" si="104"/>
        <v>7360.2336192508019</v>
      </c>
      <c r="AN54" s="85">
        <f t="shared" si="104"/>
        <v>7801.8476364058506</v>
      </c>
      <c r="AO54" s="85">
        <f t="shared" si="104"/>
        <v>7801.8476364058506</v>
      </c>
      <c r="AP54" s="85">
        <f t="shared" si="104"/>
        <v>13862.380347719491</v>
      </c>
      <c r="AQ54" s="85">
        <f t="shared" si="104"/>
        <v>7801.8476364058506</v>
      </c>
      <c r="AR54" s="85">
        <f t="shared" ref="AR54:AU54" si="105">AR52+AR53</f>
        <v>8269.9584945902025</v>
      </c>
      <c r="AS54" s="85">
        <f t="shared" si="105"/>
        <v>8269.9584945902025</v>
      </c>
      <c r="AT54" s="85">
        <f t="shared" si="105"/>
        <v>14694.123168582661</v>
      </c>
      <c r="AU54" s="85">
        <f t="shared" si="105"/>
        <v>8269.9584945902025</v>
      </c>
      <c r="AV54" s="75"/>
      <c r="AW54" s="85">
        <f>AW49+AW51+AW53</f>
        <v>17252.82</v>
      </c>
      <c r="AX54" s="85">
        <f t="shared" si="85"/>
        <v>24300.853199999998</v>
      </c>
      <c r="AY54" s="320">
        <f t="shared" si="86"/>
        <v>25314.246792000002</v>
      </c>
      <c r="AZ54" s="320">
        <f t="shared" si="87"/>
        <v>25117.935192000004</v>
      </c>
      <c r="BA54" s="320">
        <f t="shared" si="88"/>
        <v>27971.750639491202</v>
      </c>
      <c r="BB54" s="320">
        <f t="shared" si="89"/>
        <v>29650.055677860681</v>
      </c>
      <c r="BC54" s="320">
        <f t="shared" si="90"/>
        <v>31429.059018532316</v>
      </c>
      <c r="BD54" s="320">
        <f t="shared" si="91"/>
        <v>33168.319025397861</v>
      </c>
      <c r="BE54" s="320">
        <f t="shared" si="92"/>
        <v>35158.418166921736</v>
      </c>
      <c r="BF54" s="320">
        <f t="shared" si="93"/>
        <v>37267.923256937043</v>
      </c>
      <c r="BG54" s="320">
        <f t="shared" si="22"/>
        <v>39503.998652353272</v>
      </c>
    </row>
    <row r="55" spans="1:59" x14ac:dyDescent="0.25">
      <c r="A55" s="578" t="s">
        <v>149</v>
      </c>
      <c r="B55" s="85"/>
      <c r="C55" s="580"/>
      <c r="D55" s="85"/>
      <c r="E55" s="85"/>
      <c r="F55" s="85"/>
      <c r="G55" s="85">
        <f>SUM(D54:G54)</f>
        <v>17252.82</v>
      </c>
      <c r="H55" s="85"/>
      <c r="I55" s="85"/>
      <c r="J55" s="85"/>
      <c r="K55" s="85">
        <f>SUM(H54:K54)</f>
        <v>24300.853199999998</v>
      </c>
      <c r="L55" s="85"/>
      <c r="M55" s="85"/>
      <c r="N55" s="85"/>
      <c r="O55" s="85">
        <f>SUM(L54:O54)</f>
        <v>25314.246792000002</v>
      </c>
      <c r="P55" s="85"/>
      <c r="Q55" s="85"/>
      <c r="R55" s="85"/>
      <c r="S55" s="85">
        <f>SUM(P54:S54)</f>
        <v>26388.443999520001</v>
      </c>
      <c r="T55" s="85"/>
      <c r="U55" s="85"/>
      <c r="V55" s="85"/>
      <c r="W55" s="85">
        <f>SUM(T54:W54)</f>
        <v>27971.750639491202</v>
      </c>
      <c r="X55" s="85"/>
      <c r="Y55" s="85"/>
      <c r="Z55" s="85"/>
      <c r="AA55" s="85">
        <f>SUM(X54:AA54)</f>
        <v>29650.055677860681</v>
      </c>
      <c r="AB55" s="85"/>
      <c r="AC55" s="85"/>
      <c r="AD55" s="85"/>
      <c r="AE55" s="85">
        <f t="shared" ref="AE55:AI55" si="106">SUM(AB54:AE54)</f>
        <v>31429.059018532316</v>
      </c>
      <c r="AF55" s="85"/>
      <c r="AG55" s="85"/>
      <c r="AH55" s="85"/>
      <c r="AI55" s="85">
        <f t="shared" si="106"/>
        <v>33168.319025397861</v>
      </c>
      <c r="AJ55" s="85"/>
      <c r="AK55" s="85"/>
      <c r="AL55" s="85"/>
      <c r="AM55" s="85">
        <f>SUM(AJ54:AM54)</f>
        <v>35158.418166921736</v>
      </c>
      <c r="AN55" s="85"/>
      <c r="AO55" s="85"/>
      <c r="AP55" s="85"/>
      <c r="AQ55" s="85">
        <f>SUM(AN54:AQ54)</f>
        <v>37267.923256937043</v>
      </c>
      <c r="AR55" s="85">
        <f t="shared" ref="AR55:AU55" si="107">SUM(AO54:AR54)</f>
        <v>37736.034115121394</v>
      </c>
      <c r="AS55" s="85">
        <f t="shared" si="107"/>
        <v>38204.144973305745</v>
      </c>
      <c r="AT55" s="85">
        <f t="shared" si="107"/>
        <v>39035.887794168913</v>
      </c>
      <c r="AU55" s="85">
        <f t="shared" si="107"/>
        <v>39503.998652353272</v>
      </c>
      <c r="AV55" s="75"/>
      <c r="AW55" s="85">
        <f>AW51+AW53</f>
        <v>4122.82</v>
      </c>
      <c r="AX55" s="85">
        <f t="shared" si="85"/>
        <v>24300.853199999998</v>
      </c>
      <c r="AY55" s="320">
        <f t="shared" si="86"/>
        <v>25314.246792000002</v>
      </c>
      <c r="AZ55" s="320">
        <f t="shared" si="87"/>
        <v>24300.853199999998</v>
      </c>
      <c r="BA55" s="320">
        <f t="shared" si="88"/>
        <v>27971.750639491202</v>
      </c>
      <c r="BB55" s="320">
        <f t="shared" si="89"/>
        <v>29650.055677860681</v>
      </c>
      <c r="BC55" s="320">
        <f t="shared" si="90"/>
        <v>31429.059018532316</v>
      </c>
      <c r="BD55" s="320">
        <f t="shared" si="91"/>
        <v>33168.319025397861</v>
      </c>
      <c r="BE55" s="320">
        <f t="shared" si="92"/>
        <v>35158.418166921736</v>
      </c>
      <c r="BF55" s="320">
        <f t="shared" si="93"/>
        <v>37267.923256937043</v>
      </c>
      <c r="BG55" s="320">
        <f t="shared" si="22"/>
        <v>154480.0655349493</v>
      </c>
    </row>
    <row r="56" spans="1:59" x14ac:dyDescent="0.25">
      <c r="A56" s="578" t="s">
        <v>150</v>
      </c>
      <c r="B56" s="602">
        <v>0.13</v>
      </c>
      <c r="C56" s="85"/>
      <c r="D56" s="85">
        <f t="shared" ref="D56:G56" si="108">$B$56*D49</f>
        <v>101.4</v>
      </c>
      <c r="E56" s="85">
        <f>$B$56*E49</f>
        <v>236.6</v>
      </c>
      <c r="F56" s="85">
        <f t="shared" si="108"/>
        <v>861.9</v>
      </c>
      <c r="G56" s="85">
        <f t="shared" si="108"/>
        <v>507</v>
      </c>
      <c r="H56" s="85">
        <f>$B$56*H49</f>
        <v>507</v>
      </c>
      <c r="I56" s="85">
        <f t="shared" ref="I56:R56" si="109">$B$56*I49</f>
        <v>507</v>
      </c>
      <c r="J56" s="85">
        <f t="shared" si="109"/>
        <v>883.19400000000007</v>
      </c>
      <c r="K56" s="85">
        <f t="shared" si="109"/>
        <v>507</v>
      </c>
      <c r="L56" s="85">
        <f t="shared" si="109"/>
        <v>526.42200000000003</v>
      </c>
      <c r="M56" s="85">
        <f t="shared" si="109"/>
        <v>526.42200000000003</v>
      </c>
      <c r="N56" s="85">
        <f t="shared" si="109"/>
        <v>925.1876400000001</v>
      </c>
      <c r="O56" s="85">
        <f t="shared" si="109"/>
        <v>526.42200000000003</v>
      </c>
      <c r="P56" s="85">
        <f t="shared" si="109"/>
        <v>547.00932</v>
      </c>
      <c r="Q56" s="85">
        <f t="shared" si="109"/>
        <v>547.00932</v>
      </c>
      <c r="R56" s="85">
        <f t="shared" si="109"/>
        <v>969.70089840000003</v>
      </c>
      <c r="S56" s="85">
        <f t="shared" ref="S56:AQ56" si="110">$B$56*S49</f>
        <v>547.00932</v>
      </c>
      <c r="T56" s="85">
        <f t="shared" si="110"/>
        <v>579.82987920000005</v>
      </c>
      <c r="U56" s="85">
        <f t="shared" si="110"/>
        <v>579.82987920000005</v>
      </c>
      <c r="V56" s="85">
        <f t="shared" si="110"/>
        <v>1027.8829523040001</v>
      </c>
      <c r="W56" s="85">
        <f t="shared" si="110"/>
        <v>579.82987920000005</v>
      </c>
      <c r="X56" s="85">
        <f t="shared" si="110"/>
        <v>614.61967195200009</v>
      </c>
      <c r="Y56" s="85">
        <f t="shared" si="110"/>
        <v>614.61967195200009</v>
      </c>
      <c r="Z56" s="85">
        <f t="shared" si="110"/>
        <v>1089.5559294422403</v>
      </c>
      <c r="AA56" s="85">
        <f t="shared" si="110"/>
        <v>614.61967195200009</v>
      </c>
      <c r="AB56" s="85">
        <f t="shared" si="110"/>
        <v>651.49685226912015</v>
      </c>
      <c r="AC56" s="85">
        <f t="shared" si="110"/>
        <v>651.49685226912015</v>
      </c>
      <c r="AD56" s="85">
        <f t="shared" si="110"/>
        <v>1154.9292852087749</v>
      </c>
      <c r="AE56" s="85">
        <f t="shared" si="110"/>
        <v>651.49685226912015</v>
      </c>
      <c r="AF56" s="85">
        <f t="shared" si="110"/>
        <v>686.96359273326743</v>
      </c>
      <c r="AG56" s="85">
        <f t="shared" si="110"/>
        <v>686.96359273326743</v>
      </c>
      <c r="AH56" s="85">
        <f t="shared" si="110"/>
        <v>1220.601971649301</v>
      </c>
      <c r="AI56" s="85">
        <f t="shared" si="110"/>
        <v>686.96359273326743</v>
      </c>
      <c r="AJ56" s="85">
        <f t="shared" si="110"/>
        <v>728.18140829726349</v>
      </c>
      <c r="AK56" s="85">
        <f t="shared" si="110"/>
        <v>728.18140829726349</v>
      </c>
      <c r="AL56" s="85">
        <f t="shared" si="110"/>
        <v>1293.8380899482593</v>
      </c>
      <c r="AM56" s="85">
        <f t="shared" si="110"/>
        <v>728.18140829726349</v>
      </c>
      <c r="AN56" s="85">
        <f t="shared" si="110"/>
        <v>771.87229279509938</v>
      </c>
      <c r="AO56" s="85">
        <f t="shared" si="110"/>
        <v>771.87229279509938</v>
      </c>
      <c r="AP56" s="85">
        <f t="shared" si="110"/>
        <v>1371.4683753451552</v>
      </c>
      <c r="AQ56" s="85">
        <f t="shared" si="110"/>
        <v>771.87229279509938</v>
      </c>
      <c r="AR56" s="85">
        <f t="shared" ref="AR56:AU56" si="111">$B$56*AR49</f>
        <v>818.18463036280536</v>
      </c>
      <c r="AS56" s="85">
        <f t="shared" si="111"/>
        <v>818.18463036280536</v>
      </c>
      <c r="AT56" s="85">
        <f t="shared" si="111"/>
        <v>1453.7564778658646</v>
      </c>
      <c r="AU56" s="85">
        <f t="shared" si="111"/>
        <v>818.18463036280536</v>
      </c>
      <c r="AV56" s="75"/>
      <c r="AW56" s="85">
        <f>0.13*AW49</f>
        <v>1706.9</v>
      </c>
      <c r="AX56" s="85">
        <f t="shared" ref="AX56:BF56" si="112">0.13*AX49</f>
        <v>2404.194</v>
      </c>
      <c r="AY56" s="320">
        <f t="shared" si="112"/>
        <v>2504.4536400000002</v>
      </c>
      <c r="AZ56" s="320">
        <f t="shared" si="112"/>
        <v>2485.0316400000002</v>
      </c>
      <c r="BA56" s="320">
        <f t="shared" si="112"/>
        <v>2767.3725899040005</v>
      </c>
      <c r="BB56" s="320">
        <f t="shared" si="112"/>
        <v>2933.4149452982406</v>
      </c>
      <c r="BC56" s="320">
        <f t="shared" si="112"/>
        <v>3109.4198420161351</v>
      </c>
      <c r="BD56" s="320">
        <f t="shared" si="112"/>
        <v>3281.4927498491033</v>
      </c>
      <c r="BE56" s="320">
        <f t="shared" si="112"/>
        <v>3478.3823148400497</v>
      </c>
      <c r="BF56" s="320">
        <f t="shared" si="112"/>
        <v>3687.0852537304531</v>
      </c>
      <c r="BG56" s="320">
        <f t="shared" si="22"/>
        <v>3908.3103689542804</v>
      </c>
    </row>
    <row r="57" spans="1:59" x14ac:dyDescent="0.25">
      <c r="A57" s="578" t="s">
        <v>151</v>
      </c>
      <c r="B57" s="602">
        <v>0.3</v>
      </c>
      <c r="C57" s="85"/>
      <c r="D57" s="85">
        <f>$B$57*D13</f>
        <v>0</v>
      </c>
      <c r="E57" s="85">
        <f t="shared" ref="E57:S57" si="113">$B$57*E13</f>
        <v>0</v>
      </c>
      <c r="F57" s="85">
        <f t="shared" si="113"/>
        <v>0</v>
      </c>
      <c r="G57" s="85">
        <f t="shared" si="113"/>
        <v>0</v>
      </c>
      <c r="H57" s="85">
        <f>$B$57*H13</f>
        <v>0</v>
      </c>
      <c r="I57" s="85">
        <f t="shared" si="113"/>
        <v>0</v>
      </c>
      <c r="J57" s="85">
        <f t="shared" si="113"/>
        <v>0</v>
      </c>
      <c r="K57" s="85">
        <f t="shared" si="113"/>
        <v>0</v>
      </c>
      <c r="L57" s="85">
        <f t="shared" si="113"/>
        <v>0</v>
      </c>
      <c r="M57" s="85">
        <f t="shared" si="113"/>
        <v>0</v>
      </c>
      <c r="N57" s="85">
        <f t="shared" si="113"/>
        <v>0</v>
      </c>
      <c r="O57" s="85">
        <f t="shared" si="113"/>
        <v>0</v>
      </c>
      <c r="P57" s="85">
        <f t="shared" si="113"/>
        <v>0</v>
      </c>
      <c r="Q57" s="85">
        <f t="shared" si="113"/>
        <v>0</v>
      </c>
      <c r="R57" s="85">
        <f t="shared" si="113"/>
        <v>0</v>
      </c>
      <c r="S57" s="85">
        <f t="shared" si="113"/>
        <v>0</v>
      </c>
      <c r="T57" s="85"/>
      <c r="U57" s="85"/>
      <c r="V57" s="85"/>
      <c r="W57" s="85"/>
      <c r="X57" s="85"/>
      <c r="Y57" s="85"/>
      <c r="Z57" s="85"/>
      <c r="AA57" s="85"/>
      <c r="AB57" s="85"/>
      <c r="AC57" s="85"/>
      <c r="AD57" s="85"/>
      <c r="AE57" s="85"/>
      <c r="AF57" s="85"/>
      <c r="AG57" s="85"/>
      <c r="AH57" s="85"/>
      <c r="AI57" s="85"/>
      <c r="AJ57" s="85"/>
      <c r="AK57" s="85"/>
      <c r="AL57" s="85"/>
      <c r="AM57" s="85"/>
      <c r="AN57" s="85"/>
      <c r="AO57" s="85"/>
      <c r="AP57" s="85"/>
      <c r="AQ57" s="85"/>
      <c r="AR57" s="85"/>
      <c r="AS57" s="85"/>
      <c r="AT57" s="85"/>
      <c r="AU57" s="85"/>
      <c r="AV57" s="75"/>
      <c r="AW57" s="75">
        <f>0.3*AW13</f>
        <v>0</v>
      </c>
      <c r="AX57" s="320">
        <f>SUM(H57:K57)</f>
        <v>0</v>
      </c>
      <c r="AY57" s="320">
        <f>SUM(L57:O57)</f>
        <v>0</v>
      </c>
      <c r="AZ57" s="320">
        <f>SUM(K57:N57)</f>
        <v>0</v>
      </c>
      <c r="BA57" s="320">
        <f>SUM(T57:W57)</f>
        <v>0</v>
      </c>
      <c r="BB57" s="320">
        <f>SUM(X57:AA57)</f>
        <v>0</v>
      </c>
      <c r="BC57" s="320">
        <f>SUM(AB57:AE57)</f>
        <v>0</v>
      </c>
      <c r="BD57" s="320">
        <f>SUM(AF57:AI57)</f>
        <v>0</v>
      </c>
      <c r="BE57" s="320">
        <f>SUM(AJ57:AM57)</f>
        <v>0</v>
      </c>
      <c r="BF57" s="320">
        <f>SUM(AN57:AQ57)</f>
        <v>0</v>
      </c>
      <c r="BG57" s="320">
        <f t="shared" si="22"/>
        <v>0</v>
      </c>
    </row>
    <row r="58" spans="1:59" s="331" customFormat="1" x14ac:dyDescent="0.25">
      <c r="A58" s="592" t="s">
        <v>152</v>
      </c>
      <c r="B58" s="330"/>
      <c r="C58" s="330"/>
      <c r="D58" s="330">
        <f>D56+D57</f>
        <v>101.4</v>
      </c>
      <c r="E58" s="330">
        <f t="shared" ref="E58:AQ58" si="114">E56+E57</f>
        <v>236.6</v>
      </c>
      <c r="F58" s="330">
        <f t="shared" si="114"/>
        <v>861.9</v>
      </c>
      <c r="G58" s="330">
        <f t="shared" si="114"/>
        <v>507</v>
      </c>
      <c r="H58" s="330">
        <f t="shared" si="114"/>
        <v>507</v>
      </c>
      <c r="I58" s="330">
        <f t="shared" si="114"/>
        <v>507</v>
      </c>
      <c r="J58" s="330">
        <f t="shared" si="114"/>
        <v>883.19400000000007</v>
      </c>
      <c r="K58" s="330">
        <f t="shared" si="114"/>
        <v>507</v>
      </c>
      <c r="L58" s="330">
        <f t="shared" si="114"/>
        <v>526.42200000000003</v>
      </c>
      <c r="M58" s="330">
        <f t="shared" si="114"/>
        <v>526.42200000000003</v>
      </c>
      <c r="N58" s="330">
        <f t="shared" si="114"/>
        <v>925.1876400000001</v>
      </c>
      <c r="O58" s="330">
        <f t="shared" si="114"/>
        <v>526.42200000000003</v>
      </c>
      <c r="P58" s="330">
        <f t="shared" si="114"/>
        <v>547.00932</v>
      </c>
      <c r="Q58" s="330">
        <f t="shared" si="114"/>
        <v>547.00932</v>
      </c>
      <c r="R58" s="330">
        <f t="shared" si="114"/>
        <v>969.70089840000003</v>
      </c>
      <c r="S58" s="330">
        <f t="shared" si="114"/>
        <v>547.00932</v>
      </c>
      <c r="T58" s="330">
        <f t="shared" si="114"/>
        <v>579.82987920000005</v>
      </c>
      <c r="U58" s="330">
        <f t="shared" si="114"/>
        <v>579.82987920000005</v>
      </c>
      <c r="V58" s="330">
        <f t="shared" si="114"/>
        <v>1027.8829523040001</v>
      </c>
      <c r="W58" s="330">
        <f t="shared" si="114"/>
        <v>579.82987920000005</v>
      </c>
      <c r="X58" s="330">
        <f t="shared" si="114"/>
        <v>614.61967195200009</v>
      </c>
      <c r="Y58" s="330">
        <f t="shared" si="114"/>
        <v>614.61967195200009</v>
      </c>
      <c r="Z58" s="330">
        <f t="shared" si="114"/>
        <v>1089.5559294422403</v>
      </c>
      <c r="AA58" s="330">
        <f t="shared" si="114"/>
        <v>614.61967195200009</v>
      </c>
      <c r="AB58" s="330">
        <f t="shared" si="114"/>
        <v>651.49685226912015</v>
      </c>
      <c r="AC58" s="330">
        <f t="shared" si="114"/>
        <v>651.49685226912015</v>
      </c>
      <c r="AD58" s="330">
        <f t="shared" si="114"/>
        <v>1154.9292852087749</v>
      </c>
      <c r="AE58" s="330">
        <f t="shared" si="114"/>
        <v>651.49685226912015</v>
      </c>
      <c r="AF58" s="330">
        <f t="shared" si="114"/>
        <v>686.96359273326743</v>
      </c>
      <c r="AG58" s="330">
        <f t="shared" si="114"/>
        <v>686.96359273326743</v>
      </c>
      <c r="AH58" s="330">
        <f t="shared" si="114"/>
        <v>1220.601971649301</v>
      </c>
      <c r="AI58" s="330">
        <f t="shared" si="114"/>
        <v>686.96359273326743</v>
      </c>
      <c r="AJ58" s="330">
        <f t="shared" si="114"/>
        <v>728.18140829726349</v>
      </c>
      <c r="AK58" s="330">
        <f t="shared" si="114"/>
        <v>728.18140829726349</v>
      </c>
      <c r="AL58" s="330">
        <f t="shared" si="114"/>
        <v>1293.8380899482593</v>
      </c>
      <c r="AM58" s="330">
        <f t="shared" si="114"/>
        <v>728.18140829726349</v>
      </c>
      <c r="AN58" s="330">
        <f t="shared" si="114"/>
        <v>771.87229279509938</v>
      </c>
      <c r="AO58" s="330">
        <f t="shared" si="114"/>
        <v>771.87229279509938</v>
      </c>
      <c r="AP58" s="330">
        <f t="shared" si="114"/>
        <v>1371.4683753451552</v>
      </c>
      <c r="AQ58" s="330">
        <f t="shared" si="114"/>
        <v>771.87229279509938</v>
      </c>
      <c r="AR58" s="330">
        <f t="shared" ref="AR58:AU58" si="115">AR56+AR57</f>
        <v>818.18463036280536</v>
      </c>
      <c r="AS58" s="330">
        <f t="shared" si="115"/>
        <v>818.18463036280536</v>
      </c>
      <c r="AT58" s="330">
        <f t="shared" si="115"/>
        <v>1453.7564778658646</v>
      </c>
      <c r="AU58" s="330">
        <f t="shared" si="115"/>
        <v>818.18463036280536</v>
      </c>
      <c r="AV58" s="329"/>
      <c r="AW58" s="552">
        <f>AW56+AW57</f>
        <v>1706.9</v>
      </c>
      <c r="AX58" s="330">
        <f>SUM(H58:K58)</f>
        <v>2404.194</v>
      </c>
      <c r="AY58" s="330">
        <f>SUM(L58:O58)</f>
        <v>2504.4536400000002</v>
      </c>
      <c r="AZ58" s="330">
        <f>SUM(P58:S58)</f>
        <v>2610.7288584000003</v>
      </c>
      <c r="BA58" s="330">
        <f>SUM(T58:W58)</f>
        <v>2767.3725899040005</v>
      </c>
      <c r="BB58" s="330">
        <f>SUM(X58:AA58)</f>
        <v>2933.414945298241</v>
      </c>
      <c r="BC58" s="330">
        <f>SUM(AB58:AE58)</f>
        <v>3109.4198420161351</v>
      </c>
      <c r="BD58" s="330">
        <f>SUM(AF58:AI58)</f>
        <v>3281.4927498491033</v>
      </c>
      <c r="BE58" s="330">
        <f>SUM(AJ58:AM58)</f>
        <v>3478.3823148400497</v>
      </c>
      <c r="BF58" s="330">
        <f>SUM(AN58:AQ58)</f>
        <v>3687.0852537304536</v>
      </c>
      <c r="BG58" s="330">
        <f t="shared" si="22"/>
        <v>3908.3103689542804</v>
      </c>
    </row>
    <row r="59" spans="1:59" s="99" customFormat="1" ht="30" x14ac:dyDescent="0.25">
      <c r="A59" s="593" t="s">
        <v>153</v>
      </c>
      <c r="B59" s="101" t="s">
        <v>154</v>
      </c>
      <c r="C59" s="594"/>
      <c r="D59" s="101" t="str">
        <f>D1</f>
        <v>I кв. 1 г.</v>
      </c>
      <c r="E59" s="101" t="str">
        <f t="shared" ref="E59:AU59" si="116">E1</f>
        <v>II кв. 1 г.</v>
      </c>
      <c r="F59" s="101" t="str">
        <f t="shared" si="116"/>
        <v>III кв. 1 г.</v>
      </c>
      <c r="G59" s="101" t="str">
        <f t="shared" si="116"/>
        <v>IV кв. 1 г.</v>
      </c>
      <c r="H59" s="101" t="str">
        <f t="shared" si="116"/>
        <v>I кв. 2 г.</v>
      </c>
      <c r="I59" s="101" t="str">
        <f t="shared" si="116"/>
        <v>II кв. 2 г.</v>
      </c>
      <c r="J59" s="101" t="str">
        <f t="shared" si="116"/>
        <v>III кв. 2 г.</v>
      </c>
      <c r="K59" s="101" t="str">
        <f t="shared" si="116"/>
        <v>IV кв. 2 г.</v>
      </c>
      <c r="L59" s="101" t="str">
        <f t="shared" si="116"/>
        <v>I кв. 3 г.</v>
      </c>
      <c r="M59" s="101" t="str">
        <f t="shared" si="116"/>
        <v>II кв. 3 г.</v>
      </c>
      <c r="N59" s="101" t="str">
        <f t="shared" si="116"/>
        <v>III кв. 3 г.</v>
      </c>
      <c r="O59" s="101" t="str">
        <f t="shared" si="116"/>
        <v>IV кв. 3 г.</v>
      </c>
      <c r="P59" s="101" t="str">
        <f t="shared" si="116"/>
        <v>I кв. 4 г.</v>
      </c>
      <c r="Q59" s="101" t="str">
        <f t="shared" si="116"/>
        <v>II кв. 4 г.</v>
      </c>
      <c r="R59" s="101" t="str">
        <f t="shared" si="116"/>
        <v>III кв. 4 г.</v>
      </c>
      <c r="S59" s="101" t="str">
        <f t="shared" si="116"/>
        <v>IV кв. 4 г.</v>
      </c>
      <c r="T59" s="101" t="str">
        <f t="shared" si="116"/>
        <v>I кв. 5 г.</v>
      </c>
      <c r="U59" s="101" t="str">
        <f t="shared" si="116"/>
        <v>II кв. 5 г.</v>
      </c>
      <c r="V59" s="101" t="str">
        <f t="shared" si="116"/>
        <v>III кв. 5 г.</v>
      </c>
      <c r="W59" s="101" t="str">
        <f t="shared" si="116"/>
        <v>IV кв. 5 г.</v>
      </c>
      <c r="X59" s="101" t="str">
        <f t="shared" si="116"/>
        <v>I кв. 6 г.</v>
      </c>
      <c r="Y59" s="101" t="str">
        <f t="shared" si="116"/>
        <v>II кв. 6 г.</v>
      </c>
      <c r="Z59" s="101" t="str">
        <f t="shared" si="116"/>
        <v>III кв. 6 г.</v>
      </c>
      <c r="AA59" s="101" t="str">
        <f t="shared" si="116"/>
        <v>IV кв. 6 г.</v>
      </c>
      <c r="AB59" s="101" t="str">
        <f t="shared" si="116"/>
        <v>I кв. 7 г.</v>
      </c>
      <c r="AC59" s="101" t="str">
        <f t="shared" si="116"/>
        <v>II кв. 7 г.</v>
      </c>
      <c r="AD59" s="101" t="str">
        <f t="shared" si="116"/>
        <v>III кв. 7 г.</v>
      </c>
      <c r="AE59" s="101" t="str">
        <f t="shared" si="116"/>
        <v>IV кв. 7 г.</v>
      </c>
      <c r="AF59" s="101" t="str">
        <f t="shared" si="116"/>
        <v>I кв. 8 г.</v>
      </c>
      <c r="AG59" s="101" t="str">
        <f t="shared" si="116"/>
        <v>II кв. 8 г.</v>
      </c>
      <c r="AH59" s="101" t="str">
        <f t="shared" si="116"/>
        <v>III кв. 8 г.</v>
      </c>
      <c r="AI59" s="101" t="str">
        <f t="shared" si="116"/>
        <v>IV кв. 8 г.</v>
      </c>
      <c r="AJ59" s="101" t="str">
        <f t="shared" si="116"/>
        <v>I кв. 9 г.</v>
      </c>
      <c r="AK59" s="101" t="str">
        <f t="shared" si="116"/>
        <v>II кв. 9 г.</v>
      </c>
      <c r="AL59" s="101" t="str">
        <f t="shared" si="116"/>
        <v>III кв. 9 г.</v>
      </c>
      <c r="AM59" s="101" t="str">
        <f t="shared" si="116"/>
        <v>IV кв. 9 г.</v>
      </c>
      <c r="AN59" s="101" t="str">
        <f t="shared" si="116"/>
        <v>I кв. 10 г.</v>
      </c>
      <c r="AO59" s="101" t="str">
        <f t="shared" si="116"/>
        <v>II кв. 10 г.</v>
      </c>
      <c r="AP59" s="101" t="str">
        <f t="shared" si="116"/>
        <v>III кв. 10 г.</v>
      </c>
      <c r="AQ59" s="101" t="str">
        <f t="shared" si="116"/>
        <v>IV кв. 10 г.</v>
      </c>
      <c r="AR59" s="101" t="str">
        <f t="shared" si="116"/>
        <v>I кв. 11 г.</v>
      </c>
      <c r="AS59" s="101" t="str">
        <f t="shared" si="116"/>
        <v>II кв. 11 г.</v>
      </c>
      <c r="AT59" s="101" t="str">
        <f t="shared" si="116"/>
        <v>III кв. 11 г.</v>
      </c>
      <c r="AU59" s="101" t="str">
        <f t="shared" si="116"/>
        <v>IV кв. 11 г.</v>
      </c>
    </row>
    <row r="60" spans="1:59" x14ac:dyDescent="0.25">
      <c r="A60" s="595" t="s">
        <v>423</v>
      </c>
      <c r="B60" s="615">
        <f>допущения!C23</f>
        <v>1.4E-2</v>
      </c>
      <c r="C60" s="580"/>
      <c r="D60" s="85">
        <f>D53</f>
        <v>10.92</v>
      </c>
      <c r="E60" s="85">
        <f t="shared" ref="E60:AQ60" si="117">E53</f>
        <v>25.48</v>
      </c>
      <c r="F60" s="85">
        <f t="shared" si="117"/>
        <v>92.820000000000007</v>
      </c>
      <c r="G60" s="85">
        <f t="shared" si="117"/>
        <v>54.6</v>
      </c>
      <c r="H60" s="85">
        <f>H53</f>
        <v>54.6</v>
      </c>
      <c r="I60" s="85">
        <f t="shared" si="117"/>
        <v>54.6</v>
      </c>
      <c r="J60" s="85">
        <f t="shared" si="117"/>
        <v>95.113200000000006</v>
      </c>
      <c r="K60" s="85">
        <f t="shared" si="117"/>
        <v>54.6</v>
      </c>
      <c r="L60" s="85">
        <f t="shared" si="117"/>
        <v>56.691600000000001</v>
      </c>
      <c r="M60" s="85">
        <f t="shared" si="117"/>
        <v>56.691600000000001</v>
      </c>
      <c r="N60" s="85">
        <f t="shared" si="117"/>
        <v>99.635592000000003</v>
      </c>
      <c r="O60" s="85">
        <f t="shared" si="117"/>
        <v>56.691600000000001</v>
      </c>
      <c r="P60" s="85">
        <f t="shared" si="117"/>
        <v>58.908696000000006</v>
      </c>
      <c r="Q60" s="85">
        <f t="shared" si="117"/>
        <v>58.908696000000006</v>
      </c>
      <c r="R60" s="85">
        <f t="shared" si="117"/>
        <v>104.42932752</v>
      </c>
      <c r="S60" s="85">
        <f t="shared" si="117"/>
        <v>58.908696000000006</v>
      </c>
      <c r="T60" s="85">
        <f t="shared" si="117"/>
        <v>62.443217760000003</v>
      </c>
      <c r="U60" s="85">
        <f t="shared" si="117"/>
        <v>62.443217760000003</v>
      </c>
      <c r="V60" s="85">
        <f t="shared" si="117"/>
        <v>110.69508717120002</v>
      </c>
      <c r="W60" s="85">
        <f t="shared" si="117"/>
        <v>62.443217760000003</v>
      </c>
      <c r="X60" s="85">
        <f t="shared" si="117"/>
        <v>66.189810825600006</v>
      </c>
      <c r="Y60" s="85">
        <f t="shared" si="117"/>
        <v>66.189810825600006</v>
      </c>
      <c r="Z60" s="85">
        <f t="shared" si="117"/>
        <v>117.33679240147202</v>
      </c>
      <c r="AA60" s="85">
        <f t="shared" si="117"/>
        <v>66.189810825600006</v>
      </c>
      <c r="AB60" s="85">
        <f t="shared" si="117"/>
        <v>70.161199475136016</v>
      </c>
      <c r="AC60" s="85">
        <f t="shared" si="117"/>
        <v>70.161199475136016</v>
      </c>
      <c r="AD60" s="85">
        <f t="shared" si="117"/>
        <v>124.37699994556036</v>
      </c>
      <c r="AE60" s="85">
        <f t="shared" si="117"/>
        <v>70.161199475136016</v>
      </c>
      <c r="AF60" s="85">
        <f t="shared" si="117"/>
        <v>73.980694602044181</v>
      </c>
      <c r="AG60" s="85">
        <f t="shared" si="117"/>
        <v>73.980694602044181</v>
      </c>
      <c r="AH60" s="85">
        <f t="shared" si="117"/>
        <v>131.44944310069397</v>
      </c>
      <c r="AI60" s="85">
        <f t="shared" si="117"/>
        <v>73.980694602044181</v>
      </c>
      <c r="AJ60" s="85">
        <f t="shared" si="117"/>
        <v>78.419536278166845</v>
      </c>
      <c r="AK60" s="85">
        <f t="shared" si="117"/>
        <v>78.419536278166845</v>
      </c>
      <c r="AL60" s="85">
        <f t="shared" si="117"/>
        <v>139.33640968673564</v>
      </c>
      <c r="AM60" s="85">
        <f t="shared" si="117"/>
        <v>78.419536278166845</v>
      </c>
      <c r="AN60" s="85">
        <f t="shared" si="117"/>
        <v>83.124708454856858</v>
      </c>
      <c r="AO60" s="85">
        <f t="shared" si="117"/>
        <v>83.124708454856858</v>
      </c>
      <c r="AP60" s="85">
        <f t="shared" si="117"/>
        <v>147.69659426793979</v>
      </c>
      <c r="AQ60" s="85">
        <f t="shared" si="117"/>
        <v>83.124708454856858</v>
      </c>
      <c r="AR60" s="85">
        <f t="shared" ref="AR60:AU60" si="118">AR53</f>
        <v>88.112190962148276</v>
      </c>
      <c r="AS60" s="85">
        <f t="shared" si="118"/>
        <v>88.112190962148276</v>
      </c>
      <c r="AT60" s="85">
        <f t="shared" si="118"/>
        <v>156.55838992401618</v>
      </c>
      <c r="AU60" s="85">
        <f t="shared" si="118"/>
        <v>88.112190962148276</v>
      </c>
    </row>
    <row r="61" spans="1:59" x14ac:dyDescent="0.25">
      <c r="A61" s="578" t="s">
        <v>155</v>
      </c>
      <c r="B61" s="602">
        <f>SUM(B63:B65)</f>
        <v>0.3</v>
      </c>
      <c r="C61" s="580"/>
      <c r="D61" s="85">
        <f>D51</f>
        <v>234</v>
      </c>
      <c r="E61" s="85">
        <f t="shared" ref="E61:AQ61" si="119">E51</f>
        <v>546</v>
      </c>
      <c r="F61" s="85">
        <f t="shared" si="119"/>
        <v>1989</v>
      </c>
      <c r="G61" s="85">
        <f t="shared" si="119"/>
        <v>1170</v>
      </c>
      <c r="H61" s="85">
        <f>H51</f>
        <v>1170</v>
      </c>
      <c r="I61" s="85">
        <f t="shared" si="119"/>
        <v>1170</v>
      </c>
      <c r="J61" s="85">
        <f t="shared" si="119"/>
        <v>2038.1399999999999</v>
      </c>
      <c r="K61" s="85">
        <f t="shared" si="119"/>
        <v>1170</v>
      </c>
      <c r="L61" s="85">
        <f t="shared" si="119"/>
        <v>1214.8200000000002</v>
      </c>
      <c r="M61" s="85">
        <f t="shared" si="119"/>
        <v>1214.8200000000002</v>
      </c>
      <c r="N61" s="85">
        <f t="shared" si="119"/>
        <v>2135.0484000000001</v>
      </c>
      <c r="O61" s="85">
        <f t="shared" si="119"/>
        <v>1214.8200000000002</v>
      </c>
      <c r="P61" s="85">
        <f t="shared" si="119"/>
        <v>1262.3292000000001</v>
      </c>
      <c r="Q61" s="85">
        <f t="shared" si="119"/>
        <v>1262.3292000000001</v>
      </c>
      <c r="R61" s="85">
        <f t="shared" si="119"/>
        <v>2237.7713040000003</v>
      </c>
      <c r="S61" s="85">
        <f t="shared" si="119"/>
        <v>1262.3292000000001</v>
      </c>
      <c r="T61" s="85">
        <f t="shared" si="119"/>
        <v>1338.0689520000001</v>
      </c>
      <c r="U61" s="85">
        <f t="shared" si="119"/>
        <v>1338.0689520000001</v>
      </c>
      <c r="V61" s="85">
        <f t="shared" si="119"/>
        <v>2372.0375822400001</v>
      </c>
      <c r="W61" s="85">
        <f t="shared" si="119"/>
        <v>1338.0689520000001</v>
      </c>
      <c r="X61" s="85">
        <f t="shared" si="119"/>
        <v>1418.3530891200003</v>
      </c>
      <c r="Y61" s="85">
        <f t="shared" si="119"/>
        <v>1418.3530891200003</v>
      </c>
      <c r="Z61" s="85">
        <f t="shared" si="119"/>
        <v>2514.3598371744006</v>
      </c>
      <c r="AA61" s="85">
        <f t="shared" si="119"/>
        <v>1418.3530891200003</v>
      </c>
      <c r="AB61" s="85">
        <f t="shared" si="119"/>
        <v>1503.4542744672003</v>
      </c>
      <c r="AC61" s="85">
        <f t="shared" si="119"/>
        <v>1503.4542744672003</v>
      </c>
      <c r="AD61" s="85">
        <f t="shared" si="119"/>
        <v>2665.2214274048647</v>
      </c>
      <c r="AE61" s="85">
        <f t="shared" si="119"/>
        <v>1503.4542744672003</v>
      </c>
      <c r="AF61" s="85">
        <f t="shared" si="119"/>
        <v>1585.3005986152325</v>
      </c>
      <c r="AG61" s="85">
        <f t="shared" si="119"/>
        <v>1585.3005986152325</v>
      </c>
      <c r="AH61" s="85">
        <f t="shared" si="119"/>
        <v>2816.7737807291569</v>
      </c>
      <c r="AI61" s="85">
        <f t="shared" si="119"/>
        <v>1585.3005986152325</v>
      </c>
      <c r="AJ61" s="85">
        <f t="shared" si="119"/>
        <v>1680.4186345321466</v>
      </c>
      <c r="AK61" s="85">
        <f t="shared" si="119"/>
        <v>1680.4186345321466</v>
      </c>
      <c r="AL61" s="85">
        <f t="shared" si="119"/>
        <v>2985.7802075729064</v>
      </c>
      <c r="AM61" s="85">
        <f t="shared" si="119"/>
        <v>1680.4186345321466</v>
      </c>
      <c r="AN61" s="85">
        <f t="shared" si="119"/>
        <v>1781.2437526040753</v>
      </c>
      <c r="AO61" s="85">
        <f t="shared" si="119"/>
        <v>1781.2437526040753</v>
      </c>
      <c r="AP61" s="85">
        <f t="shared" si="119"/>
        <v>3164.9270200272804</v>
      </c>
      <c r="AQ61" s="85">
        <f t="shared" si="119"/>
        <v>1781.2437526040753</v>
      </c>
      <c r="AR61" s="85">
        <f t="shared" ref="AR61:AU61" si="120">AR51</f>
        <v>1888.1183777603201</v>
      </c>
      <c r="AS61" s="85">
        <f t="shared" si="120"/>
        <v>1888.1183777603201</v>
      </c>
      <c r="AT61" s="85">
        <f t="shared" si="120"/>
        <v>3354.8226412289177</v>
      </c>
      <c r="AU61" s="85">
        <f t="shared" si="120"/>
        <v>1888.1183777603201</v>
      </c>
    </row>
    <row r="62" spans="1:59" x14ac:dyDescent="0.25">
      <c r="A62" s="578" t="s">
        <v>156</v>
      </c>
      <c r="B62" s="596"/>
      <c r="C62" s="580"/>
      <c r="D62" s="85"/>
      <c r="E62" s="85"/>
      <c r="F62" s="85"/>
      <c r="G62" s="85"/>
      <c r="H62" s="85"/>
      <c r="I62" s="85"/>
      <c r="J62" s="85"/>
      <c r="K62" s="85"/>
      <c r="L62" s="85"/>
      <c r="M62" s="85"/>
      <c r="N62" s="85"/>
      <c r="O62" s="85"/>
      <c r="P62" s="85"/>
      <c r="Q62" s="85"/>
      <c r="R62" s="85"/>
      <c r="S62" s="85"/>
      <c r="T62" s="85"/>
      <c r="U62" s="85"/>
      <c r="V62" s="85"/>
      <c r="W62" s="597"/>
      <c r="X62" s="597"/>
      <c r="Y62" s="597"/>
      <c r="Z62" s="597"/>
      <c r="AA62" s="597"/>
      <c r="AB62" s="597"/>
      <c r="AC62" s="597"/>
      <c r="AD62" s="597"/>
      <c r="AE62" s="597"/>
      <c r="AF62" s="597"/>
      <c r="AG62" s="597"/>
      <c r="AH62" s="597"/>
      <c r="AI62" s="597"/>
      <c r="AJ62" s="597"/>
      <c r="AK62" s="597"/>
      <c r="AL62" s="597"/>
      <c r="AM62" s="597"/>
      <c r="AN62" s="597"/>
      <c r="AO62" s="597"/>
      <c r="AP62" s="597"/>
      <c r="AQ62" s="597"/>
      <c r="AR62" s="597"/>
      <c r="AS62" s="597"/>
      <c r="AT62" s="597"/>
      <c r="AU62" s="597"/>
    </row>
    <row r="63" spans="1:59" ht="30" x14ac:dyDescent="0.25">
      <c r="A63" s="578" t="s">
        <v>157</v>
      </c>
      <c r="B63" s="602">
        <v>0.22</v>
      </c>
      <c r="C63" s="580"/>
      <c r="D63" s="85">
        <f>D49*$B$63</f>
        <v>171.6</v>
      </c>
      <c r="E63" s="85">
        <f t="shared" ref="E63:AQ63" si="121">E49*$B$63</f>
        <v>400.4</v>
      </c>
      <c r="F63" s="85">
        <f t="shared" si="121"/>
        <v>1458.6</v>
      </c>
      <c r="G63" s="85">
        <f t="shared" si="121"/>
        <v>858</v>
      </c>
      <c r="H63" s="85">
        <f t="shared" si="121"/>
        <v>858</v>
      </c>
      <c r="I63" s="85">
        <f t="shared" si="121"/>
        <v>858</v>
      </c>
      <c r="J63" s="85">
        <f t="shared" si="121"/>
        <v>1494.636</v>
      </c>
      <c r="K63" s="85">
        <f t="shared" si="121"/>
        <v>858</v>
      </c>
      <c r="L63" s="85">
        <f t="shared" si="121"/>
        <v>890.86800000000005</v>
      </c>
      <c r="M63" s="85">
        <f t="shared" si="121"/>
        <v>890.86800000000005</v>
      </c>
      <c r="N63" s="85">
        <f t="shared" si="121"/>
        <v>1565.70216</v>
      </c>
      <c r="O63" s="85">
        <f t="shared" si="121"/>
        <v>890.86800000000005</v>
      </c>
      <c r="P63" s="85">
        <f t="shared" si="121"/>
        <v>925.70808</v>
      </c>
      <c r="Q63" s="85">
        <f t="shared" si="121"/>
        <v>925.70808</v>
      </c>
      <c r="R63" s="85">
        <f t="shared" si="121"/>
        <v>1641.0322896</v>
      </c>
      <c r="S63" s="85">
        <f t="shared" si="121"/>
        <v>925.70808</v>
      </c>
      <c r="T63" s="85">
        <f t="shared" si="121"/>
        <v>981.25056480000001</v>
      </c>
      <c r="U63" s="85">
        <f t="shared" si="121"/>
        <v>981.25056480000001</v>
      </c>
      <c r="V63" s="85">
        <f t="shared" si="121"/>
        <v>1739.4942269760002</v>
      </c>
      <c r="W63" s="85">
        <f t="shared" si="121"/>
        <v>981.25056480000001</v>
      </c>
      <c r="X63" s="85">
        <f t="shared" si="121"/>
        <v>1040.1255986880001</v>
      </c>
      <c r="Y63" s="85">
        <f t="shared" si="121"/>
        <v>1040.1255986880001</v>
      </c>
      <c r="Z63" s="85">
        <f t="shared" si="121"/>
        <v>1843.8638805945604</v>
      </c>
      <c r="AA63" s="85">
        <f t="shared" si="121"/>
        <v>1040.1255986880001</v>
      </c>
      <c r="AB63" s="85">
        <f t="shared" si="121"/>
        <v>1102.5331346092801</v>
      </c>
      <c r="AC63" s="85">
        <f t="shared" si="121"/>
        <v>1102.5331346092801</v>
      </c>
      <c r="AD63" s="85">
        <f t="shared" si="121"/>
        <v>1954.4957134302342</v>
      </c>
      <c r="AE63" s="85">
        <f t="shared" si="121"/>
        <v>1102.5331346092801</v>
      </c>
      <c r="AF63" s="85">
        <f t="shared" si="121"/>
        <v>1162.553772317837</v>
      </c>
      <c r="AG63" s="85">
        <f t="shared" si="121"/>
        <v>1162.553772317837</v>
      </c>
      <c r="AH63" s="85">
        <f t="shared" si="121"/>
        <v>2065.6341058680482</v>
      </c>
      <c r="AI63" s="85">
        <f t="shared" si="121"/>
        <v>1162.553772317837</v>
      </c>
      <c r="AJ63" s="85">
        <f t="shared" si="121"/>
        <v>1232.3069986569076</v>
      </c>
      <c r="AK63" s="85">
        <f t="shared" si="121"/>
        <v>1232.3069986569076</v>
      </c>
      <c r="AL63" s="85">
        <f t="shared" si="121"/>
        <v>2189.5721522201311</v>
      </c>
      <c r="AM63" s="85">
        <f t="shared" si="121"/>
        <v>1232.3069986569076</v>
      </c>
      <c r="AN63" s="85">
        <f t="shared" si="121"/>
        <v>1306.245418576322</v>
      </c>
      <c r="AO63" s="85">
        <f t="shared" si="121"/>
        <v>1306.245418576322</v>
      </c>
      <c r="AP63" s="85">
        <f t="shared" si="121"/>
        <v>2320.9464813533395</v>
      </c>
      <c r="AQ63" s="85">
        <f t="shared" si="121"/>
        <v>1306.245418576322</v>
      </c>
      <c r="AR63" s="85">
        <f t="shared" ref="AR63:AU63" si="122">AR49*$B$63</f>
        <v>1384.6201436909014</v>
      </c>
      <c r="AS63" s="85">
        <f t="shared" si="122"/>
        <v>1384.6201436909014</v>
      </c>
      <c r="AT63" s="85">
        <f t="shared" si="122"/>
        <v>2460.20327023454</v>
      </c>
      <c r="AU63" s="85">
        <f t="shared" si="122"/>
        <v>1384.6201436909014</v>
      </c>
    </row>
    <row r="64" spans="1:59" ht="45" x14ac:dyDescent="0.25">
      <c r="A64" s="578" t="s">
        <v>158</v>
      </c>
      <c r="B64" s="602">
        <v>2.9000000000000001E-2</v>
      </c>
      <c r="C64" s="580"/>
      <c r="D64" s="85">
        <f>D49*$B$64</f>
        <v>22.62</v>
      </c>
      <c r="E64" s="85">
        <f t="shared" ref="E64:AQ64" si="123">E49*$B$64</f>
        <v>52.78</v>
      </c>
      <c r="F64" s="85">
        <f t="shared" si="123"/>
        <v>192.27</v>
      </c>
      <c r="G64" s="85">
        <f t="shared" si="123"/>
        <v>113.10000000000001</v>
      </c>
      <c r="H64" s="85">
        <f t="shared" si="123"/>
        <v>113.10000000000001</v>
      </c>
      <c r="I64" s="85">
        <f t="shared" si="123"/>
        <v>113.10000000000001</v>
      </c>
      <c r="J64" s="85">
        <f t="shared" si="123"/>
        <v>197.02020000000002</v>
      </c>
      <c r="K64" s="85">
        <f t="shared" si="123"/>
        <v>113.10000000000001</v>
      </c>
      <c r="L64" s="85">
        <f t="shared" si="123"/>
        <v>117.43260000000001</v>
      </c>
      <c r="M64" s="85">
        <f t="shared" si="123"/>
        <v>117.43260000000001</v>
      </c>
      <c r="N64" s="85">
        <f t="shared" si="123"/>
        <v>206.38801200000003</v>
      </c>
      <c r="O64" s="85">
        <f t="shared" si="123"/>
        <v>117.43260000000001</v>
      </c>
      <c r="P64" s="85">
        <f t="shared" si="123"/>
        <v>122.02515600000001</v>
      </c>
      <c r="Q64" s="85">
        <f t="shared" si="123"/>
        <v>122.02515600000001</v>
      </c>
      <c r="R64" s="85">
        <f t="shared" si="123"/>
        <v>216.31789272</v>
      </c>
      <c r="S64" s="85">
        <f t="shared" si="123"/>
        <v>122.02515600000001</v>
      </c>
      <c r="T64" s="85">
        <f t="shared" si="123"/>
        <v>129.34666536</v>
      </c>
      <c r="U64" s="85">
        <f t="shared" si="123"/>
        <v>129.34666536</v>
      </c>
      <c r="V64" s="85">
        <f t="shared" si="123"/>
        <v>229.29696628320002</v>
      </c>
      <c r="W64" s="85">
        <f t="shared" si="123"/>
        <v>129.34666536</v>
      </c>
      <c r="X64" s="85">
        <f t="shared" si="123"/>
        <v>137.10746528160001</v>
      </c>
      <c r="Y64" s="85">
        <f t="shared" si="123"/>
        <v>137.10746528160001</v>
      </c>
      <c r="Z64" s="85">
        <f t="shared" si="123"/>
        <v>243.05478426019206</v>
      </c>
      <c r="AA64" s="85">
        <f t="shared" si="123"/>
        <v>137.10746528160001</v>
      </c>
      <c r="AB64" s="85">
        <f t="shared" si="123"/>
        <v>145.33391319849602</v>
      </c>
      <c r="AC64" s="85">
        <f t="shared" si="123"/>
        <v>145.33391319849602</v>
      </c>
      <c r="AD64" s="85">
        <f t="shared" si="123"/>
        <v>257.63807131580364</v>
      </c>
      <c r="AE64" s="85">
        <f t="shared" si="123"/>
        <v>145.33391319849602</v>
      </c>
      <c r="AF64" s="85">
        <f t="shared" si="123"/>
        <v>153.24572453280581</v>
      </c>
      <c r="AG64" s="85">
        <f t="shared" si="123"/>
        <v>153.24572453280581</v>
      </c>
      <c r="AH64" s="85">
        <f t="shared" si="123"/>
        <v>272.28813213715182</v>
      </c>
      <c r="AI64" s="85">
        <f t="shared" si="123"/>
        <v>153.24572453280581</v>
      </c>
      <c r="AJ64" s="85">
        <f t="shared" si="123"/>
        <v>162.44046800477417</v>
      </c>
      <c r="AK64" s="85">
        <f t="shared" si="123"/>
        <v>162.44046800477417</v>
      </c>
      <c r="AL64" s="85">
        <f t="shared" si="123"/>
        <v>288.62542006538092</v>
      </c>
      <c r="AM64" s="85">
        <f t="shared" si="123"/>
        <v>162.44046800477417</v>
      </c>
      <c r="AN64" s="85">
        <f t="shared" si="123"/>
        <v>172.18689608506062</v>
      </c>
      <c r="AO64" s="85">
        <f t="shared" si="123"/>
        <v>172.18689608506062</v>
      </c>
      <c r="AP64" s="85">
        <f t="shared" si="123"/>
        <v>305.94294526930383</v>
      </c>
      <c r="AQ64" s="85">
        <f t="shared" si="123"/>
        <v>172.18689608506062</v>
      </c>
      <c r="AR64" s="85">
        <f t="shared" ref="AR64:AU64" si="124">AR49*$B$64</f>
        <v>182.51810985016428</v>
      </c>
      <c r="AS64" s="85">
        <f t="shared" si="124"/>
        <v>182.51810985016428</v>
      </c>
      <c r="AT64" s="85">
        <f t="shared" si="124"/>
        <v>324.29952198546209</v>
      </c>
      <c r="AU64" s="85">
        <f t="shared" si="124"/>
        <v>182.51810985016428</v>
      </c>
    </row>
    <row r="65" spans="1:47" ht="30" x14ac:dyDescent="0.25">
      <c r="A65" s="578" t="s">
        <v>159</v>
      </c>
      <c r="B65" s="602">
        <v>5.0999999999999997E-2</v>
      </c>
      <c r="C65" s="580"/>
      <c r="D65" s="85">
        <f>D49*$B$65</f>
        <v>39.779999999999994</v>
      </c>
      <c r="E65" s="85">
        <f t="shared" ref="E65:AQ65" si="125">E49*$B$65</f>
        <v>92.82</v>
      </c>
      <c r="F65" s="85">
        <f t="shared" si="125"/>
        <v>338.13</v>
      </c>
      <c r="G65" s="85">
        <f t="shared" si="125"/>
        <v>198.89999999999998</v>
      </c>
      <c r="H65" s="85">
        <f t="shared" si="125"/>
        <v>198.89999999999998</v>
      </c>
      <c r="I65" s="85">
        <f t="shared" si="125"/>
        <v>198.89999999999998</v>
      </c>
      <c r="J65" s="85">
        <f t="shared" si="125"/>
        <v>346.48379999999997</v>
      </c>
      <c r="K65" s="85">
        <f t="shared" si="125"/>
        <v>198.89999999999998</v>
      </c>
      <c r="L65" s="85">
        <f t="shared" si="125"/>
        <v>206.51939999999999</v>
      </c>
      <c r="M65" s="85">
        <f t="shared" si="125"/>
        <v>206.51939999999999</v>
      </c>
      <c r="N65" s="85">
        <f t="shared" si="125"/>
        <v>362.95822800000002</v>
      </c>
      <c r="O65" s="85">
        <f t="shared" si="125"/>
        <v>206.51939999999999</v>
      </c>
      <c r="P65" s="85">
        <f t="shared" si="125"/>
        <v>214.59596399999998</v>
      </c>
      <c r="Q65" s="85">
        <f t="shared" si="125"/>
        <v>214.59596399999998</v>
      </c>
      <c r="R65" s="85">
        <f t="shared" si="125"/>
        <v>380.42112168</v>
      </c>
      <c r="S65" s="85">
        <f t="shared" si="125"/>
        <v>214.59596399999998</v>
      </c>
      <c r="T65" s="85">
        <f t="shared" si="125"/>
        <v>227.47172183999999</v>
      </c>
      <c r="U65" s="85">
        <f t="shared" si="125"/>
        <v>227.47172183999999</v>
      </c>
      <c r="V65" s="85">
        <f t="shared" si="125"/>
        <v>403.24638898080002</v>
      </c>
      <c r="W65" s="85">
        <f t="shared" si="125"/>
        <v>227.47172183999999</v>
      </c>
      <c r="X65" s="85">
        <f t="shared" si="125"/>
        <v>241.12002515040001</v>
      </c>
      <c r="Y65" s="85">
        <f t="shared" si="125"/>
        <v>241.12002515040001</v>
      </c>
      <c r="Z65" s="85">
        <f t="shared" si="125"/>
        <v>427.44117231964805</v>
      </c>
      <c r="AA65" s="85">
        <f t="shared" si="125"/>
        <v>241.12002515040001</v>
      </c>
      <c r="AB65" s="85">
        <f t="shared" si="125"/>
        <v>255.58722665942403</v>
      </c>
      <c r="AC65" s="85">
        <f t="shared" si="125"/>
        <v>255.58722665942403</v>
      </c>
      <c r="AD65" s="85">
        <f t="shared" si="125"/>
        <v>453.08764265882701</v>
      </c>
      <c r="AE65" s="85">
        <f t="shared" si="125"/>
        <v>255.58722665942403</v>
      </c>
      <c r="AF65" s="85">
        <f t="shared" si="125"/>
        <v>269.50110176458952</v>
      </c>
      <c r="AG65" s="85">
        <f t="shared" si="125"/>
        <v>269.50110176458952</v>
      </c>
      <c r="AH65" s="85">
        <f t="shared" si="125"/>
        <v>478.85154272395653</v>
      </c>
      <c r="AI65" s="85">
        <f t="shared" si="125"/>
        <v>269.50110176458952</v>
      </c>
      <c r="AJ65" s="85">
        <f t="shared" si="125"/>
        <v>285.6711678704649</v>
      </c>
      <c r="AK65" s="85">
        <f t="shared" si="125"/>
        <v>285.6711678704649</v>
      </c>
      <c r="AL65" s="85">
        <f t="shared" si="125"/>
        <v>507.582635287394</v>
      </c>
      <c r="AM65" s="85">
        <f t="shared" si="125"/>
        <v>285.6711678704649</v>
      </c>
      <c r="AN65" s="85">
        <f t="shared" si="125"/>
        <v>302.81143794269281</v>
      </c>
      <c r="AO65" s="85">
        <f t="shared" si="125"/>
        <v>302.81143794269281</v>
      </c>
      <c r="AP65" s="85">
        <f t="shared" si="125"/>
        <v>538.03759340463773</v>
      </c>
      <c r="AQ65" s="85">
        <f t="shared" si="125"/>
        <v>302.81143794269281</v>
      </c>
      <c r="AR65" s="85">
        <f t="shared" ref="AR65:AU65" si="126">AR49*$B$65</f>
        <v>320.98012421925438</v>
      </c>
      <c r="AS65" s="85">
        <f t="shared" si="126"/>
        <v>320.98012421925438</v>
      </c>
      <c r="AT65" s="85">
        <f t="shared" si="126"/>
        <v>570.31984900891598</v>
      </c>
      <c r="AU65" s="85">
        <f t="shared" si="126"/>
        <v>320.98012421925438</v>
      </c>
    </row>
    <row r="66" spans="1:47" ht="30" x14ac:dyDescent="0.25">
      <c r="A66" s="598" t="s">
        <v>160</v>
      </c>
      <c r="B66" s="599">
        <f>B6+B15+B23+B26+B34+B47</f>
        <v>39</v>
      </c>
      <c r="C66" s="599">
        <f>(B2*C2+B3*C3+B4*C4+B5*C5+B9*C9+B10*C10+B11*C11+B12*C12+B14*C14+B18*C18)/B66</f>
        <v>56.666666666666664</v>
      </c>
      <c r="D66" s="597"/>
      <c r="E66" s="597"/>
      <c r="F66" s="597"/>
      <c r="G66" s="597"/>
      <c r="H66" s="597"/>
      <c r="I66" s="597"/>
      <c r="J66" s="597"/>
      <c r="K66" s="597"/>
      <c r="L66" s="597"/>
      <c r="M66" s="597"/>
      <c r="N66" s="597"/>
      <c r="O66" s="597"/>
      <c r="P66" s="597"/>
      <c r="Q66" s="597"/>
      <c r="R66" s="597"/>
      <c r="S66" s="597"/>
      <c r="T66" s="597"/>
      <c r="U66" s="597"/>
      <c r="V66" s="597"/>
      <c r="W66" s="597"/>
      <c r="X66" s="597"/>
      <c r="Y66" s="597"/>
      <c r="Z66" s="597"/>
      <c r="AA66" s="597"/>
      <c r="AB66" s="597"/>
      <c r="AC66" s="597"/>
      <c r="AD66" s="597"/>
      <c r="AE66" s="597"/>
      <c r="AF66" s="597"/>
      <c r="AG66" s="597"/>
      <c r="AH66" s="597"/>
      <c r="AI66" s="597"/>
      <c r="AJ66" s="597"/>
      <c r="AK66" s="597"/>
      <c r="AL66" s="597"/>
      <c r="AM66" s="597"/>
      <c r="AN66" s="597"/>
      <c r="AO66" s="597"/>
      <c r="AP66" s="597"/>
      <c r="AQ66" s="597"/>
      <c r="AR66" s="597"/>
      <c r="AS66" s="597"/>
      <c r="AT66" s="597"/>
      <c r="AU66" s="597"/>
    </row>
    <row r="67" spans="1:47" x14ac:dyDescent="0.25">
      <c r="A67" s="593" t="s">
        <v>153</v>
      </c>
      <c r="B67" s="101" t="str">
        <f>'объем работ 100% загр'!C2</f>
        <v>1 год</v>
      </c>
      <c r="C67" s="101" t="str">
        <f>'объем работ 100% загр'!D2</f>
        <v>2 год</v>
      </c>
      <c r="D67" s="101" t="str">
        <f>'объем работ 100% загр'!E2</f>
        <v>3 год</v>
      </c>
      <c r="E67" s="101" t="str">
        <f>'объем работ 100% загр'!F2</f>
        <v>4 год</v>
      </c>
      <c r="F67" s="101" t="str">
        <f>'объем работ 100% загр'!G2</f>
        <v>5 год</v>
      </c>
      <c r="G67" s="101" t="str">
        <f>'объем работ 100% загр'!H2</f>
        <v>6 год</v>
      </c>
      <c r="H67" s="101" t="str">
        <f>'объем работ 100% загр'!I2</f>
        <v>7 год</v>
      </c>
      <c r="I67" s="101" t="str">
        <f>'объем работ 100% загр'!J2</f>
        <v>8 год</v>
      </c>
      <c r="J67" s="101" t="str">
        <f>'объем работ 100% загр'!K2</f>
        <v>9 год</v>
      </c>
      <c r="K67" s="101" t="str">
        <f>'объем работ 100% загр'!L2</f>
        <v>10 год</v>
      </c>
      <c r="L67" s="101" t="str">
        <f>'объем работ 100% загр'!M2</f>
        <v>11 год</v>
      </c>
      <c r="M67" s="597"/>
      <c r="N67" s="597"/>
      <c r="O67" s="597"/>
      <c r="P67" s="597"/>
      <c r="Q67" s="597"/>
      <c r="R67" s="597"/>
      <c r="S67" s="597"/>
      <c r="T67" s="597"/>
      <c r="U67" s="597"/>
      <c r="V67" s="597"/>
      <c r="W67" s="597"/>
      <c r="X67" s="597"/>
      <c r="Y67" s="597"/>
      <c r="Z67" s="597"/>
      <c r="AA67" s="597"/>
      <c r="AB67" s="597"/>
      <c r="AC67" s="597"/>
      <c r="AD67" s="597"/>
      <c r="AE67" s="597"/>
      <c r="AF67" s="597"/>
      <c r="AG67" s="597"/>
      <c r="AH67" s="597"/>
      <c r="AI67" s="597"/>
      <c r="AJ67" s="597"/>
      <c r="AK67" s="597"/>
      <c r="AL67" s="597"/>
      <c r="AM67" s="597"/>
      <c r="AN67" s="597"/>
      <c r="AO67" s="597"/>
      <c r="AP67" s="597"/>
      <c r="AQ67" s="597"/>
      <c r="AR67" s="597"/>
      <c r="AS67" s="597"/>
      <c r="AT67" s="597"/>
      <c r="AU67" s="597"/>
    </row>
    <row r="68" spans="1:47" x14ac:dyDescent="0.25">
      <c r="A68" s="578" t="str">
        <f>A60</f>
        <v>Взносы ФСС (нс и пз )</v>
      </c>
      <c r="B68" s="85">
        <f t="shared" ref="B68:B73" si="127">SUM(D60:G60)</f>
        <v>183.82</v>
      </c>
      <c r="C68" s="85">
        <f t="shared" ref="C68:C73" si="128">SUM(H60:K60)</f>
        <v>258.91320000000002</v>
      </c>
      <c r="D68" s="85">
        <f t="shared" ref="D68:D73" si="129">SUM(L60:O60)</f>
        <v>269.71039200000001</v>
      </c>
      <c r="E68" s="85">
        <f t="shared" ref="E68:E73" si="130">SUM(P60:S60)</f>
        <v>281.15541552000002</v>
      </c>
      <c r="F68" s="85">
        <f t="shared" ref="F68:F73" si="131">SUM(T60:W60)</f>
        <v>298.02474045119999</v>
      </c>
      <c r="G68" s="85">
        <f t="shared" ref="G68:G73" si="132">SUM(X60:AA60)</f>
        <v>315.90622487827204</v>
      </c>
      <c r="H68" s="85">
        <f t="shared" ref="H68:H73" si="133">SUM(AB60:AE60)</f>
        <v>334.86059837096838</v>
      </c>
      <c r="I68" s="85">
        <f t="shared" ref="I68:I73" si="134">SUM(AF60:AI60)</f>
        <v>353.39152690682653</v>
      </c>
      <c r="J68" s="85">
        <f t="shared" ref="J68:J73" si="135">SUM(AJ60:AM60)</f>
        <v>374.59501852123617</v>
      </c>
      <c r="K68" s="85">
        <f>SUM(AN60:AQ60)</f>
        <v>397.07071963251042</v>
      </c>
      <c r="L68" s="85">
        <f>SUM(AR60:AU60)</f>
        <v>420.89496281046104</v>
      </c>
      <c r="M68" s="597"/>
      <c r="N68" s="597"/>
      <c r="O68" s="597"/>
      <c r="P68" s="597"/>
      <c r="Q68" s="597"/>
      <c r="R68" s="597"/>
      <c r="S68" s="597"/>
      <c r="T68" s="597"/>
      <c r="U68" s="597"/>
      <c r="V68" s="597"/>
      <c r="W68" s="597"/>
      <c r="X68" s="597"/>
      <c r="Y68" s="597"/>
      <c r="Z68" s="597"/>
      <c r="AA68" s="597"/>
      <c r="AB68" s="597"/>
      <c r="AC68" s="597"/>
      <c r="AD68" s="597"/>
      <c r="AE68" s="597"/>
      <c r="AF68" s="597"/>
      <c r="AG68" s="597"/>
      <c r="AH68" s="597"/>
      <c r="AI68" s="597"/>
      <c r="AJ68" s="597"/>
      <c r="AK68" s="597"/>
      <c r="AL68" s="597"/>
      <c r="AM68" s="597"/>
      <c r="AN68" s="597"/>
      <c r="AO68" s="597"/>
      <c r="AP68" s="597"/>
      <c r="AQ68" s="597"/>
      <c r="AR68" s="597"/>
      <c r="AS68" s="597"/>
      <c r="AT68" s="597"/>
      <c r="AU68" s="597"/>
    </row>
    <row r="69" spans="1:47" x14ac:dyDescent="0.25">
      <c r="A69" s="578" t="s">
        <v>155</v>
      </c>
      <c r="B69" s="85">
        <f t="shared" si="127"/>
        <v>3939</v>
      </c>
      <c r="C69" s="85">
        <f t="shared" si="128"/>
        <v>5548.1399999999994</v>
      </c>
      <c r="D69" s="85">
        <f t="shared" si="129"/>
        <v>5779.5084000000006</v>
      </c>
      <c r="E69" s="85">
        <f t="shared" si="130"/>
        <v>6024.7589040000003</v>
      </c>
      <c r="F69" s="85">
        <f t="shared" si="131"/>
        <v>6386.2444382400008</v>
      </c>
      <c r="G69" s="85">
        <f t="shared" si="132"/>
        <v>6769.4191045344014</v>
      </c>
      <c r="H69" s="85">
        <f t="shared" si="133"/>
        <v>7175.5842508064652</v>
      </c>
      <c r="I69" s="85">
        <f t="shared" si="134"/>
        <v>7572.6755765748549</v>
      </c>
      <c r="J69" s="85">
        <f t="shared" si="135"/>
        <v>8027.0361111693464</v>
      </c>
      <c r="K69" s="85">
        <f t="shared" ref="K69:K73" si="136">SUM(AN61:AQ61)</f>
        <v>8508.6582778395059</v>
      </c>
      <c r="L69" s="85">
        <f>SUM(AR61:AU61)</f>
        <v>9019.1777745098771</v>
      </c>
      <c r="M69" s="597"/>
      <c r="N69" s="597"/>
      <c r="O69" s="597"/>
      <c r="P69" s="597"/>
      <c r="Q69" s="597"/>
      <c r="R69" s="597"/>
      <c r="S69" s="597"/>
      <c r="T69" s="597"/>
      <c r="U69" s="597"/>
      <c r="V69" s="597"/>
      <c r="W69" s="597"/>
      <c r="X69" s="597"/>
      <c r="Y69" s="597"/>
      <c r="Z69" s="597"/>
      <c r="AA69" s="597"/>
      <c r="AB69" s="597"/>
      <c r="AC69" s="597"/>
      <c r="AD69" s="597"/>
      <c r="AE69" s="597"/>
      <c r="AF69" s="597"/>
      <c r="AG69" s="597"/>
      <c r="AH69" s="597"/>
      <c r="AI69" s="597"/>
      <c r="AJ69" s="597"/>
      <c r="AK69" s="597"/>
      <c r="AL69" s="597"/>
      <c r="AM69" s="597"/>
      <c r="AN69" s="597"/>
      <c r="AO69" s="597"/>
      <c r="AP69" s="597"/>
      <c r="AQ69" s="597"/>
      <c r="AR69" s="597"/>
      <c r="AS69" s="597"/>
      <c r="AT69" s="597"/>
      <c r="AU69" s="597"/>
    </row>
    <row r="70" spans="1:47" x14ac:dyDescent="0.25">
      <c r="A70" s="578" t="s">
        <v>156</v>
      </c>
      <c r="B70" s="85"/>
      <c r="C70" s="85"/>
      <c r="D70" s="85"/>
      <c r="E70" s="85"/>
      <c r="F70" s="85"/>
      <c r="G70" s="85"/>
      <c r="H70" s="85"/>
      <c r="I70" s="85"/>
      <c r="J70" s="85"/>
      <c r="K70" s="85"/>
      <c r="L70" s="85"/>
      <c r="M70" s="597"/>
      <c r="N70" s="597"/>
      <c r="O70" s="597"/>
      <c r="P70" s="597"/>
      <c r="Q70" s="597"/>
      <c r="R70" s="597"/>
      <c r="S70" s="597"/>
      <c r="T70" s="597"/>
      <c r="U70" s="597"/>
      <c r="V70" s="597"/>
      <c r="W70" s="597"/>
      <c r="X70" s="597"/>
      <c r="Y70" s="597"/>
      <c r="Z70" s="597"/>
      <c r="AA70" s="597"/>
      <c r="AB70" s="597"/>
      <c r="AC70" s="597"/>
      <c r="AD70" s="597"/>
      <c r="AE70" s="597"/>
      <c r="AF70" s="597"/>
      <c r="AG70" s="597"/>
      <c r="AH70" s="597"/>
      <c r="AI70" s="597"/>
      <c r="AJ70" s="597"/>
      <c r="AK70" s="597"/>
      <c r="AL70" s="597"/>
      <c r="AM70" s="597"/>
      <c r="AN70" s="597"/>
      <c r="AO70" s="597"/>
      <c r="AP70" s="597"/>
      <c r="AQ70" s="597"/>
      <c r="AR70" s="597"/>
      <c r="AS70" s="597"/>
      <c r="AT70" s="597"/>
      <c r="AU70" s="597"/>
    </row>
    <row r="71" spans="1:47" ht="30" x14ac:dyDescent="0.25">
      <c r="A71" s="578" t="s">
        <v>157</v>
      </c>
      <c r="B71" s="85">
        <f t="shared" si="127"/>
        <v>2888.6</v>
      </c>
      <c r="C71" s="85">
        <f t="shared" si="128"/>
        <v>4068.636</v>
      </c>
      <c r="D71" s="85">
        <f t="shared" si="129"/>
        <v>4238.3061600000001</v>
      </c>
      <c r="E71" s="85">
        <f t="shared" si="130"/>
        <v>4418.1565295999999</v>
      </c>
      <c r="F71" s="85">
        <f t="shared" si="131"/>
        <v>4683.2459213760003</v>
      </c>
      <c r="G71" s="85">
        <f t="shared" si="132"/>
        <v>4964.2406766585609</v>
      </c>
      <c r="H71" s="85">
        <f t="shared" si="133"/>
        <v>5262.0951172580744</v>
      </c>
      <c r="I71" s="85">
        <f t="shared" si="134"/>
        <v>5553.2954228215585</v>
      </c>
      <c r="J71" s="85">
        <f t="shared" si="135"/>
        <v>5886.4931481908534</v>
      </c>
      <c r="K71" s="85">
        <f t="shared" si="136"/>
        <v>6239.6827370823048</v>
      </c>
      <c r="L71" s="85">
        <f>SUM(AR63:AU63)</f>
        <v>6614.0637013072446</v>
      </c>
      <c r="M71" s="597"/>
      <c r="N71" s="597"/>
      <c r="O71" s="597"/>
      <c r="P71" s="597"/>
      <c r="Q71" s="597"/>
      <c r="R71" s="597"/>
      <c r="S71" s="597"/>
      <c r="T71" s="597"/>
      <c r="U71" s="597"/>
      <c r="V71" s="597"/>
      <c r="W71" s="597"/>
      <c r="X71" s="597"/>
      <c r="Y71" s="597"/>
      <c r="Z71" s="597"/>
      <c r="AA71" s="597"/>
      <c r="AB71" s="597"/>
      <c r="AC71" s="597"/>
      <c r="AD71" s="597"/>
      <c r="AE71" s="597"/>
      <c r="AF71" s="597"/>
      <c r="AG71" s="597"/>
      <c r="AH71" s="597"/>
      <c r="AI71" s="597"/>
      <c r="AJ71" s="597"/>
      <c r="AK71" s="597"/>
      <c r="AL71" s="597"/>
      <c r="AM71" s="597"/>
      <c r="AN71" s="597"/>
      <c r="AO71" s="597"/>
      <c r="AP71" s="597"/>
      <c r="AQ71" s="597"/>
      <c r="AR71" s="597"/>
      <c r="AS71" s="597"/>
      <c r="AT71" s="597"/>
      <c r="AU71" s="597"/>
    </row>
    <row r="72" spans="1:47" ht="45" x14ac:dyDescent="0.25">
      <c r="A72" s="578" t="s">
        <v>158</v>
      </c>
      <c r="B72" s="85">
        <f t="shared" si="127"/>
        <v>380.77000000000004</v>
      </c>
      <c r="C72" s="85">
        <f t="shared" si="128"/>
        <v>536.3202</v>
      </c>
      <c r="D72" s="85">
        <f t="shared" si="129"/>
        <v>558.68581200000006</v>
      </c>
      <c r="E72" s="85">
        <f t="shared" si="130"/>
        <v>582.39336072000003</v>
      </c>
      <c r="F72" s="85">
        <f t="shared" si="131"/>
        <v>617.33696236319997</v>
      </c>
      <c r="G72" s="85">
        <f t="shared" si="132"/>
        <v>654.37718010499202</v>
      </c>
      <c r="H72" s="85">
        <f t="shared" si="133"/>
        <v>693.63981091129176</v>
      </c>
      <c r="I72" s="85">
        <f t="shared" si="134"/>
        <v>732.02530573556919</v>
      </c>
      <c r="J72" s="85">
        <f t="shared" si="135"/>
        <v>775.94682407970345</v>
      </c>
      <c r="K72" s="85">
        <f t="shared" si="136"/>
        <v>822.50363352448574</v>
      </c>
      <c r="L72" s="85">
        <f>SUM(AR64:AU64)</f>
        <v>871.85385153595496</v>
      </c>
      <c r="M72" s="597"/>
      <c r="N72" s="597"/>
      <c r="O72" s="597"/>
      <c r="P72" s="597"/>
      <c r="Q72" s="597"/>
      <c r="R72" s="597"/>
      <c r="S72" s="597"/>
      <c r="T72" s="597"/>
      <c r="U72" s="597"/>
      <c r="V72" s="597"/>
      <c r="W72" s="597"/>
      <c r="X72" s="597"/>
      <c r="Y72" s="597"/>
      <c r="Z72" s="597"/>
      <c r="AA72" s="597"/>
      <c r="AB72" s="597"/>
      <c r="AC72" s="597"/>
      <c r="AD72" s="597"/>
      <c r="AE72" s="597"/>
      <c r="AF72" s="597"/>
      <c r="AG72" s="597"/>
      <c r="AH72" s="597"/>
      <c r="AI72" s="597"/>
      <c r="AJ72" s="597"/>
      <c r="AK72" s="597"/>
      <c r="AL72" s="597"/>
      <c r="AM72" s="597"/>
      <c r="AN72" s="597"/>
      <c r="AO72" s="597"/>
      <c r="AP72" s="597"/>
      <c r="AQ72" s="597"/>
      <c r="AR72" s="597"/>
      <c r="AS72" s="597"/>
      <c r="AT72" s="597"/>
      <c r="AU72" s="597"/>
    </row>
    <row r="73" spans="1:47" ht="30" x14ac:dyDescent="0.25">
      <c r="A73" s="578" t="s">
        <v>159</v>
      </c>
      <c r="B73" s="85">
        <f t="shared" si="127"/>
        <v>669.63</v>
      </c>
      <c r="C73" s="85">
        <f t="shared" si="128"/>
        <v>943.18379999999991</v>
      </c>
      <c r="D73" s="85">
        <f t="shared" si="129"/>
        <v>982.51642800000002</v>
      </c>
      <c r="E73" s="85">
        <f t="shared" si="130"/>
        <v>1024.2090136799998</v>
      </c>
      <c r="F73" s="85">
        <f t="shared" si="131"/>
        <v>1085.6615545007999</v>
      </c>
      <c r="G73" s="85">
        <f t="shared" si="132"/>
        <v>1150.801247770848</v>
      </c>
      <c r="H73" s="85">
        <f t="shared" si="133"/>
        <v>1219.849322637099</v>
      </c>
      <c r="I73" s="85">
        <f t="shared" si="134"/>
        <v>1287.3548480177251</v>
      </c>
      <c r="J73" s="85">
        <f t="shared" si="135"/>
        <v>1364.5961388987887</v>
      </c>
      <c r="K73" s="85">
        <f t="shared" si="136"/>
        <v>1446.4719072327161</v>
      </c>
      <c r="L73" s="85">
        <f>SUM(AR65:AU65)</f>
        <v>1533.2602216666792</v>
      </c>
      <c r="M73" s="597"/>
      <c r="N73" s="597"/>
      <c r="O73" s="597"/>
      <c r="P73" s="597"/>
      <c r="Q73" s="597"/>
      <c r="R73" s="597"/>
      <c r="S73" s="597"/>
      <c r="T73" s="597"/>
      <c r="U73" s="597"/>
      <c r="V73" s="597"/>
      <c r="W73" s="597"/>
      <c r="X73" s="597"/>
      <c r="Y73" s="597"/>
      <c r="Z73" s="597"/>
      <c r="AA73" s="597"/>
      <c r="AB73" s="597"/>
      <c r="AC73" s="597"/>
      <c r="AD73" s="597"/>
      <c r="AE73" s="597"/>
      <c r="AF73" s="597"/>
      <c r="AG73" s="597"/>
      <c r="AH73" s="597"/>
      <c r="AI73" s="597"/>
      <c r="AJ73" s="597"/>
      <c r="AK73" s="597"/>
      <c r="AL73" s="597"/>
      <c r="AM73" s="597"/>
      <c r="AN73" s="597"/>
      <c r="AO73" s="597"/>
      <c r="AP73" s="597"/>
      <c r="AQ73" s="597"/>
      <c r="AR73" s="597"/>
      <c r="AS73" s="597"/>
      <c r="AT73" s="597"/>
      <c r="AU73" s="597"/>
    </row>
    <row r="74" spans="1:47" x14ac:dyDescent="0.25">
      <c r="A74" s="592" t="s">
        <v>18</v>
      </c>
      <c r="B74" s="330">
        <f>B68+B69</f>
        <v>4122.82</v>
      </c>
      <c r="C74" s="330">
        <f>C68+C69</f>
        <v>5807.0531999999994</v>
      </c>
      <c r="D74" s="330">
        <f t="shared" ref="D74:K74" si="137">D68+D69</f>
        <v>6049.2187920000006</v>
      </c>
      <c r="E74" s="330">
        <f t="shared" si="137"/>
        <v>6305.9143195200004</v>
      </c>
      <c r="F74" s="330">
        <f t="shared" si="137"/>
        <v>6684.269178691201</v>
      </c>
      <c r="G74" s="330">
        <f t="shared" si="137"/>
        <v>7085.3253294126735</v>
      </c>
      <c r="H74" s="330">
        <f t="shared" si="137"/>
        <v>7510.4448491774338</v>
      </c>
      <c r="I74" s="330">
        <f t="shared" si="137"/>
        <v>7926.0671034816814</v>
      </c>
      <c r="J74" s="330">
        <f t="shared" si="137"/>
        <v>8401.6311296905824</v>
      </c>
      <c r="K74" s="330">
        <f t="shared" si="137"/>
        <v>8905.728997472017</v>
      </c>
      <c r="L74" s="330">
        <f>L68+L69</f>
        <v>9440.0727373203372</v>
      </c>
      <c r="M74" s="597"/>
      <c r="N74" s="597"/>
      <c r="O74" s="597"/>
      <c r="P74" s="597"/>
      <c r="Q74" s="597"/>
      <c r="R74" s="597"/>
      <c r="S74" s="597"/>
      <c r="T74" s="597"/>
      <c r="U74" s="597"/>
      <c r="V74" s="597"/>
      <c r="W74" s="597"/>
      <c r="X74" s="597"/>
      <c r="Y74" s="597"/>
      <c r="Z74" s="597"/>
      <c r="AA74" s="597"/>
      <c r="AB74" s="597"/>
      <c r="AC74" s="597"/>
      <c r="AD74" s="597"/>
      <c r="AE74" s="597"/>
      <c r="AF74" s="597"/>
      <c r="AG74" s="597"/>
      <c r="AH74" s="597"/>
      <c r="AI74" s="597"/>
      <c r="AJ74" s="597"/>
      <c r="AK74" s="597"/>
      <c r="AL74" s="597"/>
      <c r="AM74" s="597"/>
      <c r="AN74" s="597"/>
      <c r="AO74" s="597"/>
      <c r="AP74" s="597"/>
      <c r="AQ74" s="597"/>
      <c r="AR74" s="597"/>
      <c r="AS74" s="597"/>
      <c r="AT74" s="597"/>
      <c r="AU74" s="597"/>
    </row>
    <row r="77" spans="1:47" x14ac:dyDescent="0.25">
      <c r="A77" s="312" t="s">
        <v>161</v>
      </c>
      <c r="B77" s="312" t="str">
        <f>'объем работ 100% загр'!C22</f>
        <v>1 год</v>
      </c>
      <c r="C77" s="312" t="str">
        <f>'объем работ 100% загр'!D22</f>
        <v>2 год</v>
      </c>
      <c r="D77" s="312" t="str">
        <f>'объем работ 100% загр'!E22</f>
        <v>3 год</v>
      </c>
      <c r="E77" s="312" t="str">
        <f>'объем работ 100% загр'!F22</f>
        <v>4 год</v>
      </c>
      <c r="F77" s="312" t="str">
        <f>'объем работ 100% загр'!G22</f>
        <v>5 год</v>
      </c>
      <c r="G77" s="312" t="str">
        <f>'объем работ 100% загр'!H22</f>
        <v>6 год</v>
      </c>
      <c r="H77" s="312" t="str">
        <f>'объем работ 100% загр'!I22</f>
        <v>7 год</v>
      </c>
      <c r="I77" s="312" t="str">
        <f>'объем работ 100% загр'!J22</f>
        <v>8 год</v>
      </c>
      <c r="J77" s="312" t="str">
        <f>'объем работ 100% загр'!K22</f>
        <v>9 год</v>
      </c>
      <c r="K77" s="312" t="str">
        <f>'объем работ 100% загр'!L22</f>
        <v>10 год</v>
      </c>
      <c r="L77" s="312" t="str">
        <f>'объем работ 100% загр'!M22</f>
        <v>11 год</v>
      </c>
    </row>
    <row r="78" spans="1:47" ht="30" x14ac:dyDescent="0.25">
      <c r="A78" s="84" t="str">
        <f t="shared" ref="A78:B81" si="138">A2</f>
        <v>Генеральный директор</v>
      </c>
      <c r="B78" s="468">
        <f>B2</f>
        <v>1</v>
      </c>
      <c r="C78" s="468">
        <f>B2</f>
        <v>1</v>
      </c>
      <c r="D78" s="468">
        <f t="shared" ref="D78:E81" si="139">C78</f>
        <v>1</v>
      </c>
      <c r="E78" s="468">
        <f t="shared" si="139"/>
        <v>1</v>
      </c>
      <c r="F78" s="468">
        <f>B2</f>
        <v>1</v>
      </c>
      <c r="G78" s="468">
        <f t="shared" ref="G78:L78" si="140">F78</f>
        <v>1</v>
      </c>
      <c r="H78" s="468">
        <f t="shared" si="140"/>
        <v>1</v>
      </c>
      <c r="I78" s="468">
        <f t="shared" si="140"/>
        <v>1</v>
      </c>
      <c r="J78" s="468">
        <f t="shared" si="140"/>
        <v>1</v>
      </c>
      <c r="K78" s="468">
        <f t="shared" si="140"/>
        <v>1</v>
      </c>
      <c r="L78" s="468">
        <f t="shared" si="140"/>
        <v>1</v>
      </c>
    </row>
    <row r="79" spans="1:47" ht="28.5" customHeight="1" x14ac:dyDescent="0.25">
      <c r="A79" s="84" t="str">
        <f t="shared" si="138"/>
        <v>Менеджер по продажам</v>
      </c>
      <c r="B79" s="468">
        <f t="shared" si="138"/>
        <v>2</v>
      </c>
      <c r="C79" s="468">
        <f t="shared" ref="C79:C82" si="141">B3</f>
        <v>2</v>
      </c>
      <c r="D79" s="468">
        <f t="shared" si="139"/>
        <v>2</v>
      </c>
      <c r="E79" s="468">
        <f t="shared" si="139"/>
        <v>2</v>
      </c>
      <c r="F79" s="468">
        <f t="shared" ref="F79:F81" si="142">B3</f>
        <v>2</v>
      </c>
      <c r="G79" s="468">
        <f t="shared" ref="G79:L81" si="143">F79</f>
        <v>2</v>
      </c>
      <c r="H79" s="468">
        <f t="shared" si="143"/>
        <v>2</v>
      </c>
      <c r="I79" s="468">
        <f t="shared" si="143"/>
        <v>2</v>
      </c>
      <c r="J79" s="468">
        <f t="shared" si="143"/>
        <v>2</v>
      </c>
      <c r="K79" s="468">
        <f t="shared" si="143"/>
        <v>2</v>
      </c>
      <c r="L79" s="468">
        <f t="shared" si="143"/>
        <v>2</v>
      </c>
      <c r="N79" s="760" t="s">
        <v>162</v>
      </c>
      <c r="O79" s="760"/>
    </row>
    <row r="80" spans="1:47" ht="33" customHeight="1" x14ac:dyDescent="0.25">
      <c r="A80" s="84" t="str">
        <f t="shared" si="138"/>
        <v>Технолог</v>
      </c>
      <c r="B80" s="468">
        <f t="shared" si="138"/>
        <v>2</v>
      </c>
      <c r="C80" s="468">
        <f t="shared" si="141"/>
        <v>2</v>
      </c>
      <c r="D80" s="468">
        <f t="shared" si="139"/>
        <v>2</v>
      </c>
      <c r="E80" s="468">
        <f t="shared" si="139"/>
        <v>2</v>
      </c>
      <c r="F80" s="468">
        <f t="shared" si="142"/>
        <v>2</v>
      </c>
      <c r="G80" s="468">
        <f t="shared" si="143"/>
        <v>2</v>
      </c>
      <c r="H80" s="468">
        <f t="shared" si="143"/>
        <v>2</v>
      </c>
      <c r="I80" s="468">
        <f t="shared" si="143"/>
        <v>2</v>
      </c>
      <c r="J80" s="468">
        <f t="shared" si="143"/>
        <v>2</v>
      </c>
      <c r="K80" s="468">
        <f t="shared" si="143"/>
        <v>2</v>
      </c>
      <c r="L80" s="468">
        <f t="shared" si="143"/>
        <v>2</v>
      </c>
      <c r="N80" s="72" t="s">
        <v>163</v>
      </c>
      <c r="O80" s="105">
        <f>K82/K91</f>
        <v>0.15384615384615385</v>
      </c>
    </row>
    <row r="81" spans="1:15" ht="30.75" customHeight="1" x14ac:dyDescent="0.25">
      <c r="A81" s="84" t="str">
        <f t="shared" si="138"/>
        <v>Главный бухгалтер</v>
      </c>
      <c r="B81" s="468">
        <f t="shared" si="138"/>
        <v>1</v>
      </c>
      <c r="C81" s="468">
        <f t="shared" si="141"/>
        <v>1</v>
      </c>
      <c r="D81" s="468">
        <f t="shared" si="139"/>
        <v>1</v>
      </c>
      <c r="E81" s="468">
        <f t="shared" si="139"/>
        <v>1</v>
      </c>
      <c r="F81" s="468">
        <f t="shared" si="142"/>
        <v>1</v>
      </c>
      <c r="G81" s="468">
        <f t="shared" si="143"/>
        <v>1</v>
      </c>
      <c r="H81" s="468">
        <f t="shared" si="143"/>
        <v>1</v>
      </c>
      <c r="I81" s="468">
        <f t="shared" si="143"/>
        <v>1</v>
      </c>
      <c r="J81" s="468">
        <f t="shared" si="143"/>
        <v>1</v>
      </c>
      <c r="K81" s="468">
        <f t="shared" si="143"/>
        <v>1</v>
      </c>
      <c r="L81" s="468">
        <f t="shared" si="143"/>
        <v>1</v>
      </c>
      <c r="N81" s="72" t="s">
        <v>164</v>
      </c>
      <c r="O81" s="105">
        <f>1-O80</f>
        <v>0.84615384615384615</v>
      </c>
    </row>
    <row r="82" spans="1:15" ht="30.75" customHeight="1" x14ac:dyDescent="0.25">
      <c r="A82" s="87" t="s">
        <v>165</v>
      </c>
      <c r="B82" s="469">
        <f>SUM(B78:B81)</f>
        <v>6</v>
      </c>
      <c r="C82" s="518">
        <f t="shared" si="141"/>
        <v>6</v>
      </c>
      <c r="D82" s="469">
        <f t="shared" ref="D82:J82" si="144">SUM(D78:D81)</f>
        <v>6</v>
      </c>
      <c r="E82" s="469">
        <f t="shared" si="144"/>
        <v>6</v>
      </c>
      <c r="F82" s="469">
        <f t="shared" si="144"/>
        <v>6</v>
      </c>
      <c r="G82" s="469">
        <f t="shared" si="144"/>
        <v>6</v>
      </c>
      <c r="H82" s="469">
        <f t="shared" si="144"/>
        <v>6</v>
      </c>
      <c r="I82" s="469">
        <f t="shared" si="144"/>
        <v>6</v>
      </c>
      <c r="J82" s="469">
        <f t="shared" si="144"/>
        <v>6</v>
      </c>
      <c r="K82" s="469">
        <f>SUM(K78:K81)</f>
        <v>6</v>
      </c>
      <c r="L82" s="469">
        <f t="shared" ref="L82:L90" si="145">K82</f>
        <v>6</v>
      </c>
    </row>
    <row r="83" spans="1:15" x14ac:dyDescent="0.25">
      <c r="A83" s="332" t="str">
        <f t="shared" ref="A83:B87" si="146">A8</f>
        <v>Подразделение 1:</v>
      </c>
      <c r="B83" s="470"/>
      <c r="C83" s="468"/>
      <c r="D83" s="470"/>
      <c r="E83" s="470"/>
      <c r="F83" s="470"/>
      <c r="G83" s="470"/>
      <c r="H83" s="470"/>
      <c r="I83" s="470"/>
      <c r="J83" s="470"/>
      <c r="K83" s="470"/>
      <c r="L83" s="468"/>
    </row>
    <row r="84" spans="1:15" x14ac:dyDescent="0.25">
      <c r="A84" s="84" t="str">
        <f t="shared" si="146"/>
        <v>Начальник участка</v>
      </c>
      <c r="B84" s="468">
        <f>B9</f>
        <v>4</v>
      </c>
      <c r="C84" s="468">
        <f>B9</f>
        <v>4</v>
      </c>
      <c r="D84" s="468">
        <f>C84</f>
        <v>4</v>
      </c>
      <c r="E84" s="468">
        <f>D84</f>
        <v>4</v>
      </c>
      <c r="F84" s="468">
        <f>B9</f>
        <v>4</v>
      </c>
      <c r="G84" s="468">
        <f>F84</f>
        <v>4</v>
      </c>
      <c r="H84" s="468">
        <f t="shared" ref="H84:K84" si="147">G84</f>
        <v>4</v>
      </c>
      <c r="I84" s="468">
        <f t="shared" si="147"/>
        <v>4</v>
      </c>
      <c r="J84" s="468">
        <f t="shared" si="147"/>
        <v>4</v>
      </c>
      <c r="K84" s="468">
        <f t="shared" si="147"/>
        <v>4</v>
      </c>
      <c r="L84" s="468">
        <f t="shared" si="145"/>
        <v>4</v>
      </c>
    </row>
    <row r="85" spans="1:15" x14ac:dyDescent="0.25">
      <c r="A85" s="84" t="str">
        <f t="shared" si="146"/>
        <v>Оператор линии</v>
      </c>
      <c r="B85" s="468">
        <f t="shared" si="146"/>
        <v>4</v>
      </c>
      <c r="C85" s="468">
        <f t="shared" ref="C85:C87" si="148">B10</f>
        <v>4</v>
      </c>
      <c r="D85" s="468">
        <f t="shared" ref="D85:E88" si="149">C85</f>
        <v>4</v>
      </c>
      <c r="E85" s="468">
        <f t="shared" si="149"/>
        <v>4</v>
      </c>
      <c r="F85" s="468">
        <f t="shared" ref="F85:F87" si="150">B10</f>
        <v>4</v>
      </c>
      <c r="G85" s="468">
        <f t="shared" ref="G85:L88" si="151">F85</f>
        <v>4</v>
      </c>
      <c r="H85" s="468">
        <f t="shared" si="151"/>
        <v>4</v>
      </c>
      <c r="I85" s="468">
        <f t="shared" si="151"/>
        <v>4</v>
      </c>
      <c r="J85" s="468">
        <f t="shared" si="151"/>
        <v>4</v>
      </c>
      <c r="K85" s="468">
        <f t="shared" si="151"/>
        <v>4</v>
      </c>
      <c r="L85" s="468">
        <f t="shared" si="151"/>
        <v>4</v>
      </c>
    </row>
    <row r="86" spans="1:15" x14ac:dyDescent="0.25">
      <c r="A86" s="84" t="str">
        <f t="shared" si="146"/>
        <v>Водитель погрузчика</v>
      </c>
      <c r="B86" s="468">
        <f t="shared" si="146"/>
        <v>4</v>
      </c>
      <c r="C86" s="468">
        <f t="shared" si="148"/>
        <v>4</v>
      </c>
      <c r="D86" s="468">
        <f t="shared" si="149"/>
        <v>4</v>
      </c>
      <c r="E86" s="468">
        <f t="shared" si="149"/>
        <v>4</v>
      </c>
      <c r="F86" s="468">
        <f t="shared" si="150"/>
        <v>4</v>
      </c>
      <c r="G86" s="468">
        <f t="shared" si="151"/>
        <v>4</v>
      </c>
      <c r="H86" s="468">
        <f t="shared" si="151"/>
        <v>4</v>
      </c>
      <c r="I86" s="468">
        <f t="shared" si="151"/>
        <v>4</v>
      </c>
      <c r="J86" s="468">
        <f t="shared" si="151"/>
        <v>4</v>
      </c>
      <c r="K86" s="468">
        <f t="shared" si="151"/>
        <v>4</v>
      </c>
      <c r="L86" s="468">
        <f t="shared" si="151"/>
        <v>4</v>
      </c>
    </row>
    <row r="87" spans="1:15" x14ac:dyDescent="0.25">
      <c r="A87" s="84" t="str">
        <f t="shared" si="146"/>
        <v>Зав. Склад</v>
      </c>
      <c r="B87" s="468">
        <f t="shared" si="146"/>
        <v>4</v>
      </c>
      <c r="C87" s="468">
        <f t="shared" si="148"/>
        <v>4</v>
      </c>
      <c r="D87" s="468">
        <f t="shared" si="149"/>
        <v>4</v>
      </c>
      <c r="E87" s="468">
        <f t="shared" si="149"/>
        <v>4</v>
      </c>
      <c r="F87" s="468">
        <f t="shared" si="150"/>
        <v>4</v>
      </c>
      <c r="G87" s="468">
        <f t="shared" si="151"/>
        <v>4</v>
      </c>
      <c r="H87" s="468">
        <f t="shared" si="151"/>
        <v>4</v>
      </c>
      <c r="I87" s="468">
        <f t="shared" si="151"/>
        <v>4</v>
      </c>
      <c r="J87" s="468">
        <f t="shared" si="151"/>
        <v>4</v>
      </c>
      <c r="K87" s="468">
        <f t="shared" si="151"/>
        <v>4</v>
      </c>
      <c r="L87" s="468">
        <f t="shared" si="151"/>
        <v>4</v>
      </c>
    </row>
    <row r="88" spans="1:15" ht="30" x14ac:dyDescent="0.25">
      <c r="A88" s="84" t="str">
        <f>A14</f>
        <v>Разнорабочий (уборщик, дворник)</v>
      </c>
      <c r="B88" s="468">
        <f t="shared" ref="B88" si="152">B13</f>
        <v>0</v>
      </c>
      <c r="C88" s="468">
        <f>B14</f>
        <v>4</v>
      </c>
      <c r="D88" s="468">
        <f t="shared" si="149"/>
        <v>4</v>
      </c>
      <c r="E88" s="468">
        <f t="shared" si="149"/>
        <v>4</v>
      </c>
      <c r="F88" s="468">
        <f>E88</f>
        <v>4</v>
      </c>
      <c r="G88" s="468">
        <f t="shared" si="151"/>
        <v>4</v>
      </c>
      <c r="H88" s="468">
        <f t="shared" ref="H88" si="153">G88</f>
        <v>4</v>
      </c>
      <c r="I88" s="468">
        <f t="shared" ref="I88" si="154">H88</f>
        <v>4</v>
      </c>
      <c r="J88" s="468">
        <f t="shared" ref="J88" si="155">I88</f>
        <v>4</v>
      </c>
      <c r="K88" s="468">
        <f t="shared" ref="K88" si="156">J88</f>
        <v>4</v>
      </c>
      <c r="L88" s="468">
        <f t="shared" ref="L88" si="157">K88</f>
        <v>4</v>
      </c>
    </row>
    <row r="89" spans="1:15" ht="30" x14ac:dyDescent="0.25">
      <c r="A89" s="87" t="str">
        <f>A15</f>
        <v>Итого ЗП по направлению:</v>
      </c>
      <c r="B89" s="469">
        <f t="shared" ref="B89:K89" si="158">SUM(B84:B88)</f>
        <v>16</v>
      </c>
      <c r="C89" s="518">
        <f t="shared" si="158"/>
        <v>20</v>
      </c>
      <c r="D89" s="469">
        <f t="shared" si="158"/>
        <v>20</v>
      </c>
      <c r="E89" s="469">
        <f t="shared" si="158"/>
        <v>20</v>
      </c>
      <c r="F89" s="469">
        <f t="shared" si="158"/>
        <v>20</v>
      </c>
      <c r="G89" s="469">
        <f t="shared" si="158"/>
        <v>20</v>
      </c>
      <c r="H89" s="469">
        <f t="shared" si="158"/>
        <v>20</v>
      </c>
      <c r="I89" s="469">
        <f t="shared" si="158"/>
        <v>20</v>
      </c>
      <c r="J89" s="469">
        <f t="shared" si="158"/>
        <v>20</v>
      </c>
      <c r="K89" s="469">
        <f t="shared" si="158"/>
        <v>20</v>
      </c>
      <c r="L89" s="469">
        <f t="shared" si="145"/>
        <v>20</v>
      </c>
    </row>
    <row r="90" spans="1:15" ht="45" x14ac:dyDescent="0.25">
      <c r="A90" s="519" t="str">
        <f>A18</f>
        <v>Сборщик дикоросов (сборка, переработка, доставка) (3 квартал)</v>
      </c>
      <c r="B90" s="520">
        <v>0</v>
      </c>
      <c r="C90" s="521">
        <f>B18</f>
        <v>13</v>
      </c>
      <c r="D90" s="520">
        <f>C90</f>
        <v>13</v>
      </c>
      <c r="E90" s="520">
        <f t="shared" ref="E90:K90" si="159">D90</f>
        <v>13</v>
      </c>
      <c r="F90" s="520">
        <f t="shared" si="159"/>
        <v>13</v>
      </c>
      <c r="G90" s="520">
        <f t="shared" si="159"/>
        <v>13</v>
      </c>
      <c r="H90" s="520">
        <f t="shared" si="159"/>
        <v>13</v>
      </c>
      <c r="I90" s="520">
        <f t="shared" si="159"/>
        <v>13</v>
      </c>
      <c r="J90" s="520">
        <f t="shared" si="159"/>
        <v>13</v>
      </c>
      <c r="K90" s="520">
        <f t="shared" si="159"/>
        <v>13</v>
      </c>
      <c r="L90" s="520">
        <f t="shared" si="145"/>
        <v>13</v>
      </c>
    </row>
    <row r="91" spans="1:15" x14ac:dyDescent="0.25">
      <c r="A91" s="84" t="s">
        <v>166</v>
      </c>
      <c r="B91" s="468">
        <f>B82+B89</f>
        <v>22</v>
      </c>
      <c r="C91" s="522">
        <f>C82+C89+C90</f>
        <v>39</v>
      </c>
      <c r="D91" s="522">
        <f t="shared" ref="D91:L91" si="160">D82+D89+D90</f>
        <v>39</v>
      </c>
      <c r="E91" s="522">
        <f t="shared" si="160"/>
        <v>39</v>
      </c>
      <c r="F91" s="522">
        <f t="shared" si="160"/>
        <v>39</v>
      </c>
      <c r="G91" s="522">
        <f t="shared" si="160"/>
        <v>39</v>
      </c>
      <c r="H91" s="522">
        <f t="shared" si="160"/>
        <v>39</v>
      </c>
      <c r="I91" s="522">
        <f t="shared" si="160"/>
        <v>39</v>
      </c>
      <c r="J91" s="522">
        <f t="shared" si="160"/>
        <v>39</v>
      </c>
      <c r="K91" s="522">
        <f t="shared" si="160"/>
        <v>39</v>
      </c>
      <c r="L91" s="522">
        <f t="shared" si="160"/>
        <v>39</v>
      </c>
    </row>
  </sheetData>
  <mergeCells count="1">
    <mergeCell ref="N79:O79"/>
  </mergeCells>
  <pageMargins left="0.59055118110236249" right="0.59055118110236249" top="0.98425196850393704" bottom="0.39370078740157477" header="0" footer="0"/>
  <pageSetup paperSize="8" scale="63" firstPageNumber="2147483648" fitToWidth="0" orientation="landscape"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9">
    <tabColor theme="0"/>
    <pageSetUpPr fitToPage="1"/>
  </sheetPr>
  <dimension ref="A1:BH87"/>
  <sheetViews>
    <sheetView zoomScale="60" zoomScaleNormal="60" workbookViewId="0">
      <pane ySplit="1" topLeftCell="A2" activePane="bottomLeft" state="frozen"/>
      <selection pane="bottomLeft" activeCell="B19" sqref="B19"/>
    </sheetView>
  </sheetViews>
  <sheetFormatPr defaultColWidth="9.140625" defaultRowHeight="15" x14ac:dyDescent="0.25"/>
  <cols>
    <col min="1" max="1" width="22.28515625" style="57" customWidth="1"/>
    <col min="2" max="2" width="13.140625" style="57" customWidth="1"/>
    <col min="3" max="3" width="10.28515625" style="106" customWidth="1"/>
    <col min="4" max="4" width="10.7109375" style="57" customWidth="1"/>
    <col min="5" max="6" width="10.140625" style="57" customWidth="1"/>
    <col min="7" max="7" width="10" style="57" customWidth="1"/>
    <col min="8" max="11" width="11.85546875" style="57" customWidth="1"/>
    <col min="12" max="12" width="11.5703125" style="57" customWidth="1"/>
    <col min="13" max="13" width="12" style="57" customWidth="1"/>
    <col min="14" max="14" width="16" style="57" customWidth="1"/>
    <col min="15" max="15" width="11.5703125" style="57" customWidth="1"/>
    <col min="16" max="16" width="9.5703125" style="57" bestFit="1" customWidth="1"/>
    <col min="17" max="17" width="11.85546875" style="57" customWidth="1"/>
    <col min="18" max="18" width="11.28515625" style="57" bestFit="1" customWidth="1"/>
    <col min="19" max="19" width="11.5703125" style="57" customWidth="1"/>
    <col min="20" max="20" width="12" style="57" customWidth="1"/>
    <col min="21" max="22" width="11.28515625" style="57" bestFit="1" customWidth="1"/>
    <col min="23" max="24" width="11.85546875" style="57" customWidth="1"/>
    <col min="25" max="26" width="11.5703125" style="57" customWidth="1"/>
    <col min="27" max="27" width="11.42578125" style="57" customWidth="1"/>
    <col min="28" max="28" width="12" style="57" customWidth="1"/>
    <col min="29" max="29" width="11.85546875" style="57" customWidth="1"/>
    <col min="30" max="30" width="11.5703125" style="57" customWidth="1"/>
    <col min="31" max="31" width="11" style="57" customWidth="1"/>
    <col min="32" max="32" width="11.140625" style="57" customWidth="1"/>
    <col min="33" max="33" width="11.5703125" style="57" customWidth="1"/>
    <col min="34" max="34" width="12" style="57" customWidth="1"/>
    <col min="35" max="36" width="11.42578125" style="57" customWidth="1"/>
    <col min="37" max="37" width="12" style="57" customWidth="1"/>
    <col min="38" max="38" width="11.5703125" style="57" customWidth="1"/>
    <col min="39" max="39" width="11.42578125" style="57" customWidth="1"/>
    <col min="40" max="40" width="11" style="57" customWidth="1"/>
    <col min="41" max="41" width="10.7109375" style="57" customWidth="1"/>
    <col min="42" max="48" width="11.42578125" style="57" customWidth="1"/>
    <col min="49" max="49" width="14" style="57" customWidth="1"/>
    <col min="50" max="50" width="9.28515625" style="57" bestFit="1" customWidth="1"/>
    <col min="51" max="52" width="11.85546875" style="57" customWidth="1"/>
    <col min="53" max="53" width="11.140625" style="57" customWidth="1"/>
    <col min="54" max="54" width="12.85546875" style="57" customWidth="1"/>
    <col min="55" max="56" width="11.140625" style="57" customWidth="1"/>
    <col min="57" max="57" width="11.85546875" style="57" customWidth="1"/>
    <col min="58" max="58" width="11.42578125" style="57" customWidth="1"/>
    <col min="59" max="59" width="11.85546875" style="57" customWidth="1"/>
    <col min="60" max="60" width="12.42578125" style="57" bestFit="1" customWidth="1"/>
    <col min="61" max="16384" width="9.140625" style="57"/>
  </cols>
  <sheetData>
    <row r="1" spans="1:60" s="333" customFormat="1" ht="59.25" customHeight="1" x14ac:dyDescent="0.25">
      <c r="A1" s="553" t="s">
        <v>109</v>
      </c>
      <c r="B1" s="553" t="s">
        <v>110</v>
      </c>
      <c r="C1" s="553" t="s">
        <v>111</v>
      </c>
      <c r="D1" s="553" t="str">
        <f>'Расходы на ЗП ОТ'!D1</f>
        <v>I кв. 1 г.</v>
      </c>
      <c r="E1" s="553" t="str">
        <f>'Расходы на ЗП ОТ'!E1</f>
        <v>II кв. 1 г.</v>
      </c>
      <c r="F1" s="553" t="str">
        <f>'Расходы на ЗП ОТ'!F1</f>
        <v>III кв. 1 г.</v>
      </c>
      <c r="G1" s="553" t="str">
        <f>'Расходы на ЗП ОТ'!G1</f>
        <v>IV кв. 1 г.</v>
      </c>
      <c r="H1" s="553" t="str">
        <f>'Расходы на ЗП ОТ'!H1</f>
        <v>I кв. 2 г.</v>
      </c>
      <c r="I1" s="553" t="str">
        <f>'Расходы на ЗП ОТ'!I1</f>
        <v>II кв. 2 г.</v>
      </c>
      <c r="J1" s="553" t="str">
        <f>'Расходы на ЗП ОТ'!J1</f>
        <v>III кв. 2 г.</v>
      </c>
      <c r="K1" s="553" t="str">
        <f>'Расходы на ЗП ОТ'!K1</f>
        <v>IV кв. 2 г.</v>
      </c>
      <c r="L1" s="553" t="str">
        <f>'Расходы на ЗП ОТ'!L1</f>
        <v>I кв. 3 г.</v>
      </c>
      <c r="M1" s="553" t="str">
        <f>'Расходы на ЗП ОТ'!M1</f>
        <v>II кв. 3 г.</v>
      </c>
      <c r="N1" s="553" t="str">
        <f>'Расходы на ЗП ОТ'!N1</f>
        <v>III кв. 3 г.</v>
      </c>
      <c r="O1" s="553" t="str">
        <f>'Расходы на ЗП ОТ'!O1</f>
        <v>IV кв. 3 г.</v>
      </c>
      <c r="P1" s="553" t="str">
        <f>'Расходы на ЗП ОТ'!P1</f>
        <v>I кв. 4 г.</v>
      </c>
      <c r="Q1" s="553" t="str">
        <f>'Расходы на ЗП ОТ'!Q1</f>
        <v>II кв. 4 г.</v>
      </c>
      <c r="R1" s="553" t="str">
        <f>'Расходы на ЗП ОТ'!R1</f>
        <v>III кв. 4 г.</v>
      </c>
      <c r="S1" s="553" t="str">
        <f>'Расходы на ЗП ОТ'!S1</f>
        <v>IV кв. 4 г.</v>
      </c>
      <c r="T1" s="553" t="str">
        <f>'Расходы на ЗП ОТ'!T1</f>
        <v>I кв. 5 г.</v>
      </c>
      <c r="U1" s="553" t="str">
        <f>'Расходы на ЗП ОТ'!U1</f>
        <v>II кв. 5 г.</v>
      </c>
      <c r="V1" s="553" t="str">
        <f>'Расходы на ЗП ОТ'!V1</f>
        <v>III кв. 5 г.</v>
      </c>
      <c r="W1" s="553" t="str">
        <f>'Расходы на ЗП ОТ'!W1</f>
        <v>IV кв. 5 г.</v>
      </c>
      <c r="X1" s="553" t="str">
        <f>'Расходы на ЗП ОТ'!X1</f>
        <v>I кв. 6 г.</v>
      </c>
      <c r="Y1" s="553" t="str">
        <f>'Расходы на ЗП ОТ'!Y1</f>
        <v>II кв. 6 г.</v>
      </c>
      <c r="Z1" s="553" t="str">
        <f>'Расходы на ЗП ОТ'!Z1</f>
        <v>III кв. 6 г.</v>
      </c>
      <c r="AA1" s="553" t="str">
        <f>'Расходы на ЗП ОТ'!AA1</f>
        <v>IV кв. 6 г.</v>
      </c>
      <c r="AB1" s="553" t="str">
        <f>'Расходы на ЗП ОТ'!AB1</f>
        <v>I кв. 7 г.</v>
      </c>
      <c r="AC1" s="553" t="str">
        <f>'Расходы на ЗП ОТ'!AC1</f>
        <v>II кв. 7 г.</v>
      </c>
      <c r="AD1" s="553" t="str">
        <f>'Расходы на ЗП ОТ'!AD1</f>
        <v>III кв. 7 г.</v>
      </c>
      <c r="AE1" s="553" t="str">
        <f>'Расходы на ЗП ОТ'!AE1</f>
        <v>IV кв. 7 г.</v>
      </c>
      <c r="AF1" s="553" t="str">
        <f>'Расходы на ЗП ОТ'!AF1</f>
        <v>I кв. 8 г.</v>
      </c>
      <c r="AG1" s="553" t="str">
        <f>'Расходы на ЗП ОТ'!AG1</f>
        <v>II кв. 8 г.</v>
      </c>
      <c r="AH1" s="553" t="str">
        <f>'Расходы на ЗП ОТ'!AH1</f>
        <v>III кв. 8 г.</v>
      </c>
      <c r="AI1" s="553" t="str">
        <f>'Расходы на ЗП ОТ'!AI1</f>
        <v>IV кв. 8 г.</v>
      </c>
      <c r="AJ1" s="553" t="str">
        <f>'Расходы на ЗП ОТ'!AJ1</f>
        <v>I кв. 9 г.</v>
      </c>
      <c r="AK1" s="553" t="str">
        <f>'Расходы на ЗП ОТ'!AK1</f>
        <v>II кв. 9 г.</v>
      </c>
      <c r="AL1" s="553" t="str">
        <f>'Расходы на ЗП ОТ'!AL1</f>
        <v>III кв. 9 г.</v>
      </c>
      <c r="AM1" s="553" t="str">
        <f>'Расходы на ЗП ОТ'!AM1</f>
        <v>IV кв. 9 г.</v>
      </c>
      <c r="AN1" s="553" t="str">
        <f>'Расходы на ЗП ОТ'!AN1</f>
        <v>I кв. 10 г.</v>
      </c>
      <c r="AO1" s="553" t="str">
        <f>'Расходы на ЗП ОТ'!AO1</f>
        <v>II кв. 10 г.</v>
      </c>
      <c r="AP1" s="553" t="str">
        <f>'Расходы на ЗП ОТ'!AP1</f>
        <v>III кв. 10 г.</v>
      </c>
      <c r="AQ1" s="553" t="str">
        <f>'Расходы на ЗП ОТ'!AQ1</f>
        <v>IV кв. 10 г.</v>
      </c>
      <c r="AR1" s="553" t="str">
        <f>'Расходы на ЗП ОТ'!AR1</f>
        <v>I кв. 11 г.</v>
      </c>
      <c r="AS1" s="553" t="str">
        <f>'Расходы на ЗП ОТ'!AS1</f>
        <v>II кв. 11 г.</v>
      </c>
      <c r="AT1" s="553" t="str">
        <f>'Расходы на ЗП ОТ'!AT1</f>
        <v>III кв. 11 г.</v>
      </c>
      <c r="AU1" s="553" t="str">
        <f>'Расходы на ЗП ОТ'!AU1</f>
        <v>IV кв. 11 г.</v>
      </c>
      <c r="AV1" s="553"/>
      <c r="AW1" s="603"/>
      <c r="AX1" s="603" t="str">
        <f>'Расходы на ЗП ОТ'!AW1</f>
        <v>1 год</v>
      </c>
      <c r="AY1" s="603" t="str">
        <f>'Расходы на ЗП ОТ'!AX1</f>
        <v>2 год</v>
      </c>
      <c r="AZ1" s="603" t="str">
        <f>'Расходы на ЗП ОТ'!AY1</f>
        <v>3 год</v>
      </c>
      <c r="BA1" s="603" t="str">
        <f>'Расходы на ЗП ОТ'!AZ1</f>
        <v>4 год</v>
      </c>
      <c r="BB1" s="603" t="str">
        <f>'Расходы на ЗП ОТ'!BA1</f>
        <v>5 год</v>
      </c>
      <c r="BC1" s="603" t="str">
        <f>'Расходы на ЗП ОТ'!BB1</f>
        <v>6 год</v>
      </c>
      <c r="BD1" s="603" t="str">
        <f>'Расходы на ЗП ОТ'!BC1</f>
        <v>7 год</v>
      </c>
      <c r="BE1" s="603" t="str">
        <f>'Расходы на ЗП ОТ'!BD1</f>
        <v>8 год</v>
      </c>
      <c r="BF1" s="603" t="str">
        <f>'Расходы на ЗП ОТ'!BE1</f>
        <v>9 год</v>
      </c>
      <c r="BG1" s="603" t="str">
        <f>'Расходы на ЗП ОТ'!BF1</f>
        <v>10 год</v>
      </c>
      <c r="BH1" s="603" t="str">
        <f>'Расходы на ЗП ОТ'!BG1</f>
        <v>11 год</v>
      </c>
    </row>
    <row r="2" spans="1:60" ht="37.5" customHeight="1" x14ac:dyDescent="0.25">
      <c r="A2" s="554" t="str">
        <f>'Расходы на ЗП ОТ'!A2</f>
        <v>Генеральный директор</v>
      </c>
      <c r="B2" s="555">
        <f>'Расходы на ЗП ОТ'!B2</f>
        <v>1</v>
      </c>
      <c r="C2" s="555">
        <f>'Расходы на ЗП ОТ'!C2</f>
        <v>75</v>
      </c>
      <c r="D2" s="556">
        <f>'Расходы на ЗП ОТ'!D2</f>
        <v>225</v>
      </c>
      <c r="E2" s="556">
        <f>'Расходы на ЗП ОТ'!E2</f>
        <v>225</v>
      </c>
      <c r="F2" s="556">
        <f>'Расходы на ЗП ОТ'!F2</f>
        <v>225</v>
      </c>
      <c r="G2" s="556">
        <f>'Расходы на ЗП ОТ'!G2</f>
        <v>225</v>
      </c>
      <c r="H2" s="556">
        <f>'Расходы на ЗП ОТ'!H2</f>
        <v>225</v>
      </c>
      <c r="I2" s="556">
        <f>'Расходы на ЗП ОТ'!I2</f>
        <v>225</v>
      </c>
      <c r="J2" s="556">
        <f>'Расходы на ЗП ОТ'!J2</f>
        <v>225</v>
      </c>
      <c r="K2" s="556">
        <f>'Расходы на ЗП ОТ'!K2</f>
        <v>225</v>
      </c>
      <c r="L2" s="556">
        <f>'Расходы на ЗП ОТ'!L2</f>
        <v>238.5</v>
      </c>
      <c r="M2" s="556">
        <f>'Расходы на ЗП ОТ'!M2</f>
        <v>238.5</v>
      </c>
      <c r="N2" s="556">
        <f>'Расходы на ЗП ОТ'!N2</f>
        <v>238.5</v>
      </c>
      <c r="O2" s="556">
        <f>'Расходы на ЗП ОТ'!O2</f>
        <v>238.5</v>
      </c>
      <c r="P2" s="556">
        <f>'Расходы на ЗП ОТ'!P2</f>
        <v>252.81</v>
      </c>
      <c r="Q2" s="556">
        <f>'Расходы на ЗП ОТ'!Q2</f>
        <v>252.81</v>
      </c>
      <c r="R2" s="556">
        <f>'Расходы на ЗП ОТ'!R2</f>
        <v>252.81</v>
      </c>
      <c r="S2" s="556">
        <f>'Расходы на ЗП ОТ'!S2</f>
        <v>252.81</v>
      </c>
      <c r="T2" s="556">
        <f>'Расходы на ЗП ОТ'!T2</f>
        <v>267.97860000000003</v>
      </c>
      <c r="U2" s="556">
        <f>'Расходы на ЗП ОТ'!U2</f>
        <v>267.97860000000003</v>
      </c>
      <c r="V2" s="556">
        <f>'Расходы на ЗП ОТ'!V2</f>
        <v>267.97860000000003</v>
      </c>
      <c r="W2" s="556">
        <f>'Расходы на ЗП ОТ'!W2</f>
        <v>267.97860000000003</v>
      </c>
      <c r="X2" s="556">
        <f>'Расходы на ЗП ОТ'!X2</f>
        <v>284.05731600000007</v>
      </c>
      <c r="Y2" s="556">
        <f>'Расходы на ЗП ОТ'!Y2</f>
        <v>284.05731600000007</v>
      </c>
      <c r="Z2" s="556">
        <f>'Расходы на ЗП ОТ'!Z2</f>
        <v>284.05731600000007</v>
      </c>
      <c r="AA2" s="556">
        <f>'Расходы на ЗП ОТ'!AA2</f>
        <v>284.05731600000007</v>
      </c>
      <c r="AB2" s="556">
        <f>'Расходы на ЗП ОТ'!AB2</f>
        <v>301.10075496000007</v>
      </c>
      <c r="AC2" s="556">
        <f>'Расходы на ЗП ОТ'!AC2</f>
        <v>301.10075496000007</v>
      </c>
      <c r="AD2" s="556">
        <f>'Расходы на ЗП ОТ'!AD2</f>
        <v>301.10075496000007</v>
      </c>
      <c r="AE2" s="556">
        <f>'Расходы на ЗП ОТ'!AE2</f>
        <v>301.10075496000007</v>
      </c>
      <c r="AF2" s="556">
        <f>'Расходы на ЗП ОТ'!AF2</f>
        <v>319.16680025760007</v>
      </c>
      <c r="AG2" s="556">
        <f>'Расходы на ЗП ОТ'!AG2</f>
        <v>319.16680025760007</v>
      </c>
      <c r="AH2" s="556">
        <f>'Расходы на ЗП ОТ'!AH2</f>
        <v>319.16680025760007</v>
      </c>
      <c r="AI2" s="556">
        <f>'Расходы на ЗП ОТ'!AI2</f>
        <v>319.16680025760007</v>
      </c>
      <c r="AJ2" s="556">
        <f>'Расходы на ЗП ОТ'!AJ2</f>
        <v>338.3168082730561</v>
      </c>
      <c r="AK2" s="556">
        <f>'Расходы на ЗП ОТ'!AK2</f>
        <v>338.3168082730561</v>
      </c>
      <c r="AL2" s="556">
        <f>'Расходы на ЗП ОТ'!AL2</f>
        <v>338.3168082730561</v>
      </c>
      <c r="AM2" s="556">
        <f>'Расходы на ЗП ОТ'!AM2</f>
        <v>338.3168082730561</v>
      </c>
      <c r="AN2" s="556">
        <f>'Расходы на ЗП ОТ'!AN2</f>
        <v>358.6158167694395</v>
      </c>
      <c r="AO2" s="556">
        <f>'Расходы на ЗП ОТ'!AO2</f>
        <v>358.6158167694395</v>
      </c>
      <c r="AP2" s="556">
        <f>'Расходы на ЗП ОТ'!AP2</f>
        <v>358.6158167694395</v>
      </c>
      <c r="AQ2" s="556">
        <f>'Расходы на ЗП ОТ'!AQ2</f>
        <v>358.6158167694395</v>
      </c>
      <c r="AR2" s="556">
        <f>'Расходы на ЗП ОТ'!AR2</f>
        <v>380.13276577560589</v>
      </c>
      <c r="AS2" s="556">
        <f>'Расходы на ЗП ОТ'!AS2</f>
        <v>380.13276577560589</v>
      </c>
      <c r="AT2" s="556">
        <f>'Расходы на ЗП ОТ'!AT2</f>
        <v>380.13276577560589</v>
      </c>
      <c r="AU2" s="556">
        <f>'Расходы на ЗП ОТ'!AU2</f>
        <v>380.13276577560589</v>
      </c>
      <c r="AV2" s="556"/>
      <c r="AW2" s="604"/>
      <c r="AX2" s="604">
        <f t="shared" ref="AX2:AX58" si="0">SUM(D2:G2)</f>
        <v>900</v>
      </c>
      <c r="AY2" s="604">
        <f t="shared" ref="AY2:AY58" si="1">SUM(H2:K2)</f>
        <v>900</v>
      </c>
      <c r="AZ2" s="604">
        <f t="shared" ref="AZ2:AZ58" si="2">SUM(L2:O2)</f>
        <v>954</v>
      </c>
      <c r="BA2" s="604">
        <f t="shared" ref="BA2:BA57" si="3">SUM(P2:S2)</f>
        <v>1011.24</v>
      </c>
      <c r="BB2" s="604">
        <f t="shared" ref="BB2:BB58" si="4">SUM(T2:W2)</f>
        <v>1071.9144000000001</v>
      </c>
      <c r="BC2" s="604">
        <f t="shared" ref="BC2:BC58" si="5">SUM(X2:AA2)</f>
        <v>1136.2292640000003</v>
      </c>
      <c r="BD2" s="604">
        <f t="shared" ref="BD2:BD58" si="6">SUM(AB2:AE2)</f>
        <v>1204.4030198400003</v>
      </c>
      <c r="BE2" s="604">
        <f t="shared" ref="BE2:BE58" si="7">SUM(AF2:AI2)</f>
        <v>1276.6672010304003</v>
      </c>
      <c r="BF2" s="604">
        <f t="shared" ref="BF2:BF58" si="8">SUM(AJ2:AM2)</f>
        <v>1353.2672330922244</v>
      </c>
      <c r="BG2" s="604">
        <f t="shared" ref="BG2:BG58" si="9">SUM(AN2:AQ2)</f>
        <v>1434.463267077758</v>
      </c>
      <c r="BH2" s="604">
        <f>SUM(AR2:AU2)</f>
        <v>1520.5310631024236</v>
      </c>
    </row>
    <row r="3" spans="1:60" ht="34.5" customHeight="1" x14ac:dyDescent="0.25">
      <c r="A3" s="554" t="str">
        <f>'Расходы на ЗП ОТ'!A3</f>
        <v>Менеджер по продажам</v>
      </c>
      <c r="B3" s="555">
        <f>'Расходы на ЗП ОТ'!B3</f>
        <v>2</v>
      </c>
      <c r="C3" s="555">
        <f>'Расходы на ЗП ОТ'!C3</f>
        <v>60</v>
      </c>
      <c r="D3" s="556">
        <f>'Расходы на ЗП ОТ'!D3</f>
        <v>0</v>
      </c>
      <c r="E3" s="556">
        <f>'Расходы на ЗП ОТ'!E3</f>
        <v>120</v>
      </c>
      <c r="F3" s="556">
        <f>'Расходы на ЗП ОТ'!F3</f>
        <v>360</v>
      </c>
      <c r="G3" s="556">
        <f>'Расходы на ЗП ОТ'!G3</f>
        <v>360</v>
      </c>
      <c r="H3" s="556">
        <f>'Расходы на ЗП ОТ'!H3</f>
        <v>360</v>
      </c>
      <c r="I3" s="556">
        <f>'Расходы на ЗП ОТ'!I3</f>
        <v>360</v>
      </c>
      <c r="J3" s="556">
        <f>'Расходы на ЗП ОТ'!J3</f>
        <v>360</v>
      </c>
      <c r="K3" s="556">
        <f>'Расходы на ЗП ОТ'!K3</f>
        <v>360</v>
      </c>
      <c r="L3" s="556">
        <f>'Расходы на ЗП ОТ'!L3</f>
        <v>381.6</v>
      </c>
      <c r="M3" s="556">
        <f>'Расходы на ЗП ОТ'!M3</f>
        <v>381.6</v>
      </c>
      <c r="N3" s="556">
        <f>'Расходы на ЗП ОТ'!N3</f>
        <v>381.6</v>
      </c>
      <c r="O3" s="556">
        <f>'Расходы на ЗП ОТ'!O3</f>
        <v>381.6</v>
      </c>
      <c r="P3" s="556">
        <f>'Расходы на ЗП ОТ'!P3</f>
        <v>404.49600000000004</v>
      </c>
      <c r="Q3" s="556">
        <f>'Расходы на ЗП ОТ'!Q3</f>
        <v>404.49600000000004</v>
      </c>
      <c r="R3" s="556">
        <f>'Расходы на ЗП ОТ'!R3</f>
        <v>404.49600000000004</v>
      </c>
      <c r="S3" s="556">
        <f>'Расходы на ЗП ОТ'!S3</f>
        <v>404.49600000000004</v>
      </c>
      <c r="T3" s="556">
        <f>'Расходы на ЗП ОТ'!T3</f>
        <v>428.76576000000006</v>
      </c>
      <c r="U3" s="556">
        <f>'Расходы на ЗП ОТ'!U3</f>
        <v>428.76576000000006</v>
      </c>
      <c r="V3" s="556">
        <f>'Расходы на ЗП ОТ'!V3</f>
        <v>428.76576000000006</v>
      </c>
      <c r="W3" s="556">
        <f>'Расходы на ЗП ОТ'!W3</f>
        <v>428.76576000000006</v>
      </c>
      <c r="X3" s="556">
        <f>'Расходы на ЗП ОТ'!X3</f>
        <v>454.4917056000001</v>
      </c>
      <c r="Y3" s="556">
        <f>'Расходы на ЗП ОТ'!Y3</f>
        <v>454.4917056000001</v>
      </c>
      <c r="Z3" s="556">
        <f>'Расходы на ЗП ОТ'!Z3</f>
        <v>454.4917056000001</v>
      </c>
      <c r="AA3" s="556">
        <f>'Расходы на ЗП ОТ'!AA3</f>
        <v>454.4917056000001</v>
      </c>
      <c r="AB3" s="556">
        <f>'Расходы на ЗП ОТ'!AB3</f>
        <v>481.76120793600012</v>
      </c>
      <c r="AC3" s="556">
        <f>'Расходы на ЗП ОТ'!AC3</f>
        <v>481.76120793600012</v>
      </c>
      <c r="AD3" s="556">
        <f>'Расходы на ЗП ОТ'!AD3</f>
        <v>481.76120793600012</v>
      </c>
      <c r="AE3" s="556">
        <f>'Расходы на ЗП ОТ'!AE3</f>
        <v>481.76120793600012</v>
      </c>
      <c r="AF3" s="556">
        <f>'Расходы на ЗП ОТ'!AF3</f>
        <v>510.66688041216014</v>
      </c>
      <c r="AG3" s="556">
        <f>'Расходы на ЗП ОТ'!AG3</f>
        <v>510.66688041216014</v>
      </c>
      <c r="AH3" s="556">
        <f>'Расходы на ЗП ОТ'!AH3</f>
        <v>510.66688041216014</v>
      </c>
      <c r="AI3" s="556">
        <f>'Расходы на ЗП ОТ'!AI3</f>
        <v>510.66688041216014</v>
      </c>
      <c r="AJ3" s="556">
        <f>'Расходы на ЗП ОТ'!AJ3</f>
        <v>541.30689323688978</v>
      </c>
      <c r="AK3" s="556">
        <f>'Расходы на ЗП ОТ'!AK3</f>
        <v>541.30689323688978</v>
      </c>
      <c r="AL3" s="556">
        <f>'Расходы на ЗП ОТ'!AL3</f>
        <v>541.30689323688978</v>
      </c>
      <c r="AM3" s="556">
        <f>'Расходы на ЗП ОТ'!AM3</f>
        <v>541.30689323688978</v>
      </c>
      <c r="AN3" s="556">
        <f>'Расходы на ЗП ОТ'!AN3</f>
        <v>573.78530683110318</v>
      </c>
      <c r="AO3" s="556">
        <f>'Расходы на ЗП ОТ'!AO3</f>
        <v>573.78530683110318</v>
      </c>
      <c r="AP3" s="556">
        <f>'Расходы на ЗП ОТ'!AP3</f>
        <v>573.78530683110318</v>
      </c>
      <c r="AQ3" s="556">
        <f>'Расходы на ЗП ОТ'!AQ3</f>
        <v>573.78530683110318</v>
      </c>
      <c r="AR3" s="556">
        <f>'Расходы на ЗП ОТ'!AR3</f>
        <v>608.21242524096942</v>
      </c>
      <c r="AS3" s="556">
        <f>'Расходы на ЗП ОТ'!AS3</f>
        <v>608.21242524096942</v>
      </c>
      <c r="AT3" s="556">
        <f>'Расходы на ЗП ОТ'!AT3</f>
        <v>608.21242524096942</v>
      </c>
      <c r="AU3" s="556">
        <f>'Расходы на ЗП ОТ'!AU3</f>
        <v>608.21242524096942</v>
      </c>
      <c r="AV3" s="556"/>
      <c r="AW3" s="604">
        <f>'Расходы на ЗП ОТ'!AU3</f>
        <v>608.21242524096942</v>
      </c>
      <c r="AX3" s="604">
        <f>'Расходы на ЗП ОТ'!AW3</f>
        <v>840</v>
      </c>
      <c r="AY3" s="604">
        <f t="shared" si="1"/>
        <v>1440</v>
      </c>
      <c r="AZ3" s="604">
        <f t="shared" si="2"/>
        <v>1526.4</v>
      </c>
      <c r="BA3" s="604">
        <f t="shared" si="3"/>
        <v>1617.9840000000002</v>
      </c>
      <c r="BB3" s="604">
        <f t="shared" si="4"/>
        <v>1715.0630400000002</v>
      </c>
      <c r="BC3" s="604">
        <f t="shared" si="5"/>
        <v>1817.9668224000004</v>
      </c>
      <c r="BD3" s="604">
        <f t="shared" si="6"/>
        <v>1927.0448317440005</v>
      </c>
      <c r="BE3" s="604">
        <f t="shared" si="7"/>
        <v>2042.6675216486406</v>
      </c>
      <c r="BF3" s="604">
        <f t="shared" si="8"/>
        <v>2165.2275729475591</v>
      </c>
      <c r="BG3" s="604">
        <f t="shared" si="9"/>
        <v>2295.1412273244127</v>
      </c>
      <c r="BH3" s="604">
        <f t="shared" ref="BH3:BH58" si="10">SUM(AR3:AU3)</f>
        <v>2432.8497009638777</v>
      </c>
    </row>
    <row r="4" spans="1:60" ht="32.25" customHeight="1" x14ac:dyDescent="0.25">
      <c r="A4" s="554" t="str">
        <f>'Расходы на ЗП ОТ'!A4</f>
        <v>Технолог</v>
      </c>
      <c r="B4" s="555">
        <f>'Расходы на ЗП ОТ'!B4</f>
        <v>2</v>
      </c>
      <c r="C4" s="555">
        <f>'Расходы на ЗП ОТ'!C4</f>
        <v>65</v>
      </c>
      <c r="D4" s="556">
        <f>'Расходы на ЗП ОТ'!D4</f>
        <v>390</v>
      </c>
      <c r="E4" s="556">
        <f>'Расходы на ЗП ОТ'!E4</f>
        <v>390</v>
      </c>
      <c r="F4" s="556">
        <f>'Расходы на ЗП ОТ'!F4</f>
        <v>390</v>
      </c>
      <c r="G4" s="556">
        <f>'Расходы на ЗП ОТ'!G4</f>
        <v>390</v>
      </c>
      <c r="H4" s="556">
        <f>'Расходы на ЗП ОТ'!H4</f>
        <v>390</v>
      </c>
      <c r="I4" s="556">
        <f>'Расходы на ЗП ОТ'!I4</f>
        <v>390</v>
      </c>
      <c r="J4" s="556">
        <f>'Расходы на ЗП ОТ'!J4</f>
        <v>390</v>
      </c>
      <c r="K4" s="556">
        <f>'Расходы на ЗП ОТ'!K4</f>
        <v>390</v>
      </c>
      <c r="L4" s="556">
        <f>'Расходы на ЗП ОТ'!L4</f>
        <v>390</v>
      </c>
      <c r="M4" s="556">
        <f>'Расходы на ЗП ОТ'!M4</f>
        <v>390</v>
      </c>
      <c r="N4" s="556">
        <f>'Расходы на ЗП ОТ'!N4</f>
        <v>390</v>
      </c>
      <c r="O4" s="556">
        <f>'Расходы на ЗП ОТ'!O4</f>
        <v>390</v>
      </c>
      <c r="P4" s="556">
        <f>'Расходы на ЗП ОТ'!P4</f>
        <v>390</v>
      </c>
      <c r="Q4" s="556">
        <f>'Расходы на ЗП ОТ'!Q4</f>
        <v>390</v>
      </c>
      <c r="R4" s="556">
        <f>'Расходы на ЗП ОТ'!R4</f>
        <v>390</v>
      </c>
      <c r="S4" s="556">
        <f>'Расходы на ЗП ОТ'!S4</f>
        <v>390</v>
      </c>
      <c r="T4" s="556">
        <f>'Расходы на ЗП ОТ'!T4</f>
        <v>413.40000000000003</v>
      </c>
      <c r="U4" s="556">
        <f>'Расходы на ЗП ОТ'!U4</f>
        <v>413.40000000000003</v>
      </c>
      <c r="V4" s="556">
        <f>'Расходы на ЗП ОТ'!V4</f>
        <v>413.40000000000003</v>
      </c>
      <c r="W4" s="556">
        <f>'Расходы на ЗП ОТ'!W4</f>
        <v>413.40000000000003</v>
      </c>
      <c r="X4" s="556">
        <f>'Расходы на ЗП ОТ'!X4</f>
        <v>438.20400000000006</v>
      </c>
      <c r="Y4" s="556">
        <f>'Расходы на ЗП ОТ'!Y4</f>
        <v>438.20400000000006</v>
      </c>
      <c r="Z4" s="556">
        <f>'Расходы на ЗП ОТ'!Z4</f>
        <v>438.20400000000006</v>
      </c>
      <c r="AA4" s="556">
        <f>'Расходы на ЗП ОТ'!AA4</f>
        <v>438.20400000000006</v>
      </c>
      <c r="AB4" s="556">
        <f>'Расходы на ЗП ОТ'!AB4</f>
        <v>464.49624000000011</v>
      </c>
      <c r="AC4" s="556">
        <f>'Расходы на ЗП ОТ'!AC4</f>
        <v>464.49624000000011</v>
      </c>
      <c r="AD4" s="556">
        <f>'Расходы на ЗП ОТ'!AD4</f>
        <v>464.49624000000011</v>
      </c>
      <c r="AE4" s="556">
        <f>'Расходы на ЗП ОТ'!AE4</f>
        <v>464.49624000000011</v>
      </c>
      <c r="AF4" s="556">
        <f>'Расходы на ЗП ОТ'!AF4</f>
        <v>464.49624000000011</v>
      </c>
      <c r="AG4" s="556">
        <f>'Расходы на ЗП ОТ'!AG4</f>
        <v>464.49624000000011</v>
      </c>
      <c r="AH4" s="556">
        <f>'Расходы на ЗП ОТ'!AH4</f>
        <v>464.49624000000011</v>
      </c>
      <c r="AI4" s="556">
        <f>'Расходы на ЗП ОТ'!AI4</f>
        <v>464.49624000000011</v>
      </c>
      <c r="AJ4" s="556">
        <f>'Расходы на ЗП ОТ'!AJ4</f>
        <v>492.36601440000015</v>
      </c>
      <c r="AK4" s="556">
        <f>'Расходы на ЗП ОТ'!AK4</f>
        <v>492.36601440000015</v>
      </c>
      <c r="AL4" s="556">
        <f>'Расходы на ЗП ОТ'!AL4</f>
        <v>492.36601440000015</v>
      </c>
      <c r="AM4" s="556">
        <f>'Расходы на ЗП ОТ'!AM4</f>
        <v>492.36601440000015</v>
      </c>
      <c r="AN4" s="556">
        <f>'Расходы на ЗП ОТ'!AN4</f>
        <v>521.90797526400024</v>
      </c>
      <c r="AO4" s="556">
        <f>'Расходы на ЗП ОТ'!AO4</f>
        <v>521.90797526400024</v>
      </c>
      <c r="AP4" s="556">
        <f>'Расходы на ЗП ОТ'!AP4</f>
        <v>521.90797526400024</v>
      </c>
      <c r="AQ4" s="556">
        <f>'Расходы на ЗП ОТ'!AQ4</f>
        <v>521.90797526400024</v>
      </c>
      <c r="AR4" s="556">
        <f>'Расходы на ЗП ОТ'!AR4</f>
        <v>553.22245377984029</v>
      </c>
      <c r="AS4" s="556">
        <f>'Расходы на ЗП ОТ'!AS4</f>
        <v>553.22245377984029</v>
      </c>
      <c r="AT4" s="556">
        <f>'Расходы на ЗП ОТ'!AT4</f>
        <v>553.22245377984029</v>
      </c>
      <c r="AU4" s="556">
        <f>'Расходы на ЗП ОТ'!AU4</f>
        <v>553.22245377984029</v>
      </c>
      <c r="AV4" s="556"/>
      <c r="AW4" s="604"/>
      <c r="AX4" s="604">
        <f t="shared" si="0"/>
        <v>1560</v>
      </c>
      <c r="AY4" s="604">
        <f t="shared" si="1"/>
        <v>1560</v>
      </c>
      <c r="AZ4" s="604">
        <f t="shared" si="2"/>
        <v>1560</v>
      </c>
      <c r="BA4" s="604">
        <f t="shared" si="3"/>
        <v>1560</v>
      </c>
      <c r="BB4" s="604">
        <f t="shared" si="4"/>
        <v>1653.6000000000001</v>
      </c>
      <c r="BC4" s="604">
        <f t="shared" si="5"/>
        <v>1752.8160000000003</v>
      </c>
      <c r="BD4" s="604">
        <f t="shared" si="6"/>
        <v>1857.9849600000005</v>
      </c>
      <c r="BE4" s="604">
        <f t="shared" si="7"/>
        <v>1857.9849600000005</v>
      </c>
      <c r="BF4" s="604">
        <f t="shared" si="8"/>
        <v>1969.4640576000006</v>
      </c>
      <c r="BG4" s="604">
        <f t="shared" si="9"/>
        <v>2087.631901056001</v>
      </c>
      <c r="BH4" s="604">
        <f t="shared" si="10"/>
        <v>2212.8898151193612</v>
      </c>
    </row>
    <row r="5" spans="1:60" ht="36" customHeight="1" x14ac:dyDescent="0.25">
      <c r="A5" s="554" t="str">
        <f>'Расходы на ЗП ОТ'!A5</f>
        <v>Главный бухгалтер</v>
      </c>
      <c r="B5" s="555">
        <f>'Расходы на ЗП ОТ'!B5</f>
        <v>1</v>
      </c>
      <c r="C5" s="555">
        <f>'Расходы на ЗП ОТ'!C5</f>
        <v>55</v>
      </c>
      <c r="D5" s="556">
        <f>'Расходы на ЗП ОТ'!D5</f>
        <v>165</v>
      </c>
      <c r="E5" s="556">
        <f>'Расходы на ЗП ОТ'!E5</f>
        <v>165</v>
      </c>
      <c r="F5" s="556">
        <f>'Расходы на ЗП ОТ'!F5</f>
        <v>165</v>
      </c>
      <c r="G5" s="556">
        <f>'Расходы на ЗП ОТ'!G5</f>
        <v>165</v>
      </c>
      <c r="H5" s="556">
        <f>'Расходы на ЗП ОТ'!H5</f>
        <v>165</v>
      </c>
      <c r="I5" s="556">
        <f>'Расходы на ЗП ОТ'!I5</f>
        <v>165</v>
      </c>
      <c r="J5" s="556">
        <f>'Расходы на ЗП ОТ'!J5</f>
        <v>165</v>
      </c>
      <c r="K5" s="556">
        <f>'Расходы на ЗП ОТ'!K5</f>
        <v>165</v>
      </c>
      <c r="L5" s="556">
        <f>'Расходы на ЗП ОТ'!L5</f>
        <v>174.9</v>
      </c>
      <c r="M5" s="556">
        <f>'Расходы на ЗП ОТ'!M5</f>
        <v>174.9</v>
      </c>
      <c r="N5" s="556">
        <f>'Расходы на ЗП ОТ'!N5</f>
        <v>174.9</v>
      </c>
      <c r="O5" s="556">
        <f>'Расходы на ЗП ОТ'!O5</f>
        <v>174.9</v>
      </c>
      <c r="P5" s="556">
        <f>'Расходы на ЗП ОТ'!P5</f>
        <v>185.39400000000001</v>
      </c>
      <c r="Q5" s="556">
        <f>'Расходы на ЗП ОТ'!Q5</f>
        <v>185.39400000000001</v>
      </c>
      <c r="R5" s="556">
        <f>'Расходы на ЗП ОТ'!R5</f>
        <v>185.39400000000001</v>
      </c>
      <c r="S5" s="556">
        <f>'Расходы на ЗП ОТ'!S5</f>
        <v>185.39400000000001</v>
      </c>
      <c r="T5" s="556">
        <f>'Расходы на ЗП ОТ'!T5</f>
        <v>196.51764000000003</v>
      </c>
      <c r="U5" s="556">
        <f>'Расходы на ЗП ОТ'!U5</f>
        <v>196.51764000000003</v>
      </c>
      <c r="V5" s="556">
        <f>'Расходы на ЗП ОТ'!V5</f>
        <v>196.51764000000003</v>
      </c>
      <c r="W5" s="556">
        <f>'Расходы на ЗП ОТ'!W5</f>
        <v>196.51764000000003</v>
      </c>
      <c r="X5" s="556">
        <f>'Расходы на ЗП ОТ'!X5</f>
        <v>208.30869840000005</v>
      </c>
      <c r="Y5" s="556">
        <f>'Расходы на ЗП ОТ'!Y5</f>
        <v>208.30869840000005</v>
      </c>
      <c r="Z5" s="556">
        <f>'Расходы на ЗП ОТ'!Z5</f>
        <v>208.30869840000005</v>
      </c>
      <c r="AA5" s="556">
        <f>'Расходы на ЗП ОТ'!AA5</f>
        <v>208.30869840000005</v>
      </c>
      <c r="AB5" s="556">
        <f>'Расходы на ЗП ОТ'!AB5</f>
        <v>220.80722030400005</v>
      </c>
      <c r="AC5" s="556">
        <f>'Расходы на ЗП ОТ'!AC5</f>
        <v>220.80722030400005</v>
      </c>
      <c r="AD5" s="556">
        <f>'Расходы на ЗП ОТ'!AD5</f>
        <v>220.80722030400005</v>
      </c>
      <c r="AE5" s="556">
        <f>'Расходы на ЗП ОТ'!AE5</f>
        <v>220.80722030400005</v>
      </c>
      <c r="AF5" s="556">
        <f>'Расходы на ЗП ОТ'!AF5</f>
        <v>234.05565352224008</v>
      </c>
      <c r="AG5" s="556">
        <f>'Расходы на ЗП ОТ'!AG5</f>
        <v>234.05565352224008</v>
      </c>
      <c r="AH5" s="556">
        <f>'Расходы на ЗП ОТ'!AH5</f>
        <v>234.05565352224008</v>
      </c>
      <c r="AI5" s="556">
        <f>'Расходы на ЗП ОТ'!AI5</f>
        <v>234.05565352224008</v>
      </c>
      <c r="AJ5" s="556">
        <f>'Расходы на ЗП ОТ'!AJ5</f>
        <v>248.09899273357451</v>
      </c>
      <c r="AK5" s="556">
        <f>'Расходы на ЗП ОТ'!AK5</f>
        <v>248.09899273357451</v>
      </c>
      <c r="AL5" s="556">
        <f>'Расходы на ЗП ОТ'!AL5</f>
        <v>248.09899273357451</v>
      </c>
      <c r="AM5" s="556">
        <f>'Расходы на ЗП ОТ'!AM5</f>
        <v>248.09899273357451</v>
      </c>
      <c r="AN5" s="556">
        <f>'Расходы на ЗП ОТ'!AN5</f>
        <v>262.98493229758901</v>
      </c>
      <c r="AO5" s="556">
        <f>'Расходы на ЗП ОТ'!AO5</f>
        <v>262.98493229758901</v>
      </c>
      <c r="AP5" s="556">
        <f>'Расходы на ЗП ОТ'!AP5</f>
        <v>262.98493229758901</v>
      </c>
      <c r="AQ5" s="556">
        <f>'Расходы на ЗП ОТ'!AQ5</f>
        <v>262.98493229758901</v>
      </c>
      <c r="AR5" s="556">
        <f>'Расходы на ЗП ОТ'!AR5</f>
        <v>278.76402823544436</v>
      </c>
      <c r="AS5" s="556">
        <f>'Расходы на ЗП ОТ'!AS5</f>
        <v>278.76402823544436</v>
      </c>
      <c r="AT5" s="556">
        <f>'Расходы на ЗП ОТ'!AT5</f>
        <v>278.76402823544436</v>
      </c>
      <c r="AU5" s="556">
        <f>'Расходы на ЗП ОТ'!AU5</f>
        <v>278.76402823544436</v>
      </c>
      <c r="AV5" s="556"/>
      <c r="AW5" s="604"/>
      <c r="AX5" s="604">
        <f t="shared" si="0"/>
        <v>660</v>
      </c>
      <c r="AY5" s="604">
        <f t="shared" si="1"/>
        <v>660</v>
      </c>
      <c r="AZ5" s="604">
        <f t="shared" si="2"/>
        <v>699.6</v>
      </c>
      <c r="BA5" s="604">
        <f t="shared" si="3"/>
        <v>741.57600000000002</v>
      </c>
      <c r="BB5" s="604">
        <f t="shared" si="4"/>
        <v>786.07056000000011</v>
      </c>
      <c r="BC5" s="604">
        <f t="shared" si="5"/>
        <v>833.23479360000022</v>
      </c>
      <c r="BD5" s="604">
        <f t="shared" si="6"/>
        <v>883.22888121600022</v>
      </c>
      <c r="BE5" s="604">
        <f t="shared" si="7"/>
        <v>936.22261408896031</v>
      </c>
      <c r="BF5" s="604">
        <f t="shared" si="8"/>
        <v>992.39597093429802</v>
      </c>
      <c r="BG5" s="604">
        <f t="shared" si="9"/>
        <v>1051.939729190356</v>
      </c>
      <c r="BH5" s="604">
        <f t="shared" si="10"/>
        <v>1115.0561129417774</v>
      </c>
    </row>
    <row r="6" spans="1:60" s="107" customFormat="1" ht="35.25" customHeight="1" x14ac:dyDescent="0.25">
      <c r="A6" s="557" t="s">
        <v>114</v>
      </c>
      <c r="B6" s="557">
        <f>'Расходы на ЗП ОТ'!B6</f>
        <v>6</v>
      </c>
      <c r="C6" s="557">
        <f>'Расходы на ЗП ОТ'!C6</f>
        <v>0</v>
      </c>
      <c r="D6" s="557">
        <f>SUM(D2:D5)</f>
        <v>780</v>
      </c>
      <c r="E6" s="557">
        <f t="shared" ref="E6:AQ6" si="11">SUM(E2:E5)</f>
        <v>900</v>
      </c>
      <c r="F6" s="557">
        <f t="shared" si="11"/>
        <v>1140</v>
      </c>
      <c r="G6" s="557">
        <f t="shared" si="11"/>
        <v>1140</v>
      </c>
      <c r="H6" s="557">
        <f t="shared" si="11"/>
        <v>1140</v>
      </c>
      <c r="I6" s="557">
        <f t="shared" si="11"/>
        <v>1140</v>
      </c>
      <c r="J6" s="557">
        <f t="shared" si="11"/>
        <v>1140</v>
      </c>
      <c r="K6" s="557">
        <f t="shared" si="11"/>
        <v>1140</v>
      </c>
      <c r="L6" s="557">
        <f t="shared" si="11"/>
        <v>1185</v>
      </c>
      <c r="M6" s="557">
        <f t="shared" si="11"/>
        <v>1185</v>
      </c>
      <c r="N6" s="557">
        <f t="shared" si="11"/>
        <v>1185</v>
      </c>
      <c r="O6" s="557">
        <f t="shared" si="11"/>
        <v>1185</v>
      </c>
      <c r="P6" s="557">
        <f t="shared" si="11"/>
        <v>1232.7</v>
      </c>
      <c r="Q6" s="557">
        <f t="shared" si="11"/>
        <v>1232.7</v>
      </c>
      <c r="R6" s="557">
        <f t="shared" si="11"/>
        <v>1232.7</v>
      </c>
      <c r="S6" s="557">
        <f t="shared" si="11"/>
        <v>1232.7</v>
      </c>
      <c r="T6" s="557">
        <f>SUM(T2:T5)</f>
        <v>1306.6620000000003</v>
      </c>
      <c r="U6" s="557">
        <f t="shared" si="11"/>
        <v>1306.6620000000003</v>
      </c>
      <c r="V6" s="557">
        <f t="shared" si="11"/>
        <v>1306.6620000000003</v>
      </c>
      <c r="W6" s="557">
        <f t="shared" si="11"/>
        <v>1306.6620000000003</v>
      </c>
      <c r="X6" s="557">
        <f t="shared" si="11"/>
        <v>1385.0617200000004</v>
      </c>
      <c r="Y6" s="557">
        <f t="shared" si="11"/>
        <v>1385.0617200000004</v>
      </c>
      <c r="Z6" s="557">
        <f t="shared" si="11"/>
        <v>1385.0617200000004</v>
      </c>
      <c r="AA6" s="557">
        <f t="shared" si="11"/>
        <v>1385.0617200000004</v>
      </c>
      <c r="AB6" s="557">
        <f t="shared" si="11"/>
        <v>1468.1654232000005</v>
      </c>
      <c r="AC6" s="557">
        <f t="shared" si="11"/>
        <v>1468.1654232000005</v>
      </c>
      <c r="AD6" s="557">
        <f t="shared" si="11"/>
        <v>1468.1654232000005</v>
      </c>
      <c r="AE6" s="557">
        <f t="shared" si="11"/>
        <v>1468.1654232000005</v>
      </c>
      <c r="AF6" s="557">
        <f t="shared" si="11"/>
        <v>1528.3855741920006</v>
      </c>
      <c r="AG6" s="557">
        <f t="shared" si="11"/>
        <v>1528.3855741920006</v>
      </c>
      <c r="AH6" s="557">
        <f t="shared" si="11"/>
        <v>1528.3855741920006</v>
      </c>
      <c r="AI6" s="557">
        <f t="shared" si="11"/>
        <v>1528.3855741920006</v>
      </c>
      <c r="AJ6" s="557">
        <f t="shared" si="11"/>
        <v>1620.0887086435205</v>
      </c>
      <c r="AK6" s="557">
        <f t="shared" si="11"/>
        <v>1620.0887086435205</v>
      </c>
      <c r="AL6" s="557">
        <f t="shared" si="11"/>
        <v>1620.0887086435205</v>
      </c>
      <c r="AM6" s="557">
        <f t="shared" si="11"/>
        <v>1620.0887086435205</v>
      </c>
      <c r="AN6" s="557">
        <f t="shared" si="11"/>
        <v>1717.2940311621319</v>
      </c>
      <c r="AO6" s="557">
        <f t="shared" si="11"/>
        <v>1717.2940311621319</v>
      </c>
      <c r="AP6" s="557">
        <f t="shared" si="11"/>
        <v>1717.2940311621319</v>
      </c>
      <c r="AQ6" s="557">
        <f t="shared" si="11"/>
        <v>1717.2940311621319</v>
      </c>
      <c r="AR6" s="557">
        <f t="shared" ref="AR6:AU6" si="12">SUM(AR2:AR5)</f>
        <v>1820.33167303186</v>
      </c>
      <c r="AS6" s="557">
        <f t="shared" si="12"/>
        <v>1820.33167303186</v>
      </c>
      <c r="AT6" s="557">
        <f t="shared" si="12"/>
        <v>1820.33167303186</v>
      </c>
      <c r="AU6" s="557">
        <f t="shared" si="12"/>
        <v>1820.33167303186</v>
      </c>
      <c r="AV6" s="557"/>
      <c r="AW6" s="605"/>
      <c r="AX6" s="605">
        <f t="shared" si="0"/>
        <v>3960</v>
      </c>
      <c r="AY6" s="605">
        <f t="shared" si="1"/>
        <v>4560</v>
      </c>
      <c r="AZ6" s="605">
        <f t="shared" si="2"/>
        <v>4740</v>
      </c>
      <c r="BA6" s="605">
        <f t="shared" si="3"/>
        <v>4930.8</v>
      </c>
      <c r="BB6" s="605">
        <f t="shared" si="4"/>
        <v>5226.648000000001</v>
      </c>
      <c r="BC6" s="605">
        <f t="shared" si="5"/>
        <v>5540.2468800000015</v>
      </c>
      <c r="BD6" s="605">
        <f t="shared" si="6"/>
        <v>5872.6616928000021</v>
      </c>
      <c r="BE6" s="605">
        <f t="shared" si="7"/>
        <v>6113.5422967680024</v>
      </c>
      <c r="BF6" s="605">
        <f t="shared" si="8"/>
        <v>6480.3548345740819</v>
      </c>
      <c r="BG6" s="607">
        <f t="shared" si="9"/>
        <v>6869.1761246485275</v>
      </c>
      <c r="BH6" s="612">
        <f t="shared" si="10"/>
        <v>7281.3266921274399</v>
      </c>
    </row>
    <row r="7" spans="1:60" s="108" customFormat="1" ht="30.75" customHeight="1" x14ac:dyDescent="0.25">
      <c r="A7" s="558" t="s">
        <v>115</v>
      </c>
      <c r="B7" s="558">
        <f>'Расходы на ЗП ОТ'!B7</f>
        <v>0</v>
      </c>
      <c r="C7" s="558">
        <f>'Расходы на ЗП ОТ'!C7</f>
        <v>0</v>
      </c>
      <c r="D7" s="558">
        <f>D6*$B$62</f>
        <v>234</v>
      </c>
      <c r="E7" s="558">
        <f t="shared" ref="E7:AQ7" si="13">E6*$B$62</f>
        <v>270</v>
      </c>
      <c r="F7" s="558">
        <f t="shared" si="13"/>
        <v>342</v>
      </c>
      <c r="G7" s="558">
        <f t="shared" si="13"/>
        <v>342</v>
      </c>
      <c r="H7" s="558">
        <f t="shared" si="13"/>
        <v>342</v>
      </c>
      <c r="I7" s="558">
        <f t="shared" si="13"/>
        <v>342</v>
      </c>
      <c r="J7" s="558">
        <f t="shared" si="13"/>
        <v>342</v>
      </c>
      <c r="K7" s="558">
        <f t="shared" si="13"/>
        <v>342</v>
      </c>
      <c r="L7" s="558">
        <f t="shared" si="13"/>
        <v>355.5</v>
      </c>
      <c r="M7" s="558">
        <f t="shared" si="13"/>
        <v>355.5</v>
      </c>
      <c r="N7" s="558">
        <f t="shared" si="13"/>
        <v>355.5</v>
      </c>
      <c r="O7" s="558">
        <f t="shared" si="13"/>
        <v>355.5</v>
      </c>
      <c r="P7" s="558">
        <f t="shared" si="13"/>
        <v>369.81</v>
      </c>
      <c r="Q7" s="558">
        <f t="shared" si="13"/>
        <v>369.81</v>
      </c>
      <c r="R7" s="558">
        <f t="shared" si="13"/>
        <v>369.81</v>
      </c>
      <c r="S7" s="558">
        <f t="shared" si="13"/>
        <v>369.81</v>
      </c>
      <c r="T7" s="558">
        <f>T6*$B$62</f>
        <v>391.99860000000007</v>
      </c>
      <c r="U7" s="558">
        <f t="shared" si="13"/>
        <v>391.99860000000007</v>
      </c>
      <c r="V7" s="558">
        <f t="shared" si="13"/>
        <v>391.99860000000007</v>
      </c>
      <c r="W7" s="558">
        <f t="shared" si="13"/>
        <v>391.99860000000007</v>
      </c>
      <c r="X7" s="558">
        <f t="shared" si="13"/>
        <v>415.51851600000009</v>
      </c>
      <c r="Y7" s="558">
        <f t="shared" si="13"/>
        <v>415.51851600000009</v>
      </c>
      <c r="Z7" s="558">
        <f t="shared" si="13"/>
        <v>415.51851600000009</v>
      </c>
      <c r="AA7" s="558">
        <f t="shared" si="13"/>
        <v>415.51851600000009</v>
      </c>
      <c r="AB7" s="558">
        <f t="shared" si="13"/>
        <v>440.44962696000016</v>
      </c>
      <c r="AC7" s="558">
        <f t="shared" si="13"/>
        <v>440.44962696000016</v>
      </c>
      <c r="AD7" s="558">
        <f t="shared" si="13"/>
        <v>440.44962696000016</v>
      </c>
      <c r="AE7" s="558">
        <f t="shared" si="13"/>
        <v>440.44962696000016</v>
      </c>
      <c r="AF7" s="558">
        <f t="shared" si="13"/>
        <v>458.51567225760016</v>
      </c>
      <c r="AG7" s="558">
        <f t="shared" si="13"/>
        <v>458.51567225760016</v>
      </c>
      <c r="AH7" s="558">
        <f t="shared" si="13"/>
        <v>458.51567225760016</v>
      </c>
      <c r="AI7" s="558">
        <f t="shared" si="13"/>
        <v>458.51567225760016</v>
      </c>
      <c r="AJ7" s="558">
        <f t="shared" si="13"/>
        <v>486.02661259305614</v>
      </c>
      <c r="AK7" s="558">
        <f t="shared" si="13"/>
        <v>486.02661259305614</v>
      </c>
      <c r="AL7" s="558">
        <f t="shared" si="13"/>
        <v>486.02661259305614</v>
      </c>
      <c r="AM7" s="558">
        <f t="shared" si="13"/>
        <v>486.02661259305614</v>
      </c>
      <c r="AN7" s="558">
        <f t="shared" si="13"/>
        <v>515.18820934863959</v>
      </c>
      <c r="AO7" s="558">
        <f t="shared" si="13"/>
        <v>515.18820934863959</v>
      </c>
      <c r="AP7" s="558">
        <f t="shared" si="13"/>
        <v>515.18820934863959</v>
      </c>
      <c r="AQ7" s="558">
        <f t="shared" si="13"/>
        <v>515.18820934863959</v>
      </c>
      <c r="AR7" s="558">
        <f t="shared" ref="AR7:AU7" si="14">AR6*$B$62</f>
        <v>546.09950190955794</v>
      </c>
      <c r="AS7" s="558">
        <f t="shared" si="14"/>
        <v>546.09950190955794</v>
      </c>
      <c r="AT7" s="558">
        <f t="shared" si="14"/>
        <v>546.09950190955794</v>
      </c>
      <c r="AU7" s="558">
        <f t="shared" si="14"/>
        <v>546.09950190955794</v>
      </c>
      <c r="AV7" s="558"/>
      <c r="AW7" s="606"/>
      <c r="AX7" s="606">
        <f t="shared" si="0"/>
        <v>1188</v>
      </c>
      <c r="AY7" s="606">
        <f t="shared" si="1"/>
        <v>1368</v>
      </c>
      <c r="AZ7" s="606">
        <f t="shared" si="2"/>
        <v>1422</v>
      </c>
      <c r="BA7" s="606">
        <f t="shared" si="3"/>
        <v>1479.24</v>
      </c>
      <c r="BB7" s="606">
        <f t="shared" si="4"/>
        <v>1567.9944000000003</v>
      </c>
      <c r="BC7" s="606">
        <f t="shared" si="5"/>
        <v>1662.0740640000004</v>
      </c>
      <c r="BD7" s="606">
        <f t="shared" si="6"/>
        <v>1761.7985078400006</v>
      </c>
      <c r="BE7" s="606">
        <f t="shared" si="7"/>
        <v>1834.0626890304006</v>
      </c>
      <c r="BF7" s="606">
        <f t="shared" si="8"/>
        <v>1944.1064503722246</v>
      </c>
      <c r="BG7" s="606">
        <f t="shared" si="9"/>
        <v>2060.7528373945584</v>
      </c>
      <c r="BH7" s="613">
        <f t="shared" si="10"/>
        <v>2184.3980076382318</v>
      </c>
    </row>
    <row r="8" spans="1:60" ht="21.75" customHeight="1" x14ac:dyDescent="0.25">
      <c r="A8" s="559" t="s">
        <v>116</v>
      </c>
      <c r="B8" s="556"/>
      <c r="C8" s="556"/>
      <c r="D8" s="556"/>
      <c r="E8" s="556"/>
      <c r="F8" s="556"/>
      <c r="G8" s="556"/>
      <c r="H8" s="556"/>
      <c r="I8" s="556"/>
      <c r="J8" s="556"/>
      <c r="K8" s="556"/>
      <c r="L8" s="556"/>
      <c r="M8" s="556"/>
      <c r="N8" s="556"/>
      <c r="O8" s="556"/>
      <c r="P8" s="556"/>
      <c r="Q8" s="556"/>
      <c r="R8" s="556"/>
      <c r="S8" s="556"/>
      <c r="T8" s="556"/>
      <c r="U8" s="556"/>
      <c r="V8" s="556"/>
      <c r="W8" s="556"/>
      <c r="X8" s="556"/>
      <c r="Y8" s="556"/>
      <c r="Z8" s="556"/>
      <c r="AA8" s="556"/>
      <c r="AB8" s="556"/>
      <c r="AC8" s="556"/>
      <c r="AD8" s="556"/>
      <c r="AE8" s="556"/>
      <c r="AF8" s="556"/>
      <c r="AG8" s="556"/>
      <c r="AH8" s="556"/>
      <c r="AI8" s="556"/>
      <c r="AJ8" s="556"/>
      <c r="AK8" s="556"/>
      <c r="AL8" s="556"/>
      <c r="AM8" s="556"/>
      <c r="AN8" s="556"/>
      <c r="AO8" s="556"/>
      <c r="AP8" s="556"/>
      <c r="AQ8" s="556"/>
      <c r="AR8" s="556"/>
      <c r="AS8" s="556"/>
      <c r="AT8" s="556"/>
      <c r="AU8" s="556"/>
      <c r="AV8" s="556"/>
      <c r="AW8" s="604"/>
      <c r="AX8" s="604">
        <f t="shared" si="0"/>
        <v>0</v>
      </c>
      <c r="AY8" s="604">
        <f t="shared" si="1"/>
        <v>0</v>
      </c>
      <c r="AZ8" s="604">
        <f t="shared" si="2"/>
        <v>0</v>
      </c>
      <c r="BA8" s="604">
        <f t="shared" si="3"/>
        <v>0</v>
      </c>
      <c r="BB8" s="604">
        <f t="shared" si="4"/>
        <v>0</v>
      </c>
      <c r="BC8" s="604">
        <f t="shared" si="5"/>
        <v>0</v>
      </c>
      <c r="BD8" s="604">
        <f t="shared" si="6"/>
        <v>0</v>
      </c>
      <c r="BE8" s="604">
        <f t="shared" si="7"/>
        <v>0</v>
      </c>
      <c r="BF8" s="604">
        <f t="shared" si="8"/>
        <v>0</v>
      </c>
      <c r="BG8" s="604">
        <f t="shared" si="9"/>
        <v>0</v>
      </c>
      <c r="BH8" s="604">
        <f t="shared" si="10"/>
        <v>0</v>
      </c>
    </row>
    <row r="9" spans="1:60" x14ac:dyDescent="0.25">
      <c r="A9" s="560" t="str">
        <f>'Расходы на ЗП ОТ'!A9</f>
        <v>Начальник участка</v>
      </c>
      <c r="B9" s="555">
        <f>'Расходы на ЗП ОТ'!B9</f>
        <v>4</v>
      </c>
      <c r="C9" s="555">
        <f>'Расходы на ЗП ОТ'!C9</f>
        <v>55</v>
      </c>
      <c r="D9" s="556">
        <f>'Расходы на ЗП ОТ'!D9</f>
        <v>0</v>
      </c>
      <c r="E9" s="556">
        <f>'Расходы на ЗП ОТ'!E9</f>
        <v>220</v>
      </c>
      <c r="F9" s="556">
        <f>'Расходы на ЗП ОТ'!F9</f>
        <v>660</v>
      </c>
      <c r="G9" s="556">
        <f>'Расходы на ЗП ОТ'!G9</f>
        <v>660</v>
      </c>
      <c r="H9" s="556">
        <f>'Расходы на ЗП ОТ'!H9</f>
        <v>660</v>
      </c>
      <c r="I9" s="556">
        <f>'Расходы на ЗП ОТ'!I9</f>
        <v>660</v>
      </c>
      <c r="J9" s="556">
        <f>'Расходы на ЗП ОТ'!J9</f>
        <v>660</v>
      </c>
      <c r="K9" s="556">
        <f>'Расходы на ЗП ОТ'!K9</f>
        <v>660</v>
      </c>
      <c r="L9" s="556">
        <f>'Расходы на ЗП ОТ'!L9</f>
        <v>699.6</v>
      </c>
      <c r="M9" s="556">
        <f>'Расходы на ЗП ОТ'!M9</f>
        <v>699.6</v>
      </c>
      <c r="N9" s="556">
        <f>'Расходы на ЗП ОТ'!N9</f>
        <v>699.6</v>
      </c>
      <c r="O9" s="556">
        <f>'Расходы на ЗП ОТ'!O9</f>
        <v>699.6</v>
      </c>
      <c r="P9" s="556">
        <f>'Расходы на ЗП ОТ'!P9</f>
        <v>741.57600000000002</v>
      </c>
      <c r="Q9" s="556">
        <f>'Расходы на ЗП ОТ'!Q9</f>
        <v>741.57600000000002</v>
      </c>
      <c r="R9" s="556">
        <f>'Расходы на ЗП ОТ'!R9</f>
        <v>741.57600000000002</v>
      </c>
      <c r="S9" s="556">
        <f>'Расходы на ЗП ОТ'!S9</f>
        <v>741.57600000000002</v>
      </c>
      <c r="T9" s="556">
        <f>'Расходы на ЗП ОТ'!T9</f>
        <v>786.07056000000011</v>
      </c>
      <c r="U9" s="556">
        <f>'Расходы на ЗП ОТ'!U9</f>
        <v>786.07056000000011</v>
      </c>
      <c r="V9" s="556">
        <f>'Расходы на ЗП ОТ'!V9</f>
        <v>786.07056000000011</v>
      </c>
      <c r="W9" s="556">
        <f>'Расходы на ЗП ОТ'!W9</f>
        <v>786.07056000000011</v>
      </c>
      <c r="X9" s="556">
        <f>'Расходы на ЗП ОТ'!X9</f>
        <v>833.23479360000022</v>
      </c>
      <c r="Y9" s="556">
        <f>'Расходы на ЗП ОТ'!Y9</f>
        <v>833.23479360000022</v>
      </c>
      <c r="Z9" s="556">
        <f>'Расходы на ЗП ОТ'!Z9</f>
        <v>833.23479360000022</v>
      </c>
      <c r="AA9" s="556">
        <f>'Расходы на ЗП ОТ'!AA9</f>
        <v>833.23479360000022</v>
      </c>
      <c r="AB9" s="556">
        <f>'Расходы на ЗП ОТ'!AB9</f>
        <v>883.22888121600022</v>
      </c>
      <c r="AC9" s="556">
        <f>'Расходы на ЗП ОТ'!AC9</f>
        <v>883.22888121600022</v>
      </c>
      <c r="AD9" s="556">
        <f>'Расходы на ЗП ОТ'!AD9</f>
        <v>883.22888121600022</v>
      </c>
      <c r="AE9" s="556">
        <f>'Расходы на ЗП ОТ'!AE9</f>
        <v>883.22888121600022</v>
      </c>
      <c r="AF9" s="556">
        <f>'Расходы на ЗП ОТ'!AF9</f>
        <v>936.22261408896031</v>
      </c>
      <c r="AG9" s="556">
        <f>'Расходы на ЗП ОТ'!AG9</f>
        <v>936.22261408896031</v>
      </c>
      <c r="AH9" s="556">
        <f>'Расходы на ЗП ОТ'!AH9</f>
        <v>936.22261408896031</v>
      </c>
      <c r="AI9" s="556">
        <f>'Расходы на ЗП ОТ'!AI9</f>
        <v>936.22261408896031</v>
      </c>
      <c r="AJ9" s="556">
        <f>'Расходы на ЗП ОТ'!AJ9</f>
        <v>992.39597093429802</v>
      </c>
      <c r="AK9" s="556">
        <f>'Расходы на ЗП ОТ'!AK9</f>
        <v>992.39597093429802</v>
      </c>
      <c r="AL9" s="556">
        <f>'Расходы на ЗП ОТ'!AL9</f>
        <v>992.39597093429802</v>
      </c>
      <c r="AM9" s="556">
        <f>'Расходы на ЗП ОТ'!AM9</f>
        <v>992.39597093429802</v>
      </c>
      <c r="AN9" s="556">
        <f>'Расходы на ЗП ОТ'!AN9</f>
        <v>1051.939729190356</v>
      </c>
      <c r="AO9" s="556">
        <f>'Расходы на ЗП ОТ'!AO9</f>
        <v>1051.939729190356</v>
      </c>
      <c r="AP9" s="556">
        <f>'Расходы на ЗП ОТ'!AP9</f>
        <v>1051.939729190356</v>
      </c>
      <c r="AQ9" s="556">
        <f>'Расходы на ЗП ОТ'!AQ9</f>
        <v>1051.939729190356</v>
      </c>
      <c r="AR9" s="556">
        <f>'Расходы на ЗП ОТ'!AR9</f>
        <v>1115.0561129417774</v>
      </c>
      <c r="AS9" s="556">
        <f>'Расходы на ЗП ОТ'!AS9</f>
        <v>1115.0561129417774</v>
      </c>
      <c r="AT9" s="556">
        <f>'Расходы на ЗП ОТ'!AT9</f>
        <v>1115.0561129417774</v>
      </c>
      <c r="AU9" s="556">
        <f>'Расходы на ЗП ОТ'!AU9</f>
        <v>1115.0561129417774</v>
      </c>
      <c r="AV9" s="556"/>
      <c r="AW9" s="604"/>
      <c r="AX9" s="604">
        <f t="shared" si="0"/>
        <v>1540</v>
      </c>
      <c r="AY9" s="604">
        <f t="shared" si="1"/>
        <v>2640</v>
      </c>
      <c r="AZ9" s="604">
        <f t="shared" si="2"/>
        <v>2798.4</v>
      </c>
      <c r="BA9" s="604">
        <f t="shared" si="3"/>
        <v>2966.3040000000001</v>
      </c>
      <c r="BB9" s="604">
        <f t="shared" si="4"/>
        <v>3144.2822400000005</v>
      </c>
      <c r="BC9" s="604">
        <f t="shared" si="5"/>
        <v>3332.9391744000009</v>
      </c>
      <c r="BD9" s="604">
        <f t="shared" si="6"/>
        <v>3532.9155248640009</v>
      </c>
      <c r="BE9" s="604">
        <f t="shared" si="7"/>
        <v>3744.8904563558413</v>
      </c>
      <c r="BF9" s="604">
        <f t="shared" si="8"/>
        <v>3969.5838837371921</v>
      </c>
      <c r="BG9" s="604">
        <f t="shared" si="9"/>
        <v>4207.7589167614242</v>
      </c>
      <c r="BH9" s="604">
        <f t="shared" si="10"/>
        <v>4460.2244517671097</v>
      </c>
    </row>
    <row r="10" spans="1:60" x14ac:dyDescent="0.25">
      <c r="A10" s="560" t="str">
        <f>'Расходы на ЗП ОТ'!A10</f>
        <v>Оператор линии</v>
      </c>
      <c r="B10" s="555">
        <f>'Расходы на ЗП ОТ'!B10</f>
        <v>4</v>
      </c>
      <c r="C10" s="555">
        <f>'Расходы на ЗП ОТ'!C10</f>
        <v>40</v>
      </c>
      <c r="D10" s="556">
        <f>'Расходы на ЗП ОТ'!D10</f>
        <v>0</v>
      </c>
      <c r="E10" s="556">
        <f>'Расходы на ЗП ОТ'!E10</f>
        <v>160</v>
      </c>
      <c r="F10" s="556">
        <f>'Расходы на ЗП ОТ'!F10</f>
        <v>480</v>
      </c>
      <c r="G10" s="556">
        <f>'Расходы на ЗП ОТ'!G10</f>
        <v>480</v>
      </c>
      <c r="H10" s="556">
        <f>'Расходы на ЗП ОТ'!H10</f>
        <v>480</v>
      </c>
      <c r="I10" s="556">
        <f>'Расходы на ЗП ОТ'!I10</f>
        <v>480</v>
      </c>
      <c r="J10" s="556">
        <f>'Расходы на ЗП ОТ'!J10</f>
        <v>480</v>
      </c>
      <c r="K10" s="556">
        <f>'Расходы на ЗП ОТ'!K10</f>
        <v>480</v>
      </c>
      <c r="L10" s="556">
        <f>'Расходы на ЗП ОТ'!L10</f>
        <v>508.8</v>
      </c>
      <c r="M10" s="556">
        <f>'Расходы на ЗП ОТ'!M10</f>
        <v>508.8</v>
      </c>
      <c r="N10" s="556">
        <f>'Расходы на ЗП ОТ'!N10</f>
        <v>508.8</v>
      </c>
      <c r="O10" s="556">
        <f>'Расходы на ЗП ОТ'!O10</f>
        <v>508.8</v>
      </c>
      <c r="P10" s="556">
        <f>'Расходы на ЗП ОТ'!P10</f>
        <v>539.32800000000009</v>
      </c>
      <c r="Q10" s="556">
        <f>'Расходы на ЗП ОТ'!Q10</f>
        <v>539.32800000000009</v>
      </c>
      <c r="R10" s="556">
        <f>'Расходы на ЗП ОТ'!R10</f>
        <v>539.32800000000009</v>
      </c>
      <c r="S10" s="556">
        <f>'Расходы на ЗП ОТ'!S10</f>
        <v>539.32800000000009</v>
      </c>
      <c r="T10" s="556">
        <f>'Расходы на ЗП ОТ'!T10</f>
        <v>571.68768000000011</v>
      </c>
      <c r="U10" s="556">
        <f>'Расходы на ЗП ОТ'!U10</f>
        <v>571.68768000000011</v>
      </c>
      <c r="V10" s="556">
        <f>'Расходы на ЗП ОТ'!V10</f>
        <v>571.68768000000011</v>
      </c>
      <c r="W10" s="556">
        <f>'Расходы на ЗП ОТ'!W10</f>
        <v>571.68768000000011</v>
      </c>
      <c r="X10" s="556">
        <f>'Расходы на ЗП ОТ'!X10</f>
        <v>605.98894080000014</v>
      </c>
      <c r="Y10" s="556">
        <f>'Расходы на ЗП ОТ'!Y10</f>
        <v>605.98894080000014</v>
      </c>
      <c r="Z10" s="556">
        <f>'Расходы на ЗП ОТ'!Z10</f>
        <v>605.98894080000014</v>
      </c>
      <c r="AA10" s="556">
        <f>'Расходы на ЗП ОТ'!AA10</f>
        <v>605.98894080000014</v>
      </c>
      <c r="AB10" s="556">
        <f>'Расходы на ЗП ОТ'!AB10</f>
        <v>642.34827724800016</v>
      </c>
      <c r="AC10" s="556">
        <f>'Расходы на ЗП ОТ'!AC10</f>
        <v>642.34827724800016</v>
      </c>
      <c r="AD10" s="556">
        <f>'Расходы на ЗП ОТ'!AD10</f>
        <v>642.34827724800016</v>
      </c>
      <c r="AE10" s="556">
        <f>'Расходы на ЗП ОТ'!AE10</f>
        <v>642.34827724800016</v>
      </c>
      <c r="AF10" s="556">
        <f>'Расходы на ЗП ОТ'!AF10</f>
        <v>680.88917388288019</v>
      </c>
      <c r="AG10" s="556">
        <f>'Расходы на ЗП ОТ'!AG10</f>
        <v>680.88917388288019</v>
      </c>
      <c r="AH10" s="556">
        <f>'Расходы на ЗП ОТ'!AH10</f>
        <v>680.88917388288019</v>
      </c>
      <c r="AI10" s="556">
        <f>'Расходы на ЗП ОТ'!AI10</f>
        <v>680.88917388288019</v>
      </c>
      <c r="AJ10" s="556">
        <f>'Расходы на ЗП ОТ'!AJ10</f>
        <v>721.74252431585307</v>
      </c>
      <c r="AK10" s="556">
        <f>'Расходы на ЗП ОТ'!AK10</f>
        <v>721.74252431585307</v>
      </c>
      <c r="AL10" s="556">
        <f>'Расходы на ЗП ОТ'!AL10</f>
        <v>721.74252431585307</v>
      </c>
      <c r="AM10" s="556">
        <f>'Расходы на ЗП ОТ'!AM10</f>
        <v>721.74252431585307</v>
      </c>
      <c r="AN10" s="556">
        <f>'Расходы на ЗП ОТ'!AN10</f>
        <v>765.04707577480428</v>
      </c>
      <c r="AO10" s="556">
        <f>'Расходы на ЗП ОТ'!AO10</f>
        <v>765.04707577480428</v>
      </c>
      <c r="AP10" s="556">
        <f>'Расходы на ЗП ОТ'!AP10</f>
        <v>765.04707577480428</v>
      </c>
      <c r="AQ10" s="556">
        <f>'Расходы на ЗП ОТ'!AQ10</f>
        <v>765.04707577480428</v>
      </c>
      <c r="AR10" s="556">
        <f>'Расходы на ЗП ОТ'!AR10</f>
        <v>810.9499003212926</v>
      </c>
      <c r="AS10" s="556">
        <f>'Расходы на ЗП ОТ'!AS10</f>
        <v>810.9499003212926</v>
      </c>
      <c r="AT10" s="556">
        <f>'Расходы на ЗП ОТ'!AT10</f>
        <v>810.9499003212926</v>
      </c>
      <c r="AU10" s="556">
        <f>'Расходы на ЗП ОТ'!AU10</f>
        <v>810.9499003212926</v>
      </c>
      <c r="AV10" s="556"/>
      <c r="AW10" s="604"/>
      <c r="AX10" s="604">
        <f t="shared" si="0"/>
        <v>1120</v>
      </c>
      <c r="AY10" s="604">
        <f t="shared" si="1"/>
        <v>1920</v>
      </c>
      <c r="AZ10" s="604">
        <f t="shared" si="2"/>
        <v>2035.2</v>
      </c>
      <c r="BA10" s="604">
        <f t="shared" si="3"/>
        <v>2157.3120000000004</v>
      </c>
      <c r="BB10" s="604">
        <f t="shared" si="4"/>
        <v>2286.7507200000005</v>
      </c>
      <c r="BC10" s="604">
        <f t="shared" si="5"/>
        <v>2423.9557632000005</v>
      </c>
      <c r="BD10" s="604">
        <f t="shared" si="6"/>
        <v>2569.3931089920006</v>
      </c>
      <c r="BE10" s="604">
        <f t="shared" si="7"/>
        <v>2723.5566955315207</v>
      </c>
      <c r="BF10" s="604">
        <f t="shared" si="8"/>
        <v>2886.9700972634123</v>
      </c>
      <c r="BG10" s="604">
        <f t="shared" si="9"/>
        <v>3060.1883030992171</v>
      </c>
      <c r="BH10" s="604">
        <f t="shared" si="10"/>
        <v>3243.7996012851704</v>
      </c>
    </row>
    <row r="11" spans="1:60" x14ac:dyDescent="0.25">
      <c r="A11" s="560" t="str">
        <f>'Расходы на ЗП ОТ'!A11</f>
        <v>Водитель погрузчика</v>
      </c>
      <c r="B11" s="555">
        <f>'Расходы на ЗП ОТ'!B11</f>
        <v>4</v>
      </c>
      <c r="C11" s="555">
        <f>'Расходы на ЗП ОТ'!C11</f>
        <v>40</v>
      </c>
      <c r="D11" s="556">
        <f>'Расходы на ЗП ОТ'!D11</f>
        <v>0</v>
      </c>
      <c r="E11" s="556">
        <f>'Расходы на ЗП ОТ'!E11</f>
        <v>160</v>
      </c>
      <c r="F11" s="556">
        <f>'Расходы на ЗП ОТ'!F11</f>
        <v>480</v>
      </c>
      <c r="G11" s="556">
        <f>'Расходы на ЗП ОТ'!G11</f>
        <v>480</v>
      </c>
      <c r="H11" s="556">
        <f>'Расходы на ЗП ОТ'!H11</f>
        <v>480</v>
      </c>
      <c r="I11" s="556">
        <f>'Расходы на ЗП ОТ'!I11</f>
        <v>480</v>
      </c>
      <c r="J11" s="556">
        <f>'Расходы на ЗП ОТ'!J11</f>
        <v>480</v>
      </c>
      <c r="K11" s="556">
        <f>'Расходы на ЗП ОТ'!K11</f>
        <v>480</v>
      </c>
      <c r="L11" s="556">
        <f>'Расходы на ЗП ОТ'!L11</f>
        <v>480</v>
      </c>
      <c r="M11" s="556">
        <f>'Расходы на ЗП ОТ'!M11</f>
        <v>480</v>
      </c>
      <c r="N11" s="556">
        <f>'Расходы на ЗП ОТ'!N11</f>
        <v>480</v>
      </c>
      <c r="O11" s="556">
        <f>'Расходы на ЗП ОТ'!O11</f>
        <v>480</v>
      </c>
      <c r="P11" s="556">
        <f>'Расходы на ЗП ОТ'!P11</f>
        <v>480</v>
      </c>
      <c r="Q11" s="556">
        <f>'Расходы на ЗП ОТ'!Q11</f>
        <v>480</v>
      </c>
      <c r="R11" s="556">
        <f>'Расходы на ЗП ОТ'!R11</f>
        <v>480</v>
      </c>
      <c r="S11" s="556">
        <f>'Расходы на ЗП ОТ'!S11</f>
        <v>480</v>
      </c>
      <c r="T11" s="556">
        <f>'Расходы на ЗП ОТ'!T11</f>
        <v>508.8</v>
      </c>
      <c r="U11" s="556">
        <f>'Расходы на ЗП ОТ'!U11</f>
        <v>508.8</v>
      </c>
      <c r="V11" s="556">
        <f>'Расходы на ЗП ОТ'!V11</f>
        <v>508.8</v>
      </c>
      <c r="W11" s="556">
        <f>'Расходы на ЗП ОТ'!W11</f>
        <v>508.8</v>
      </c>
      <c r="X11" s="556">
        <f>'Расходы на ЗП ОТ'!X11</f>
        <v>539.32800000000009</v>
      </c>
      <c r="Y11" s="556">
        <f>'Расходы на ЗП ОТ'!Y11</f>
        <v>539.32800000000009</v>
      </c>
      <c r="Z11" s="556">
        <f>'Расходы на ЗП ОТ'!Z11</f>
        <v>539.32800000000009</v>
      </c>
      <c r="AA11" s="556">
        <f>'Расходы на ЗП ОТ'!AA11</f>
        <v>539.32800000000009</v>
      </c>
      <c r="AB11" s="556">
        <f>'Расходы на ЗП ОТ'!AB11</f>
        <v>571.68768000000011</v>
      </c>
      <c r="AC11" s="556">
        <f>'Расходы на ЗП ОТ'!AC11</f>
        <v>571.68768000000011</v>
      </c>
      <c r="AD11" s="556">
        <f>'Расходы на ЗП ОТ'!AD11</f>
        <v>571.68768000000011</v>
      </c>
      <c r="AE11" s="556">
        <f>'Расходы на ЗП ОТ'!AE11</f>
        <v>571.68768000000011</v>
      </c>
      <c r="AF11" s="556">
        <f>'Расходы на ЗП ОТ'!AF11</f>
        <v>605.98894080000014</v>
      </c>
      <c r="AG11" s="556">
        <f>'Расходы на ЗП ОТ'!AG11</f>
        <v>605.98894080000014</v>
      </c>
      <c r="AH11" s="556">
        <f>'Расходы на ЗП ОТ'!AH11</f>
        <v>605.98894080000014</v>
      </c>
      <c r="AI11" s="556">
        <f>'Расходы на ЗП ОТ'!AI11</f>
        <v>605.98894080000014</v>
      </c>
      <c r="AJ11" s="556">
        <f>'Расходы на ЗП ОТ'!AJ11</f>
        <v>642.34827724800016</v>
      </c>
      <c r="AK11" s="556">
        <f>'Расходы на ЗП ОТ'!AK11</f>
        <v>642.34827724800016</v>
      </c>
      <c r="AL11" s="556">
        <f>'Расходы на ЗП ОТ'!AL11</f>
        <v>642.34827724800016</v>
      </c>
      <c r="AM11" s="556">
        <f>'Расходы на ЗП ОТ'!AM11</f>
        <v>642.34827724800016</v>
      </c>
      <c r="AN11" s="556">
        <f>'Расходы на ЗП ОТ'!AN11</f>
        <v>680.88917388288019</v>
      </c>
      <c r="AO11" s="556">
        <f>'Расходы на ЗП ОТ'!AO11</f>
        <v>680.88917388288019</v>
      </c>
      <c r="AP11" s="556">
        <f>'Расходы на ЗП ОТ'!AP11</f>
        <v>680.88917388288019</v>
      </c>
      <c r="AQ11" s="556">
        <f>'Расходы на ЗП ОТ'!AQ11</f>
        <v>680.88917388288019</v>
      </c>
      <c r="AR11" s="556">
        <f>'Расходы на ЗП ОТ'!AR11</f>
        <v>721.74252431585307</v>
      </c>
      <c r="AS11" s="556">
        <f>'Расходы на ЗП ОТ'!AS11</f>
        <v>721.74252431585307</v>
      </c>
      <c r="AT11" s="556">
        <f>'Расходы на ЗП ОТ'!AT11</f>
        <v>721.74252431585307</v>
      </c>
      <c r="AU11" s="556">
        <f>'Расходы на ЗП ОТ'!AU11</f>
        <v>721.74252431585307</v>
      </c>
      <c r="AV11" s="556"/>
      <c r="AW11" s="604"/>
      <c r="AX11" s="604">
        <f t="shared" si="0"/>
        <v>1120</v>
      </c>
      <c r="AY11" s="604">
        <f t="shared" si="1"/>
        <v>1920</v>
      </c>
      <c r="AZ11" s="604">
        <f t="shared" si="2"/>
        <v>1920</v>
      </c>
      <c r="BA11" s="604">
        <f t="shared" si="3"/>
        <v>1920</v>
      </c>
      <c r="BB11" s="604">
        <f t="shared" si="4"/>
        <v>2035.2</v>
      </c>
      <c r="BC11" s="604">
        <f t="shared" si="5"/>
        <v>2157.3120000000004</v>
      </c>
      <c r="BD11" s="604">
        <f t="shared" si="6"/>
        <v>2286.7507200000005</v>
      </c>
      <c r="BE11" s="604">
        <f t="shared" si="7"/>
        <v>2423.9557632000005</v>
      </c>
      <c r="BF11" s="604">
        <f t="shared" si="8"/>
        <v>2569.3931089920006</v>
      </c>
      <c r="BG11" s="604">
        <f t="shared" si="9"/>
        <v>2723.5566955315207</v>
      </c>
      <c r="BH11" s="604">
        <f t="shared" si="10"/>
        <v>2886.9700972634123</v>
      </c>
    </row>
    <row r="12" spans="1:60" x14ac:dyDescent="0.25">
      <c r="A12" s="560" t="str">
        <f>'Расходы на ЗП ОТ'!A12</f>
        <v>Зав. Склад</v>
      </c>
      <c r="B12" s="555">
        <f>'Расходы на ЗП ОТ'!B12</f>
        <v>4</v>
      </c>
      <c r="C12" s="555">
        <f>'Расходы на ЗП ОТ'!C12</f>
        <v>50</v>
      </c>
      <c r="D12" s="556">
        <f>'Расходы на ЗП ОТ'!D12</f>
        <v>0</v>
      </c>
      <c r="E12" s="556">
        <f>'Расходы на ЗП ОТ'!E12</f>
        <v>200</v>
      </c>
      <c r="F12" s="556">
        <f>'Расходы на ЗП ОТ'!F12</f>
        <v>600</v>
      </c>
      <c r="G12" s="556">
        <f>'Расходы на ЗП ОТ'!G12</f>
        <v>600</v>
      </c>
      <c r="H12" s="556">
        <f>'Расходы на ЗП ОТ'!H12</f>
        <v>600</v>
      </c>
      <c r="I12" s="556">
        <f>'Расходы на ЗП ОТ'!I12</f>
        <v>600</v>
      </c>
      <c r="J12" s="556">
        <f>'Расходы на ЗП ОТ'!J12</f>
        <v>600</v>
      </c>
      <c r="K12" s="556">
        <f>'Расходы на ЗП ОТ'!K12</f>
        <v>600</v>
      </c>
      <c r="L12" s="556">
        <f>'Расходы на ЗП ОТ'!L12</f>
        <v>636</v>
      </c>
      <c r="M12" s="556">
        <f>'Расходы на ЗП ОТ'!M12</f>
        <v>636</v>
      </c>
      <c r="N12" s="556">
        <f>'Расходы на ЗП ОТ'!N12</f>
        <v>636</v>
      </c>
      <c r="O12" s="556">
        <f>'Расходы на ЗП ОТ'!O12</f>
        <v>636</v>
      </c>
      <c r="P12" s="556">
        <f>'Расходы на ЗП ОТ'!P12</f>
        <v>674.16000000000008</v>
      </c>
      <c r="Q12" s="556">
        <f>'Расходы на ЗП ОТ'!Q12</f>
        <v>674.16000000000008</v>
      </c>
      <c r="R12" s="556">
        <f>'Расходы на ЗП ОТ'!R12</f>
        <v>674.16000000000008</v>
      </c>
      <c r="S12" s="556">
        <f>'Расходы на ЗП ОТ'!S12</f>
        <v>674.16000000000008</v>
      </c>
      <c r="T12" s="556">
        <f>'Расходы на ЗП ОТ'!T12</f>
        <v>714.60960000000011</v>
      </c>
      <c r="U12" s="556">
        <f>'Расходы на ЗП ОТ'!U12</f>
        <v>714.60960000000011</v>
      </c>
      <c r="V12" s="556">
        <f>'Расходы на ЗП ОТ'!V12</f>
        <v>714.60960000000011</v>
      </c>
      <c r="W12" s="556">
        <f>'Расходы на ЗП ОТ'!W12</f>
        <v>714.60960000000011</v>
      </c>
      <c r="X12" s="556">
        <f>'Расходы на ЗП ОТ'!X12</f>
        <v>757.48617600000011</v>
      </c>
      <c r="Y12" s="556">
        <f>'Расходы на ЗП ОТ'!Y12</f>
        <v>757.48617600000011</v>
      </c>
      <c r="Z12" s="556">
        <f>'Расходы на ЗП ОТ'!Z12</f>
        <v>757.48617600000011</v>
      </c>
      <c r="AA12" s="556">
        <f>'Расходы на ЗП ОТ'!AA12</f>
        <v>757.48617600000011</v>
      </c>
      <c r="AB12" s="556">
        <f>'Расходы на ЗП ОТ'!AB12</f>
        <v>802.9353465600002</v>
      </c>
      <c r="AC12" s="556">
        <f>'Расходы на ЗП ОТ'!AC12</f>
        <v>802.9353465600002</v>
      </c>
      <c r="AD12" s="556">
        <f>'Расходы на ЗП ОТ'!AD12</f>
        <v>802.9353465600002</v>
      </c>
      <c r="AE12" s="556">
        <f>'Расходы на ЗП ОТ'!AE12</f>
        <v>802.9353465600002</v>
      </c>
      <c r="AF12" s="556">
        <f>'Расходы на ЗП ОТ'!AF12</f>
        <v>851.11146735360023</v>
      </c>
      <c r="AG12" s="556">
        <f>'Расходы на ЗП ОТ'!AG12</f>
        <v>851.11146735360023</v>
      </c>
      <c r="AH12" s="556">
        <f>'Расходы на ЗП ОТ'!AH12</f>
        <v>851.11146735360023</v>
      </c>
      <c r="AI12" s="556">
        <f>'Расходы на ЗП ОТ'!AI12</f>
        <v>851.11146735360023</v>
      </c>
      <c r="AJ12" s="556">
        <f>'Расходы на ЗП ОТ'!AJ12</f>
        <v>902.17815539481626</v>
      </c>
      <c r="AK12" s="556">
        <f>'Расходы на ЗП ОТ'!AK12</f>
        <v>902.17815539481626</v>
      </c>
      <c r="AL12" s="556">
        <f>'Расходы на ЗП ОТ'!AL12</f>
        <v>902.17815539481626</v>
      </c>
      <c r="AM12" s="556">
        <f>'Расходы на ЗП ОТ'!AM12</f>
        <v>902.17815539481626</v>
      </c>
      <c r="AN12" s="556">
        <f>'Расходы на ЗП ОТ'!AN12</f>
        <v>956.30884471850527</v>
      </c>
      <c r="AO12" s="556">
        <f>'Расходы на ЗП ОТ'!AO12</f>
        <v>956.30884471850527</v>
      </c>
      <c r="AP12" s="556">
        <f>'Расходы на ЗП ОТ'!AP12</f>
        <v>956.30884471850527</v>
      </c>
      <c r="AQ12" s="556">
        <f>'Расходы на ЗП ОТ'!AQ12</f>
        <v>956.30884471850527</v>
      </c>
      <c r="AR12" s="556">
        <f>'Расходы на ЗП ОТ'!AR12</f>
        <v>1013.6873754016157</v>
      </c>
      <c r="AS12" s="556">
        <f>'Расходы на ЗП ОТ'!AS12</f>
        <v>1013.6873754016157</v>
      </c>
      <c r="AT12" s="556">
        <f>'Расходы на ЗП ОТ'!AT12</f>
        <v>1013.6873754016157</v>
      </c>
      <c r="AU12" s="556">
        <f>'Расходы на ЗП ОТ'!AU12</f>
        <v>1013.6873754016157</v>
      </c>
      <c r="AV12" s="556"/>
      <c r="AW12" s="604"/>
      <c r="AX12" s="604">
        <f t="shared" si="0"/>
        <v>1400</v>
      </c>
      <c r="AY12" s="604">
        <f t="shared" si="1"/>
        <v>2400</v>
      </c>
      <c r="AZ12" s="604">
        <f t="shared" si="2"/>
        <v>2544</v>
      </c>
      <c r="BA12" s="604">
        <f t="shared" si="3"/>
        <v>2696.6400000000003</v>
      </c>
      <c r="BB12" s="604">
        <f t="shared" si="4"/>
        <v>2858.4384000000005</v>
      </c>
      <c r="BC12" s="604">
        <f t="shared" si="5"/>
        <v>3029.9447040000005</v>
      </c>
      <c r="BD12" s="604">
        <f t="shared" si="6"/>
        <v>3211.7413862400008</v>
      </c>
      <c r="BE12" s="604">
        <f t="shared" si="7"/>
        <v>3404.4458694144009</v>
      </c>
      <c r="BF12" s="604">
        <f t="shared" si="8"/>
        <v>3608.712621579265</v>
      </c>
      <c r="BG12" s="604">
        <f t="shared" si="9"/>
        <v>3825.2353788740211</v>
      </c>
      <c r="BH12" s="604">
        <f t="shared" si="10"/>
        <v>4054.7495016064627</v>
      </c>
    </row>
    <row r="13" spans="1:60" ht="32.25" customHeight="1" x14ac:dyDescent="0.25">
      <c r="A13" s="560" t="str">
        <f>'Расходы на ЗП ОТ'!A13</f>
        <v>ИРС Разнорабочий (уборщик, дворник)</v>
      </c>
      <c r="B13" s="556">
        <f>'Расходы на ЗП ОТ'!B13</f>
        <v>0</v>
      </c>
      <c r="C13" s="556">
        <f>'Расходы на ЗП ОТ'!C13</f>
        <v>0</v>
      </c>
      <c r="D13" s="556">
        <f>'Расходы на ЗП ОТ'!D13</f>
        <v>0</v>
      </c>
      <c r="E13" s="556">
        <f>'Расходы на ЗП ОТ'!E13</f>
        <v>0</v>
      </c>
      <c r="F13" s="556">
        <f>'Расходы на ЗП ОТ'!F13</f>
        <v>0</v>
      </c>
      <c r="G13" s="556">
        <v>0</v>
      </c>
      <c r="H13" s="556">
        <f>'Расходы на ЗП ОТ'!H13</f>
        <v>0</v>
      </c>
      <c r="I13" s="556">
        <f>'Расходы на ЗП ОТ'!I13</f>
        <v>0</v>
      </c>
      <c r="J13" s="556">
        <f>'Расходы на ЗП ОТ'!J13</f>
        <v>0</v>
      </c>
      <c r="K13" s="556">
        <f>'Расходы на ЗП ОТ'!K13</f>
        <v>0</v>
      </c>
      <c r="L13" s="556">
        <f>'Расходы на ЗП ОТ'!L13</f>
        <v>0</v>
      </c>
      <c r="M13" s="556">
        <f>'Расходы на ЗП ОТ'!M13</f>
        <v>0</v>
      </c>
      <c r="N13" s="556">
        <f>'Расходы на ЗП ОТ'!N13</f>
        <v>0</v>
      </c>
      <c r="O13" s="556">
        <f>'Расходы на ЗП ОТ'!O13</f>
        <v>0</v>
      </c>
      <c r="P13" s="556">
        <f>'Расходы на ЗП ОТ'!P13</f>
        <v>0</v>
      </c>
      <c r="Q13" s="556">
        <f>'Расходы на ЗП ОТ'!Q13</f>
        <v>0</v>
      </c>
      <c r="R13" s="556">
        <f>'Расходы на ЗП ОТ'!R13</f>
        <v>0</v>
      </c>
      <c r="S13" s="556">
        <f>'Расходы на ЗП ОТ'!S13</f>
        <v>0</v>
      </c>
      <c r="T13" s="556">
        <f>'Расходы на ЗП ОТ'!T13</f>
        <v>0</v>
      </c>
      <c r="U13" s="556">
        <f t="shared" ref="U13:AE13" si="15">T13</f>
        <v>0</v>
      </c>
      <c r="V13" s="556">
        <f t="shared" si="15"/>
        <v>0</v>
      </c>
      <c r="W13" s="556">
        <f t="shared" si="15"/>
        <v>0</v>
      </c>
      <c r="X13" s="556">
        <f t="shared" si="15"/>
        <v>0</v>
      </c>
      <c r="Y13" s="556">
        <f t="shared" si="15"/>
        <v>0</v>
      </c>
      <c r="Z13" s="556">
        <f t="shared" si="15"/>
        <v>0</v>
      </c>
      <c r="AA13" s="556">
        <f t="shared" si="15"/>
        <v>0</v>
      </c>
      <c r="AB13" s="556">
        <f t="shared" si="15"/>
        <v>0</v>
      </c>
      <c r="AC13" s="556">
        <f t="shared" si="15"/>
        <v>0</v>
      </c>
      <c r="AD13" s="556">
        <f t="shared" si="15"/>
        <v>0</v>
      </c>
      <c r="AE13" s="556">
        <f t="shared" si="15"/>
        <v>0</v>
      </c>
      <c r="AF13" s="556">
        <f>AE13</f>
        <v>0</v>
      </c>
      <c r="AG13" s="556">
        <f t="shared" ref="AG13:AQ13" si="16">AF13</f>
        <v>0</v>
      </c>
      <c r="AH13" s="556">
        <f t="shared" si="16"/>
        <v>0</v>
      </c>
      <c r="AI13" s="556">
        <f t="shared" si="16"/>
        <v>0</v>
      </c>
      <c r="AJ13" s="556">
        <f t="shared" si="16"/>
        <v>0</v>
      </c>
      <c r="AK13" s="556">
        <f t="shared" si="16"/>
        <v>0</v>
      </c>
      <c r="AL13" s="556">
        <f t="shared" si="16"/>
        <v>0</v>
      </c>
      <c r="AM13" s="556">
        <f t="shared" si="16"/>
        <v>0</v>
      </c>
      <c r="AN13" s="556">
        <f t="shared" si="16"/>
        <v>0</v>
      </c>
      <c r="AO13" s="556">
        <f t="shared" si="16"/>
        <v>0</v>
      </c>
      <c r="AP13" s="556">
        <f t="shared" si="16"/>
        <v>0</v>
      </c>
      <c r="AQ13" s="556">
        <f t="shared" si="16"/>
        <v>0</v>
      </c>
      <c r="AR13" s="556">
        <f t="shared" ref="AR13" si="17">AQ13</f>
        <v>0</v>
      </c>
      <c r="AS13" s="556">
        <f t="shared" ref="AS13" si="18">AR13</f>
        <v>0</v>
      </c>
      <c r="AT13" s="556">
        <f t="shared" ref="AT13" si="19">AS13</f>
        <v>0</v>
      </c>
      <c r="AU13" s="556">
        <f t="shared" ref="AU13" si="20">AT13</f>
        <v>0</v>
      </c>
      <c r="AV13" s="556"/>
      <c r="AW13" s="604"/>
      <c r="AX13" s="604">
        <f t="shared" si="0"/>
        <v>0</v>
      </c>
      <c r="AY13" s="604">
        <f t="shared" si="1"/>
        <v>0</v>
      </c>
      <c r="AZ13" s="604">
        <f t="shared" si="2"/>
        <v>0</v>
      </c>
      <c r="BA13" s="604">
        <f t="shared" si="3"/>
        <v>0</v>
      </c>
      <c r="BB13" s="604">
        <f t="shared" si="4"/>
        <v>0</v>
      </c>
      <c r="BC13" s="604">
        <f t="shared" si="5"/>
        <v>0</v>
      </c>
      <c r="BD13" s="604">
        <f t="shared" si="6"/>
        <v>0</v>
      </c>
      <c r="BE13" s="604">
        <f t="shared" si="7"/>
        <v>0</v>
      </c>
      <c r="BF13" s="604">
        <f t="shared" si="8"/>
        <v>0</v>
      </c>
      <c r="BG13" s="604">
        <f t="shared" si="9"/>
        <v>0</v>
      </c>
      <c r="BH13" s="604">
        <f t="shared" si="10"/>
        <v>0</v>
      </c>
    </row>
    <row r="14" spans="1:60" ht="30" x14ac:dyDescent="0.25">
      <c r="A14" s="560" t="str">
        <f>'Расходы на ЗП ОТ'!A14</f>
        <v>Разнорабочий (уборщик, дворник)</v>
      </c>
      <c r="B14" s="555">
        <f>'Расходы на ЗП ОТ'!B14</f>
        <v>4</v>
      </c>
      <c r="C14" s="555">
        <f>'Расходы на ЗП ОТ'!C14</f>
        <v>45</v>
      </c>
      <c r="D14" s="556">
        <f>'Расходы на ЗП ОТ'!D14</f>
        <v>0</v>
      </c>
      <c r="E14" s="556">
        <f>'Расходы на ЗП ОТ'!E14</f>
        <v>180</v>
      </c>
      <c r="F14" s="556">
        <f>'Расходы на ЗП ОТ'!F14</f>
        <v>540</v>
      </c>
      <c r="G14" s="556">
        <f>'Расходы на ЗП ОТ'!G14</f>
        <v>540</v>
      </c>
      <c r="H14" s="556">
        <f>'Расходы на ЗП ОТ'!H14</f>
        <v>540</v>
      </c>
      <c r="I14" s="556">
        <f>'Расходы на ЗП ОТ'!I14</f>
        <v>540</v>
      </c>
      <c r="J14" s="556">
        <f>'Расходы на ЗП ОТ'!J14</f>
        <v>540</v>
      </c>
      <c r="K14" s="556">
        <f>'Расходы на ЗП ОТ'!K14</f>
        <v>540</v>
      </c>
      <c r="L14" s="556">
        <f>'Расходы на ЗП ОТ'!L14</f>
        <v>540</v>
      </c>
      <c r="M14" s="556">
        <f>'Расходы на ЗП ОТ'!M14</f>
        <v>540</v>
      </c>
      <c r="N14" s="556">
        <f>'Расходы на ЗП ОТ'!N14</f>
        <v>540</v>
      </c>
      <c r="O14" s="556">
        <f>'Расходы на ЗП ОТ'!O14</f>
        <v>540</v>
      </c>
      <c r="P14" s="556">
        <f>'Расходы на ЗП ОТ'!P14</f>
        <v>540</v>
      </c>
      <c r="Q14" s="556">
        <f>'Расходы на ЗП ОТ'!Q14</f>
        <v>540</v>
      </c>
      <c r="R14" s="556">
        <f>'Расходы на ЗП ОТ'!R14</f>
        <v>540</v>
      </c>
      <c r="S14" s="556">
        <f>'Расходы на ЗП ОТ'!S14</f>
        <v>540</v>
      </c>
      <c r="T14" s="556">
        <f>'Расходы на ЗП ОТ'!T14</f>
        <v>572.4</v>
      </c>
      <c r="U14" s="556">
        <f>'Расходы на ЗП ОТ'!U14</f>
        <v>572.4</v>
      </c>
      <c r="V14" s="556">
        <f>'Расходы на ЗП ОТ'!V14</f>
        <v>572.4</v>
      </c>
      <c r="W14" s="556">
        <f>'Расходы на ЗП ОТ'!W14</f>
        <v>572.4</v>
      </c>
      <c r="X14" s="556">
        <f>'Расходы на ЗП ОТ'!X14</f>
        <v>606.74400000000003</v>
      </c>
      <c r="Y14" s="556">
        <f>'Расходы на ЗП ОТ'!Y14</f>
        <v>606.74400000000003</v>
      </c>
      <c r="Z14" s="556">
        <f>'Расходы на ЗП ОТ'!Z14</f>
        <v>606.74400000000003</v>
      </c>
      <c r="AA14" s="556">
        <f>'Расходы на ЗП ОТ'!AA14</f>
        <v>606.74400000000003</v>
      </c>
      <c r="AB14" s="556">
        <f>'Расходы на ЗП ОТ'!AB14</f>
        <v>643.14864000000011</v>
      </c>
      <c r="AC14" s="556">
        <f>'Расходы на ЗП ОТ'!AC14</f>
        <v>643.14864000000011</v>
      </c>
      <c r="AD14" s="556">
        <f>'Расходы на ЗП ОТ'!AD14</f>
        <v>643.14864000000011</v>
      </c>
      <c r="AE14" s="556">
        <f>'Расходы на ЗП ОТ'!AE14</f>
        <v>643.14864000000011</v>
      </c>
      <c r="AF14" s="556">
        <f>'Расходы на ЗП ОТ'!AF14</f>
        <v>681.73755840000013</v>
      </c>
      <c r="AG14" s="556">
        <f>'Расходы на ЗП ОТ'!AG14</f>
        <v>681.73755840000013</v>
      </c>
      <c r="AH14" s="556">
        <f>'Расходы на ЗП ОТ'!AH14</f>
        <v>681.73755840000013</v>
      </c>
      <c r="AI14" s="556">
        <f>'Расходы на ЗП ОТ'!AI14</f>
        <v>681.73755840000013</v>
      </c>
      <c r="AJ14" s="556">
        <f>'Расходы на ЗП ОТ'!AJ14</f>
        <v>722.64181190400018</v>
      </c>
      <c r="AK14" s="556">
        <f>'Расходы на ЗП ОТ'!AK14</f>
        <v>722.64181190400018</v>
      </c>
      <c r="AL14" s="556">
        <f>'Расходы на ЗП ОТ'!AL14</f>
        <v>722.64181190400018</v>
      </c>
      <c r="AM14" s="556">
        <f>'Расходы на ЗП ОТ'!AM14</f>
        <v>722.64181190400018</v>
      </c>
      <c r="AN14" s="556">
        <f>'Расходы на ЗП ОТ'!AN14</f>
        <v>766.00032061824027</v>
      </c>
      <c r="AO14" s="556">
        <f>'Расходы на ЗП ОТ'!AO14</f>
        <v>766.00032061824027</v>
      </c>
      <c r="AP14" s="556">
        <f>'Расходы на ЗП ОТ'!AP14</f>
        <v>766.00032061824027</v>
      </c>
      <c r="AQ14" s="556">
        <f>'Расходы на ЗП ОТ'!AQ14</f>
        <v>766.00032061824027</v>
      </c>
      <c r="AR14" s="556">
        <f>'Расходы на ЗП ОТ'!AR14</f>
        <v>811.96033985533472</v>
      </c>
      <c r="AS14" s="556">
        <f>'Расходы на ЗП ОТ'!AS14</f>
        <v>811.96033985533472</v>
      </c>
      <c r="AT14" s="556">
        <f>'Расходы на ЗП ОТ'!AT14</f>
        <v>811.96033985533472</v>
      </c>
      <c r="AU14" s="556">
        <f>'Расходы на ЗП ОТ'!AU14</f>
        <v>811.96033985533472</v>
      </c>
      <c r="AV14" s="556"/>
      <c r="AW14" s="604"/>
      <c r="AX14" s="604">
        <f t="shared" si="0"/>
        <v>1260</v>
      </c>
      <c r="AY14" s="604">
        <f t="shared" si="1"/>
        <v>2160</v>
      </c>
      <c r="AZ14" s="604">
        <f t="shared" si="2"/>
        <v>2160</v>
      </c>
      <c r="BA14" s="604">
        <f t="shared" si="3"/>
        <v>2160</v>
      </c>
      <c r="BB14" s="604">
        <f t="shared" si="4"/>
        <v>2289.6</v>
      </c>
      <c r="BC14" s="604">
        <f t="shared" si="5"/>
        <v>2426.9760000000001</v>
      </c>
      <c r="BD14" s="604">
        <f t="shared" si="6"/>
        <v>2572.5945600000005</v>
      </c>
      <c r="BE14" s="604">
        <f t="shared" si="7"/>
        <v>2726.9502336000005</v>
      </c>
      <c r="BF14" s="604">
        <f t="shared" si="8"/>
        <v>2890.5672476160007</v>
      </c>
      <c r="BG14" s="604">
        <f t="shared" si="9"/>
        <v>3064.0012824729611</v>
      </c>
      <c r="BH14" s="604">
        <f t="shared" si="10"/>
        <v>3247.8413594213389</v>
      </c>
    </row>
    <row r="15" spans="1:60" s="107" customFormat="1" ht="30" customHeight="1" x14ac:dyDescent="0.25">
      <c r="A15" s="557" t="str">
        <f>'Расходы на ЗП ОТ'!A15</f>
        <v>Итого ЗП по направлению:</v>
      </c>
      <c r="B15" s="557">
        <f>'Расходы на ЗП ОТ'!B15</f>
        <v>20</v>
      </c>
      <c r="C15" s="557">
        <f>'Расходы на ЗП ОТ'!C15</f>
        <v>0</v>
      </c>
      <c r="D15" s="557">
        <f>SUM(D9:D14)</f>
        <v>0</v>
      </c>
      <c r="E15" s="557">
        <f t="shared" ref="E15:F15" si="21">SUM(E9:E14)</f>
        <v>920</v>
      </c>
      <c r="F15" s="557">
        <f t="shared" si="21"/>
        <v>2760</v>
      </c>
      <c r="G15" s="557">
        <f t="shared" ref="G15:U15" si="22">SUM(G9:G14)</f>
        <v>2760</v>
      </c>
      <c r="H15" s="557">
        <f>SUM(H9:H14)</f>
        <v>2760</v>
      </c>
      <c r="I15" s="557">
        <f t="shared" si="22"/>
        <v>2760</v>
      </c>
      <c r="J15" s="557">
        <f t="shared" si="22"/>
        <v>2760</v>
      </c>
      <c r="K15" s="557">
        <f t="shared" si="22"/>
        <v>2760</v>
      </c>
      <c r="L15" s="557">
        <f t="shared" si="22"/>
        <v>2864.4</v>
      </c>
      <c r="M15" s="557">
        <f t="shared" si="22"/>
        <v>2864.4</v>
      </c>
      <c r="N15" s="557">
        <f t="shared" si="22"/>
        <v>2864.4</v>
      </c>
      <c r="O15" s="557">
        <f t="shared" si="22"/>
        <v>2864.4</v>
      </c>
      <c r="P15" s="557">
        <f t="shared" si="22"/>
        <v>2975.0640000000003</v>
      </c>
      <c r="Q15" s="557">
        <f t="shared" si="22"/>
        <v>2975.0640000000003</v>
      </c>
      <c r="R15" s="557">
        <f t="shared" si="22"/>
        <v>2975.0640000000003</v>
      </c>
      <c r="S15" s="557">
        <f t="shared" si="22"/>
        <v>2975.0640000000003</v>
      </c>
      <c r="T15" s="557">
        <f t="shared" si="22"/>
        <v>3153.5678400000002</v>
      </c>
      <c r="U15" s="557">
        <f t="shared" si="22"/>
        <v>3153.5678400000002</v>
      </c>
      <c r="V15" s="557">
        <f>SUM(V9:V14)</f>
        <v>3153.5678400000002</v>
      </c>
      <c r="W15" s="557">
        <f t="shared" ref="W15:AI15" si="23">SUM(W9:W14)</f>
        <v>3153.5678400000002</v>
      </c>
      <c r="X15" s="557">
        <f t="shared" si="23"/>
        <v>3342.7819104000005</v>
      </c>
      <c r="Y15" s="557">
        <f t="shared" si="23"/>
        <v>3342.7819104000005</v>
      </c>
      <c r="Z15" s="557">
        <f t="shared" si="23"/>
        <v>3342.7819104000005</v>
      </c>
      <c r="AA15" s="557">
        <f t="shared" si="23"/>
        <v>3342.7819104000005</v>
      </c>
      <c r="AB15" s="557">
        <f t="shared" si="23"/>
        <v>3543.3488250240007</v>
      </c>
      <c r="AC15" s="557">
        <f t="shared" si="23"/>
        <v>3543.3488250240007</v>
      </c>
      <c r="AD15" s="557">
        <f t="shared" si="23"/>
        <v>3543.3488250240007</v>
      </c>
      <c r="AE15" s="557">
        <f t="shared" si="23"/>
        <v>3543.3488250240007</v>
      </c>
      <c r="AF15" s="557">
        <f t="shared" si="23"/>
        <v>3755.9497545254408</v>
      </c>
      <c r="AG15" s="557">
        <f t="shared" si="23"/>
        <v>3755.9497545254408</v>
      </c>
      <c r="AH15" s="557">
        <f t="shared" si="23"/>
        <v>3755.9497545254408</v>
      </c>
      <c r="AI15" s="557">
        <f t="shared" si="23"/>
        <v>3755.9497545254408</v>
      </c>
      <c r="AJ15" s="557">
        <f t="shared" ref="AJ15:AQ15" si="24">SUM(AJ9:AJ14)</f>
        <v>3981.306739796968</v>
      </c>
      <c r="AK15" s="557">
        <f t="shared" si="24"/>
        <v>3981.306739796968</v>
      </c>
      <c r="AL15" s="557">
        <f t="shared" si="24"/>
        <v>3981.306739796968</v>
      </c>
      <c r="AM15" s="557">
        <f t="shared" si="24"/>
        <v>3981.306739796968</v>
      </c>
      <c r="AN15" s="557">
        <f t="shared" si="24"/>
        <v>4220.1851441847857</v>
      </c>
      <c r="AO15" s="557">
        <f t="shared" si="24"/>
        <v>4220.1851441847857</v>
      </c>
      <c r="AP15" s="557">
        <f t="shared" si="24"/>
        <v>4220.1851441847857</v>
      </c>
      <c r="AQ15" s="557">
        <f t="shared" si="24"/>
        <v>4220.1851441847857</v>
      </c>
      <c r="AR15" s="557">
        <f t="shared" ref="AR15:AU15" si="25">SUM(AR9:AR14)</f>
        <v>4473.3962528358734</v>
      </c>
      <c r="AS15" s="557">
        <f t="shared" si="25"/>
        <v>4473.3962528358734</v>
      </c>
      <c r="AT15" s="557">
        <f t="shared" si="25"/>
        <v>4473.3962528358734</v>
      </c>
      <c r="AU15" s="557">
        <f t="shared" si="25"/>
        <v>4473.3962528358734</v>
      </c>
      <c r="AV15" s="557"/>
      <c r="AW15" s="605"/>
      <c r="AX15" s="605">
        <f t="shared" si="0"/>
        <v>6440</v>
      </c>
      <c r="AY15" s="605">
        <f t="shared" si="1"/>
        <v>11040</v>
      </c>
      <c r="AZ15" s="605">
        <f t="shared" si="2"/>
        <v>11457.6</v>
      </c>
      <c r="BA15" s="605">
        <f t="shared" si="3"/>
        <v>11900.256000000001</v>
      </c>
      <c r="BB15" s="605">
        <f t="shared" si="4"/>
        <v>12614.271360000001</v>
      </c>
      <c r="BC15" s="605">
        <f t="shared" si="5"/>
        <v>13371.127641600002</v>
      </c>
      <c r="BD15" s="605">
        <f t="shared" si="6"/>
        <v>14173.395300096003</v>
      </c>
      <c r="BE15" s="605">
        <f t="shared" si="7"/>
        <v>15023.799018101763</v>
      </c>
      <c r="BF15" s="605">
        <f t="shared" si="8"/>
        <v>15925.226959187872</v>
      </c>
      <c r="BG15" s="605">
        <f t="shared" si="9"/>
        <v>16880.740576739143</v>
      </c>
      <c r="BH15" s="612">
        <f t="shared" si="10"/>
        <v>17893.585011343494</v>
      </c>
    </row>
    <row r="16" spans="1:60" s="108" customFormat="1" ht="30" x14ac:dyDescent="0.25">
      <c r="A16" s="558" t="str">
        <f>'Расходы на ЗП ОТ'!A16</f>
        <v>Страховые взносы ФНС</v>
      </c>
      <c r="B16" s="558">
        <f>'Расходы на ЗП ОТ'!B16</f>
        <v>0</v>
      </c>
      <c r="C16" s="558">
        <f>'Расходы на ЗП ОТ'!C16</f>
        <v>0</v>
      </c>
      <c r="D16" s="558">
        <f>D15*$B$62</f>
        <v>0</v>
      </c>
      <c r="E16" s="558">
        <f t="shared" ref="E16:AQ16" si="26">E15*$B$62</f>
        <v>276</v>
      </c>
      <c r="F16" s="558">
        <f t="shared" si="26"/>
        <v>828</v>
      </c>
      <c r="G16" s="558">
        <f t="shared" si="26"/>
        <v>828</v>
      </c>
      <c r="H16" s="558">
        <f t="shared" si="26"/>
        <v>828</v>
      </c>
      <c r="I16" s="558">
        <f t="shared" si="26"/>
        <v>828</v>
      </c>
      <c r="J16" s="558">
        <f t="shared" si="26"/>
        <v>828</v>
      </c>
      <c r="K16" s="558">
        <f t="shared" si="26"/>
        <v>828</v>
      </c>
      <c r="L16" s="558">
        <f t="shared" si="26"/>
        <v>859.32</v>
      </c>
      <c r="M16" s="558">
        <f t="shared" si="26"/>
        <v>859.32</v>
      </c>
      <c r="N16" s="558">
        <f t="shared" si="26"/>
        <v>859.32</v>
      </c>
      <c r="O16" s="558">
        <f t="shared" si="26"/>
        <v>859.32</v>
      </c>
      <c r="P16" s="558">
        <f t="shared" si="26"/>
        <v>892.51920000000007</v>
      </c>
      <c r="Q16" s="558">
        <f t="shared" si="26"/>
        <v>892.51920000000007</v>
      </c>
      <c r="R16" s="558">
        <f t="shared" si="26"/>
        <v>892.51920000000007</v>
      </c>
      <c r="S16" s="558">
        <f t="shared" si="26"/>
        <v>892.51920000000007</v>
      </c>
      <c r="T16" s="558">
        <f t="shared" si="26"/>
        <v>946.07035199999996</v>
      </c>
      <c r="U16" s="558">
        <f t="shared" si="26"/>
        <v>946.07035199999996</v>
      </c>
      <c r="V16" s="558">
        <f t="shared" si="26"/>
        <v>946.07035199999996</v>
      </c>
      <c r="W16" s="558">
        <f t="shared" si="26"/>
        <v>946.07035199999996</v>
      </c>
      <c r="X16" s="558">
        <f t="shared" si="26"/>
        <v>1002.8345731200001</v>
      </c>
      <c r="Y16" s="558">
        <f t="shared" si="26"/>
        <v>1002.8345731200001</v>
      </c>
      <c r="Z16" s="558">
        <f t="shared" si="26"/>
        <v>1002.8345731200001</v>
      </c>
      <c r="AA16" s="558">
        <f t="shared" si="26"/>
        <v>1002.8345731200001</v>
      </c>
      <c r="AB16" s="558">
        <f t="shared" si="26"/>
        <v>1063.0046475072002</v>
      </c>
      <c r="AC16" s="558">
        <f t="shared" si="26"/>
        <v>1063.0046475072002</v>
      </c>
      <c r="AD16" s="558">
        <f t="shared" si="26"/>
        <v>1063.0046475072002</v>
      </c>
      <c r="AE16" s="558">
        <f t="shared" si="26"/>
        <v>1063.0046475072002</v>
      </c>
      <c r="AF16" s="558">
        <f t="shared" si="26"/>
        <v>1126.7849263576322</v>
      </c>
      <c r="AG16" s="558">
        <f t="shared" si="26"/>
        <v>1126.7849263576322</v>
      </c>
      <c r="AH16" s="558">
        <f t="shared" si="26"/>
        <v>1126.7849263576322</v>
      </c>
      <c r="AI16" s="558">
        <f t="shared" si="26"/>
        <v>1126.7849263576322</v>
      </c>
      <c r="AJ16" s="558">
        <f t="shared" si="26"/>
        <v>1194.3920219390905</v>
      </c>
      <c r="AK16" s="558">
        <f t="shared" si="26"/>
        <v>1194.3920219390905</v>
      </c>
      <c r="AL16" s="558">
        <f t="shared" si="26"/>
        <v>1194.3920219390905</v>
      </c>
      <c r="AM16" s="558">
        <f t="shared" si="26"/>
        <v>1194.3920219390905</v>
      </c>
      <c r="AN16" s="558">
        <f t="shared" si="26"/>
        <v>1266.0555432554356</v>
      </c>
      <c r="AO16" s="558">
        <f t="shared" si="26"/>
        <v>1266.0555432554356</v>
      </c>
      <c r="AP16" s="558">
        <f t="shared" si="26"/>
        <v>1266.0555432554356</v>
      </c>
      <c r="AQ16" s="558">
        <f t="shared" si="26"/>
        <v>1266.0555432554356</v>
      </c>
      <c r="AR16" s="558">
        <f t="shared" ref="AR16:AU16" si="27">AR15*$B$62</f>
        <v>1342.018875850762</v>
      </c>
      <c r="AS16" s="558">
        <f t="shared" si="27"/>
        <v>1342.018875850762</v>
      </c>
      <c r="AT16" s="558">
        <f t="shared" si="27"/>
        <v>1342.018875850762</v>
      </c>
      <c r="AU16" s="558">
        <f t="shared" si="27"/>
        <v>1342.018875850762</v>
      </c>
      <c r="AV16" s="558"/>
      <c r="AW16" s="606"/>
      <c r="AX16" s="606">
        <f t="shared" si="0"/>
        <v>1932</v>
      </c>
      <c r="AY16" s="606">
        <f t="shared" si="1"/>
        <v>3312</v>
      </c>
      <c r="AZ16" s="606">
        <f t="shared" si="2"/>
        <v>3437.28</v>
      </c>
      <c r="BA16" s="606">
        <f t="shared" si="3"/>
        <v>3570.0768000000003</v>
      </c>
      <c r="BB16" s="606">
        <f t="shared" si="4"/>
        <v>3784.2814079999998</v>
      </c>
      <c r="BC16" s="606">
        <f t="shared" si="5"/>
        <v>4011.3382924800003</v>
      </c>
      <c r="BD16" s="606">
        <f t="shared" si="6"/>
        <v>4252.0185900288006</v>
      </c>
      <c r="BE16" s="606">
        <f t="shared" si="7"/>
        <v>4507.1397054305289</v>
      </c>
      <c r="BF16" s="606">
        <f t="shared" si="8"/>
        <v>4777.5680877563618</v>
      </c>
      <c r="BG16" s="606">
        <f t="shared" si="9"/>
        <v>5064.2221730217425</v>
      </c>
      <c r="BH16" s="613">
        <f t="shared" si="10"/>
        <v>5368.0755034030481</v>
      </c>
    </row>
    <row r="17" spans="1:60" ht="28.5" customHeight="1" x14ac:dyDescent="0.25">
      <c r="A17" s="556" t="str">
        <f>'Расходы на ЗП ОТ'!A17</f>
        <v>Подпразделение 2:</v>
      </c>
      <c r="B17" s="556"/>
      <c r="C17" s="556"/>
      <c r="D17" s="556"/>
      <c r="E17" s="556"/>
      <c r="F17" s="556"/>
      <c r="G17" s="556"/>
      <c r="H17" s="556"/>
      <c r="I17" s="556"/>
      <c r="J17" s="556"/>
      <c r="K17" s="556"/>
      <c r="L17" s="556"/>
      <c r="M17" s="556"/>
      <c r="N17" s="556"/>
      <c r="O17" s="556"/>
      <c r="P17" s="556"/>
      <c r="Q17" s="556"/>
      <c r="R17" s="556"/>
      <c r="S17" s="556"/>
      <c r="T17" s="556"/>
      <c r="U17" s="556"/>
      <c r="V17" s="556"/>
      <c r="W17" s="556"/>
      <c r="X17" s="556"/>
      <c r="Y17" s="556"/>
      <c r="Z17" s="556"/>
      <c r="AA17" s="556"/>
      <c r="AB17" s="556"/>
      <c r="AC17" s="556"/>
      <c r="AD17" s="556"/>
      <c r="AE17" s="556"/>
      <c r="AF17" s="556"/>
      <c r="AG17" s="556"/>
      <c r="AH17" s="556"/>
      <c r="AI17" s="556"/>
      <c r="AJ17" s="556"/>
      <c r="AK17" s="556"/>
      <c r="AL17" s="556"/>
      <c r="AM17" s="556"/>
      <c r="AN17" s="556"/>
      <c r="AO17" s="556"/>
      <c r="AP17" s="556"/>
      <c r="AQ17" s="556"/>
      <c r="AR17" s="556"/>
      <c r="AS17" s="556"/>
      <c r="AT17" s="556"/>
      <c r="AU17" s="556"/>
      <c r="AV17" s="556"/>
      <c r="AW17" s="604"/>
      <c r="AX17" s="604">
        <f t="shared" si="0"/>
        <v>0</v>
      </c>
      <c r="AY17" s="604">
        <f t="shared" si="1"/>
        <v>0</v>
      </c>
      <c r="AZ17" s="604">
        <f t="shared" si="2"/>
        <v>0</v>
      </c>
      <c r="BA17" s="604">
        <f t="shared" si="3"/>
        <v>0</v>
      </c>
      <c r="BB17" s="604">
        <f t="shared" si="4"/>
        <v>0</v>
      </c>
      <c r="BC17" s="604">
        <f t="shared" si="5"/>
        <v>0</v>
      </c>
      <c r="BD17" s="604">
        <f t="shared" si="6"/>
        <v>0</v>
      </c>
      <c r="BE17" s="604">
        <f t="shared" si="7"/>
        <v>0</v>
      </c>
      <c r="BF17" s="604">
        <f t="shared" si="8"/>
        <v>0</v>
      </c>
      <c r="BG17" s="604">
        <f t="shared" si="9"/>
        <v>0</v>
      </c>
      <c r="BH17" s="604">
        <f t="shared" si="10"/>
        <v>0</v>
      </c>
    </row>
    <row r="18" spans="1:60" ht="42.75" customHeight="1" x14ac:dyDescent="0.25">
      <c r="A18" s="560" t="str">
        <f>'Расходы на ЗП ОТ'!A18</f>
        <v>Сборщик дикоросов (сборка, переработка, доставка) (3 квартал)</v>
      </c>
      <c r="B18" s="556">
        <v>13</v>
      </c>
      <c r="C18" s="556">
        <f>'Расходы на ЗП ОТ'!C18</f>
        <v>70</v>
      </c>
      <c r="D18" s="556">
        <f>'Расходы на ЗП ОТ'!D18</f>
        <v>0</v>
      </c>
      <c r="E18" s="556">
        <f>'Расходы на ЗП ОТ'!E18</f>
        <v>0</v>
      </c>
      <c r="F18" s="556">
        <f>'Расходы на ЗП ОТ'!F18</f>
        <v>2730</v>
      </c>
      <c r="G18" s="556">
        <f>'Расходы на ЗП ОТ'!G18</f>
        <v>0</v>
      </c>
      <c r="H18" s="556">
        <f>'Расходы на ЗП ОТ'!H18</f>
        <v>0</v>
      </c>
      <c r="I18" s="556">
        <f>'Расходы на ЗП ОТ'!I18</f>
        <v>0</v>
      </c>
      <c r="J18" s="556">
        <f>'Расходы на ЗП ОТ'!J18</f>
        <v>2893.8</v>
      </c>
      <c r="K18" s="556">
        <f>'Расходы на ЗП ОТ'!K18</f>
        <v>0</v>
      </c>
      <c r="L18" s="556">
        <f>'Расходы на ЗП ОТ'!L18</f>
        <v>0</v>
      </c>
      <c r="M18" s="556">
        <f>'Расходы на ЗП ОТ'!M18</f>
        <v>0</v>
      </c>
      <c r="N18" s="556">
        <f>'Расходы на ЗП ОТ'!N18</f>
        <v>3067.4280000000003</v>
      </c>
      <c r="O18" s="556">
        <f>'Расходы на ЗП ОТ'!O18</f>
        <v>0</v>
      </c>
      <c r="P18" s="556">
        <f>'Расходы на ЗП ОТ'!P18</f>
        <v>0</v>
      </c>
      <c r="Q18" s="556">
        <f>'Расходы на ЗП ОТ'!Q18</f>
        <v>0</v>
      </c>
      <c r="R18" s="556">
        <f>'Расходы на ЗП ОТ'!R18</f>
        <v>3251.4736800000005</v>
      </c>
      <c r="S18" s="556">
        <f>'Расходы на ЗП ОТ'!S18</f>
        <v>0</v>
      </c>
      <c r="T18" s="556">
        <f>'Расходы на ЗП ОТ'!T18</f>
        <v>0</v>
      </c>
      <c r="U18" s="556">
        <f>'Расходы на ЗП ОТ'!U18</f>
        <v>0</v>
      </c>
      <c r="V18" s="556">
        <f>'Расходы на ЗП ОТ'!V18</f>
        <v>3446.5621008000007</v>
      </c>
      <c r="W18" s="556">
        <f>'Расходы на ЗП ОТ'!W18</f>
        <v>0</v>
      </c>
      <c r="X18" s="556">
        <f>'Расходы на ЗП ОТ'!X18</f>
        <v>0</v>
      </c>
      <c r="Y18" s="556">
        <f>'Расходы на ЗП ОТ'!Y18</f>
        <v>0</v>
      </c>
      <c r="Z18" s="556">
        <f>'Расходы на ЗП ОТ'!Z18</f>
        <v>3653.355826848001</v>
      </c>
      <c r="AA18" s="556">
        <f>'Расходы на ЗП ОТ'!AA18</f>
        <v>0</v>
      </c>
      <c r="AB18" s="556">
        <f>'Расходы на ЗП ОТ'!AB18</f>
        <v>0</v>
      </c>
      <c r="AC18" s="556">
        <f>'Расходы на ЗП ОТ'!AC18</f>
        <v>0</v>
      </c>
      <c r="AD18" s="556">
        <f>'Расходы на ЗП ОТ'!AD18</f>
        <v>3872.5571764588813</v>
      </c>
      <c r="AE18" s="556">
        <f>'Расходы на ЗП ОТ'!AE18</f>
        <v>0</v>
      </c>
      <c r="AF18" s="556">
        <f>'Расходы на ЗП ОТ'!AF18</f>
        <v>0</v>
      </c>
      <c r="AG18" s="556">
        <f>'Расходы на ЗП ОТ'!AG18</f>
        <v>0</v>
      </c>
      <c r="AH18" s="556">
        <f>'Расходы на ЗП ОТ'!AH18</f>
        <v>4104.910607046414</v>
      </c>
      <c r="AI18" s="556">
        <f>'Расходы на ЗП ОТ'!AI18</f>
        <v>0</v>
      </c>
      <c r="AJ18" s="556">
        <f>'Расходы на ЗП ОТ'!AJ18</f>
        <v>0</v>
      </c>
      <c r="AK18" s="556">
        <f>'Расходы на ЗП ОТ'!AK18</f>
        <v>0</v>
      </c>
      <c r="AL18" s="556">
        <f>'Расходы на ЗП ОТ'!AL18</f>
        <v>4351.2052434691996</v>
      </c>
      <c r="AM18" s="556">
        <f>'Расходы на ЗП ОТ'!AM18</f>
        <v>0</v>
      </c>
      <c r="AN18" s="556">
        <f>'Расходы на ЗП ОТ'!AN18</f>
        <v>0</v>
      </c>
      <c r="AO18" s="556">
        <f>'Расходы на ЗП ОТ'!AO18</f>
        <v>0</v>
      </c>
      <c r="AP18" s="556">
        <f>'Расходы на ЗП ОТ'!AP18</f>
        <v>4612.2775580773514</v>
      </c>
      <c r="AQ18" s="556">
        <f>'Расходы на ЗП ОТ'!AQ18</f>
        <v>0</v>
      </c>
      <c r="AR18" s="556">
        <f>'Расходы на ЗП ОТ'!AR18</f>
        <v>0</v>
      </c>
      <c r="AS18" s="556">
        <f>'Расходы на ЗП ОТ'!AS18</f>
        <v>0</v>
      </c>
      <c r="AT18" s="556">
        <f>'Расходы на ЗП ОТ'!AT18</f>
        <v>4889.0142115619929</v>
      </c>
      <c r="AU18" s="556">
        <f>'Расходы на ЗП ОТ'!AU18</f>
        <v>0</v>
      </c>
      <c r="AV18" s="556"/>
      <c r="AW18" s="604"/>
      <c r="AX18" s="604">
        <f t="shared" si="0"/>
        <v>2730</v>
      </c>
      <c r="AY18" s="604">
        <f t="shared" si="1"/>
        <v>2893.8</v>
      </c>
      <c r="AZ18" s="604">
        <f t="shared" si="2"/>
        <v>3067.4280000000003</v>
      </c>
      <c r="BA18" s="604">
        <f t="shared" si="3"/>
        <v>3251.4736800000005</v>
      </c>
      <c r="BB18" s="604">
        <f t="shared" si="4"/>
        <v>3446.5621008000007</v>
      </c>
      <c r="BC18" s="604">
        <f t="shared" si="5"/>
        <v>3653.355826848001</v>
      </c>
      <c r="BD18" s="604">
        <f t="shared" si="6"/>
        <v>3872.5571764588813</v>
      </c>
      <c r="BE18" s="604">
        <f t="shared" si="7"/>
        <v>4104.910607046414</v>
      </c>
      <c r="BF18" s="604">
        <f t="shared" si="8"/>
        <v>4351.2052434691996</v>
      </c>
      <c r="BG18" s="604">
        <f t="shared" si="9"/>
        <v>4612.2775580773514</v>
      </c>
      <c r="BH18" s="604">
        <f t="shared" si="10"/>
        <v>4889.0142115619929</v>
      </c>
    </row>
    <row r="19" spans="1:60" ht="23.25" customHeight="1" x14ac:dyDescent="0.25">
      <c r="A19" s="559" t="s">
        <v>119</v>
      </c>
      <c r="B19" s="556">
        <f>'Расходы на ЗП ОТ'!B19</f>
        <v>0</v>
      </c>
      <c r="C19" s="556">
        <f>'Расходы на ЗП ОТ'!C19</f>
        <v>0</v>
      </c>
      <c r="D19" s="556">
        <f>'Расходы на ЗП ОТ'!D19</f>
        <v>0</v>
      </c>
      <c r="E19" s="556">
        <f>'Расходы на ЗП ОТ'!E19</f>
        <v>0</v>
      </c>
      <c r="F19" s="556">
        <f>'Расходы на ЗП ОТ'!F19</f>
        <v>0</v>
      </c>
      <c r="G19" s="556" t="str">
        <f>'Расходы на ЗП ОТ'!G19</f>
        <v xml:space="preserve">  </v>
      </c>
      <c r="H19" s="556">
        <f>'Расходы на ЗП ОТ'!H19</f>
        <v>0</v>
      </c>
      <c r="I19" s="556">
        <f>'Расходы на ЗП ОТ'!I19</f>
        <v>0</v>
      </c>
      <c r="J19" s="556">
        <f>'Расходы на ЗП ОТ'!J19</f>
        <v>0</v>
      </c>
      <c r="K19" s="556">
        <f>'Расходы на ЗП ОТ'!K19</f>
        <v>0</v>
      </c>
      <c r="L19" s="556">
        <f>'Расходы на ЗП ОТ'!L19</f>
        <v>0</v>
      </c>
      <c r="M19" s="556">
        <f>'Расходы на ЗП ОТ'!M19</f>
        <v>0</v>
      </c>
      <c r="N19" s="556">
        <f>'Расходы на ЗП ОТ'!N19</f>
        <v>0</v>
      </c>
      <c r="O19" s="556">
        <f>'Расходы на ЗП ОТ'!O19</f>
        <v>0</v>
      </c>
      <c r="P19" s="556">
        <f>'Расходы на ЗП ОТ'!P19</f>
        <v>0</v>
      </c>
      <c r="Q19" s="556">
        <f>'Расходы на ЗП ОТ'!Q19</f>
        <v>0</v>
      </c>
      <c r="R19" s="556">
        <f>'Расходы на ЗП ОТ'!R19</f>
        <v>0</v>
      </c>
      <c r="S19" s="556">
        <f>'Расходы на ЗП ОТ'!S19</f>
        <v>0</v>
      </c>
      <c r="T19" s="556">
        <f>'Расходы на ЗП ОТ'!T19</f>
        <v>0</v>
      </c>
      <c r="U19" s="556">
        <f>'Расходы на ЗП ОТ'!U19</f>
        <v>0</v>
      </c>
      <c r="V19" s="556">
        <f>'Расходы на ЗП ОТ'!V19</f>
        <v>0</v>
      </c>
      <c r="W19" s="556">
        <f>'Расходы на ЗП ОТ'!W19</f>
        <v>0</v>
      </c>
      <c r="X19" s="556">
        <f>'Расходы на ЗП ОТ'!X19</f>
        <v>0</v>
      </c>
      <c r="Y19" s="556">
        <f>'Расходы на ЗП ОТ'!Y19</f>
        <v>0</v>
      </c>
      <c r="Z19" s="556">
        <f>'Расходы на ЗП ОТ'!Z19</f>
        <v>0</v>
      </c>
      <c r="AA19" s="556">
        <f>'Расходы на ЗП ОТ'!AA19</f>
        <v>0</v>
      </c>
      <c r="AB19" s="556">
        <f>'Расходы на ЗП ОТ'!AB19</f>
        <v>0</v>
      </c>
      <c r="AC19" s="556">
        <f>'Расходы на ЗП ОТ'!AC19</f>
        <v>0</v>
      </c>
      <c r="AD19" s="556">
        <f>'Расходы на ЗП ОТ'!AD19</f>
        <v>0</v>
      </c>
      <c r="AE19" s="556">
        <f>'Расходы на ЗП ОТ'!AE19</f>
        <v>0</v>
      </c>
      <c r="AF19" s="556">
        <f>'Расходы на ЗП ОТ'!AF19</f>
        <v>0</v>
      </c>
      <c r="AG19" s="556">
        <f>'Расходы на ЗП ОТ'!AG19</f>
        <v>0</v>
      </c>
      <c r="AH19" s="556">
        <f>'Расходы на ЗП ОТ'!AH19</f>
        <v>0</v>
      </c>
      <c r="AI19" s="556">
        <f>'Расходы на ЗП ОТ'!AI19</f>
        <v>0</v>
      </c>
      <c r="AJ19" s="556">
        <f>'Расходы на ЗП ОТ'!AJ19</f>
        <v>0</v>
      </c>
      <c r="AK19" s="556">
        <f>'Расходы на ЗП ОТ'!AK19</f>
        <v>0</v>
      </c>
      <c r="AL19" s="556">
        <f>'Расходы на ЗП ОТ'!AL19</f>
        <v>0</v>
      </c>
      <c r="AM19" s="556">
        <f>'Расходы на ЗП ОТ'!AM19</f>
        <v>0</v>
      </c>
      <c r="AN19" s="556">
        <f>'Расходы на ЗП ОТ'!AN19</f>
        <v>0</v>
      </c>
      <c r="AO19" s="556">
        <f>'Расходы на ЗП ОТ'!AO19</f>
        <v>0</v>
      </c>
      <c r="AP19" s="556">
        <f>'Расходы на ЗП ОТ'!AP19</f>
        <v>0</v>
      </c>
      <c r="AQ19" s="556">
        <f>'Расходы на ЗП ОТ'!AQ19</f>
        <v>0</v>
      </c>
      <c r="AR19" s="556">
        <f>'Расходы на ЗП ОТ'!AR19</f>
        <v>0</v>
      </c>
      <c r="AS19" s="556">
        <f>'Расходы на ЗП ОТ'!AS19</f>
        <v>0</v>
      </c>
      <c r="AT19" s="556">
        <f>'Расходы на ЗП ОТ'!AT19</f>
        <v>0</v>
      </c>
      <c r="AU19" s="556">
        <f>'Расходы на ЗП ОТ'!AU19</f>
        <v>0</v>
      </c>
      <c r="AV19" s="556"/>
      <c r="AW19" s="604"/>
      <c r="AX19" s="604">
        <f t="shared" si="0"/>
        <v>0</v>
      </c>
      <c r="AY19" s="604">
        <f t="shared" si="1"/>
        <v>0</v>
      </c>
      <c r="AZ19" s="604">
        <f t="shared" si="2"/>
        <v>0</v>
      </c>
      <c r="BA19" s="604">
        <f t="shared" si="3"/>
        <v>0</v>
      </c>
      <c r="BB19" s="604">
        <f t="shared" si="4"/>
        <v>0</v>
      </c>
      <c r="BC19" s="604">
        <f t="shared" si="5"/>
        <v>0</v>
      </c>
      <c r="BD19" s="604">
        <f t="shared" si="6"/>
        <v>0</v>
      </c>
      <c r="BE19" s="604">
        <f t="shared" si="7"/>
        <v>0</v>
      </c>
      <c r="BF19" s="604">
        <f t="shared" si="8"/>
        <v>0</v>
      </c>
      <c r="BG19" s="604">
        <f t="shared" si="9"/>
        <v>0</v>
      </c>
      <c r="BH19" s="604">
        <f t="shared" si="10"/>
        <v>0</v>
      </c>
    </row>
    <row r="20" spans="1:60" ht="19.5" customHeight="1" x14ac:dyDescent="0.25">
      <c r="A20" s="559" t="s">
        <v>121</v>
      </c>
      <c r="B20" s="556">
        <f>'Расходы на ЗП ОТ'!B20</f>
        <v>0</v>
      </c>
      <c r="C20" s="556">
        <f>'Расходы на ЗП ОТ'!C20</f>
        <v>0</v>
      </c>
      <c r="D20" s="556">
        <f>'Расходы на ЗП ОТ'!D20</f>
        <v>0</v>
      </c>
      <c r="E20" s="556">
        <f>'Расходы на ЗП ОТ'!E20</f>
        <v>0</v>
      </c>
      <c r="F20" s="556">
        <f>'Расходы на ЗП ОТ'!F20</f>
        <v>0</v>
      </c>
      <c r="G20" s="556">
        <f>'Расходы на ЗП ОТ'!G20</f>
        <v>0</v>
      </c>
      <c r="H20" s="556">
        <f>'Расходы на ЗП ОТ'!H20</f>
        <v>0</v>
      </c>
      <c r="I20" s="556">
        <f>'Расходы на ЗП ОТ'!I20</f>
        <v>0</v>
      </c>
      <c r="J20" s="556">
        <f>'Расходы на ЗП ОТ'!J20</f>
        <v>0</v>
      </c>
      <c r="K20" s="556">
        <f>'Расходы на ЗП ОТ'!K20</f>
        <v>0</v>
      </c>
      <c r="L20" s="556">
        <f>'Расходы на ЗП ОТ'!L20</f>
        <v>0</v>
      </c>
      <c r="M20" s="556">
        <f>'Расходы на ЗП ОТ'!M20</f>
        <v>0</v>
      </c>
      <c r="N20" s="556">
        <f>'Расходы на ЗП ОТ'!N20</f>
        <v>0</v>
      </c>
      <c r="O20" s="556">
        <f>'Расходы на ЗП ОТ'!O20</f>
        <v>0</v>
      </c>
      <c r="P20" s="556">
        <f>'Расходы на ЗП ОТ'!P20</f>
        <v>0</v>
      </c>
      <c r="Q20" s="556">
        <f>'Расходы на ЗП ОТ'!Q20</f>
        <v>0</v>
      </c>
      <c r="R20" s="556">
        <f>'Расходы на ЗП ОТ'!R20</f>
        <v>0</v>
      </c>
      <c r="S20" s="556">
        <f>'Расходы на ЗП ОТ'!S20</f>
        <v>0</v>
      </c>
      <c r="T20" s="556">
        <f>'Расходы на ЗП ОТ'!T20</f>
        <v>0</v>
      </c>
      <c r="U20" s="556">
        <f>'Расходы на ЗП ОТ'!U20</f>
        <v>0</v>
      </c>
      <c r="V20" s="556">
        <f>'Расходы на ЗП ОТ'!V20</f>
        <v>0</v>
      </c>
      <c r="W20" s="556">
        <f>'Расходы на ЗП ОТ'!W20</f>
        <v>0</v>
      </c>
      <c r="X20" s="556">
        <f>'Расходы на ЗП ОТ'!X20</f>
        <v>0</v>
      </c>
      <c r="Y20" s="556">
        <f>'Расходы на ЗП ОТ'!Y20</f>
        <v>0</v>
      </c>
      <c r="Z20" s="556">
        <f>'Расходы на ЗП ОТ'!Z20</f>
        <v>0</v>
      </c>
      <c r="AA20" s="556">
        <f>'Расходы на ЗП ОТ'!AA20</f>
        <v>0</v>
      </c>
      <c r="AB20" s="556">
        <f>'Расходы на ЗП ОТ'!AB20</f>
        <v>0</v>
      </c>
      <c r="AC20" s="556">
        <f>'Расходы на ЗП ОТ'!AC20</f>
        <v>0</v>
      </c>
      <c r="AD20" s="556">
        <f>'Расходы на ЗП ОТ'!AD20</f>
        <v>0</v>
      </c>
      <c r="AE20" s="556">
        <f>'Расходы на ЗП ОТ'!AE20</f>
        <v>0</v>
      </c>
      <c r="AF20" s="556">
        <f>'Расходы на ЗП ОТ'!AF20</f>
        <v>0</v>
      </c>
      <c r="AG20" s="556">
        <f>'Расходы на ЗП ОТ'!AG20</f>
        <v>0</v>
      </c>
      <c r="AH20" s="556">
        <f>'Расходы на ЗП ОТ'!AH20</f>
        <v>0</v>
      </c>
      <c r="AI20" s="556">
        <f>'Расходы на ЗП ОТ'!AI20</f>
        <v>0</v>
      </c>
      <c r="AJ20" s="556">
        <f>'Расходы на ЗП ОТ'!AJ20</f>
        <v>0</v>
      </c>
      <c r="AK20" s="556">
        <f>'Расходы на ЗП ОТ'!AK20</f>
        <v>0</v>
      </c>
      <c r="AL20" s="556">
        <f>'Расходы на ЗП ОТ'!AL20</f>
        <v>0</v>
      </c>
      <c r="AM20" s="556">
        <f>'Расходы на ЗП ОТ'!AM20</f>
        <v>0</v>
      </c>
      <c r="AN20" s="556">
        <f>'Расходы на ЗП ОТ'!AN20</f>
        <v>0</v>
      </c>
      <c r="AO20" s="556">
        <f>'Расходы на ЗП ОТ'!AO20</f>
        <v>0</v>
      </c>
      <c r="AP20" s="556">
        <f>'Расходы на ЗП ОТ'!AP20</f>
        <v>0</v>
      </c>
      <c r="AQ20" s="556">
        <f>'Расходы на ЗП ОТ'!AQ20</f>
        <v>0</v>
      </c>
      <c r="AR20" s="556">
        <f>'Расходы на ЗП ОТ'!AR20</f>
        <v>0</v>
      </c>
      <c r="AS20" s="556">
        <f>'Расходы на ЗП ОТ'!AS20</f>
        <v>0</v>
      </c>
      <c r="AT20" s="556">
        <f>'Расходы на ЗП ОТ'!AT20</f>
        <v>0</v>
      </c>
      <c r="AU20" s="556">
        <f>'Расходы на ЗП ОТ'!AU20</f>
        <v>0</v>
      </c>
      <c r="AV20" s="556"/>
      <c r="AW20" s="604"/>
      <c r="AX20" s="604">
        <f t="shared" si="0"/>
        <v>0</v>
      </c>
      <c r="AY20" s="604">
        <f t="shared" si="1"/>
        <v>0</v>
      </c>
      <c r="AZ20" s="604">
        <f t="shared" si="2"/>
        <v>0</v>
      </c>
      <c r="BA20" s="604">
        <f t="shared" si="3"/>
        <v>0</v>
      </c>
      <c r="BB20" s="604">
        <f t="shared" si="4"/>
        <v>0</v>
      </c>
      <c r="BC20" s="604">
        <f t="shared" si="5"/>
        <v>0</v>
      </c>
      <c r="BD20" s="604">
        <f t="shared" si="6"/>
        <v>0</v>
      </c>
      <c r="BE20" s="604">
        <f t="shared" si="7"/>
        <v>0</v>
      </c>
      <c r="BF20" s="604">
        <f t="shared" si="8"/>
        <v>0</v>
      </c>
      <c r="BG20" s="604">
        <f t="shared" si="9"/>
        <v>0</v>
      </c>
      <c r="BH20" s="604">
        <f t="shared" si="10"/>
        <v>0</v>
      </c>
    </row>
    <row r="21" spans="1:60" ht="19.5" customHeight="1" x14ac:dyDescent="0.25">
      <c r="A21" s="559" t="s">
        <v>122</v>
      </c>
      <c r="B21" s="556">
        <f>'Расходы на ЗП ОТ'!B21</f>
        <v>0</v>
      </c>
      <c r="C21" s="556">
        <f>'Расходы на ЗП ОТ'!C21</f>
        <v>0</v>
      </c>
      <c r="D21" s="556">
        <f>'Расходы на ЗП ОТ'!D21</f>
        <v>0</v>
      </c>
      <c r="E21" s="556">
        <f>'Расходы на ЗП ОТ'!E21</f>
        <v>0</v>
      </c>
      <c r="F21" s="556">
        <f>'Расходы на ЗП ОТ'!F21</f>
        <v>0</v>
      </c>
      <c r="G21" s="556">
        <f>'Расходы на ЗП ОТ'!G21</f>
        <v>0</v>
      </c>
      <c r="H21" s="556">
        <f>'Расходы на ЗП ОТ'!H21</f>
        <v>0</v>
      </c>
      <c r="I21" s="556">
        <f>'Расходы на ЗП ОТ'!I21</f>
        <v>0</v>
      </c>
      <c r="J21" s="556">
        <f>'Расходы на ЗП ОТ'!J21</f>
        <v>0</v>
      </c>
      <c r="K21" s="556">
        <f>'Расходы на ЗП ОТ'!K21</f>
        <v>0</v>
      </c>
      <c r="L21" s="556">
        <f>'Расходы на ЗП ОТ'!L21</f>
        <v>0</v>
      </c>
      <c r="M21" s="556">
        <f>'Расходы на ЗП ОТ'!M21</f>
        <v>0</v>
      </c>
      <c r="N21" s="556">
        <f>'Расходы на ЗП ОТ'!N21</f>
        <v>0</v>
      </c>
      <c r="O21" s="556">
        <f>'Расходы на ЗП ОТ'!O21</f>
        <v>0</v>
      </c>
      <c r="P21" s="556">
        <f>'Расходы на ЗП ОТ'!P21</f>
        <v>0</v>
      </c>
      <c r="Q21" s="556">
        <f>'Расходы на ЗП ОТ'!Q21</f>
        <v>0</v>
      </c>
      <c r="R21" s="556">
        <f>'Расходы на ЗП ОТ'!R21</f>
        <v>0</v>
      </c>
      <c r="S21" s="556">
        <f>'Расходы на ЗП ОТ'!S21</f>
        <v>0</v>
      </c>
      <c r="T21" s="556">
        <f>'Расходы на ЗП ОТ'!T21</f>
        <v>0</v>
      </c>
      <c r="U21" s="556">
        <f>'Расходы на ЗП ОТ'!U21</f>
        <v>0</v>
      </c>
      <c r="V21" s="556">
        <f>'Расходы на ЗП ОТ'!V21</f>
        <v>0</v>
      </c>
      <c r="W21" s="556">
        <f>'Расходы на ЗП ОТ'!W21</f>
        <v>0</v>
      </c>
      <c r="X21" s="556">
        <f>'Расходы на ЗП ОТ'!X21</f>
        <v>0</v>
      </c>
      <c r="Y21" s="556">
        <f>'Расходы на ЗП ОТ'!Y21</f>
        <v>0</v>
      </c>
      <c r="Z21" s="556">
        <f>'Расходы на ЗП ОТ'!Z21</f>
        <v>0</v>
      </c>
      <c r="AA21" s="556">
        <f>'Расходы на ЗП ОТ'!AA21</f>
        <v>0</v>
      </c>
      <c r="AB21" s="556">
        <f>'Расходы на ЗП ОТ'!AB21</f>
        <v>0</v>
      </c>
      <c r="AC21" s="556">
        <f>'Расходы на ЗП ОТ'!AC21</f>
        <v>0</v>
      </c>
      <c r="AD21" s="556">
        <f>'Расходы на ЗП ОТ'!AD21</f>
        <v>0</v>
      </c>
      <c r="AE21" s="556">
        <f>'Расходы на ЗП ОТ'!AE21</f>
        <v>0</v>
      </c>
      <c r="AF21" s="556">
        <f>'Расходы на ЗП ОТ'!AF21</f>
        <v>0</v>
      </c>
      <c r="AG21" s="556">
        <f>'Расходы на ЗП ОТ'!AG21</f>
        <v>0</v>
      </c>
      <c r="AH21" s="556">
        <f>'Расходы на ЗП ОТ'!AH21</f>
        <v>0</v>
      </c>
      <c r="AI21" s="556">
        <f>'Расходы на ЗП ОТ'!AI21</f>
        <v>0</v>
      </c>
      <c r="AJ21" s="556">
        <f>'Расходы на ЗП ОТ'!AJ21</f>
        <v>0</v>
      </c>
      <c r="AK21" s="556">
        <f>'Расходы на ЗП ОТ'!AK21</f>
        <v>0</v>
      </c>
      <c r="AL21" s="556">
        <f>'Расходы на ЗП ОТ'!AL21</f>
        <v>0</v>
      </c>
      <c r="AM21" s="556">
        <f>'Расходы на ЗП ОТ'!AM21</f>
        <v>0</v>
      </c>
      <c r="AN21" s="556">
        <f>'Расходы на ЗП ОТ'!AN21</f>
        <v>0</v>
      </c>
      <c r="AO21" s="556">
        <f>'Расходы на ЗП ОТ'!AO21</f>
        <v>0</v>
      </c>
      <c r="AP21" s="556">
        <f>'Расходы на ЗП ОТ'!AP21</f>
        <v>0</v>
      </c>
      <c r="AQ21" s="556">
        <f>'Расходы на ЗП ОТ'!AQ21</f>
        <v>0</v>
      </c>
      <c r="AR21" s="556">
        <f>'Расходы на ЗП ОТ'!AR21</f>
        <v>0</v>
      </c>
      <c r="AS21" s="556">
        <f>'Расходы на ЗП ОТ'!AS21</f>
        <v>0</v>
      </c>
      <c r="AT21" s="556">
        <f>'Расходы на ЗП ОТ'!AT21</f>
        <v>0</v>
      </c>
      <c r="AU21" s="556">
        <f>'Расходы на ЗП ОТ'!AU21</f>
        <v>0</v>
      </c>
      <c r="AV21" s="556"/>
      <c r="AW21" s="604"/>
      <c r="AX21" s="604">
        <f t="shared" si="0"/>
        <v>0</v>
      </c>
      <c r="AY21" s="604">
        <f t="shared" si="1"/>
        <v>0</v>
      </c>
      <c r="AZ21" s="604">
        <f t="shared" si="2"/>
        <v>0</v>
      </c>
      <c r="BA21" s="604">
        <f t="shared" si="3"/>
        <v>0</v>
      </c>
      <c r="BB21" s="604">
        <f t="shared" si="4"/>
        <v>0</v>
      </c>
      <c r="BC21" s="604">
        <f t="shared" si="5"/>
        <v>0</v>
      </c>
      <c r="BD21" s="604">
        <f t="shared" si="6"/>
        <v>0</v>
      </c>
      <c r="BE21" s="604">
        <f t="shared" si="7"/>
        <v>0</v>
      </c>
      <c r="BF21" s="604">
        <f t="shared" si="8"/>
        <v>0</v>
      </c>
      <c r="BG21" s="604">
        <f t="shared" si="9"/>
        <v>0</v>
      </c>
      <c r="BH21" s="604">
        <f t="shared" si="10"/>
        <v>0</v>
      </c>
    </row>
    <row r="22" spans="1:60" ht="15.75" customHeight="1" x14ac:dyDescent="0.25">
      <c r="A22" s="559" t="s">
        <v>123</v>
      </c>
      <c r="B22" s="556">
        <f>'Расходы на ЗП ОТ'!B22</f>
        <v>0</v>
      </c>
      <c r="C22" s="556">
        <f>'Расходы на ЗП ОТ'!C22</f>
        <v>0</v>
      </c>
      <c r="D22" s="556">
        <f>'Расходы на ЗП ОТ'!D22</f>
        <v>0</v>
      </c>
      <c r="E22" s="556">
        <f>'Расходы на ЗП ОТ'!E22</f>
        <v>0</v>
      </c>
      <c r="F22" s="556">
        <f>'Расходы на ЗП ОТ'!F22</f>
        <v>0</v>
      </c>
      <c r="G22" s="556">
        <f>'Расходы на ЗП ОТ'!G22</f>
        <v>0</v>
      </c>
      <c r="H22" s="556">
        <f>'Расходы на ЗП ОТ'!H22</f>
        <v>0</v>
      </c>
      <c r="I22" s="556">
        <f>'Расходы на ЗП ОТ'!I22</f>
        <v>0</v>
      </c>
      <c r="J22" s="556">
        <f>'Расходы на ЗП ОТ'!J22</f>
        <v>0</v>
      </c>
      <c r="K22" s="556">
        <f>'Расходы на ЗП ОТ'!K22</f>
        <v>0</v>
      </c>
      <c r="L22" s="556">
        <f>'Расходы на ЗП ОТ'!L22</f>
        <v>0</v>
      </c>
      <c r="M22" s="556">
        <f>'Расходы на ЗП ОТ'!M22</f>
        <v>0</v>
      </c>
      <c r="N22" s="556">
        <f>'Расходы на ЗП ОТ'!N22</f>
        <v>0</v>
      </c>
      <c r="O22" s="556">
        <f>'Расходы на ЗП ОТ'!O22</f>
        <v>0</v>
      </c>
      <c r="P22" s="556">
        <f>'Расходы на ЗП ОТ'!P22</f>
        <v>0</v>
      </c>
      <c r="Q22" s="556">
        <f>'Расходы на ЗП ОТ'!Q22</f>
        <v>0</v>
      </c>
      <c r="R22" s="556">
        <f>'Расходы на ЗП ОТ'!R22</f>
        <v>0</v>
      </c>
      <c r="S22" s="556">
        <f>'Расходы на ЗП ОТ'!S22</f>
        <v>0</v>
      </c>
      <c r="T22" s="556">
        <f>'Расходы на ЗП ОТ'!T22</f>
        <v>0</v>
      </c>
      <c r="U22" s="556">
        <f>'Расходы на ЗП ОТ'!U22</f>
        <v>0</v>
      </c>
      <c r="V22" s="556">
        <f>'Расходы на ЗП ОТ'!V22</f>
        <v>0</v>
      </c>
      <c r="W22" s="556">
        <f>'Расходы на ЗП ОТ'!W22</f>
        <v>0</v>
      </c>
      <c r="X22" s="556">
        <f>'Расходы на ЗП ОТ'!X22</f>
        <v>0</v>
      </c>
      <c r="Y22" s="556">
        <f>'Расходы на ЗП ОТ'!Y22</f>
        <v>0</v>
      </c>
      <c r="Z22" s="556">
        <f>'Расходы на ЗП ОТ'!Z22</f>
        <v>0</v>
      </c>
      <c r="AA22" s="556">
        <f>'Расходы на ЗП ОТ'!AA22</f>
        <v>0</v>
      </c>
      <c r="AB22" s="556">
        <f>'Расходы на ЗП ОТ'!AB22</f>
        <v>0</v>
      </c>
      <c r="AC22" s="556">
        <f>'Расходы на ЗП ОТ'!AC22</f>
        <v>0</v>
      </c>
      <c r="AD22" s="556">
        <f>'Расходы на ЗП ОТ'!AD22</f>
        <v>0</v>
      </c>
      <c r="AE22" s="556">
        <f>'Расходы на ЗП ОТ'!AE22</f>
        <v>0</v>
      </c>
      <c r="AF22" s="556">
        <f>'Расходы на ЗП ОТ'!AF22</f>
        <v>0</v>
      </c>
      <c r="AG22" s="556">
        <f>'Расходы на ЗП ОТ'!AG22</f>
        <v>0</v>
      </c>
      <c r="AH22" s="556">
        <f>'Расходы на ЗП ОТ'!AH22</f>
        <v>0</v>
      </c>
      <c r="AI22" s="556">
        <f>'Расходы на ЗП ОТ'!AI22</f>
        <v>0</v>
      </c>
      <c r="AJ22" s="556">
        <f>'Расходы на ЗП ОТ'!AJ22</f>
        <v>0</v>
      </c>
      <c r="AK22" s="556">
        <f>'Расходы на ЗП ОТ'!AK22</f>
        <v>0</v>
      </c>
      <c r="AL22" s="556">
        <f>'Расходы на ЗП ОТ'!AL22</f>
        <v>0</v>
      </c>
      <c r="AM22" s="556">
        <f>'Расходы на ЗП ОТ'!AM22</f>
        <v>0</v>
      </c>
      <c r="AN22" s="556">
        <f>'Расходы на ЗП ОТ'!AN22</f>
        <v>0</v>
      </c>
      <c r="AO22" s="556">
        <f>'Расходы на ЗП ОТ'!AO22</f>
        <v>0</v>
      </c>
      <c r="AP22" s="556">
        <f>'Расходы на ЗП ОТ'!AP22</f>
        <v>0</v>
      </c>
      <c r="AQ22" s="556">
        <f>'Расходы на ЗП ОТ'!AQ22</f>
        <v>0</v>
      </c>
      <c r="AR22" s="556">
        <f>'Расходы на ЗП ОТ'!AR22</f>
        <v>0</v>
      </c>
      <c r="AS22" s="556">
        <f>'Расходы на ЗП ОТ'!AS22</f>
        <v>0</v>
      </c>
      <c r="AT22" s="556">
        <f>'Расходы на ЗП ОТ'!AT22</f>
        <v>0</v>
      </c>
      <c r="AU22" s="556">
        <f>'Расходы на ЗП ОТ'!AU22</f>
        <v>0</v>
      </c>
      <c r="AV22" s="556"/>
      <c r="AW22" s="604"/>
      <c r="AX22" s="604">
        <f t="shared" si="0"/>
        <v>0</v>
      </c>
      <c r="AY22" s="604">
        <f t="shared" si="1"/>
        <v>0</v>
      </c>
      <c r="AZ22" s="604">
        <f t="shared" si="2"/>
        <v>0</v>
      </c>
      <c r="BA22" s="604">
        <f t="shared" si="3"/>
        <v>0</v>
      </c>
      <c r="BB22" s="604">
        <f t="shared" si="4"/>
        <v>0</v>
      </c>
      <c r="BC22" s="604">
        <f t="shared" si="5"/>
        <v>0</v>
      </c>
      <c r="BD22" s="604">
        <f t="shared" si="6"/>
        <v>0</v>
      </c>
      <c r="BE22" s="604">
        <f t="shared" si="7"/>
        <v>0</v>
      </c>
      <c r="BF22" s="604">
        <f t="shared" si="8"/>
        <v>0</v>
      </c>
      <c r="BG22" s="604">
        <f t="shared" si="9"/>
        <v>0</v>
      </c>
      <c r="BH22" s="604">
        <f t="shared" si="10"/>
        <v>0</v>
      </c>
    </row>
    <row r="23" spans="1:60" s="107" customFormat="1" ht="30" customHeight="1" x14ac:dyDescent="0.25">
      <c r="A23" s="557" t="s">
        <v>114</v>
      </c>
      <c r="B23" s="557">
        <f>'Расходы на ЗП ОТ'!B23</f>
        <v>13</v>
      </c>
      <c r="C23" s="557">
        <f>'Расходы на ЗП ОТ'!C23</f>
        <v>0</v>
      </c>
      <c r="D23" s="557">
        <f>SUM(D18:D22)</f>
        <v>0</v>
      </c>
      <c r="E23" s="557">
        <f t="shared" ref="E23:F23" si="28">SUM(E18:E22)</f>
        <v>0</v>
      </c>
      <c r="F23" s="557">
        <f t="shared" si="28"/>
        <v>2730</v>
      </c>
      <c r="G23" s="557">
        <f t="shared" ref="G23:AQ23" si="29">SUM(G18:G22)</f>
        <v>0</v>
      </c>
      <c r="H23" s="557">
        <f t="shared" si="29"/>
        <v>0</v>
      </c>
      <c r="I23" s="557">
        <f t="shared" si="29"/>
        <v>0</v>
      </c>
      <c r="J23" s="557">
        <f t="shared" si="29"/>
        <v>2893.8</v>
      </c>
      <c r="K23" s="557">
        <f t="shared" si="29"/>
        <v>0</v>
      </c>
      <c r="L23" s="557">
        <f t="shared" si="29"/>
        <v>0</v>
      </c>
      <c r="M23" s="557">
        <f t="shared" si="29"/>
        <v>0</v>
      </c>
      <c r="N23" s="557">
        <f t="shared" si="29"/>
        <v>3067.4280000000003</v>
      </c>
      <c r="O23" s="557">
        <f t="shared" si="29"/>
        <v>0</v>
      </c>
      <c r="P23" s="557">
        <f t="shared" si="29"/>
        <v>0</v>
      </c>
      <c r="Q23" s="557">
        <f t="shared" si="29"/>
        <v>0</v>
      </c>
      <c r="R23" s="557">
        <f t="shared" si="29"/>
        <v>3251.4736800000005</v>
      </c>
      <c r="S23" s="557">
        <f t="shared" si="29"/>
        <v>0</v>
      </c>
      <c r="T23" s="557">
        <f t="shared" si="29"/>
        <v>0</v>
      </c>
      <c r="U23" s="557">
        <f t="shared" si="29"/>
        <v>0</v>
      </c>
      <c r="V23" s="557">
        <f t="shared" si="29"/>
        <v>3446.5621008000007</v>
      </c>
      <c r="W23" s="557">
        <f t="shared" si="29"/>
        <v>0</v>
      </c>
      <c r="X23" s="557">
        <f t="shared" si="29"/>
        <v>0</v>
      </c>
      <c r="Y23" s="557">
        <f t="shared" si="29"/>
        <v>0</v>
      </c>
      <c r="Z23" s="557">
        <f t="shared" si="29"/>
        <v>3653.355826848001</v>
      </c>
      <c r="AA23" s="557">
        <f t="shared" si="29"/>
        <v>0</v>
      </c>
      <c r="AB23" s="557">
        <f t="shared" si="29"/>
        <v>0</v>
      </c>
      <c r="AC23" s="557">
        <f t="shared" si="29"/>
        <v>0</v>
      </c>
      <c r="AD23" s="557">
        <f t="shared" si="29"/>
        <v>3872.5571764588813</v>
      </c>
      <c r="AE23" s="557">
        <f t="shared" si="29"/>
        <v>0</v>
      </c>
      <c r="AF23" s="557">
        <f t="shared" si="29"/>
        <v>0</v>
      </c>
      <c r="AG23" s="557">
        <f t="shared" si="29"/>
        <v>0</v>
      </c>
      <c r="AH23" s="557">
        <f t="shared" si="29"/>
        <v>4104.910607046414</v>
      </c>
      <c r="AI23" s="557">
        <f t="shared" si="29"/>
        <v>0</v>
      </c>
      <c r="AJ23" s="557">
        <f t="shared" si="29"/>
        <v>0</v>
      </c>
      <c r="AK23" s="557">
        <f t="shared" si="29"/>
        <v>0</v>
      </c>
      <c r="AL23" s="557">
        <f t="shared" si="29"/>
        <v>4351.2052434691996</v>
      </c>
      <c r="AM23" s="557">
        <f t="shared" si="29"/>
        <v>0</v>
      </c>
      <c r="AN23" s="557">
        <f t="shared" si="29"/>
        <v>0</v>
      </c>
      <c r="AO23" s="557">
        <f t="shared" si="29"/>
        <v>0</v>
      </c>
      <c r="AP23" s="557">
        <f t="shared" si="29"/>
        <v>4612.2775580773514</v>
      </c>
      <c r="AQ23" s="557">
        <f t="shared" si="29"/>
        <v>0</v>
      </c>
      <c r="AR23" s="557">
        <f t="shared" ref="AR23:AU23" si="30">SUM(AR18:AR22)</f>
        <v>0</v>
      </c>
      <c r="AS23" s="557">
        <f t="shared" si="30"/>
        <v>0</v>
      </c>
      <c r="AT23" s="557">
        <f t="shared" si="30"/>
        <v>4889.0142115619929</v>
      </c>
      <c r="AU23" s="557">
        <f t="shared" si="30"/>
        <v>0</v>
      </c>
      <c r="AV23" s="557"/>
      <c r="AW23" s="605"/>
      <c r="AX23" s="605">
        <f t="shared" si="0"/>
        <v>2730</v>
      </c>
      <c r="AY23" s="605">
        <f t="shared" si="1"/>
        <v>2893.8</v>
      </c>
      <c r="AZ23" s="605">
        <f t="shared" si="2"/>
        <v>3067.4280000000003</v>
      </c>
      <c r="BA23" s="605">
        <f t="shared" si="3"/>
        <v>3251.4736800000005</v>
      </c>
      <c r="BB23" s="605">
        <f t="shared" si="4"/>
        <v>3446.5621008000007</v>
      </c>
      <c r="BC23" s="605">
        <f t="shared" si="5"/>
        <v>3653.355826848001</v>
      </c>
      <c r="BD23" s="605">
        <f t="shared" si="6"/>
        <v>3872.5571764588813</v>
      </c>
      <c r="BE23" s="605">
        <f t="shared" si="7"/>
        <v>4104.910607046414</v>
      </c>
      <c r="BF23" s="605">
        <f t="shared" si="8"/>
        <v>4351.2052434691996</v>
      </c>
      <c r="BG23" s="605">
        <f t="shared" si="9"/>
        <v>4612.2775580773514</v>
      </c>
      <c r="BH23" s="612">
        <f t="shared" si="10"/>
        <v>4889.0142115619929</v>
      </c>
    </row>
    <row r="24" spans="1:60" s="108" customFormat="1" ht="30" x14ac:dyDescent="0.25">
      <c r="A24" s="558" t="s">
        <v>115</v>
      </c>
      <c r="B24" s="558">
        <f>'Расходы на ЗП ОТ'!B24</f>
        <v>0</v>
      </c>
      <c r="C24" s="558">
        <f>'Расходы на ЗП ОТ'!C24</f>
        <v>0</v>
      </c>
      <c r="D24" s="558">
        <f>D23*$B$62</f>
        <v>0</v>
      </c>
      <c r="E24" s="558">
        <f t="shared" ref="E24:AQ24" si="31">E23*$B$62</f>
        <v>0</v>
      </c>
      <c r="F24" s="558">
        <f t="shared" si="31"/>
        <v>819</v>
      </c>
      <c r="G24" s="558">
        <f t="shared" si="31"/>
        <v>0</v>
      </c>
      <c r="H24" s="558">
        <f t="shared" si="31"/>
        <v>0</v>
      </c>
      <c r="I24" s="558">
        <f t="shared" si="31"/>
        <v>0</v>
      </c>
      <c r="J24" s="558">
        <f t="shared" si="31"/>
        <v>868.14</v>
      </c>
      <c r="K24" s="558">
        <f t="shared" si="31"/>
        <v>0</v>
      </c>
      <c r="L24" s="558">
        <f t="shared" si="31"/>
        <v>0</v>
      </c>
      <c r="M24" s="558">
        <f t="shared" si="31"/>
        <v>0</v>
      </c>
      <c r="N24" s="558">
        <f t="shared" si="31"/>
        <v>920.22840000000008</v>
      </c>
      <c r="O24" s="558">
        <f t="shared" si="31"/>
        <v>0</v>
      </c>
      <c r="P24" s="558">
        <f t="shared" si="31"/>
        <v>0</v>
      </c>
      <c r="Q24" s="558">
        <f t="shared" si="31"/>
        <v>0</v>
      </c>
      <c r="R24" s="558">
        <f t="shared" si="31"/>
        <v>975.44210400000009</v>
      </c>
      <c r="S24" s="558">
        <f t="shared" si="31"/>
        <v>0</v>
      </c>
      <c r="T24" s="558">
        <f t="shared" si="31"/>
        <v>0</v>
      </c>
      <c r="U24" s="558">
        <f t="shared" si="31"/>
        <v>0</v>
      </c>
      <c r="V24" s="558">
        <f>V23*$B$62</f>
        <v>1033.9686302400003</v>
      </c>
      <c r="W24" s="558">
        <f t="shared" si="31"/>
        <v>0</v>
      </c>
      <c r="X24" s="558">
        <f t="shared" si="31"/>
        <v>0</v>
      </c>
      <c r="Y24" s="558">
        <f t="shared" si="31"/>
        <v>0</v>
      </c>
      <c r="Z24" s="558">
        <f t="shared" si="31"/>
        <v>1096.0067480544003</v>
      </c>
      <c r="AA24" s="558">
        <f t="shared" si="31"/>
        <v>0</v>
      </c>
      <c r="AB24" s="558">
        <f t="shared" si="31"/>
        <v>0</v>
      </c>
      <c r="AC24" s="558">
        <f t="shared" si="31"/>
        <v>0</v>
      </c>
      <c r="AD24" s="558">
        <f t="shared" si="31"/>
        <v>1161.7671529376644</v>
      </c>
      <c r="AE24" s="558">
        <f t="shared" si="31"/>
        <v>0</v>
      </c>
      <c r="AF24" s="558">
        <f t="shared" si="31"/>
        <v>0</v>
      </c>
      <c r="AG24" s="558">
        <f t="shared" si="31"/>
        <v>0</v>
      </c>
      <c r="AH24" s="558">
        <f t="shared" si="31"/>
        <v>1231.4731821139242</v>
      </c>
      <c r="AI24" s="558">
        <f t="shared" si="31"/>
        <v>0</v>
      </c>
      <c r="AJ24" s="558">
        <f t="shared" si="31"/>
        <v>0</v>
      </c>
      <c r="AK24" s="558">
        <f t="shared" si="31"/>
        <v>0</v>
      </c>
      <c r="AL24" s="558">
        <f t="shared" si="31"/>
        <v>1305.3615730407598</v>
      </c>
      <c r="AM24" s="558">
        <f t="shared" si="31"/>
        <v>0</v>
      </c>
      <c r="AN24" s="558">
        <f t="shared" si="31"/>
        <v>0</v>
      </c>
      <c r="AO24" s="558">
        <f t="shared" si="31"/>
        <v>0</v>
      </c>
      <c r="AP24" s="558">
        <f t="shared" si="31"/>
        <v>1383.6832674232053</v>
      </c>
      <c r="AQ24" s="558">
        <f t="shared" si="31"/>
        <v>0</v>
      </c>
      <c r="AR24" s="558">
        <f t="shared" ref="AR24:AU24" si="32">AR23*$B$62</f>
        <v>0</v>
      </c>
      <c r="AS24" s="558">
        <f t="shared" si="32"/>
        <v>0</v>
      </c>
      <c r="AT24" s="558">
        <f t="shared" si="32"/>
        <v>1466.7042634685979</v>
      </c>
      <c r="AU24" s="558">
        <f t="shared" si="32"/>
        <v>0</v>
      </c>
      <c r="AV24" s="558"/>
      <c r="AW24" s="606"/>
      <c r="AX24" s="606">
        <f t="shared" si="0"/>
        <v>819</v>
      </c>
      <c r="AY24" s="606">
        <f t="shared" si="1"/>
        <v>868.14</v>
      </c>
      <c r="AZ24" s="606">
        <f t="shared" si="2"/>
        <v>920.22840000000008</v>
      </c>
      <c r="BA24" s="606">
        <f t="shared" si="3"/>
        <v>975.44210400000009</v>
      </c>
      <c r="BB24" s="606">
        <f t="shared" si="4"/>
        <v>1033.9686302400003</v>
      </c>
      <c r="BC24" s="606">
        <f t="shared" si="5"/>
        <v>1096.0067480544003</v>
      </c>
      <c r="BD24" s="606">
        <f t="shared" si="6"/>
        <v>1161.7671529376644</v>
      </c>
      <c r="BE24" s="606">
        <f t="shared" si="7"/>
        <v>1231.4731821139242</v>
      </c>
      <c r="BF24" s="606">
        <f t="shared" si="8"/>
        <v>1305.3615730407598</v>
      </c>
      <c r="BG24" s="606">
        <f t="shared" si="9"/>
        <v>1383.6832674232053</v>
      </c>
      <c r="BH24" s="613">
        <f t="shared" si="10"/>
        <v>1466.7042634685979</v>
      </c>
    </row>
    <row r="25" spans="1:60" x14ac:dyDescent="0.25">
      <c r="A25" s="556" t="s">
        <v>124</v>
      </c>
      <c r="B25" s="556"/>
      <c r="C25" s="556"/>
      <c r="D25" s="556"/>
      <c r="E25" s="556"/>
      <c r="F25" s="556"/>
      <c r="G25" s="556"/>
      <c r="H25" s="556"/>
      <c r="I25" s="556"/>
      <c r="J25" s="556"/>
      <c r="K25" s="556"/>
      <c r="L25" s="556"/>
      <c r="M25" s="556"/>
      <c r="N25" s="556"/>
      <c r="O25" s="556"/>
      <c r="P25" s="556"/>
      <c r="Q25" s="556"/>
      <c r="R25" s="556"/>
      <c r="S25" s="556"/>
      <c r="T25" s="556"/>
      <c r="U25" s="556"/>
      <c r="V25" s="556"/>
      <c r="W25" s="556"/>
      <c r="X25" s="556"/>
      <c r="Y25" s="556"/>
      <c r="Z25" s="556"/>
      <c r="AA25" s="556"/>
      <c r="AB25" s="556"/>
      <c r="AC25" s="556"/>
      <c r="AD25" s="556"/>
      <c r="AE25" s="556"/>
      <c r="AF25" s="556"/>
      <c r="AG25" s="556"/>
      <c r="AH25" s="556"/>
      <c r="AI25" s="556"/>
      <c r="AJ25" s="556"/>
      <c r="AK25" s="556"/>
      <c r="AL25" s="556"/>
      <c r="AM25" s="556"/>
      <c r="AN25" s="556"/>
      <c r="AO25" s="556"/>
      <c r="AP25" s="556"/>
      <c r="AQ25" s="556"/>
      <c r="AR25" s="556"/>
      <c r="AS25" s="556"/>
      <c r="AT25" s="556"/>
      <c r="AU25" s="556"/>
      <c r="AV25" s="556"/>
      <c r="AW25" s="604"/>
      <c r="AX25" s="604">
        <f t="shared" si="0"/>
        <v>0</v>
      </c>
      <c r="AY25" s="604">
        <f t="shared" si="1"/>
        <v>0</v>
      </c>
      <c r="AZ25" s="604">
        <f t="shared" si="2"/>
        <v>0</v>
      </c>
      <c r="BA25" s="604">
        <f t="shared" si="3"/>
        <v>0</v>
      </c>
      <c r="BB25" s="604">
        <f t="shared" si="4"/>
        <v>0</v>
      </c>
      <c r="BC25" s="604">
        <f t="shared" si="5"/>
        <v>0</v>
      </c>
      <c r="BD25" s="604">
        <f t="shared" si="6"/>
        <v>0</v>
      </c>
      <c r="BE25" s="604">
        <f t="shared" si="7"/>
        <v>0</v>
      </c>
      <c r="BF25" s="604">
        <f t="shared" si="8"/>
        <v>0</v>
      </c>
      <c r="BG25" s="604">
        <f t="shared" si="9"/>
        <v>0</v>
      </c>
      <c r="BH25" s="604">
        <f t="shared" si="10"/>
        <v>0</v>
      </c>
    </row>
    <row r="26" spans="1:60" s="107" customFormat="1" ht="32.25" customHeight="1" x14ac:dyDescent="0.25">
      <c r="A26" s="557" t="s">
        <v>114</v>
      </c>
      <c r="B26" s="557">
        <f>'Расходы на ЗП ОТ'!B26</f>
        <v>0</v>
      </c>
      <c r="C26" s="557">
        <f>'Расходы на ЗП ОТ'!C26</f>
        <v>0</v>
      </c>
      <c r="D26" s="557">
        <f>'Расходы на ЗП ОТ'!D26</f>
        <v>0</v>
      </c>
      <c r="E26" s="557">
        <f>'Расходы на ЗП ОТ'!E26</f>
        <v>0</v>
      </c>
      <c r="F26" s="557">
        <f>'Расходы на ЗП ОТ'!F26</f>
        <v>0</v>
      </c>
      <c r="G26" s="557">
        <f>'Расходы на ЗП ОТ'!G26</f>
        <v>0</v>
      </c>
      <c r="H26" s="557">
        <f>'Расходы на ЗП ОТ'!H26</f>
        <v>0</v>
      </c>
      <c r="I26" s="557">
        <f>'Расходы на ЗП ОТ'!I26</f>
        <v>0</v>
      </c>
      <c r="J26" s="557">
        <f>'Расходы на ЗП ОТ'!J26</f>
        <v>0</v>
      </c>
      <c r="K26" s="557">
        <f>'Расходы на ЗП ОТ'!K26</f>
        <v>0</v>
      </c>
      <c r="L26" s="557">
        <f>'Расходы на ЗП ОТ'!L26</f>
        <v>0</v>
      </c>
      <c r="M26" s="557">
        <f>'Расходы на ЗП ОТ'!M26</f>
        <v>0</v>
      </c>
      <c r="N26" s="557">
        <f>'Расходы на ЗП ОТ'!N26</f>
        <v>0</v>
      </c>
      <c r="O26" s="557">
        <f>'Расходы на ЗП ОТ'!O26</f>
        <v>0</v>
      </c>
      <c r="P26" s="557">
        <f>'Расходы на ЗП ОТ'!P26</f>
        <v>0</v>
      </c>
      <c r="Q26" s="557">
        <f>'Расходы на ЗП ОТ'!Q26</f>
        <v>0</v>
      </c>
      <c r="R26" s="557">
        <f>'Расходы на ЗП ОТ'!R26</f>
        <v>0</v>
      </c>
      <c r="S26" s="557">
        <f>'Расходы на ЗП ОТ'!S26</f>
        <v>0</v>
      </c>
      <c r="T26" s="557">
        <f>'Расходы на ЗП ОТ'!T26</f>
        <v>0</v>
      </c>
      <c r="U26" s="557">
        <f>'Расходы на ЗП ОТ'!U26</f>
        <v>0</v>
      </c>
      <c r="V26" s="557">
        <f>'Расходы на ЗП ОТ'!V26</f>
        <v>0</v>
      </c>
      <c r="W26" s="557">
        <f>'Расходы на ЗП ОТ'!W26</f>
        <v>0</v>
      </c>
      <c r="X26" s="557">
        <f>'Расходы на ЗП ОТ'!X26</f>
        <v>0</v>
      </c>
      <c r="Y26" s="557">
        <f>'Расходы на ЗП ОТ'!Y26</f>
        <v>0</v>
      </c>
      <c r="Z26" s="557">
        <f>'Расходы на ЗП ОТ'!Z26</f>
        <v>0</v>
      </c>
      <c r="AA26" s="557">
        <f>'Расходы на ЗП ОТ'!AA26</f>
        <v>0</v>
      </c>
      <c r="AB26" s="557">
        <f>'Расходы на ЗП ОТ'!AB26</f>
        <v>0</v>
      </c>
      <c r="AC26" s="557">
        <f>'Расходы на ЗП ОТ'!AC26</f>
        <v>0</v>
      </c>
      <c r="AD26" s="557">
        <f>'Расходы на ЗП ОТ'!AD26</f>
        <v>0</v>
      </c>
      <c r="AE26" s="557">
        <f>'Расходы на ЗП ОТ'!AE26</f>
        <v>0</v>
      </c>
      <c r="AF26" s="557">
        <f>'Расходы на ЗП ОТ'!AF26</f>
        <v>0</v>
      </c>
      <c r="AG26" s="557">
        <f>'Расходы на ЗП ОТ'!AG26</f>
        <v>0</v>
      </c>
      <c r="AH26" s="557">
        <f>'Расходы на ЗП ОТ'!AH26</f>
        <v>0</v>
      </c>
      <c r="AI26" s="557">
        <f>'Расходы на ЗП ОТ'!AI26</f>
        <v>0</v>
      </c>
      <c r="AJ26" s="557">
        <f>'Расходы на ЗП ОТ'!AJ26</f>
        <v>0</v>
      </c>
      <c r="AK26" s="557">
        <f>'Расходы на ЗП ОТ'!AK26</f>
        <v>0</v>
      </c>
      <c r="AL26" s="557">
        <f>'Расходы на ЗП ОТ'!AL26</f>
        <v>0</v>
      </c>
      <c r="AM26" s="557">
        <f>'Расходы на ЗП ОТ'!AM26</f>
        <v>0</v>
      </c>
      <c r="AN26" s="557">
        <f>'Расходы на ЗП ОТ'!AN26</f>
        <v>0</v>
      </c>
      <c r="AO26" s="557">
        <f>'Расходы на ЗП ОТ'!AO26</f>
        <v>0</v>
      </c>
      <c r="AP26" s="557">
        <f>'Расходы на ЗП ОТ'!AP26</f>
        <v>0</v>
      </c>
      <c r="AQ26" s="557">
        <f>'Расходы на ЗП ОТ'!AQ26</f>
        <v>0</v>
      </c>
      <c r="AR26" s="557">
        <f>'Расходы на ЗП ОТ'!AR26</f>
        <v>0</v>
      </c>
      <c r="AS26" s="557">
        <f>'Расходы на ЗП ОТ'!AS26</f>
        <v>0</v>
      </c>
      <c r="AT26" s="557">
        <f>'Расходы на ЗП ОТ'!AT26</f>
        <v>0</v>
      </c>
      <c r="AU26" s="557">
        <f>'Расходы на ЗП ОТ'!AU26</f>
        <v>0</v>
      </c>
      <c r="AV26" s="557"/>
      <c r="AW26" s="605"/>
      <c r="AX26" s="605">
        <f t="shared" si="0"/>
        <v>0</v>
      </c>
      <c r="AY26" s="605">
        <f t="shared" si="1"/>
        <v>0</v>
      </c>
      <c r="AZ26" s="605">
        <f t="shared" si="2"/>
        <v>0</v>
      </c>
      <c r="BA26" s="605">
        <f t="shared" si="3"/>
        <v>0</v>
      </c>
      <c r="BB26" s="605">
        <f t="shared" si="4"/>
        <v>0</v>
      </c>
      <c r="BC26" s="605">
        <f t="shared" si="5"/>
        <v>0</v>
      </c>
      <c r="BD26" s="605">
        <f t="shared" si="6"/>
        <v>0</v>
      </c>
      <c r="BE26" s="605">
        <f t="shared" si="7"/>
        <v>0</v>
      </c>
      <c r="BF26" s="605">
        <f t="shared" si="8"/>
        <v>0</v>
      </c>
      <c r="BG26" s="605">
        <f t="shared" si="9"/>
        <v>0</v>
      </c>
      <c r="BH26" s="612">
        <f t="shared" si="10"/>
        <v>0</v>
      </c>
    </row>
    <row r="27" spans="1:60" s="108" customFormat="1" ht="29.25" customHeight="1" x14ac:dyDescent="0.25">
      <c r="A27" s="558" t="s">
        <v>115</v>
      </c>
      <c r="B27" s="558">
        <f>'Расходы на ЗП ОТ'!B27</f>
        <v>0</v>
      </c>
      <c r="C27" s="558">
        <f>'Расходы на ЗП ОТ'!C27</f>
        <v>0</v>
      </c>
      <c r="D27" s="558">
        <f>D26*$B$62</f>
        <v>0</v>
      </c>
      <c r="E27" s="558">
        <f t="shared" ref="E27:AQ27" si="33">E26*$B$62</f>
        <v>0</v>
      </c>
      <c r="F27" s="558">
        <f t="shared" si="33"/>
        <v>0</v>
      </c>
      <c r="G27" s="558">
        <f t="shared" si="33"/>
        <v>0</v>
      </c>
      <c r="H27" s="558">
        <f t="shared" si="33"/>
        <v>0</v>
      </c>
      <c r="I27" s="558">
        <f t="shared" si="33"/>
        <v>0</v>
      </c>
      <c r="J27" s="558">
        <f t="shared" si="33"/>
        <v>0</v>
      </c>
      <c r="K27" s="558">
        <f t="shared" si="33"/>
        <v>0</v>
      </c>
      <c r="L27" s="558">
        <f t="shared" si="33"/>
        <v>0</v>
      </c>
      <c r="M27" s="558">
        <f t="shared" si="33"/>
        <v>0</v>
      </c>
      <c r="N27" s="558">
        <f t="shared" si="33"/>
        <v>0</v>
      </c>
      <c r="O27" s="558">
        <f t="shared" si="33"/>
        <v>0</v>
      </c>
      <c r="P27" s="558">
        <f t="shared" si="33"/>
        <v>0</v>
      </c>
      <c r="Q27" s="558">
        <f t="shared" si="33"/>
        <v>0</v>
      </c>
      <c r="R27" s="558">
        <f t="shared" si="33"/>
        <v>0</v>
      </c>
      <c r="S27" s="558">
        <f t="shared" si="33"/>
        <v>0</v>
      </c>
      <c r="T27" s="558">
        <f t="shared" si="33"/>
        <v>0</v>
      </c>
      <c r="U27" s="558">
        <f t="shared" si="33"/>
        <v>0</v>
      </c>
      <c r="V27" s="558">
        <f t="shared" si="33"/>
        <v>0</v>
      </c>
      <c r="W27" s="558">
        <f t="shared" si="33"/>
        <v>0</v>
      </c>
      <c r="X27" s="558">
        <f t="shared" si="33"/>
        <v>0</v>
      </c>
      <c r="Y27" s="558">
        <f t="shared" si="33"/>
        <v>0</v>
      </c>
      <c r="Z27" s="558">
        <f t="shared" si="33"/>
        <v>0</v>
      </c>
      <c r="AA27" s="558">
        <f t="shared" si="33"/>
        <v>0</v>
      </c>
      <c r="AB27" s="558">
        <f t="shared" si="33"/>
        <v>0</v>
      </c>
      <c r="AC27" s="558">
        <f t="shared" si="33"/>
        <v>0</v>
      </c>
      <c r="AD27" s="558">
        <f t="shared" si="33"/>
        <v>0</v>
      </c>
      <c r="AE27" s="558">
        <f t="shared" si="33"/>
        <v>0</v>
      </c>
      <c r="AF27" s="558">
        <f t="shared" si="33"/>
        <v>0</v>
      </c>
      <c r="AG27" s="558">
        <f t="shared" si="33"/>
        <v>0</v>
      </c>
      <c r="AH27" s="558">
        <f t="shared" si="33"/>
        <v>0</v>
      </c>
      <c r="AI27" s="558">
        <f t="shared" si="33"/>
        <v>0</v>
      </c>
      <c r="AJ27" s="558">
        <f t="shared" si="33"/>
        <v>0</v>
      </c>
      <c r="AK27" s="558">
        <f t="shared" si="33"/>
        <v>0</v>
      </c>
      <c r="AL27" s="558">
        <f t="shared" si="33"/>
        <v>0</v>
      </c>
      <c r="AM27" s="558">
        <f t="shared" si="33"/>
        <v>0</v>
      </c>
      <c r="AN27" s="558">
        <f t="shared" si="33"/>
        <v>0</v>
      </c>
      <c r="AO27" s="558">
        <f t="shared" si="33"/>
        <v>0</v>
      </c>
      <c r="AP27" s="558">
        <f t="shared" si="33"/>
        <v>0</v>
      </c>
      <c r="AQ27" s="558">
        <f t="shared" si="33"/>
        <v>0</v>
      </c>
      <c r="AR27" s="558">
        <f t="shared" ref="AR27:AU27" si="34">AR26*$B$62</f>
        <v>0</v>
      </c>
      <c r="AS27" s="558">
        <f t="shared" si="34"/>
        <v>0</v>
      </c>
      <c r="AT27" s="558">
        <f t="shared" si="34"/>
        <v>0</v>
      </c>
      <c r="AU27" s="558">
        <f t="shared" si="34"/>
        <v>0</v>
      </c>
      <c r="AV27" s="558"/>
      <c r="AW27" s="606"/>
      <c r="AX27" s="606">
        <f t="shared" si="0"/>
        <v>0</v>
      </c>
      <c r="AY27" s="606">
        <f t="shared" si="1"/>
        <v>0</v>
      </c>
      <c r="AZ27" s="606">
        <f t="shared" si="2"/>
        <v>0</v>
      </c>
      <c r="BA27" s="606">
        <f t="shared" si="3"/>
        <v>0</v>
      </c>
      <c r="BB27" s="606">
        <f t="shared" si="4"/>
        <v>0</v>
      </c>
      <c r="BC27" s="606">
        <f t="shared" si="5"/>
        <v>0</v>
      </c>
      <c r="BD27" s="606">
        <f t="shared" si="6"/>
        <v>0</v>
      </c>
      <c r="BE27" s="606">
        <f t="shared" si="7"/>
        <v>0</v>
      </c>
      <c r="BF27" s="606">
        <f t="shared" si="8"/>
        <v>0</v>
      </c>
      <c r="BG27" s="606">
        <f t="shared" si="9"/>
        <v>0</v>
      </c>
      <c r="BH27" s="613">
        <f t="shared" si="10"/>
        <v>0</v>
      </c>
    </row>
    <row r="28" spans="1:60" ht="34.5" customHeight="1" x14ac:dyDescent="0.25">
      <c r="A28" s="556" t="s">
        <v>125</v>
      </c>
      <c r="B28" s="556"/>
      <c r="C28" s="556"/>
      <c r="D28" s="556"/>
      <c r="E28" s="556"/>
      <c r="F28" s="556"/>
      <c r="G28" s="556"/>
      <c r="H28" s="556"/>
      <c r="I28" s="556"/>
      <c r="J28" s="556"/>
      <c r="K28" s="556"/>
      <c r="L28" s="556"/>
      <c r="M28" s="556"/>
      <c r="N28" s="556"/>
      <c r="O28" s="556"/>
      <c r="P28" s="556"/>
      <c r="Q28" s="556"/>
      <c r="R28" s="556"/>
      <c r="S28" s="556"/>
      <c r="T28" s="556"/>
      <c r="U28" s="556"/>
      <c r="V28" s="556"/>
      <c r="W28" s="556"/>
      <c r="X28" s="556"/>
      <c r="Y28" s="556"/>
      <c r="Z28" s="556"/>
      <c r="AA28" s="556"/>
      <c r="AB28" s="556"/>
      <c r="AC28" s="556"/>
      <c r="AD28" s="556"/>
      <c r="AE28" s="556"/>
      <c r="AF28" s="556"/>
      <c r="AG28" s="556"/>
      <c r="AH28" s="556"/>
      <c r="AI28" s="556"/>
      <c r="AJ28" s="556"/>
      <c r="AK28" s="556"/>
      <c r="AL28" s="556"/>
      <c r="AM28" s="556"/>
      <c r="AN28" s="556"/>
      <c r="AO28" s="556"/>
      <c r="AP28" s="556"/>
      <c r="AQ28" s="556"/>
      <c r="AR28" s="556"/>
      <c r="AS28" s="556"/>
      <c r="AT28" s="556"/>
      <c r="AU28" s="556"/>
      <c r="AV28" s="556"/>
      <c r="AW28" s="604"/>
      <c r="AX28" s="604">
        <f t="shared" si="0"/>
        <v>0</v>
      </c>
      <c r="AY28" s="604">
        <f t="shared" si="1"/>
        <v>0</v>
      </c>
      <c r="AZ28" s="604">
        <f t="shared" si="2"/>
        <v>0</v>
      </c>
      <c r="BA28" s="604">
        <f t="shared" si="3"/>
        <v>0</v>
      </c>
      <c r="BB28" s="604">
        <f t="shared" si="4"/>
        <v>0</v>
      </c>
      <c r="BC28" s="604">
        <f t="shared" si="5"/>
        <v>0</v>
      </c>
      <c r="BD28" s="604">
        <f t="shared" si="6"/>
        <v>0</v>
      </c>
      <c r="BE28" s="604">
        <f t="shared" si="7"/>
        <v>0</v>
      </c>
      <c r="BF28" s="604">
        <f t="shared" si="8"/>
        <v>0</v>
      </c>
      <c r="BG28" s="604">
        <f t="shared" si="9"/>
        <v>0</v>
      </c>
      <c r="BH28" s="604">
        <f t="shared" si="10"/>
        <v>0</v>
      </c>
    </row>
    <row r="29" spans="1:60" ht="29.25" customHeight="1" x14ac:dyDescent="0.25">
      <c r="A29" s="556" t="s">
        <v>126</v>
      </c>
      <c r="B29" s="556">
        <f>'Расходы на ЗП ОТ'!B29</f>
        <v>0</v>
      </c>
      <c r="C29" s="556">
        <f>'Расходы на ЗП ОТ'!C29</f>
        <v>0</v>
      </c>
      <c r="D29" s="556">
        <f>'Расходы на ЗП ОТ'!D29</f>
        <v>0</v>
      </c>
      <c r="E29" s="556">
        <f>'Расходы на ЗП ОТ'!E29</f>
        <v>0</v>
      </c>
      <c r="F29" s="556">
        <f>'Расходы на ЗП ОТ'!F29</f>
        <v>0</v>
      </c>
      <c r="G29" s="556">
        <f>'Расходы на ЗП ОТ'!G29</f>
        <v>0</v>
      </c>
      <c r="H29" s="556">
        <f>'Расходы на ЗП ОТ'!H29</f>
        <v>0</v>
      </c>
      <c r="I29" s="556">
        <f>'Расходы на ЗП ОТ'!I29</f>
        <v>0</v>
      </c>
      <c r="J29" s="556">
        <f>'Расходы на ЗП ОТ'!J29</f>
        <v>0</v>
      </c>
      <c r="K29" s="556">
        <f>'Расходы на ЗП ОТ'!K29</f>
        <v>0</v>
      </c>
      <c r="L29" s="556">
        <f>'Расходы на ЗП ОТ'!L29</f>
        <v>0</v>
      </c>
      <c r="M29" s="556">
        <f>'Расходы на ЗП ОТ'!M29</f>
        <v>0</v>
      </c>
      <c r="N29" s="556">
        <f>'Расходы на ЗП ОТ'!N29</f>
        <v>0</v>
      </c>
      <c r="O29" s="556">
        <f>'Расходы на ЗП ОТ'!O29</f>
        <v>0</v>
      </c>
      <c r="P29" s="556">
        <f>'Расходы на ЗП ОТ'!P29</f>
        <v>0</v>
      </c>
      <c r="Q29" s="556">
        <f>'Расходы на ЗП ОТ'!Q29</f>
        <v>0</v>
      </c>
      <c r="R29" s="556">
        <f>'Расходы на ЗП ОТ'!R29</f>
        <v>0</v>
      </c>
      <c r="S29" s="556">
        <f>'Расходы на ЗП ОТ'!S29</f>
        <v>0</v>
      </c>
      <c r="T29" s="556">
        <f>'Расходы на ЗП ОТ'!T29</f>
        <v>0</v>
      </c>
      <c r="U29" s="556">
        <f>'Расходы на ЗП ОТ'!U29</f>
        <v>0</v>
      </c>
      <c r="V29" s="556">
        <f>'Расходы на ЗП ОТ'!V29</f>
        <v>0</v>
      </c>
      <c r="W29" s="556">
        <f>'Расходы на ЗП ОТ'!W29</f>
        <v>0</v>
      </c>
      <c r="X29" s="556">
        <f>'Расходы на ЗП ОТ'!X29</f>
        <v>0</v>
      </c>
      <c r="Y29" s="556">
        <f>'Расходы на ЗП ОТ'!Y29</f>
        <v>0</v>
      </c>
      <c r="Z29" s="556">
        <f>'Расходы на ЗП ОТ'!Z29</f>
        <v>0</v>
      </c>
      <c r="AA29" s="556">
        <f>'Расходы на ЗП ОТ'!AA29</f>
        <v>0</v>
      </c>
      <c r="AB29" s="556">
        <f>'Расходы на ЗП ОТ'!AB29</f>
        <v>0</v>
      </c>
      <c r="AC29" s="556">
        <f>'Расходы на ЗП ОТ'!AC29</f>
        <v>0</v>
      </c>
      <c r="AD29" s="556">
        <f>'Расходы на ЗП ОТ'!AD29</f>
        <v>0</v>
      </c>
      <c r="AE29" s="556">
        <f>'Расходы на ЗП ОТ'!AE29</f>
        <v>0</v>
      </c>
      <c r="AF29" s="556">
        <f>'Расходы на ЗП ОТ'!AF29</f>
        <v>0</v>
      </c>
      <c r="AG29" s="556">
        <f>'Расходы на ЗП ОТ'!AG29</f>
        <v>0</v>
      </c>
      <c r="AH29" s="556">
        <f>'Расходы на ЗП ОТ'!AH29</f>
        <v>0</v>
      </c>
      <c r="AI29" s="556">
        <f>'Расходы на ЗП ОТ'!AI29</f>
        <v>0</v>
      </c>
      <c r="AJ29" s="556">
        <f>'Расходы на ЗП ОТ'!AJ29</f>
        <v>0</v>
      </c>
      <c r="AK29" s="556">
        <f>'Расходы на ЗП ОТ'!AK29</f>
        <v>0</v>
      </c>
      <c r="AL29" s="556">
        <f>'Расходы на ЗП ОТ'!AL29</f>
        <v>0</v>
      </c>
      <c r="AM29" s="556">
        <f>'Расходы на ЗП ОТ'!AM29</f>
        <v>0</v>
      </c>
      <c r="AN29" s="556">
        <f>'Расходы на ЗП ОТ'!AN29</f>
        <v>0</v>
      </c>
      <c r="AO29" s="556">
        <f>'Расходы на ЗП ОТ'!AO29</f>
        <v>0</v>
      </c>
      <c r="AP29" s="556">
        <f>'Расходы на ЗП ОТ'!AP29</f>
        <v>0</v>
      </c>
      <c r="AQ29" s="556">
        <f>'Расходы на ЗП ОТ'!AQ29</f>
        <v>0</v>
      </c>
      <c r="AR29" s="556">
        <f>'Расходы на ЗП ОТ'!AR29</f>
        <v>0</v>
      </c>
      <c r="AS29" s="556">
        <f>'Расходы на ЗП ОТ'!AS29</f>
        <v>0</v>
      </c>
      <c r="AT29" s="556">
        <f>'Расходы на ЗП ОТ'!AT29</f>
        <v>0</v>
      </c>
      <c r="AU29" s="556">
        <f>'Расходы на ЗП ОТ'!AU29</f>
        <v>0</v>
      </c>
      <c r="AV29" s="556"/>
      <c r="AW29" s="604"/>
      <c r="AX29" s="604">
        <f t="shared" si="0"/>
        <v>0</v>
      </c>
      <c r="AY29" s="604">
        <f t="shared" si="1"/>
        <v>0</v>
      </c>
      <c r="AZ29" s="604">
        <f t="shared" si="2"/>
        <v>0</v>
      </c>
      <c r="BA29" s="604">
        <f t="shared" si="3"/>
        <v>0</v>
      </c>
      <c r="BB29" s="604">
        <f t="shared" si="4"/>
        <v>0</v>
      </c>
      <c r="BC29" s="604">
        <f t="shared" si="5"/>
        <v>0</v>
      </c>
      <c r="BD29" s="604">
        <f t="shared" si="6"/>
        <v>0</v>
      </c>
      <c r="BE29" s="604">
        <f t="shared" si="7"/>
        <v>0</v>
      </c>
      <c r="BF29" s="604">
        <f t="shared" si="8"/>
        <v>0</v>
      </c>
      <c r="BG29" s="604">
        <f t="shared" si="9"/>
        <v>0</v>
      </c>
      <c r="BH29" s="604">
        <f t="shared" si="10"/>
        <v>0</v>
      </c>
    </row>
    <row r="30" spans="1:60" ht="29.25" customHeight="1" x14ac:dyDescent="0.25">
      <c r="A30" s="556" t="s">
        <v>127</v>
      </c>
      <c r="B30" s="556">
        <f>'Расходы на ЗП ОТ'!B30</f>
        <v>0</v>
      </c>
      <c r="C30" s="556">
        <f>'Расходы на ЗП ОТ'!C30</f>
        <v>0</v>
      </c>
      <c r="D30" s="556">
        <f>'Расходы на ЗП ОТ'!D30</f>
        <v>0</v>
      </c>
      <c r="E30" s="556">
        <f>'Расходы на ЗП ОТ'!E30</f>
        <v>0</v>
      </c>
      <c r="F30" s="556">
        <f>'Расходы на ЗП ОТ'!F30</f>
        <v>0</v>
      </c>
      <c r="G30" s="556">
        <f>'Расходы на ЗП ОТ'!G30</f>
        <v>0</v>
      </c>
      <c r="H30" s="556">
        <f>'Расходы на ЗП ОТ'!H30</f>
        <v>0</v>
      </c>
      <c r="I30" s="556">
        <f>'Расходы на ЗП ОТ'!I30</f>
        <v>0</v>
      </c>
      <c r="J30" s="556">
        <f>'Расходы на ЗП ОТ'!J30</f>
        <v>0</v>
      </c>
      <c r="K30" s="556">
        <f>'Расходы на ЗП ОТ'!K30</f>
        <v>0</v>
      </c>
      <c r="L30" s="556">
        <f>'Расходы на ЗП ОТ'!L30</f>
        <v>0</v>
      </c>
      <c r="M30" s="556">
        <f>'Расходы на ЗП ОТ'!M30</f>
        <v>0</v>
      </c>
      <c r="N30" s="556">
        <f>'Расходы на ЗП ОТ'!N30</f>
        <v>0</v>
      </c>
      <c r="O30" s="556">
        <f>'Расходы на ЗП ОТ'!O30</f>
        <v>0</v>
      </c>
      <c r="P30" s="556">
        <f>'Расходы на ЗП ОТ'!P30</f>
        <v>0</v>
      </c>
      <c r="Q30" s="556">
        <f>'Расходы на ЗП ОТ'!Q30</f>
        <v>0</v>
      </c>
      <c r="R30" s="556">
        <f>'Расходы на ЗП ОТ'!R30</f>
        <v>0</v>
      </c>
      <c r="S30" s="556">
        <f>'Расходы на ЗП ОТ'!S30</f>
        <v>0</v>
      </c>
      <c r="T30" s="556">
        <f>'Расходы на ЗП ОТ'!T30</f>
        <v>0</v>
      </c>
      <c r="U30" s="556">
        <f>'Расходы на ЗП ОТ'!U30</f>
        <v>0</v>
      </c>
      <c r="V30" s="556">
        <f>'Расходы на ЗП ОТ'!V30</f>
        <v>0</v>
      </c>
      <c r="W30" s="556">
        <f>'Расходы на ЗП ОТ'!W30</f>
        <v>0</v>
      </c>
      <c r="X30" s="556">
        <f>'Расходы на ЗП ОТ'!X30</f>
        <v>0</v>
      </c>
      <c r="Y30" s="556">
        <f>'Расходы на ЗП ОТ'!Y30</f>
        <v>0</v>
      </c>
      <c r="Z30" s="556">
        <f>'Расходы на ЗП ОТ'!Z30</f>
        <v>0</v>
      </c>
      <c r="AA30" s="556">
        <f>'Расходы на ЗП ОТ'!AA30</f>
        <v>0</v>
      </c>
      <c r="AB30" s="556">
        <f>'Расходы на ЗП ОТ'!AB30</f>
        <v>0</v>
      </c>
      <c r="AC30" s="556">
        <f>'Расходы на ЗП ОТ'!AC30</f>
        <v>0</v>
      </c>
      <c r="AD30" s="556">
        <f>'Расходы на ЗП ОТ'!AD30</f>
        <v>0</v>
      </c>
      <c r="AE30" s="556">
        <f>'Расходы на ЗП ОТ'!AE30</f>
        <v>0</v>
      </c>
      <c r="AF30" s="556">
        <f>'Расходы на ЗП ОТ'!AF30</f>
        <v>0</v>
      </c>
      <c r="AG30" s="556">
        <f>'Расходы на ЗП ОТ'!AG30</f>
        <v>0</v>
      </c>
      <c r="AH30" s="556">
        <f>'Расходы на ЗП ОТ'!AH30</f>
        <v>0</v>
      </c>
      <c r="AI30" s="556">
        <f>'Расходы на ЗП ОТ'!AI30</f>
        <v>0</v>
      </c>
      <c r="AJ30" s="556">
        <f>'Расходы на ЗП ОТ'!AJ30</f>
        <v>0</v>
      </c>
      <c r="AK30" s="556">
        <f>'Расходы на ЗП ОТ'!AK30</f>
        <v>0</v>
      </c>
      <c r="AL30" s="556">
        <f>'Расходы на ЗП ОТ'!AL30</f>
        <v>0</v>
      </c>
      <c r="AM30" s="556">
        <f>'Расходы на ЗП ОТ'!AM30</f>
        <v>0</v>
      </c>
      <c r="AN30" s="556">
        <f>'Расходы на ЗП ОТ'!AN30</f>
        <v>0</v>
      </c>
      <c r="AO30" s="556">
        <f>'Расходы на ЗП ОТ'!AO30</f>
        <v>0</v>
      </c>
      <c r="AP30" s="556">
        <f>'Расходы на ЗП ОТ'!AP30</f>
        <v>0</v>
      </c>
      <c r="AQ30" s="556">
        <f>'Расходы на ЗП ОТ'!AQ30</f>
        <v>0</v>
      </c>
      <c r="AR30" s="556">
        <f>'Расходы на ЗП ОТ'!AR30</f>
        <v>0</v>
      </c>
      <c r="AS30" s="556">
        <f>'Расходы на ЗП ОТ'!AS30</f>
        <v>0</v>
      </c>
      <c r="AT30" s="556">
        <f>'Расходы на ЗП ОТ'!AT30</f>
        <v>0</v>
      </c>
      <c r="AU30" s="556">
        <f>'Расходы на ЗП ОТ'!AU30</f>
        <v>0</v>
      </c>
      <c r="AV30" s="556"/>
      <c r="AW30" s="604"/>
      <c r="AX30" s="604">
        <f t="shared" si="0"/>
        <v>0</v>
      </c>
      <c r="AY30" s="604">
        <f t="shared" si="1"/>
        <v>0</v>
      </c>
      <c r="AZ30" s="604">
        <f t="shared" si="2"/>
        <v>0</v>
      </c>
      <c r="BA30" s="604">
        <f t="shared" si="3"/>
        <v>0</v>
      </c>
      <c r="BB30" s="604">
        <f t="shared" si="4"/>
        <v>0</v>
      </c>
      <c r="BC30" s="604">
        <f t="shared" si="5"/>
        <v>0</v>
      </c>
      <c r="BD30" s="604">
        <f t="shared" si="6"/>
        <v>0</v>
      </c>
      <c r="BE30" s="604">
        <f t="shared" si="7"/>
        <v>0</v>
      </c>
      <c r="BF30" s="604">
        <f t="shared" si="8"/>
        <v>0</v>
      </c>
      <c r="BG30" s="604">
        <f t="shared" si="9"/>
        <v>0</v>
      </c>
      <c r="BH30" s="604">
        <f t="shared" si="10"/>
        <v>0</v>
      </c>
    </row>
    <row r="31" spans="1:60" ht="30.75" customHeight="1" x14ac:dyDescent="0.25">
      <c r="A31" s="556" t="s">
        <v>128</v>
      </c>
      <c r="B31" s="556">
        <f>'Расходы на ЗП ОТ'!B31</f>
        <v>0</v>
      </c>
      <c r="C31" s="556">
        <f>'Расходы на ЗП ОТ'!C31</f>
        <v>0</v>
      </c>
      <c r="D31" s="556">
        <f>'Расходы на ЗП ОТ'!D31</f>
        <v>0</v>
      </c>
      <c r="E31" s="556">
        <f>'Расходы на ЗП ОТ'!E31</f>
        <v>0</v>
      </c>
      <c r="F31" s="556">
        <f>'Расходы на ЗП ОТ'!F31</f>
        <v>0</v>
      </c>
      <c r="G31" s="556">
        <f>'Расходы на ЗП ОТ'!G31</f>
        <v>0</v>
      </c>
      <c r="H31" s="556">
        <f>'Расходы на ЗП ОТ'!H31</f>
        <v>0</v>
      </c>
      <c r="I31" s="556">
        <f>'Расходы на ЗП ОТ'!I31</f>
        <v>0</v>
      </c>
      <c r="J31" s="556">
        <f>'Расходы на ЗП ОТ'!J31</f>
        <v>0</v>
      </c>
      <c r="K31" s="556">
        <f>'Расходы на ЗП ОТ'!K31</f>
        <v>0</v>
      </c>
      <c r="L31" s="556">
        <f>'Расходы на ЗП ОТ'!L31</f>
        <v>0</v>
      </c>
      <c r="M31" s="556">
        <f>'Расходы на ЗП ОТ'!M31</f>
        <v>0</v>
      </c>
      <c r="N31" s="556">
        <f>'Расходы на ЗП ОТ'!N31</f>
        <v>0</v>
      </c>
      <c r="O31" s="556">
        <f>'Расходы на ЗП ОТ'!O31</f>
        <v>0</v>
      </c>
      <c r="P31" s="556">
        <f>'Расходы на ЗП ОТ'!P31</f>
        <v>0</v>
      </c>
      <c r="Q31" s="556">
        <f>'Расходы на ЗП ОТ'!Q31</f>
        <v>0</v>
      </c>
      <c r="R31" s="556">
        <f>'Расходы на ЗП ОТ'!R31</f>
        <v>0</v>
      </c>
      <c r="S31" s="556">
        <f>'Расходы на ЗП ОТ'!S31</f>
        <v>0</v>
      </c>
      <c r="T31" s="556">
        <f>'Расходы на ЗП ОТ'!T31</f>
        <v>0</v>
      </c>
      <c r="U31" s="556">
        <f>'Расходы на ЗП ОТ'!U31</f>
        <v>0</v>
      </c>
      <c r="V31" s="556">
        <f>'Расходы на ЗП ОТ'!V31</f>
        <v>0</v>
      </c>
      <c r="W31" s="556">
        <f>'Расходы на ЗП ОТ'!W31</f>
        <v>0</v>
      </c>
      <c r="X31" s="556">
        <f>'Расходы на ЗП ОТ'!X31</f>
        <v>0</v>
      </c>
      <c r="Y31" s="556">
        <f>'Расходы на ЗП ОТ'!Y31</f>
        <v>0</v>
      </c>
      <c r="Z31" s="556">
        <f>'Расходы на ЗП ОТ'!Z31</f>
        <v>0</v>
      </c>
      <c r="AA31" s="556">
        <f>'Расходы на ЗП ОТ'!AA31</f>
        <v>0</v>
      </c>
      <c r="AB31" s="556">
        <f>'Расходы на ЗП ОТ'!AB31</f>
        <v>0</v>
      </c>
      <c r="AC31" s="556">
        <f>'Расходы на ЗП ОТ'!AC31</f>
        <v>0</v>
      </c>
      <c r="AD31" s="556">
        <f>'Расходы на ЗП ОТ'!AD31</f>
        <v>0</v>
      </c>
      <c r="AE31" s="556">
        <f>'Расходы на ЗП ОТ'!AE31</f>
        <v>0</v>
      </c>
      <c r="AF31" s="556">
        <f>'Расходы на ЗП ОТ'!AF31</f>
        <v>0</v>
      </c>
      <c r="AG31" s="556">
        <f>'Расходы на ЗП ОТ'!AG31</f>
        <v>0</v>
      </c>
      <c r="AH31" s="556">
        <f>'Расходы на ЗП ОТ'!AH31</f>
        <v>0</v>
      </c>
      <c r="AI31" s="556">
        <f>'Расходы на ЗП ОТ'!AI31</f>
        <v>0</v>
      </c>
      <c r="AJ31" s="556">
        <f>'Расходы на ЗП ОТ'!AJ31</f>
        <v>0</v>
      </c>
      <c r="AK31" s="556">
        <f>'Расходы на ЗП ОТ'!AK31</f>
        <v>0</v>
      </c>
      <c r="AL31" s="556">
        <f>'Расходы на ЗП ОТ'!AL31</f>
        <v>0</v>
      </c>
      <c r="AM31" s="556">
        <f>'Расходы на ЗП ОТ'!AM31</f>
        <v>0</v>
      </c>
      <c r="AN31" s="556">
        <f>'Расходы на ЗП ОТ'!AN31</f>
        <v>0</v>
      </c>
      <c r="AO31" s="556">
        <f>'Расходы на ЗП ОТ'!AO31</f>
        <v>0</v>
      </c>
      <c r="AP31" s="556">
        <f>'Расходы на ЗП ОТ'!AP31</f>
        <v>0</v>
      </c>
      <c r="AQ31" s="556">
        <f>'Расходы на ЗП ОТ'!AQ31</f>
        <v>0</v>
      </c>
      <c r="AR31" s="556">
        <f>'Расходы на ЗП ОТ'!AR31</f>
        <v>0</v>
      </c>
      <c r="AS31" s="556">
        <f>'Расходы на ЗП ОТ'!AS31</f>
        <v>0</v>
      </c>
      <c r="AT31" s="556">
        <f>'Расходы на ЗП ОТ'!AT31</f>
        <v>0</v>
      </c>
      <c r="AU31" s="556">
        <f>'Расходы на ЗП ОТ'!AU31</f>
        <v>0</v>
      </c>
      <c r="AV31" s="556"/>
      <c r="AW31" s="604"/>
      <c r="AX31" s="604">
        <f t="shared" si="0"/>
        <v>0</v>
      </c>
      <c r="AY31" s="604">
        <f t="shared" si="1"/>
        <v>0</v>
      </c>
      <c r="AZ31" s="604">
        <f t="shared" si="2"/>
        <v>0</v>
      </c>
      <c r="BA31" s="604">
        <f t="shared" si="3"/>
        <v>0</v>
      </c>
      <c r="BB31" s="604">
        <f t="shared" si="4"/>
        <v>0</v>
      </c>
      <c r="BC31" s="604">
        <f t="shared" si="5"/>
        <v>0</v>
      </c>
      <c r="BD31" s="604">
        <f t="shared" si="6"/>
        <v>0</v>
      </c>
      <c r="BE31" s="604">
        <f t="shared" si="7"/>
        <v>0</v>
      </c>
      <c r="BF31" s="604">
        <f t="shared" si="8"/>
        <v>0</v>
      </c>
      <c r="BG31" s="604">
        <f t="shared" si="9"/>
        <v>0</v>
      </c>
      <c r="BH31" s="604">
        <f t="shared" si="10"/>
        <v>0</v>
      </c>
    </row>
    <row r="32" spans="1:60" ht="27.75" customHeight="1" x14ac:dyDescent="0.25">
      <c r="A32" s="556" t="s">
        <v>167</v>
      </c>
      <c r="B32" s="556">
        <f>'Расходы на ЗП ОТ'!B32</f>
        <v>0</v>
      </c>
      <c r="C32" s="556">
        <f>'Расходы на ЗП ОТ'!C32</f>
        <v>0</v>
      </c>
      <c r="D32" s="556">
        <f>'Расходы на ЗП ОТ'!D32</f>
        <v>0</v>
      </c>
      <c r="E32" s="556">
        <f>'Расходы на ЗП ОТ'!E32</f>
        <v>0</v>
      </c>
      <c r="F32" s="556">
        <f>'Расходы на ЗП ОТ'!F32</f>
        <v>0</v>
      </c>
      <c r="G32" s="556">
        <f>'Расходы на ЗП ОТ'!G32</f>
        <v>0</v>
      </c>
      <c r="H32" s="556">
        <f>'Расходы на ЗП ОТ'!H32</f>
        <v>0</v>
      </c>
      <c r="I32" s="556">
        <f>'Расходы на ЗП ОТ'!I32</f>
        <v>0</v>
      </c>
      <c r="J32" s="556">
        <f>'Расходы на ЗП ОТ'!J32</f>
        <v>0</v>
      </c>
      <c r="K32" s="556">
        <f>'Расходы на ЗП ОТ'!K32</f>
        <v>0</v>
      </c>
      <c r="L32" s="556">
        <f>'Расходы на ЗП ОТ'!L32</f>
        <v>0</v>
      </c>
      <c r="M32" s="556">
        <f>'Расходы на ЗП ОТ'!M32</f>
        <v>0</v>
      </c>
      <c r="N32" s="556">
        <f>'Расходы на ЗП ОТ'!N32</f>
        <v>0</v>
      </c>
      <c r="O32" s="556">
        <f>'Расходы на ЗП ОТ'!O32</f>
        <v>0</v>
      </c>
      <c r="P32" s="556">
        <f>'Расходы на ЗП ОТ'!P32</f>
        <v>0</v>
      </c>
      <c r="Q32" s="556">
        <f>'Расходы на ЗП ОТ'!Q32</f>
        <v>0</v>
      </c>
      <c r="R32" s="556">
        <f>'Расходы на ЗП ОТ'!R32</f>
        <v>0</v>
      </c>
      <c r="S32" s="556">
        <f>'Расходы на ЗП ОТ'!S32</f>
        <v>0</v>
      </c>
      <c r="T32" s="556">
        <f>'Расходы на ЗП ОТ'!T32</f>
        <v>0</v>
      </c>
      <c r="U32" s="556">
        <f>'Расходы на ЗП ОТ'!U32</f>
        <v>0</v>
      </c>
      <c r="V32" s="556">
        <f>'Расходы на ЗП ОТ'!V32</f>
        <v>0</v>
      </c>
      <c r="W32" s="556">
        <f>'Расходы на ЗП ОТ'!W32</f>
        <v>0</v>
      </c>
      <c r="X32" s="556">
        <f>'Расходы на ЗП ОТ'!X32</f>
        <v>0</v>
      </c>
      <c r="Y32" s="556">
        <f>'Расходы на ЗП ОТ'!Y32</f>
        <v>0</v>
      </c>
      <c r="Z32" s="556">
        <f>'Расходы на ЗП ОТ'!Z32</f>
        <v>0</v>
      </c>
      <c r="AA32" s="556">
        <f>'Расходы на ЗП ОТ'!AA32</f>
        <v>0</v>
      </c>
      <c r="AB32" s="556">
        <f>'Расходы на ЗП ОТ'!AB32</f>
        <v>0</v>
      </c>
      <c r="AC32" s="556">
        <f>'Расходы на ЗП ОТ'!AC32</f>
        <v>0</v>
      </c>
      <c r="AD32" s="556">
        <f>'Расходы на ЗП ОТ'!AD32</f>
        <v>0</v>
      </c>
      <c r="AE32" s="556">
        <f>'Расходы на ЗП ОТ'!AE32</f>
        <v>0</v>
      </c>
      <c r="AF32" s="556">
        <f>'Расходы на ЗП ОТ'!AF32</f>
        <v>0</v>
      </c>
      <c r="AG32" s="556">
        <f>'Расходы на ЗП ОТ'!AG32</f>
        <v>0</v>
      </c>
      <c r="AH32" s="556">
        <f>'Расходы на ЗП ОТ'!AH32</f>
        <v>0</v>
      </c>
      <c r="AI32" s="556">
        <f>'Расходы на ЗП ОТ'!AI32</f>
        <v>0</v>
      </c>
      <c r="AJ32" s="556">
        <f>'Расходы на ЗП ОТ'!AJ32</f>
        <v>0</v>
      </c>
      <c r="AK32" s="556">
        <f>'Расходы на ЗП ОТ'!AK32</f>
        <v>0</v>
      </c>
      <c r="AL32" s="556">
        <f>'Расходы на ЗП ОТ'!AL32</f>
        <v>0</v>
      </c>
      <c r="AM32" s="556">
        <f>'Расходы на ЗП ОТ'!AM32</f>
        <v>0</v>
      </c>
      <c r="AN32" s="556">
        <f>'Расходы на ЗП ОТ'!AN32</f>
        <v>0</v>
      </c>
      <c r="AO32" s="556">
        <f>'Расходы на ЗП ОТ'!AO32</f>
        <v>0</v>
      </c>
      <c r="AP32" s="556">
        <f>'Расходы на ЗП ОТ'!AP32</f>
        <v>0</v>
      </c>
      <c r="AQ32" s="556">
        <f>'Расходы на ЗП ОТ'!AQ32</f>
        <v>0</v>
      </c>
      <c r="AR32" s="556">
        <f>'Расходы на ЗП ОТ'!AR32</f>
        <v>0</v>
      </c>
      <c r="AS32" s="556">
        <f>'Расходы на ЗП ОТ'!AS32</f>
        <v>0</v>
      </c>
      <c r="AT32" s="556">
        <f>'Расходы на ЗП ОТ'!AT32</f>
        <v>0</v>
      </c>
      <c r="AU32" s="556">
        <f>'Расходы на ЗП ОТ'!AU32</f>
        <v>0</v>
      </c>
      <c r="AV32" s="556"/>
      <c r="AW32" s="604"/>
      <c r="AX32" s="604">
        <f t="shared" si="0"/>
        <v>0</v>
      </c>
      <c r="AY32" s="604">
        <f t="shared" si="1"/>
        <v>0</v>
      </c>
      <c r="AZ32" s="604">
        <f t="shared" si="2"/>
        <v>0</v>
      </c>
      <c r="BA32" s="604">
        <f t="shared" si="3"/>
        <v>0</v>
      </c>
      <c r="BB32" s="604">
        <f t="shared" si="4"/>
        <v>0</v>
      </c>
      <c r="BC32" s="604">
        <f t="shared" si="5"/>
        <v>0</v>
      </c>
      <c r="BD32" s="604">
        <f t="shared" si="6"/>
        <v>0</v>
      </c>
      <c r="BE32" s="604">
        <f t="shared" si="7"/>
        <v>0</v>
      </c>
      <c r="BF32" s="604">
        <f t="shared" si="8"/>
        <v>0</v>
      </c>
      <c r="BG32" s="604">
        <f t="shared" si="9"/>
        <v>0</v>
      </c>
      <c r="BH32" s="604">
        <f t="shared" si="10"/>
        <v>0</v>
      </c>
    </row>
    <row r="33" spans="1:60" ht="23.25" customHeight="1" x14ac:dyDescent="0.25">
      <c r="A33" s="556" t="s">
        <v>168</v>
      </c>
      <c r="B33" s="556">
        <f>'Расходы на ЗП ОТ'!B33</f>
        <v>0</v>
      </c>
      <c r="C33" s="556">
        <f>'Расходы на ЗП ОТ'!C33</f>
        <v>0</v>
      </c>
      <c r="D33" s="556">
        <f>'Расходы на ЗП ОТ'!D33</f>
        <v>0</v>
      </c>
      <c r="E33" s="556">
        <f>'Расходы на ЗП ОТ'!E33</f>
        <v>0</v>
      </c>
      <c r="F33" s="556">
        <f>'Расходы на ЗП ОТ'!F33</f>
        <v>0</v>
      </c>
      <c r="G33" s="556">
        <f>'Расходы на ЗП ОТ'!G33</f>
        <v>0</v>
      </c>
      <c r="H33" s="556">
        <f>'Расходы на ЗП ОТ'!H33</f>
        <v>0</v>
      </c>
      <c r="I33" s="556">
        <f>'Расходы на ЗП ОТ'!I33</f>
        <v>0</v>
      </c>
      <c r="J33" s="556">
        <f>'Расходы на ЗП ОТ'!J33</f>
        <v>0</v>
      </c>
      <c r="K33" s="556">
        <f>'Расходы на ЗП ОТ'!K33</f>
        <v>0</v>
      </c>
      <c r="L33" s="556">
        <f>'Расходы на ЗП ОТ'!L33</f>
        <v>0</v>
      </c>
      <c r="M33" s="556">
        <f>'Расходы на ЗП ОТ'!M33</f>
        <v>0</v>
      </c>
      <c r="N33" s="556">
        <f>'Расходы на ЗП ОТ'!N33</f>
        <v>0</v>
      </c>
      <c r="O33" s="556">
        <f>'Расходы на ЗП ОТ'!O33</f>
        <v>0</v>
      </c>
      <c r="P33" s="556">
        <f>'Расходы на ЗП ОТ'!P33</f>
        <v>0</v>
      </c>
      <c r="Q33" s="556">
        <f>'Расходы на ЗП ОТ'!Q33</f>
        <v>0</v>
      </c>
      <c r="R33" s="556">
        <f>'Расходы на ЗП ОТ'!R33</f>
        <v>0</v>
      </c>
      <c r="S33" s="556">
        <f>'Расходы на ЗП ОТ'!S33</f>
        <v>0</v>
      </c>
      <c r="T33" s="556">
        <f>'Расходы на ЗП ОТ'!T33</f>
        <v>0</v>
      </c>
      <c r="U33" s="556">
        <f>'Расходы на ЗП ОТ'!U33</f>
        <v>0</v>
      </c>
      <c r="V33" s="556">
        <f>'Расходы на ЗП ОТ'!V33</f>
        <v>0</v>
      </c>
      <c r="W33" s="556">
        <f>'Расходы на ЗП ОТ'!W33</f>
        <v>0</v>
      </c>
      <c r="X33" s="556">
        <f>'Расходы на ЗП ОТ'!X33</f>
        <v>0</v>
      </c>
      <c r="Y33" s="556">
        <f>'Расходы на ЗП ОТ'!Y33</f>
        <v>0</v>
      </c>
      <c r="Z33" s="556">
        <f>'Расходы на ЗП ОТ'!Z33</f>
        <v>0</v>
      </c>
      <c r="AA33" s="556">
        <f>'Расходы на ЗП ОТ'!AA33</f>
        <v>0</v>
      </c>
      <c r="AB33" s="556">
        <f>'Расходы на ЗП ОТ'!AB33</f>
        <v>0</v>
      </c>
      <c r="AC33" s="556">
        <f>'Расходы на ЗП ОТ'!AC33</f>
        <v>0</v>
      </c>
      <c r="AD33" s="556">
        <f>'Расходы на ЗП ОТ'!AD33</f>
        <v>0</v>
      </c>
      <c r="AE33" s="556">
        <f>'Расходы на ЗП ОТ'!AE33</f>
        <v>0</v>
      </c>
      <c r="AF33" s="556">
        <f>'Расходы на ЗП ОТ'!AF33</f>
        <v>0</v>
      </c>
      <c r="AG33" s="556">
        <f>'Расходы на ЗП ОТ'!AG33</f>
        <v>0</v>
      </c>
      <c r="AH33" s="556">
        <f>'Расходы на ЗП ОТ'!AH33</f>
        <v>0</v>
      </c>
      <c r="AI33" s="556">
        <f>'Расходы на ЗП ОТ'!AI33</f>
        <v>0</v>
      </c>
      <c r="AJ33" s="556">
        <f>'Расходы на ЗП ОТ'!AJ33</f>
        <v>0</v>
      </c>
      <c r="AK33" s="556">
        <f>'Расходы на ЗП ОТ'!AK33</f>
        <v>0</v>
      </c>
      <c r="AL33" s="556">
        <f>'Расходы на ЗП ОТ'!AL33</f>
        <v>0</v>
      </c>
      <c r="AM33" s="556">
        <f>'Расходы на ЗП ОТ'!AM33</f>
        <v>0</v>
      </c>
      <c r="AN33" s="556">
        <f>'Расходы на ЗП ОТ'!AN33</f>
        <v>0</v>
      </c>
      <c r="AO33" s="556">
        <f>'Расходы на ЗП ОТ'!AO33</f>
        <v>0</v>
      </c>
      <c r="AP33" s="556">
        <f>'Расходы на ЗП ОТ'!AP33</f>
        <v>0</v>
      </c>
      <c r="AQ33" s="556">
        <f>'Расходы на ЗП ОТ'!AQ33</f>
        <v>0</v>
      </c>
      <c r="AR33" s="556">
        <f>'Расходы на ЗП ОТ'!AR33</f>
        <v>0</v>
      </c>
      <c r="AS33" s="556">
        <f>'Расходы на ЗП ОТ'!AS33</f>
        <v>0</v>
      </c>
      <c r="AT33" s="556">
        <f>'Расходы на ЗП ОТ'!AT33</f>
        <v>0</v>
      </c>
      <c r="AU33" s="556">
        <f>'Расходы на ЗП ОТ'!AU33</f>
        <v>0</v>
      </c>
      <c r="AV33" s="556"/>
      <c r="AW33" s="604"/>
      <c r="AX33" s="604">
        <f t="shared" si="0"/>
        <v>0</v>
      </c>
      <c r="AY33" s="604">
        <f t="shared" si="1"/>
        <v>0</v>
      </c>
      <c r="AZ33" s="604">
        <f t="shared" si="2"/>
        <v>0</v>
      </c>
      <c r="BA33" s="604">
        <f t="shared" si="3"/>
        <v>0</v>
      </c>
      <c r="BB33" s="604">
        <f t="shared" si="4"/>
        <v>0</v>
      </c>
      <c r="BC33" s="604">
        <f t="shared" si="5"/>
        <v>0</v>
      </c>
      <c r="BD33" s="604">
        <f t="shared" si="6"/>
        <v>0</v>
      </c>
      <c r="BE33" s="604">
        <f t="shared" si="7"/>
        <v>0</v>
      </c>
      <c r="BF33" s="604">
        <f t="shared" si="8"/>
        <v>0</v>
      </c>
      <c r="BG33" s="604">
        <f t="shared" si="9"/>
        <v>0</v>
      </c>
      <c r="BH33" s="604">
        <f t="shared" si="10"/>
        <v>0</v>
      </c>
    </row>
    <row r="34" spans="1:60" s="107" customFormat="1" ht="32.25" customHeight="1" x14ac:dyDescent="0.25">
      <c r="A34" s="557" t="s">
        <v>114</v>
      </c>
      <c r="B34" s="557">
        <f>'Расходы на ЗП ОТ'!B34</f>
        <v>0</v>
      </c>
      <c r="C34" s="557">
        <f>'Расходы на ЗП ОТ'!C34</f>
        <v>0</v>
      </c>
      <c r="D34" s="557">
        <f t="shared" ref="D34:F34" si="35">SUM(D29:D33)</f>
        <v>0</v>
      </c>
      <c r="E34" s="557">
        <f>SUM(E29:E33)</f>
        <v>0</v>
      </c>
      <c r="F34" s="557">
        <f t="shared" si="35"/>
        <v>0</v>
      </c>
      <c r="G34" s="557">
        <f t="shared" ref="G34:AQ34" si="36">SUM(G29:G33)</f>
        <v>0</v>
      </c>
      <c r="H34" s="557">
        <f t="shared" si="36"/>
        <v>0</v>
      </c>
      <c r="I34" s="557">
        <f t="shared" si="36"/>
        <v>0</v>
      </c>
      <c r="J34" s="557">
        <f t="shared" si="36"/>
        <v>0</v>
      </c>
      <c r="K34" s="557">
        <f t="shared" si="36"/>
        <v>0</v>
      </c>
      <c r="L34" s="557">
        <f t="shared" si="36"/>
        <v>0</v>
      </c>
      <c r="M34" s="557">
        <f t="shared" si="36"/>
        <v>0</v>
      </c>
      <c r="N34" s="557">
        <f t="shared" si="36"/>
        <v>0</v>
      </c>
      <c r="O34" s="557">
        <f t="shared" si="36"/>
        <v>0</v>
      </c>
      <c r="P34" s="557">
        <f t="shared" si="36"/>
        <v>0</v>
      </c>
      <c r="Q34" s="557">
        <f t="shared" si="36"/>
        <v>0</v>
      </c>
      <c r="R34" s="557">
        <f t="shared" si="36"/>
        <v>0</v>
      </c>
      <c r="S34" s="557">
        <f t="shared" si="36"/>
        <v>0</v>
      </c>
      <c r="T34" s="557">
        <f t="shared" si="36"/>
        <v>0</v>
      </c>
      <c r="U34" s="557">
        <f t="shared" si="36"/>
        <v>0</v>
      </c>
      <c r="V34" s="557">
        <f t="shared" si="36"/>
        <v>0</v>
      </c>
      <c r="W34" s="557">
        <f t="shared" si="36"/>
        <v>0</v>
      </c>
      <c r="X34" s="557">
        <f t="shared" si="36"/>
        <v>0</v>
      </c>
      <c r="Y34" s="557">
        <f t="shared" si="36"/>
        <v>0</v>
      </c>
      <c r="Z34" s="557">
        <f t="shared" si="36"/>
        <v>0</v>
      </c>
      <c r="AA34" s="557">
        <f t="shared" si="36"/>
        <v>0</v>
      </c>
      <c r="AB34" s="557">
        <f t="shared" si="36"/>
        <v>0</v>
      </c>
      <c r="AC34" s="557">
        <f t="shared" si="36"/>
        <v>0</v>
      </c>
      <c r="AD34" s="557">
        <f t="shared" si="36"/>
        <v>0</v>
      </c>
      <c r="AE34" s="557">
        <f t="shared" si="36"/>
        <v>0</v>
      </c>
      <c r="AF34" s="557">
        <f t="shared" si="36"/>
        <v>0</v>
      </c>
      <c r="AG34" s="557">
        <f t="shared" si="36"/>
        <v>0</v>
      </c>
      <c r="AH34" s="557">
        <f t="shared" si="36"/>
        <v>0</v>
      </c>
      <c r="AI34" s="557">
        <f t="shared" si="36"/>
        <v>0</v>
      </c>
      <c r="AJ34" s="557">
        <f t="shared" si="36"/>
        <v>0</v>
      </c>
      <c r="AK34" s="557">
        <f t="shared" si="36"/>
        <v>0</v>
      </c>
      <c r="AL34" s="557">
        <f t="shared" si="36"/>
        <v>0</v>
      </c>
      <c r="AM34" s="557">
        <f t="shared" si="36"/>
        <v>0</v>
      </c>
      <c r="AN34" s="557">
        <f t="shared" si="36"/>
        <v>0</v>
      </c>
      <c r="AO34" s="557">
        <f t="shared" si="36"/>
        <v>0</v>
      </c>
      <c r="AP34" s="557">
        <f t="shared" si="36"/>
        <v>0</v>
      </c>
      <c r="AQ34" s="557">
        <f t="shared" si="36"/>
        <v>0</v>
      </c>
      <c r="AR34" s="557">
        <f t="shared" ref="AR34:AU34" si="37">SUM(AR29:AR33)</f>
        <v>0</v>
      </c>
      <c r="AS34" s="557">
        <f t="shared" si="37"/>
        <v>0</v>
      </c>
      <c r="AT34" s="557">
        <f t="shared" si="37"/>
        <v>0</v>
      </c>
      <c r="AU34" s="557">
        <f t="shared" si="37"/>
        <v>0</v>
      </c>
      <c r="AV34" s="557"/>
      <c r="AW34" s="605"/>
      <c r="AX34" s="605">
        <f t="shared" si="0"/>
        <v>0</v>
      </c>
      <c r="AY34" s="605">
        <f t="shared" si="1"/>
        <v>0</v>
      </c>
      <c r="AZ34" s="605">
        <f t="shared" si="2"/>
        <v>0</v>
      </c>
      <c r="BA34" s="605">
        <f t="shared" si="3"/>
        <v>0</v>
      </c>
      <c r="BB34" s="605">
        <f t="shared" si="4"/>
        <v>0</v>
      </c>
      <c r="BC34" s="605">
        <f t="shared" si="5"/>
        <v>0</v>
      </c>
      <c r="BD34" s="605">
        <f t="shared" si="6"/>
        <v>0</v>
      </c>
      <c r="BE34" s="605">
        <f t="shared" si="7"/>
        <v>0</v>
      </c>
      <c r="BF34" s="605">
        <f t="shared" si="8"/>
        <v>0</v>
      </c>
      <c r="BG34" s="605">
        <f t="shared" si="9"/>
        <v>0</v>
      </c>
      <c r="BH34" s="612">
        <f t="shared" si="10"/>
        <v>0</v>
      </c>
    </row>
    <row r="35" spans="1:60" s="108" customFormat="1" ht="28.5" customHeight="1" x14ac:dyDescent="0.25">
      <c r="A35" s="558" t="s">
        <v>115</v>
      </c>
      <c r="B35" s="558">
        <f>'Расходы на ЗП ОТ'!B35</f>
        <v>0</v>
      </c>
      <c r="C35" s="558">
        <f>'Расходы на ЗП ОТ'!C35</f>
        <v>0</v>
      </c>
      <c r="D35" s="558">
        <f>D34*$B$62</f>
        <v>0</v>
      </c>
      <c r="E35" s="558">
        <f t="shared" ref="E35:AQ35" si="38">E34*$B$62</f>
        <v>0</v>
      </c>
      <c r="F35" s="558">
        <f t="shared" si="38"/>
        <v>0</v>
      </c>
      <c r="G35" s="558">
        <f t="shared" si="38"/>
        <v>0</v>
      </c>
      <c r="H35" s="558">
        <f t="shared" si="38"/>
        <v>0</v>
      </c>
      <c r="I35" s="558">
        <f t="shared" si="38"/>
        <v>0</v>
      </c>
      <c r="J35" s="558">
        <f t="shared" si="38"/>
        <v>0</v>
      </c>
      <c r="K35" s="558">
        <f t="shared" si="38"/>
        <v>0</v>
      </c>
      <c r="L35" s="558">
        <f t="shared" si="38"/>
        <v>0</v>
      </c>
      <c r="M35" s="558">
        <f t="shared" si="38"/>
        <v>0</v>
      </c>
      <c r="N35" s="558">
        <f t="shared" si="38"/>
        <v>0</v>
      </c>
      <c r="O35" s="558">
        <f t="shared" si="38"/>
        <v>0</v>
      </c>
      <c r="P35" s="558">
        <f t="shared" si="38"/>
        <v>0</v>
      </c>
      <c r="Q35" s="558">
        <f t="shared" si="38"/>
        <v>0</v>
      </c>
      <c r="R35" s="558">
        <f t="shared" si="38"/>
        <v>0</v>
      </c>
      <c r="S35" s="558">
        <f t="shared" si="38"/>
        <v>0</v>
      </c>
      <c r="T35" s="558">
        <f t="shared" si="38"/>
        <v>0</v>
      </c>
      <c r="U35" s="558">
        <f t="shared" si="38"/>
        <v>0</v>
      </c>
      <c r="V35" s="558">
        <f t="shared" si="38"/>
        <v>0</v>
      </c>
      <c r="W35" s="558">
        <f t="shared" si="38"/>
        <v>0</v>
      </c>
      <c r="X35" s="558">
        <f t="shared" si="38"/>
        <v>0</v>
      </c>
      <c r="Y35" s="558">
        <f t="shared" si="38"/>
        <v>0</v>
      </c>
      <c r="Z35" s="558">
        <f t="shared" si="38"/>
        <v>0</v>
      </c>
      <c r="AA35" s="558">
        <f t="shared" si="38"/>
        <v>0</v>
      </c>
      <c r="AB35" s="558">
        <f t="shared" si="38"/>
        <v>0</v>
      </c>
      <c r="AC35" s="558">
        <f t="shared" si="38"/>
        <v>0</v>
      </c>
      <c r="AD35" s="558">
        <f t="shared" si="38"/>
        <v>0</v>
      </c>
      <c r="AE35" s="558">
        <f t="shared" si="38"/>
        <v>0</v>
      </c>
      <c r="AF35" s="558">
        <f t="shared" si="38"/>
        <v>0</v>
      </c>
      <c r="AG35" s="558">
        <f t="shared" si="38"/>
        <v>0</v>
      </c>
      <c r="AH35" s="558">
        <f t="shared" si="38"/>
        <v>0</v>
      </c>
      <c r="AI35" s="558">
        <f t="shared" si="38"/>
        <v>0</v>
      </c>
      <c r="AJ35" s="558">
        <f t="shared" si="38"/>
        <v>0</v>
      </c>
      <c r="AK35" s="558">
        <f t="shared" si="38"/>
        <v>0</v>
      </c>
      <c r="AL35" s="558">
        <f t="shared" si="38"/>
        <v>0</v>
      </c>
      <c r="AM35" s="558">
        <f t="shared" si="38"/>
        <v>0</v>
      </c>
      <c r="AN35" s="558">
        <f t="shared" si="38"/>
        <v>0</v>
      </c>
      <c r="AO35" s="558">
        <f t="shared" si="38"/>
        <v>0</v>
      </c>
      <c r="AP35" s="558">
        <f t="shared" si="38"/>
        <v>0</v>
      </c>
      <c r="AQ35" s="558">
        <f t="shared" si="38"/>
        <v>0</v>
      </c>
      <c r="AR35" s="558">
        <f t="shared" ref="AR35:AU35" si="39">AR34*$B$62</f>
        <v>0</v>
      </c>
      <c r="AS35" s="558">
        <f t="shared" si="39"/>
        <v>0</v>
      </c>
      <c r="AT35" s="558">
        <f t="shared" si="39"/>
        <v>0</v>
      </c>
      <c r="AU35" s="558">
        <f t="shared" si="39"/>
        <v>0</v>
      </c>
      <c r="AV35" s="558"/>
      <c r="AW35" s="606"/>
      <c r="AX35" s="606">
        <f t="shared" si="0"/>
        <v>0</v>
      </c>
      <c r="AY35" s="606">
        <f t="shared" si="1"/>
        <v>0</v>
      </c>
      <c r="AZ35" s="606">
        <f t="shared" si="2"/>
        <v>0</v>
      </c>
      <c r="BA35" s="606">
        <f t="shared" si="3"/>
        <v>0</v>
      </c>
      <c r="BB35" s="606">
        <f t="shared" si="4"/>
        <v>0</v>
      </c>
      <c r="BC35" s="606">
        <f t="shared" si="5"/>
        <v>0</v>
      </c>
      <c r="BD35" s="606">
        <f t="shared" si="6"/>
        <v>0</v>
      </c>
      <c r="BE35" s="606">
        <f t="shared" si="7"/>
        <v>0</v>
      </c>
      <c r="BF35" s="606">
        <f t="shared" si="8"/>
        <v>0</v>
      </c>
      <c r="BG35" s="606">
        <f t="shared" si="9"/>
        <v>0</v>
      </c>
      <c r="BH35" s="613">
        <f t="shared" si="10"/>
        <v>0</v>
      </c>
    </row>
    <row r="36" spans="1:60" ht="48" customHeight="1" x14ac:dyDescent="0.25">
      <c r="A36" s="556" t="s">
        <v>131</v>
      </c>
      <c r="B36" s="556"/>
      <c r="C36" s="556"/>
      <c r="D36" s="556"/>
      <c r="E36" s="556"/>
      <c r="F36" s="556"/>
      <c r="G36" s="556"/>
      <c r="H36" s="556"/>
      <c r="I36" s="556"/>
      <c r="J36" s="556"/>
      <c r="K36" s="556"/>
      <c r="L36" s="556"/>
      <c r="M36" s="556"/>
      <c r="N36" s="556"/>
      <c r="O36" s="556"/>
      <c r="P36" s="556"/>
      <c r="Q36" s="556"/>
      <c r="R36" s="556"/>
      <c r="S36" s="556"/>
      <c r="T36" s="556"/>
      <c r="U36" s="556"/>
      <c r="V36" s="556"/>
      <c r="W36" s="556"/>
      <c r="X36" s="556"/>
      <c r="Y36" s="556"/>
      <c r="Z36" s="556"/>
      <c r="AA36" s="556"/>
      <c r="AB36" s="556"/>
      <c r="AC36" s="556"/>
      <c r="AD36" s="556"/>
      <c r="AE36" s="556"/>
      <c r="AF36" s="556"/>
      <c r="AG36" s="556"/>
      <c r="AH36" s="556"/>
      <c r="AI36" s="556"/>
      <c r="AJ36" s="556"/>
      <c r="AK36" s="556"/>
      <c r="AL36" s="556"/>
      <c r="AM36" s="556"/>
      <c r="AN36" s="556"/>
      <c r="AO36" s="556"/>
      <c r="AP36" s="556"/>
      <c r="AQ36" s="556"/>
      <c r="AR36" s="556"/>
      <c r="AS36" s="556"/>
      <c r="AT36" s="556"/>
      <c r="AU36" s="556"/>
      <c r="AV36" s="556"/>
      <c r="AW36" s="604"/>
      <c r="AX36" s="604">
        <f t="shared" si="0"/>
        <v>0</v>
      </c>
      <c r="AY36" s="604">
        <f t="shared" si="1"/>
        <v>0</v>
      </c>
      <c r="AZ36" s="604">
        <f t="shared" si="2"/>
        <v>0</v>
      </c>
      <c r="BA36" s="604">
        <f t="shared" si="3"/>
        <v>0</v>
      </c>
      <c r="BB36" s="604">
        <f t="shared" si="4"/>
        <v>0</v>
      </c>
      <c r="BC36" s="604">
        <f t="shared" si="5"/>
        <v>0</v>
      </c>
      <c r="BD36" s="604">
        <f t="shared" si="6"/>
        <v>0</v>
      </c>
      <c r="BE36" s="604">
        <f t="shared" si="7"/>
        <v>0</v>
      </c>
      <c r="BF36" s="604">
        <f t="shared" si="8"/>
        <v>0</v>
      </c>
      <c r="BG36" s="604">
        <f t="shared" si="9"/>
        <v>0</v>
      </c>
      <c r="BH36" s="604">
        <f t="shared" si="10"/>
        <v>0</v>
      </c>
    </row>
    <row r="37" spans="1:60" x14ac:dyDescent="0.25">
      <c r="A37" s="556" t="s">
        <v>132</v>
      </c>
      <c r="B37" s="556">
        <f>'Расходы на ЗП ОТ'!B37</f>
        <v>0</v>
      </c>
      <c r="C37" s="556">
        <f>'Расходы на ЗП ОТ'!C37</f>
        <v>0</v>
      </c>
      <c r="D37" s="556">
        <f>'Расходы на ЗП ОТ'!D37</f>
        <v>0</v>
      </c>
      <c r="E37" s="556">
        <f>'Расходы на ЗП ОТ'!E37</f>
        <v>0</v>
      </c>
      <c r="F37" s="556">
        <f>'Расходы на ЗП ОТ'!F37</f>
        <v>0</v>
      </c>
      <c r="G37" s="556">
        <f>'Расходы на ЗП ОТ'!G37</f>
        <v>0</v>
      </c>
      <c r="H37" s="556">
        <f>'Расходы на ЗП ОТ'!H37</f>
        <v>0</v>
      </c>
      <c r="I37" s="556">
        <f>'Расходы на ЗП ОТ'!I37</f>
        <v>0</v>
      </c>
      <c r="J37" s="556">
        <f>'Расходы на ЗП ОТ'!J37</f>
        <v>0</v>
      </c>
      <c r="K37" s="556">
        <f>'Расходы на ЗП ОТ'!K37</f>
        <v>0</v>
      </c>
      <c r="L37" s="556">
        <f>'Расходы на ЗП ОТ'!L37</f>
        <v>0</v>
      </c>
      <c r="M37" s="556">
        <f>'Расходы на ЗП ОТ'!M37</f>
        <v>0</v>
      </c>
      <c r="N37" s="556">
        <f>'Расходы на ЗП ОТ'!N37</f>
        <v>0</v>
      </c>
      <c r="O37" s="556">
        <f>'Расходы на ЗП ОТ'!O37</f>
        <v>0</v>
      </c>
      <c r="P37" s="556">
        <f>'Расходы на ЗП ОТ'!P37</f>
        <v>0</v>
      </c>
      <c r="Q37" s="556">
        <f>'Расходы на ЗП ОТ'!Q37</f>
        <v>0</v>
      </c>
      <c r="R37" s="556">
        <f>'Расходы на ЗП ОТ'!R37</f>
        <v>0</v>
      </c>
      <c r="S37" s="556">
        <f>'Расходы на ЗП ОТ'!S37</f>
        <v>0</v>
      </c>
      <c r="T37" s="556">
        <f>'Расходы на ЗП ОТ'!T37</f>
        <v>0</v>
      </c>
      <c r="U37" s="556">
        <f>'Расходы на ЗП ОТ'!U37</f>
        <v>0</v>
      </c>
      <c r="V37" s="556">
        <f>'Расходы на ЗП ОТ'!V37</f>
        <v>0</v>
      </c>
      <c r="W37" s="556">
        <f>'Расходы на ЗП ОТ'!W37</f>
        <v>0</v>
      </c>
      <c r="X37" s="556">
        <f>'Расходы на ЗП ОТ'!X37</f>
        <v>0</v>
      </c>
      <c r="Y37" s="556">
        <f>'Расходы на ЗП ОТ'!Y37</f>
        <v>0</v>
      </c>
      <c r="Z37" s="556">
        <f>'Расходы на ЗП ОТ'!Z37</f>
        <v>0</v>
      </c>
      <c r="AA37" s="556">
        <f>'Расходы на ЗП ОТ'!AA37</f>
        <v>0</v>
      </c>
      <c r="AB37" s="556">
        <f>'Расходы на ЗП ОТ'!AB37</f>
        <v>0</v>
      </c>
      <c r="AC37" s="556">
        <f>'Расходы на ЗП ОТ'!AC37</f>
        <v>0</v>
      </c>
      <c r="AD37" s="556">
        <f>'Расходы на ЗП ОТ'!AD37</f>
        <v>0</v>
      </c>
      <c r="AE37" s="556">
        <f>'Расходы на ЗП ОТ'!AE37</f>
        <v>0</v>
      </c>
      <c r="AF37" s="556">
        <f>'Расходы на ЗП ОТ'!AF37</f>
        <v>0</v>
      </c>
      <c r="AG37" s="556">
        <f>'Расходы на ЗП ОТ'!AG37</f>
        <v>0</v>
      </c>
      <c r="AH37" s="556">
        <f>'Расходы на ЗП ОТ'!AH37</f>
        <v>0</v>
      </c>
      <c r="AI37" s="556">
        <f>'Расходы на ЗП ОТ'!AI37</f>
        <v>0</v>
      </c>
      <c r="AJ37" s="556">
        <f>'Расходы на ЗП ОТ'!AJ37</f>
        <v>0</v>
      </c>
      <c r="AK37" s="556">
        <f>'Расходы на ЗП ОТ'!AK37</f>
        <v>0</v>
      </c>
      <c r="AL37" s="556">
        <f>'Расходы на ЗП ОТ'!AL37</f>
        <v>0</v>
      </c>
      <c r="AM37" s="556">
        <f>'Расходы на ЗП ОТ'!AM37</f>
        <v>0</v>
      </c>
      <c r="AN37" s="556">
        <f>'Расходы на ЗП ОТ'!AN37</f>
        <v>0</v>
      </c>
      <c r="AO37" s="556">
        <f>'Расходы на ЗП ОТ'!AO37</f>
        <v>0</v>
      </c>
      <c r="AP37" s="556">
        <f>'Расходы на ЗП ОТ'!AP37</f>
        <v>0</v>
      </c>
      <c r="AQ37" s="556">
        <f>'Расходы на ЗП ОТ'!AQ37</f>
        <v>0</v>
      </c>
      <c r="AR37" s="556">
        <f>'Расходы на ЗП ОТ'!AR37</f>
        <v>0</v>
      </c>
      <c r="AS37" s="556">
        <f>'Расходы на ЗП ОТ'!AS37</f>
        <v>0</v>
      </c>
      <c r="AT37" s="556">
        <f>'Расходы на ЗП ОТ'!AT37</f>
        <v>0</v>
      </c>
      <c r="AU37" s="556">
        <f>'Расходы на ЗП ОТ'!AU37</f>
        <v>0</v>
      </c>
      <c r="AV37" s="556"/>
      <c r="AW37" s="604"/>
      <c r="AX37" s="604">
        <f t="shared" si="0"/>
        <v>0</v>
      </c>
      <c r="AY37" s="604">
        <f t="shared" si="1"/>
        <v>0</v>
      </c>
      <c r="AZ37" s="604">
        <f t="shared" si="2"/>
        <v>0</v>
      </c>
      <c r="BA37" s="604">
        <f t="shared" si="3"/>
        <v>0</v>
      </c>
      <c r="BB37" s="604">
        <f t="shared" si="4"/>
        <v>0</v>
      </c>
      <c r="BC37" s="604">
        <f t="shared" si="5"/>
        <v>0</v>
      </c>
      <c r="BD37" s="604">
        <f t="shared" si="6"/>
        <v>0</v>
      </c>
      <c r="BE37" s="604">
        <f t="shared" si="7"/>
        <v>0</v>
      </c>
      <c r="BF37" s="604">
        <f t="shared" si="8"/>
        <v>0</v>
      </c>
      <c r="BG37" s="604">
        <f t="shared" si="9"/>
        <v>0</v>
      </c>
      <c r="BH37" s="604">
        <f t="shared" si="10"/>
        <v>0</v>
      </c>
    </row>
    <row r="38" spans="1:60" x14ac:dyDescent="0.25">
      <c r="A38" s="556" t="s">
        <v>133</v>
      </c>
      <c r="B38" s="556">
        <f>'Расходы на ЗП ОТ'!B38</f>
        <v>0</v>
      </c>
      <c r="C38" s="556">
        <f>'Расходы на ЗП ОТ'!C38</f>
        <v>0</v>
      </c>
      <c r="D38" s="556">
        <f>'Расходы на ЗП ОТ'!D38</f>
        <v>0</v>
      </c>
      <c r="E38" s="556">
        <f>'Расходы на ЗП ОТ'!E38</f>
        <v>0</v>
      </c>
      <c r="F38" s="556">
        <f>'Расходы на ЗП ОТ'!F38</f>
        <v>0</v>
      </c>
      <c r="G38" s="556">
        <f>'Расходы на ЗП ОТ'!G38</f>
        <v>0</v>
      </c>
      <c r="H38" s="556">
        <f>'Расходы на ЗП ОТ'!H38</f>
        <v>0</v>
      </c>
      <c r="I38" s="556">
        <f>'Расходы на ЗП ОТ'!I38</f>
        <v>0</v>
      </c>
      <c r="J38" s="556">
        <f>'Расходы на ЗП ОТ'!J38</f>
        <v>0</v>
      </c>
      <c r="K38" s="556">
        <f>'Расходы на ЗП ОТ'!K38</f>
        <v>0</v>
      </c>
      <c r="L38" s="556">
        <f>'Расходы на ЗП ОТ'!L38</f>
        <v>0</v>
      </c>
      <c r="M38" s="556">
        <f>'Расходы на ЗП ОТ'!M38</f>
        <v>0</v>
      </c>
      <c r="N38" s="556">
        <f>'Расходы на ЗП ОТ'!N38</f>
        <v>0</v>
      </c>
      <c r="O38" s="556">
        <f>'Расходы на ЗП ОТ'!O38</f>
        <v>0</v>
      </c>
      <c r="P38" s="556">
        <f>'Расходы на ЗП ОТ'!P38</f>
        <v>0</v>
      </c>
      <c r="Q38" s="556">
        <f>'Расходы на ЗП ОТ'!Q38</f>
        <v>0</v>
      </c>
      <c r="R38" s="556">
        <f>'Расходы на ЗП ОТ'!R38</f>
        <v>0</v>
      </c>
      <c r="S38" s="556">
        <f>'Расходы на ЗП ОТ'!S38</f>
        <v>0</v>
      </c>
      <c r="T38" s="556">
        <f>'Расходы на ЗП ОТ'!T38</f>
        <v>0</v>
      </c>
      <c r="U38" s="556">
        <f>'Расходы на ЗП ОТ'!U38</f>
        <v>0</v>
      </c>
      <c r="V38" s="556">
        <f>'Расходы на ЗП ОТ'!V38</f>
        <v>0</v>
      </c>
      <c r="W38" s="556">
        <f>'Расходы на ЗП ОТ'!W38</f>
        <v>0</v>
      </c>
      <c r="X38" s="556">
        <f>'Расходы на ЗП ОТ'!X38</f>
        <v>0</v>
      </c>
      <c r="Y38" s="556">
        <f>'Расходы на ЗП ОТ'!Y38</f>
        <v>0</v>
      </c>
      <c r="Z38" s="556">
        <f>'Расходы на ЗП ОТ'!Z38</f>
        <v>0</v>
      </c>
      <c r="AA38" s="556">
        <f>'Расходы на ЗП ОТ'!AA38</f>
        <v>0</v>
      </c>
      <c r="AB38" s="556">
        <f>'Расходы на ЗП ОТ'!AB38</f>
        <v>0</v>
      </c>
      <c r="AC38" s="556">
        <f>'Расходы на ЗП ОТ'!AC38</f>
        <v>0</v>
      </c>
      <c r="AD38" s="556">
        <f>'Расходы на ЗП ОТ'!AD38</f>
        <v>0</v>
      </c>
      <c r="AE38" s="556">
        <f>'Расходы на ЗП ОТ'!AE38</f>
        <v>0</v>
      </c>
      <c r="AF38" s="556">
        <f>'Расходы на ЗП ОТ'!AF38</f>
        <v>0</v>
      </c>
      <c r="AG38" s="556">
        <f>'Расходы на ЗП ОТ'!AG38</f>
        <v>0</v>
      </c>
      <c r="AH38" s="556">
        <f>'Расходы на ЗП ОТ'!AH38</f>
        <v>0</v>
      </c>
      <c r="AI38" s="556">
        <f>'Расходы на ЗП ОТ'!AI38</f>
        <v>0</v>
      </c>
      <c r="AJ38" s="556">
        <f>'Расходы на ЗП ОТ'!AJ38</f>
        <v>0</v>
      </c>
      <c r="AK38" s="556">
        <f>'Расходы на ЗП ОТ'!AK38</f>
        <v>0</v>
      </c>
      <c r="AL38" s="556">
        <f>'Расходы на ЗП ОТ'!AL38</f>
        <v>0</v>
      </c>
      <c r="AM38" s="556">
        <f>'Расходы на ЗП ОТ'!AM38</f>
        <v>0</v>
      </c>
      <c r="AN38" s="556">
        <f>'Расходы на ЗП ОТ'!AN38</f>
        <v>0</v>
      </c>
      <c r="AO38" s="556">
        <f>'Расходы на ЗП ОТ'!AO38</f>
        <v>0</v>
      </c>
      <c r="AP38" s="556">
        <f>'Расходы на ЗП ОТ'!AP38</f>
        <v>0</v>
      </c>
      <c r="AQ38" s="556">
        <f>'Расходы на ЗП ОТ'!AQ38</f>
        <v>0</v>
      </c>
      <c r="AR38" s="556">
        <f>'Расходы на ЗП ОТ'!AR38</f>
        <v>0</v>
      </c>
      <c r="AS38" s="556">
        <f>'Расходы на ЗП ОТ'!AS38</f>
        <v>0</v>
      </c>
      <c r="AT38" s="556">
        <f>'Расходы на ЗП ОТ'!AT38</f>
        <v>0</v>
      </c>
      <c r="AU38" s="556">
        <f>'Расходы на ЗП ОТ'!AU38</f>
        <v>0</v>
      </c>
      <c r="AV38" s="556"/>
      <c r="AW38" s="604"/>
      <c r="AX38" s="604">
        <f t="shared" si="0"/>
        <v>0</v>
      </c>
      <c r="AY38" s="604">
        <f t="shared" si="1"/>
        <v>0</v>
      </c>
      <c r="AZ38" s="604">
        <f t="shared" si="2"/>
        <v>0</v>
      </c>
      <c r="BA38" s="604">
        <f t="shared" si="3"/>
        <v>0</v>
      </c>
      <c r="BB38" s="604">
        <f t="shared" si="4"/>
        <v>0</v>
      </c>
      <c r="BC38" s="604">
        <f t="shared" si="5"/>
        <v>0</v>
      </c>
      <c r="BD38" s="604">
        <f t="shared" si="6"/>
        <v>0</v>
      </c>
      <c r="BE38" s="604">
        <f t="shared" si="7"/>
        <v>0</v>
      </c>
      <c r="BF38" s="604">
        <f t="shared" si="8"/>
        <v>0</v>
      </c>
      <c r="BG38" s="604">
        <f t="shared" si="9"/>
        <v>0</v>
      </c>
      <c r="BH38" s="604">
        <f t="shared" si="10"/>
        <v>0</v>
      </c>
    </row>
    <row r="39" spans="1:60" x14ac:dyDescent="0.25">
      <c r="A39" s="556" t="s">
        <v>134</v>
      </c>
      <c r="B39" s="556">
        <f>'Расходы на ЗП ОТ'!B39</f>
        <v>0</v>
      </c>
      <c r="C39" s="556">
        <f>'Расходы на ЗП ОТ'!C39</f>
        <v>0</v>
      </c>
      <c r="D39" s="556">
        <f>'Расходы на ЗП ОТ'!D39</f>
        <v>0</v>
      </c>
      <c r="E39" s="556">
        <f>'Расходы на ЗП ОТ'!E39</f>
        <v>0</v>
      </c>
      <c r="F39" s="556">
        <f>'Расходы на ЗП ОТ'!F39</f>
        <v>0</v>
      </c>
      <c r="G39" s="556">
        <f>'Расходы на ЗП ОТ'!G39</f>
        <v>0</v>
      </c>
      <c r="H39" s="556">
        <f>'Расходы на ЗП ОТ'!H39</f>
        <v>0</v>
      </c>
      <c r="I39" s="556">
        <f>'Расходы на ЗП ОТ'!I39</f>
        <v>0</v>
      </c>
      <c r="J39" s="556">
        <f>'Расходы на ЗП ОТ'!J39</f>
        <v>0</v>
      </c>
      <c r="K39" s="556">
        <f>'Расходы на ЗП ОТ'!K39</f>
        <v>0</v>
      </c>
      <c r="L39" s="556">
        <f>'Расходы на ЗП ОТ'!L39</f>
        <v>0</v>
      </c>
      <c r="M39" s="556">
        <f>'Расходы на ЗП ОТ'!M39</f>
        <v>0</v>
      </c>
      <c r="N39" s="556">
        <f>'Расходы на ЗП ОТ'!N39</f>
        <v>0</v>
      </c>
      <c r="O39" s="556">
        <f>'Расходы на ЗП ОТ'!O39</f>
        <v>0</v>
      </c>
      <c r="P39" s="556">
        <f>'Расходы на ЗП ОТ'!P39</f>
        <v>0</v>
      </c>
      <c r="Q39" s="556">
        <f>'Расходы на ЗП ОТ'!Q39</f>
        <v>0</v>
      </c>
      <c r="R39" s="556">
        <f>'Расходы на ЗП ОТ'!R39</f>
        <v>0</v>
      </c>
      <c r="S39" s="556">
        <f>'Расходы на ЗП ОТ'!S39</f>
        <v>0</v>
      </c>
      <c r="T39" s="556">
        <f>'Расходы на ЗП ОТ'!T39</f>
        <v>0</v>
      </c>
      <c r="U39" s="556">
        <f>'Расходы на ЗП ОТ'!U39</f>
        <v>0</v>
      </c>
      <c r="V39" s="556">
        <f>'Расходы на ЗП ОТ'!V39</f>
        <v>0</v>
      </c>
      <c r="W39" s="556">
        <f>'Расходы на ЗП ОТ'!W39</f>
        <v>0</v>
      </c>
      <c r="X39" s="556">
        <f>'Расходы на ЗП ОТ'!X39</f>
        <v>0</v>
      </c>
      <c r="Y39" s="556">
        <f>'Расходы на ЗП ОТ'!Y39</f>
        <v>0</v>
      </c>
      <c r="Z39" s="556">
        <f>'Расходы на ЗП ОТ'!Z39</f>
        <v>0</v>
      </c>
      <c r="AA39" s="556">
        <f>'Расходы на ЗП ОТ'!AA39</f>
        <v>0</v>
      </c>
      <c r="AB39" s="556">
        <f>'Расходы на ЗП ОТ'!AB39</f>
        <v>0</v>
      </c>
      <c r="AC39" s="556">
        <f>'Расходы на ЗП ОТ'!AC39</f>
        <v>0</v>
      </c>
      <c r="AD39" s="556">
        <f>'Расходы на ЗП ОТ'!AD39</f>
        <v>0</v>
      </c>
      <c r="AE39" s="556">
        <f>'Расходы на ЗП ОТ'!AE39</f>
        <v>0</v>
      </c>
      <c r="AF39" s="556">
        <f>'Расходы на ЗП ОТ'!AF39</f>
        <v>0</v>
      </c>
      <c r="AG39" s="556">
        <f>'Расходы на ЗП ОТ'!AG39</f>
        <v>0</v>
      </c>
      <c r="AH39" s="556">
        <f>'Расходы на ЗП ОТ'!AH39</f>
        <v>0</v>
      </c>
      <c r="AI39" s="556">
        <f>'Расходы на ЗП ОТ'!AI39</f>
        <v>0</v>
      </c>
      <c r="AJ39" s="556">
        <f>'Расходы на ЗП ОТ'!AJ39</f>
        <v>0</v>
      </c>
      <c r="AK39" s="556">
        <f>'Расходы на ЗП ОТ'!AK39</f>
        <v>0</v>
      </c>
      <c r="AL39" s="556">
        <f>'Расходы на ЗП ОТ'!AL39</f>
        <v>0</v>
      </c>
      <c r="AM39" s="556">
        <f>'Расходы на ЗП ОТ'!AM39</f>
        <v>0</v>
      </c>
      <c r="AN39" s="556">
        <f>'Расходы на ЗП ОТ'!AN39</f>
        <v>0</v>
      </c>
      <c r="AO39" s="556">
        <f>'Расходы на ЗП ОТ'!AO39</f>
        <v>0</v>
      </c>
      <c r="AP39" s="556">
        <f>'Расходы на ЗП ОТ'!AP39</f>
        <v>0</v>
      </c>
      <c r="AQ39" s="556">
        <f>'Расходы на ЗП ОТ'!AQ39</f>
        <v>0</v>
      </c>
      <c r="AR39" s="556">
        <f>'Расходы на ЗП ОТ'!AR39</f>
        <v>0</v>
      </c>
      <c r="AS39" s="556">
        <f>'Расходы на ЗП ОТ'!AS39</f>
        <v>0</v>
      </c>
      <c r="AT39" s="556">
        <f>'Расходы на ЗП ОТ'!AT39</f>
        <v>0</v>
      </c>
      <c r="AU39" s="556">
        <f>'Расходы на ЗП ОТ'!AU39</f>
        <v>0</v>
      </c>
      <c r="AV39" s="556"/>
      <c r="AW39" s="604"/>
      <c r="AX39" s="604">
        <f t="shared" si="0"/>
        <v>0</v>
      </c>
      <c r="AY39" s="604">
        <f t="shared" si="1"/>
        <v>0</v>
      </c>
      <c r="AZ39" s="604">
        <f t="shared" si="2"/>
        <v>0</v>
      </c>
      <c r="BA39" s="604">
        <f t="shared" si="3"/>
        <v>0</v>
      </c>
      <c r="BB39" s="604">
        <f t="shared" si="4"/>
        <v>0</v>
      </c>
      <c r="BC39" s="604">
        <f t="shared" si="5"/>
        <v>0</v>
      </c>
      <c r="BD39" s="604">
        <f t="shared" si="6"/>
        <v>0</v>
      </c>
      <c r="BE39" s="604">
        <f t="shared" si="7"/>
        <v>0</v>
      </c>
      <c r="BF39" s="604">
        <f t="shared" si="8"/>
        <v>0</v>
      </c>
      <c r="BG39" s="604">
        <f t="shared" si="9"/>
        <v>0</v>
      </c>
      <c r="BH39" s="604">
        <f t="shared" si="10"/>
        <v>0</v>
      </c>
    </row>
    <row r="40" spans="1:60" x14ac:dyDescent="0.25">
      <c r="A40" s="556" t="s">
        <v>135</v>
      </c>
      <c r="B40" s="556">
        <f>'Расходы на ЗП ОТ'!B40</f>
        <v>0</v>
      </c>
      <c r="C40" s="556">
        <f>'Расходы на ЗП ОТ'!C40</f>
        <v>0</v>
      </c>
      <c r="D40" s="556">
        <f>'Расходы на ЗП ОТ'!D40</f>
        <v>0</v>
      </c>
      <c r="E40" s="556">
        <f>'Расходы на ЗП ОТ'!E40</f>
        <v>0</v>
      </c>
      <c r="F40" s="556">
        <f>'Расходы на ЗП ОТ'!F40</f>
        <v>0</v>
      </c>
      <c r="G40" s="556">
        <f>'Расходы на ЗП ОТ'!G40</f>
        <v>0</v>
      </c>
      <c r="H40" s="556">
        <f>'Расходы на ЗП ОТ'!H40</f>
        <v>0</v>
      </c>
      <c r="I40" s="556">
        <f>'Расходы на ЗП ОТ'!I40</f>
        <v>0</v>
      </c>
      <c r="J40" s="556">
        <f>'Расходы на ЗП ОТ'!J40</f>
        <v>0</v>
      </c>
      <c r="K40" s="556">
        <f>'Расходы на ЗП ОТ'!K40</f>
        <v>0</v>
      </c>
      <c r="L40" s="556">
        <f>'Расходы на ЗП ОТ'!L40</f>
        <v>0</v>
      </c>
      <c r="M40" s="556">
        <f>'Расходы на ЗП ОТ'!M40</f>
        <v>0</v>
      </c>
      <c r="N40" s="556">
        <f>'Расходы на ЗП ОТ'!N40</f>
        <v>0</v>
      </c>
      <c r="O40" s="556">
        <f>'Расходы на ЗП ОТ'!O40</f>
        <v>0</v>
      </c>
      <c r="P40" s="556">
        <f>'Расходы на ЗП ОТ'!P40</f>
        <v>0</v>
      </c>
      <c r="Q40" s="556">
        <f>'Расходы на ЗП ОТ'!Q40</f>
        <v>0</v>
      </c>
      <c r="R40" s="556">
        <f>'Расходы на ЗП ОТ'!R40</f>
        <v>0</v>
      </c>
      <c r="S40" s="556">
        <f>'Расходы на ЗП ОТ'!S40</f>
        <v>0</v>
      </c>
      <c r="T40" s="556">
        <f>'Расходы на ЗП ОТ'!T40</f>
        <v>0</v>
      </c>
      <c r="U40" s="556">
        <f>'Расходы на ЗП ОТ'!U40</f>
        <v>0</v>
      </c>
      <c r="V40" s="556">
        <f>'Расходы на ЗП ОТ'!V40</f>
        <v>0</v>
      </c>
      <c r="W40" s="556">
        <f>'Расходы на ЗП ОТ'!W40</f>
        <v>0</v>
      </c>
      <c r="X40" s="556">
        <f>'Расходы на ЗП ОТ'!X40</f>
        <v>0</v>
      </c>
      <c r="Y40" s="556">
        <f>'Расходы на ЗП ОТ'!Y40</f>
        <v>0</v>
      </c>
      <c r="Z40" s="556">
        <f>'Расходы на ЗП ОТ'!Z40</f>
        <v>0</v>
      </c>
      <c r="AA40" s="556">
        <f>'Расходы на ЗП ОТ'!AA40</f>
        <v>0</v>
      </c>
      <c r="AB40" s="556">
        <f>'Расходы на ЗП ОТ'!AB40</f>
        <v>0</v>
      </c>
      <c r="AC40" s="556">
        <f>'Расходы на ЗП ОТ'!AC40</f>
        <v>0</v>
      </c>
      <c r="AD40" s="556">
        <f>'Расходы на ЗП ОТ'!AD40</f>
        <v>0</v>
      </c>
      <c r="AE40" s="556">
        <f>'Расходы на ЗП ОТ'!AE40</f>
        <v>0</v>
      </c>
      <c r="AF40" s="556">
        <f>'Расходы на ЗП ОТ'!AF40</f>
        <v>0</v>
      </c>
      <c r="AG40" s="556">
        <f>'Расходы на ЗП ОТ'!AG40</f>
        <v>0</v>
      </c>
      <c r="AH40" s="556">
        <f>'Расходы на ЗП ОТ'!AH40</f>
        <v>0</v>
      </c>
      <c r="AI40" s="556">
        <f>'Расходы на ЗП ОТ'!AI40</f>
        <v>0</v>
      </c>
      <c r="AJ40" s="556">
        <f>'Расходы на ЗП ОТ'!AJ40</f>
        <v>0</v>
      </c>
      <c r="AK40" s="556">
        <f>'Расходы на ЗП ОТ'!AK40</f>
        <v>0</v>
      </c>
      <c r="AL40" s="556">
        <f>'Расходы на ЗП ОТ'!AL40</f>
        <v>0</v>
      </c>
      <c r="AM40" s="556">
        <f>'Расходы на ЗП ОТ'!AM40</f>
        <v>0</v>
      </c>
      <c r="AN40" s="556">
        <f>'Расходы на ЗП ОТ'!AN40</f>
        <v>0</v>
      </c>
      <c r="AO40" s="556">
        <f>'Расходы на ЗП ОТ'!AO40</f>
        <v>0</v>
      </c>
      <c r="AP40" s="556">
        <f>'Расходы на ЗП ОТ'!AP40</f>
        <v>0</v>
      </c>
      <c r="AQ40" s="556">
        <f>'Расходы на ЗП ОТ'!AQ40</f>
        <v>0</v>
      </c>
      <c r="AR40" s="556">
        <f>'Расходы на ЗП ОТ'!AR40</f>
        <v>0</v>
      </c>
      <c r="AS40" s="556">
        <f>'Расходы на ЗП ОТ'!AS40</f>
        <v>0</v>
      </c>
      <c r="AT40" s="556">
        <f>'Расходы на ЗП ОТ'!AT40</f>
        <v>0</v>
      </c>
      <c r="AU40" s="556">
        <f>'Расходы на ЗП ОТ'!AU40</f>
        <v>0</v>
      </c>
      <c r="AV40" s="556"/>
      <c r="AW40" s="604"/>
      <c r="AX40" s="604">
        <f t="shared" si="0"/>
        <v>0</v>
      </c>
      <c r="AY40" s="604">
        <f t="shared" si="1"/>
        <v>0</v>
      </c>
      <c r="AZ40" s="604">
        <f t="shared" si="2"/>
        <v>0</v>
      </c>
      <c r="BA40" s="604">
        <f t="shared" si="3"/>
        <v>0</v>
      </c>
      <c r="BB40" s="604">
        <f t="shared" si="4"/>
        <v>0</v>
      </c>
      <c r="BC40" s="604">
        <f t="shared" si="5"/>
        <v>0</v>
      </c>
      <c r="BD40" s="604">
        <f t="shared" si="6"/>
        <v>0</v>
      </c>
      <c r="BE40" s="604">
        <f t="shared" si="7"/>
        <v>0</v>
      </c>
      <c r="BF40" s="604">
        <f t="shared" si="8"/>
        <v>0</v>
      </c>
      <c r="BG40" s="604">
        <f t="shared" si="9"/>
        <v>0</v>
      </c>
      <c r="BH40" s="604">
        <f t="shared" si="10"/>
        <v>0</v>
      </c>
    </row>
    <row r="41" spans="1:60" x14ac:dyDescent="0.25">
      <c r="A41" s="556" t="s">
        <v>136</v>
      </c>
      <c r="B41" s="556">
        <f>'Расходы на ЗП ОТ'!B41</f>
        <v>0</v>
      </c>
      <c r="C41" s="556">
        <f>'Расходы на ЗП ОТ'!C41</f>
        <v>0</v>
      </c>
      <c r="D41" s="556">
        <f>'Расходы на ЗП ОТ'!D41</f>
        <v>0</v>
      </c>
      <c r="E41" s="556">
        <f>'Расходы на ЗП ОТ'!E41</f>
        <v>0</v>
      </c>
      <c r="F41" s="556">
        <f>'Расходы на ЗП ОТ'!F41</f>
        <v>0</v>
      </c>
      <c r="G41" s="556">
        <f>'Расходы на ЗП ОТ'!G41</f>
        <v>0</v>
      </c>
      <c r="H41" s="556">
        <f>'Расходы на ЗП ОТ'!H41</f>
        <v>0</v>
      </c>
      <c r="I41" s="556">
        <f>'Расходы на ЗП ОТ'!I41</f>
        <v>0</v>
      </c>
      <c r="J41" s="556">
        <f>'Расходы на ЗП ОТ'!J41</f>
        <v>0</v>
      </c>
      <c r="K41" s="556">
        <f>'Расходы на ЗП ОТ'!K41</f>
        <v>0</v>
      </c>
      <c r="L41" s="556">
        <f>'Расходы на ЗП ОТ'!L41</f>
        <v>0</v>
      </c>
      <c r="M41" s="556">
        <f>'Расходы на ЗП ОТ'!M41</f>
        <v>0</v>
      </c>
      <c r="N41" s="556">
        <f>'Расходы на ЗП ОТ'!N41</f>
        <v>0</v>
      </c>
      <c r="O41" s="556">
        <f>'Расходы на ЗП ОТ'!O41</f>
        <v>0</v>
      </c>
      <c r="P41" s="556">
        <f>'Расходы на ЗП ОТ'!P41</f>
        <v>0</v>
      </c>
      <c r="Q41" s="556">
        <f>'Расходы на ЗП ОТ'!Q41</f>
        <v>0</v>
      </c>
      <c r="R41" s="556">
        <f>'Расходы на ЗП ОТ'!R41</f>
        <v>0</v>
      </c>
      <c r="S41" s="556">
        <f>'Расходы на ЗП ОТ'!S41</f>
        <v>0</v>
      </c>
      <c r="T41" s="556">
        <f>'Расходы на ЗП ОТ'!T41</f>
        <v>0</v>
      </c>
      <c r="U41" s="556">
        <f>'Расходы на ЗП ОТ'!U41</f>
        <v>0</v>
      </c>
      <c r="V41" s="556">
        <f>'Расходы на ЗП ОТ'!V41</f>
        <v>0</v>
      </c>
      <c r="W41" s="556">
        <f>'Расходы на ЗП ОТ'!W41</f>
        <v>0</v>
      </c>
      <c r="X41" s="556">
        <f>'Расходы на ЗП ОТ'!X41</f>
        <v>0</v>
      </c>
      <c r="Y41" s="556">
        <f>'Расходы на ЗП ОТ'!Y41</f>
        <v>0</v>
      </c>
      <c r="Z41" s="556">
        <f>'Расходы на ЗП ОТ'!Z41</f>
        <v>0</v>
      </c>
      <c r="AA41" s="556">
        <f>'Расходы на ЗП ОТ'!AA41</f>
        <v>0</v>
      </c>
      <c r="AB41" s="556">
        <f>'Расходы на ЗП ОТ'!AB41</f>
        <v>0</v>
      </c>
      <c r="AC41" s="556">
        <f>'Расходы на ЗП ОТ'!AC41</f>
        <v>0</v>
      </c>
      <c r="AD41" s="556">
        <f>'Расходы на ЗП ОТ'!AD41</f>
        <v>0</v>
      </c>
      <c r="AE41" s="556">
        <f>'Расходы на ЗП ОТ'!AE41</f>
        <v>0</v>
      </c>
      <c r="AF41" s="556">
        <f>'Расходы на ЗП ОТ'!AF41</f>
        <v>0</v>
      </c>
      <c r="AG41" s="556">
        <f>'Расходы на ЗП ОТ'!AG41</f>
        <v>0</v>
      </c>
      <c r="AH41" s="556">
        <f>'Расходы на ЗП ОТ'!AH41</f>
        <v>0</v>
      </c>
      <c r="AI41" s="556">
        <f>'Расходы на ЗП ОТ'!AI41</f>
        <v>0</v>
      </c>
      <c r="AJ41" s="556">
        <f>'Расходы на ЗП ОТ'!AJ41</f>
        <v>0</v>
      </c>
      <c r="AK41" s="556">
        <f>'Расходы на ЗП ОТ'!AK41</f>
        <v>0</v>
      </c>
      <c r="AL41" s="556">
        <f>'Расходы на ЗП ОТ'!AL41</f>
        <v>0</v>
      </c>
      <c r="AM41" s="556">
        <f>'Расходы на ЗП ОТ'!AM41</f>
        <v>0</v>
      </c>
      <c r="AN41" s="556">
        <f>'Расходы на ЗП ОТ'!AN41</f>
        <v>0</v>
      </c>
      <c r="AO41" s="556">
        <f>'Расходы на ЗП ОТ'!AO41</f>
        <v>0</v>
      </c>
      <c r="AP41" s="556">
        <f>'Расходы на ЗП ОТ'!AP41</f>
        <v>0</v>
      </c>
      <c r="AQ41" s="556">
        <f>'Расходы на ЗП ОТ'!AQ41</f>
        <v>0</v>
      </c>
      <c r="AR41" s="556">
        <f>'Расходы на ЗП ОТ'!AR41</f>
        <v>0</v>
      </c>
      <c r="AS41" s="556">
        <f>'Расходы на ЗП ОТ'!AS41</f>
        <v>0</v>
      </c>
      <c r="AT41" s="556">
        <f>'Расходы на ЗП ОТ'!AT41</f>
        <v>0</v>
      </c>
      <c r="AU41" s="556">
        <f>'Расходы на ЗП ОТ'!AU41</f>
        <v>0</v>
      </c>
      <c r="AV41" s="556"/>
      <c r="AW41" s="604"/>
      <c r="AX41" s="604">
        <f t="shared" si="0"/>
        <v>0</v>
      </c>
      <c r="AY41" s="604">
        <f t="shared" si="1"/>
        <v>0</v>
      </c>
      <c r="AZ41" s="604">
        <f t="shared" si="2"/>
        <v>0</v>
      </c>
      <c r="BA41" s="604">
        <f t="shared" si="3"/>
        <v>0</v>
      </c>
      <c r="BB41" s="604">
        <f t="shared" si="4"/>
        <v>0</v>
      </c>
      <c r="BC41" s="604">
        <f t="shared" si="5"/>
        <v>0</v>
      </c>
      <c r="BD41" s="604">
        <f t="shared" si="6"/>
        <v>0</v>
      </c>
      <c r="BE41" s="604">
        <f t="shared" si="7"/>
        <v>0</v>
      </c>
      <c r="BF41" s="604">
        <f t="shared" si="8"/>
        <v>0</v>
      </c>
      <c r="BG41" s="604">
        <f t="shared" si="9"/>
        <v>0</v>
      </c>
      <c r="BH41" s="604">
        <f t="shared" si="10"/>
        <v>0</v>
      </c>
    </row>
    <row r="42" spans="1:60" x14ac:dyDescent="0.25">
      <c r="A42" s="556" t="s">
        <v>137</v>
      </c>
      <c r="B42" s="556">
        <f>'Расходы на ЗП ОТ'!B42</f>
        <v>0</v>
      </c>
      <c r="C42" s="556">
        <f>'Расходы на ЗП ОТ'!C42</f>
        <v>0</v>
      </c>
      <c r="D42" s="556">
        <f>'Расходы на ЗП ОТ'!D42</f>
        <v>0</v>
      </c>
      <c r="E42" s="556">
        <f>'Расходы на ЗП ОТ'!E42</f>
        <v>0</v>
      </c>
      <c r="F42" s="556">
        <f>'Расходы на ЗП ОТ'!F42</f>
        <v>0</v>
      </c>
      <c r="G42" s="556">
        <f>'Расходы на ЗП ОТ'!G42</f>
        <v>0</v>
      </c>
      <c r="H42" s="556">
        <f>'Расходы на ЗП ОТ'!H42</f>
        <v>0</v>
      </c>
      <c r="I42" s="556">
        <f>'Расходы на ЗП ОТ'!I42</f>
        <v>0</v>
      </c>
      <c r="J42" s="556">
        <f>'Расходы на ЗП ОТ'!J42</f>
        <v>0</v>
      </c>
      <c r="K42" s="556">
        <f>'Расходы на ЗП ОТ'!K42</f>
        <v>0</v>
      </c>
      <c r="L42" s="556">
        <f>'Расходы на ЗП ОТ'!L42</f>
        <v>0</v>
      </c>
      <c r="M42" s="556">
        <f>'Расходы на ЗП ОТ'!M42</f>
        <v>0</v>
      </c>
      <c r="N42" s="556">
        <f>'Расходы на ЗП ОТ'!N42</f>
        <v>0</v>
      </c>
      <c r="O42" s="556">
        <f>'Расходы на ЗП ОТ'!O42</f>
        <v>0</v>
      </c>
      <c r="P42" s="556">
        <f>'Расходы на ЗП ОТ'!P42</f>
        <v>0</v>
      </c>
      <c r="Q42" s="556">
        <f>'Расходы на ЗП ОТ'!Q42</f>
        <v>0</v>
      </c>
      <c r="R42" s="556">
        <f>'Расходы на ЗП ОТ'!R42</f>
        <v>0</v>
      </c>
      <c r="S42" s="556">
        <f>'Расходы на ЗП ОТ'!S42</f>
        <v>0</v>
      </c>
      <c r="T42" s="556">
        <f>'Расходы на ЗП ОТ'!T42</f>
        <v>0</v>
      </c>
      <c r="U42" s="556">
        <f>'Расходы на ЗП ОТ'!U42</f>
        <v>0</v>
      </c>
      <c r="V42" s="556">
        <f>'Расходы на ЗП ОТ'!V42</f>
        <v>0</v>
      </c>
      <c r="W42" s="556">
        <f>'Расходы на ЗП ОТ'!W42</f>
        <v>0</v>
      </c>
      <c r="X42" s="556">
        <f>'Расходы на ЗП ОТ'!X42</f>
        <v>0</v>
      </c>
      <c r="Y42" s="556">
        <f>'Расходы на ЗП ОТ'!Y42</f>
        <v>0</v>
      </c>
      <c r="Z42" s="556">
        <f>'Расходы на ЗП ОТ'!Z42</f>
        <v>0</v>
      </c>
      <c r="AA42" s="556">
        <f>'Расходы на ЗП ОТ'!AA42</f>
        <v>0</v>
      </c>
      <c r="AB42" s="556">
        <f>'Расходы на ЗП ОТ'!AB42</f>
        <v>0</v>
      </c>
      <c r="AC42" s="556">
        <f>'Расходы на ЗП ОТ'!AC42</f>
        <v>0</v>
      </c>
      <c r="AD42" s="556">
        <f>'Расходы на ЗП ОТ'!AD42</f>
        <v>0</v>
      </c>
      <c r="AE42" s="556">
        <f>'Расходы на ЗП ОТ'!AE42</f>
        <v>0</v>
      </c>
      <c r="AF42" s="556">
        <f>'Расходы на ЗП ОТ'!AF42</f>
        <v>0</v>
      </c>
      <c r="AG42" s="556">
        <f>'Расходы на ЗП ОТ'!AG42</f>
        <v>0</v>
      </c>
      <c r="AH42" s="556">
        <f>'Расходы на ЗП ОТ'!AH42</f>
        <v>0</v>
      </c>
      <c r="AI42" s="556">
        <f>'Расходы на ЗП ОТ'!AI42</f>
        <v>0</v>
      </c>
      <c r="AJ42" s="556">
        <f>'Расходы на ЗП ОТ'!AJ42</f>
        <v>0</v>
      </c>
      <c r="AK42" s="556">
        <f>'Расходы на ЗП ОТ'!AK42</f>
        <v>0</v>
      </c>
      <c r="AL42" s="556">
        <f>'Расходы на ЗП ОТ'!AL42</f>
        <v>0</v>
      </c>
      <c r="AM42" s="556">
        <f>'Расходы на ЗП ОТ'!AM42</f>
        <v>0</v>
      </c>
      <c r="AN42" s="556">
        <f>'Расходы на ЗП ОТ'!AN42</f>
        <v>0</v>
      </c>
      <c r="AO42" s="556">
        <f>'Расходы на ЗП ОТ'!AO42</f>
        <v>0</v>
      </c>
      <c r="AP42" s="556">
        <f>'Расходы на ЗП ОТ'!AP42</f>
        <v>0</v>
      </c>
      <c r="AQ42" s="556">
        <f>'Расходы на ЗП ОТ'!AQ42</f>
        <v>0</v>
      </c>
      <c r="AR42" s="556">
        <f>'Расходы на ЗП ОТ'!AR42</f>
        <v>0</v>
      </c>
      <c r="AS42" s="556">
        <f>'Расходы на ЗП ОТ'!AS42</f>
        <v>0</v>
      </c>
      <c r="AT42" s="556">
        <f>'Расходы на ЗП ОТ'!AT42</f>
        <v>0</v>
      </c>
      <c r="AU42" s="556">
        <f>'Расходы на ЗП ОТ'!AU42</f>
        <v>0</v>
      </c>
      <c r="AV42" s="556"/>
      <c r="AW42" s="604"/>
      <c r="AX42" s="604">
        <f t="shared" si="0"/>
        <v>0</v>
      </c>
      <c r="AY42" s="604">
        <f t="shared" si="1"/>
        <v>0</v>
      </c>
      <c r="AZ42" s="604">
        <f t="shared" si="2"/>
        <v>0</v>
      </c>
      <c r="BA42" s="604">
        <f t="shared" si="3"/>
        <v>0</v>
      </c>
      <c r="BB42" s="604">
        <f t="shared" si="4"/>
        <v>0</v>
      </c>
      <c r="BC42" s="604">
        <f t="shared" si="5"/>
        <v>0</v>
      </c>
      <c r="BD42" s="604">
        <f t="shared" si="6"/>
        <v>0</v>
      </c>
      <c r="BE42" s="604">
        <f t="shared" si="7"/>
        <v>0</v>
      </c>
      <c r="BF42" s="604">
        <f t="shared" si="8"/>
        <v>0</v>
      </c>
      <c r="BG42" s="604">
        <f t="shared" si="9"/>
        <v>0</v>
      </c>
      <c r="BH42" s="604">
        <f t="shared" si="10"/>
        <v>0</v>
      </c>
    </row>
    <row r="43" spans="1:60" x14ac:dyDescent="0.25">
      <c r="A43" s="556" t="s">
        <v>138</v>
      </c>
      <c r="B43" s="556">
        <f>'Расходы на ЗП ОТ'!B43</f>
        <v>0</v>
      </c>
      <c r="C43" s="556">
        <f>'Расходы на ЗП ОТ'!C43</f>
        <v>0</v>
      </c>
      <c r="D43" s="556">
        <f>'Расходы на ЗП ОТ'!D43</f>
        <v>0</v>
      </c>
      <c r="E43" s="556">
        <f>'Расходы на ЗП ОТ'!E43</f>
        <v>0</v>
      </c>
      <c r="F43" s="556">
        <f>'Расходы на ЗП ОТ'!F43</f>
        <v>0</v>
      </c>
      <c r="G43" s="556">
        <f>'Расходы на ЗП ОТ'!G43</f>
        <v>0</v>
      </c>
      <c r="H43" s="556">
        <f>'Расходы на ЗП ОТ'!H43</f>
        <v>0</v>
      </c>
      <c r="I43" s="556">
        <f>'Расходы на ЗП ОТ'!I43</f>
        <v>0</v>
      </c>
      <c r="J43" s="556">
        <f>'Расходы на ЗП ОТ'!J43</f>
        <v>0</v>
      </c>
      <c r="K43" s="556">
        <f>'Расходы на ЗП ОТ'!K43</f>
        <v>0</v>
      </c>
      <c r="L43" s="556">
        <f>'Расходы на ЗП ОТ'!L43</f>
        <v>0</v>
      </c>
      <c r="M43" s="556">
        <f>'Расходы на ЗП ОТ'!M43</f>
        <v>0</v>
      </c>
      <c r="N43" s="556">
        <f>'Расходы на ЗП ОТ'!N43</f>
        <v>0</v>
      </c>
      <c r="O43" s="556">
        <f>'Расходы на ЗП ОТ'!O43</f>
        <v>0</v>
      </c>
      <c r="P43" s="556">
        <f>'Расходы на ЗП ОТ'!P43</f>
        <v>0</v>
      </c>
      <c r="Q43" s="556">
        <f>'Расходы на ЗП ОТ'!Q43</f>
        <v>0</v>
      </c>
      <c r="R43" s="556">
        <f>'Расходы на ЗП ОТ'!R43</f>
        <v>0</v>
      </c>
      <c r="S43" s="556">
        <f>'Расходы на ЗП ОТ'!S43</f>
        <v>0</v>
      </c>
      <c r="T43" s="556">
        <f>'Расходы на ЗП ОТ'!T43</f>
        <v>0</v>
      </c>
      <c r="U43" s="556">
        <f>'Расходы на ЗП ОТ'!U43</f>
        <v>0</v>
      </c>
      <c r="V43" s="556">
        <f>'Расходы на ЗП ОТ'!V43</f>
        <v>0</v>
      </c>
      <c r="W43" s="556">
        <f>'Расходы на ЗП ОТ'!W43</f>
        <v>0</v>
      </c>
      <c r="X43" s="556">
        <f>'Расходы на ЗП ОТ'!X43</f>
        <v>0</v>
      </c>
      <c r="Y43" s="556">
        <f>'Расходы на ЗП ОТ'!Y43</f>
        <v>0</v>
      </c>
      <c r="Z43" s="556">
        <f>'Расходы на ЗП ОТ'!Z43</f>
        <v>0</v>
      </c>
      <c r="AA43" s="556">
        <f>'Расходы на ЗП ОТ'!AA43</f>
        <v>0</v>
      </c>
      <c r="AB43" s="556">
        <f>'Расходы на ЗП ОТ'!AB43</f>
        <v>0</v>
      </c>
      <c r="AC43" s="556">
        <f>'Расходы на ЗП ОТ'!AC43</f>
        <v>0</v>
      </c>
      <c r="AD43" s="556">
        <f>'Расходы на ЗП ОТ'!AD43</f>
        <v>0</v>
      </c>
      <c r="AE43" s="556">
        <f>'Расходы на ЗП ОТ'!AE43</f>
        <v>0</v>
      </c>
      <c r="AF43" s="556">
        <f>'Расходы на ЗП ОТ'!AF43</f>
        <v>0</v>
      </c>
      <c r="AG43" s="556">
        <f>'Расходы на ЗП ОТ'!AG43</f>
        <v>0</v>
      </c>
      <c r="AH43" s="556">
        <f>'Расходы на ЗП ОТ'!AH43</f>
        <v>0</v>
      </c>
      <c r="AI43" s="556">
        <f>'Расходы на ЗП ОТ'!AI43</f>
        <v>0</v>
      </c>
      <c r="AJ43" s="556">
        <f>'Расходы на ЗП ОТ'!AJ43</f>
        <v>0</v>
      </c>
      <c r="AK43" s="556">
        <f>'Расходы на ЗП ОТ'!AK43</f>
        <v>0</v>
      </c>
      <c r="AL43" s="556">
        <f>'Расходы на ЗП ОТ'!AL43</f>
        <v>0</v>
      </c>
      <c r="AM43" s="556">
        <f>'Расходы на ЗП ОТ'!AM43</f>
        <v>0</v>
      </c>
      <c r="AN43" s="556">
        <f>'Расходы на ЗП ОТ'!AN43</f>
        <v>0</v>
      </c>
      <c r="AO43" s="556">
        <f>'Расходы на ЗП ОТ'!AO43</f>
        <v>0</v>
      </c>
      <c r="AP43" s="556">
        <f>'Расходы на ЗП ОТ'!AP43</f>
        <v>0</v>
      </c>
      <c r="AQ43" s="556">
        <f>'Расходы на ЗП ОТ'!AQ43</f>
        <v>0</v>
      </c>
      <c r="AR43" s="556">
        <f>'Расходы на ЗП ОТ'!AR43</f>
        <v>0</v>
      </c>
      <c r="AS43" s="556">
        <f>'Расходы на ЗП ОТ'!AS43</f>
        <v>0</v>
      </c>
      <c r="AT43" s="556">
        <f>'Расходы на ЗП ОТ'!AT43</f>
        <v>0</v>
      </c>
      <c r="AU43" s="556">
        <f>'Расходы на ЗП ОТ'!AU43</f>
        <v>0</v>
      </c>
      <c r="AV43" s="556"/>
      <c r="AW43" s="604"/>
      <c r="AX43" s="604">
        <f t="shared" si="0"/>
        <v>0</v>
      </c>
      <c r="AY43" s="604">
        <f t="shared" si="1"/>
        <v>0</v>
      </c>
      <c r="AZ43" s="604">
        <f t="shared" si="2"/>
        <v>0</v>
      </c>
      <c r="BA43" s="604">
        <f t="shared" si="3"/>
        <v>0</v>
      </c>
      <c r="BB43" s="604">
        <f t="shared" si="4"/>
        <v>0</v>
      </c>
      <c r="BC43" s="604">
        <f t="shared" si="5"/>
        <v>0</v>
      </c>
      <c r="BD43" s="604">
        <f t="shared" si="6"/>
        <v>0</v>
      </c>
      <c r="BE43" s="604">
        <f t="shared" si="7"/>
        <v>0</v>
      </c>
      <c r="BF43" s="604">
        <f t="shared" si="8"/>
        <v>0</v>
      </c>
      <c r="BG43" s="604">
        <f t="shared" si="9"/>
        <v>0</v>
      </c>
      <c r="BH43" s="604">
        <f t="shared" si="10"/>
        <v>0</v>
      </c>
    </row>
    <row r="44" spans="1:60" x14ac:dyDescent="0.25">
      <c r="A44" s="556" t="s">
        <v>139</v>
      </c>
      <c r="B44" s="556">
        <f>'Расходы на ЗП ОТ'!B44</f>
        <v>0</v>
      </c>
      <c r="C44" s="556">
        <f>'Расходы на ЗП ОТ'!C44</f>
        <v>0</v>
      </c>
      <c r="D44" s="556">
        <f>'Расходы на ЗП ОТ'!D44</f>
        <v>0</v>
      </c>
      <c r="E44" s="556">
        <f>'Расходы на ЗП ОТ'!E44</f>
        <v>0</v>
      </c>
      <c r="F44" s="556">
        <f>'Расходы на ЗП ОТ'!F44</f>
        <v>0</v>
      </c>
      <c r="G44" s="556">
        <f>'Расходы на ЗП ОТ'!G44</f>
        <v>0</v>
      </c>
      <c r="H44" s="556">
        <f>'Расходы на ЗП ОТ'!H44</f>
        <v>0</v>
      </c>
      <c r="I44" s="556">
        <f>'Расходы на ЗП ОТ'!I44</f>
        <v>0</v>
      </c>
      <c r="J44" s="556">
        <f>'Расходы на ЗП ОТ'!J44</f>
        <v>0</v>
      </c>
      <c r="K44" s="556">
        <f>'Расходы на ЗП ОТ'!K44</f>
        <v>0</v>
      </c>
      <c r="L44" s="556">
        <f>'Расходы на ЗП ОТ'!L44</f>
        <v>0</v>
      </c>
      <c r="M44" s="556">
        <f>'Расходы на ЗП ОТ'!M44</f>
        <v>0</v>
      </c>
      <c r="N44" s="556">
        <f>'Расходы на ЗП ОТ'!N44</f>
        <v>0</v>
      </c>
      <c r="O44" s="556">
        <f>'Расходы на ЗП ОТ'!O44</f>
        <v>0</v>
      </c>
      <c r="P44" s="556">
        <f>'Расходы на ЗП ОТ'!P44</f>
        <v>0</v>
      </c>
      <c r="Q44" s="556">
        <f>'Расходы на ЗП ОТ'!Q44</f>
        <v>0</v>
      </c>
      <c r="R44" s="556">
        <f>'Расходы на ЗП ОТ'!R44</f>
        <v>0</v>
      </c>
      <c r="S44" s="556">
        <f>'Расходы на ЗП ОТ'!S44</f>
        <v>0</v>
      </c>
      <c r="T44" s="556">
        <f>'Расходы на ЗП ОТ'!T44</f>
        <v>0</v>
      </c>
      <c r="U44" s="556">
        <f>'Расходы на ЗП ОТ'!U44</f>
        <v>0</v>
      </c>
      <c r="V44" s="556">
        <f>'Расходы на ЗП ОТ'!V44</f>
        <v>0</v>
      </c>
      <c r="W44" s="556">
        <f>'Расходы на ЗП ОТ'!W44</f>
        <v>0</v>
      </c>
      <c r="X44" s="556">
        <f>'Расходы на ЗП ОТ'!X44</f>
        <v>0</v>
      </c>
      <c r="Y44" s="556">
        <f>'Расходы на ЗП ОТ'!Y44</f>
        <v>0</v>
      </c>
      <c r="Z44" s="556">
        <f>'Расходы на ЗП ОТ'!Z44</f>
        <v>0</v>
      </c>
      <c r="AA44" s="556">
        <f>'Расходы на ЗП ОТ'!AA44</f>
        <v>0</v>
      </c>
      <c r="AB44" s="556">
        <f>'Расходы на ЗП ОТ'!AB44</f>
        <v>0</v>
      </c>
      <c r="AC44" s="556">
        <f>'Расходы на ЗП ОТ'!AC44</f>
        <v>0</v>
      </c>
      <c r="AD44" s="556">
        <f>'Расходы на ЗП ОТ'!AD44</f>
        <v>0</v>
      </c>
      <c r="AE44" s="556">
        <f>'Расходы на ЗП ОТ'!AE44</f>
        <v>0</v>
      </c>
      <c r="AF44" s="556">
        <f>'Расходы на ЗП ОТ'!AF44</f>
        <v>0</v>
      </c>
      <c r="AG44" s="556">
        <f>'Расходы на ЗП ОТ'!AG44</f>
        <v>0</v>
      </c>
      <c r="AH44" s="556">
        <f>'Расходы на ЗП ОТ'!AH44</f>
        <v>0</v>
      </c>
      <c r="AI44" s="556">
        <f>'Расходы на ЗП ОТ'!AI44</f>
        <v>0</v>
      </c>
      <c r="AJ44" s="556">
        <f>'Расходы на ЗП ОТ'!AJ44</f>
        <v>0</v>
      </c>
      <c r="AK44" s="556">
        <f>'Расходы на ЗП ОТ'!AK44</f>
        <v>0</v>
      </c>
      <c r="AL44" s="556">
        <f>'Расходы на ЗП ОТ'!AL44</f>
        <v>0</v>
      </c>
      <c r="AM44" s="556">
        <f>'Расходы на ЗП ОТ'!AM44</f>
        <v>0</v>
      </c>
      <c r="AN44" s="556">
        <f>'Расходы на ЗП ОТ'!AN44</f>
        <v>0</v>
      </c>
      <c r="AO44" s="556">
        <f>'Расходы на ЗП ОТ'!AO44</f>
        <v>0</v>
      </c>
      <c r="AP44" s="556">
        <f>'Расходы на ЗП ОТ'!AP44</f>
        <v>0</v>
      </c>
      <c r="AQ44" s="556">
        <f>'Расходы на ЗП ОТ'!AQ44</f>
        <v>0</v>
      </c>
      <c r="AR44" s="556">
        <f>'Расходы на ЗП ОТ'!AR44</f>
        <v>0</v>
      </c>
      <c r="AS44" s="556">
        <f>'Расходы на ЗП ОТ'!AS44</f>
        <v>0</v>
      </c>
      <c r="AT44" s="556">
        <f>'Расходы на ЗП ОТ'!AT44</f>
        <v>0</v>
      </c>
      <c r="AU44" s="556">
        <f>'Расходы на ЗП ОТ'!AU44</f>
        <v>0</v>
      </c>
      <c r="AV44" s="556"/>
      <c r="AW44" s="604"/>
      <c r="AX44" s="604">
        <f t="shared" si="0"/>
        <v>0</v>
      </c>
      <c r="AY44" s="604">
        <f t="shared" si="1"/>
        <v>0</v>
      </c>
      <c r="AZ44" s="604">
        <f t="shared" si="2"/>
        <v>0</v>
      </c>
      <c r="BA44" s="604">
        <f t="shared" si="3"/>
        <v>0</v>
      </c>
      <c r="BB44" s="604">
        <f t="shared" si="4"/>
        <v>0</v>
      </c>
      <c r="BC44" s="604">
        <f t="shared" si="5"/>
        <v>0</v>
      </c>
      <c r="BD44" s="604">
        <f t="shared" si="6"/>
        <v>0</v>
      </c>
      <c r="BE44" s="604">
        <f t="shared" si="7"/>
        <v>0</v>
      </c>
      <c r="BF44" s="604">
        <f t="shared" si="8"/>
        <v>0</v>
      </c>
      <c r="BG44" s="604">
        <f t="shared" si="9"/>
        <v>0</v>
      </c>
      <c r="BH44" s="604">
        <f t="shared" si="10"/>
        <v>0</v>
      </c>
    </row>
    <row r="45" spans="1:60" x14ac:dyDescent="0.25">
      <c r="A45" s="556" t="s">
        <v>140</v>
      </c>
      <c r="B45" s="556">
        <f>'Расходы на ЗП ОТ'!B45</f>
        <v>0</v>
      </c>
      <c r="C45" s="556">
        <f>'Расходы на ЗП ОТ'!C45</f>
        <v>0</v>
      </c>
      <c r="D45" s="556">
        <f>'Расходы на ЗП ОТ'!D45</f>
        <v>0</v>
      </c>
      <c r="E45" s="556">
        <f>'Расходы на ЗП ОТ'!E45</f>
        <v>0</v>
      </c>
      <c r="F45" s="556">
        <f>'Расходы на ЗП ОТ'!F45</f>
        <v>0</v>
      </c>
      <c r="G45" s="556">
        <f>'Расходы на ЗП ОТ'!G45</f>
        <v>0</v>
      </c>
      <c r="H45" s="556">
        <f>'Расходы на ЗП ОТ'!H45</f>
        <v>0</v>
      </c>
      <c r="I45" s="556">
        <f>'Расходы на ЗП ОТ'!I45</f>
        <v>0</v>
      </c>
      <c r="J45" s="556">
        <f>'Расходы на ЗП ОТ'!J45</f>
        <v>0</v>
      </c>
      <c r="K45" s="556">
        <f>'Расходы на ЗП ОТ'!K45</f>
        <v>0</v>
      </c>
      <c r="L45" s="556">
        <f>'Расходы на ЗП ОТ'!L45</f>
        <v>0</v>
      </c>
      <c r="M45" s="556">
        <f>'Расходы на ЗП ОТ'!M45</f>
        <v>0</v>
      </c>
      <c r="N45" s="556">
        <f>'Расходы на ЗП ОТ'!N45</f>
        <v>0</v>
      </c>
      <c r="O45" s="556">
        <f>'Расходы на ЗП ОТ'!O45</f>
        <v>0</v>
      </c>
      <c r="P45" s="556">
        <f>'Расходы на ЗП ОТ'!P45</f>
        <v>0</v>
      </c>
      <c r="Q45" s="556">
        <f>'Расходы на ЗП ОТ'!Q45</f>
        <v>0</v>
      </c>
      <c r="R45" s="556">
        <f>'Расходы на ЗП ОТ'!R45</f>
        <v>0</v>
      </c>
      <c r="S45" s="556">
        <f>'Расходы на ЗП ОТ'!S45</f>
        <v>0</v>
      </c>
      <c r="T45" s="556">
        <f>'Расходы на ЗП ОТ'!T45</f>
        <v>0</v>
      </c>
      <c r="U45" s="556">
        <f>'Расходы на ЗП ОТ'!U45</f>
        <v>0</v>
      </c>
      <c r="V45" s="556">
        <f>'Расходы на ЗП ОТ'!V45</f>
        <v>0</v>
      </c>
      <c r="W45" s="556">
        <f>'Расходы на ЗП ОТ'!W45</f>
        <v>0</v>
      </c>
      <c r="X45" s="556">
        <f>'Расходы на ЗП ОТ'!X45</f>
        <v>0</v>
      </c>
      <c r="Y45" s="556">
        <f>'Расходы на ЗП ОТ'!Y45</f>
        <v>0</v>
      </c>
      <c r="Z45" s="556">
        <f>'Расходы на ЗП ОТ'!Z45</f>
        <v>0</v>
      </c>
      <c r="AA45" s="556">
        <f>'Расходы на ЗП ОТ'!AA45</f>
        <v>0</v>
      </c>
      <c r="AB45" s="556">
        <f>'Расходы на ЗП ОТ'!AB45</f>
        <v>0</v>
      </c>
      <c r="AC45" s="556">
        <f>'Расходы на ЗП ОТ'!AC45</f>
        <v>0</v>
      </c>
      <c r="AD45" s="556">
        <f>'Расходы на ЗП ОТ'!AD45</f>
        <v>0</v>
      </c>
      <c r="AE45" s="556">
        <f>'Расходы на ЗП ОТ'!AE45</f>
        <v>0</v>
      </c>
      <c r="AF45" s="556">
        <f>'Расходы на ЗП ОТ'!AF45</f>
        <v>0</v>
      </c>
      <c r="AG45" s="556">
        <f>'Расходы на ЗП ОТ'!AG45</f>
        <v>0</v>
      </c>
      <c r="AH45" s="556">
        <f>'Расходы на ЗП ОТ'!AH45</f>
        <v>0</v>
      </c>
      <c r="AI45" s="556">
        <f>'Расходы на ЗП ОТ'!AI45</f>
        <v>0</v>
      </c>
      <c r="AJ45" s="556">
        <f>'Расходы на ЗП ОТ'!AJ45</f>
        <v>0</v>
      </c>
      <c r="AK45" s="556">
        <f>'Расходы на ЗП ОТ'!AK45</f>
        <v>0</v>
      </c>
      <c r="AL45" s="556">
        <f>'Расходы на ЗП ОТ'!AL45</f>
        <v>0</v>
      </c>
      <c r="AM45" s="556">
        <f>'Расходы на ЗП ОТ'!AM45</f>
        <v>0</v>
      </c>
      <c r="AN45" s="556">
        <f>'Расходы на ЗП ОТ'!AN45</f>
        <v>0</v>
      </c>
      <c r="AO45" s="556">
        <f>'Расходы на ЗП ОТ'!AO45</f>
        <v>0</v>
      </c>
      <c r="AP45" s="556">
        <f>'Расходы на ЗП ОТ'!AP45</f>
        <v>0</v>
      </c>
      <c r="AQ45" s="556">
        <f>'Расходы на ЗП ОТ'!AQ45</f>
        <v>0</v>
      </c>
      <c r="AR45" s="556">
        <f>'Расходы на ЗП ОТ'!AR45</f>
        <v>0</v>
      </c>
      <c r="AS45" s="556">
        <f>'Расходы на ЗП ОТ'!AS45</f>
        <v>0</v>
      </c>
      <c r="AT45" s="556">
        <f>'Расходы на ЗП ОТ'!AT45</f>
        <v>0</v>
      </c>
      <c r="AU45" s="556">
        <f>'Расходы на ЗП ОТ'!AU45</f>
        <v>0</v>
      </c>
      <c r="AV45" s="556"/>
      <c r="AW45" s="604"/>
      <c r="AX45" s="604">
        <f t="shared" si="0"/>
        <v>0</v>
      </c>
      <c r="AY45" s="604">
        <f t="shared" si="1"/>
        <v>0</v>
      </c>
      <c r="AZ45" s="604">
        <f t="shared" si="2"/>
        <v>0</v>
      </c>
      <c r="BA45" s="604">
        <f t="shared" si="3"/>
        <v>0</v>
      </c>
      <c r="BB45" s="604">
        <f t="shared" si="4"/>
        <v>0</v>
      </c>
      <c r="BC45" s="604">
        <f t="shared" si="5"/>
        <v>0</v>
      </c>
      <c r="BD45" s="604">
        <f t="shared" si="6"/>
        <v>0</v>
      </c>
      <c r="BE45" s="604">
        <f t="shared" si="7"/>
        <v>0</v>
      </c>
      <c r="BF45" s="604">
        <f t="shared" si="8"/>
        <v>0</v>
      </c>
      <c r="BG45" s="604">
        <f t="shared" si="9"/>
        <v>0</v>
      </c>
      <c r="BH45" s="604">
        <f t="shared" si="10"/>
        <v>0</v>
      </c>
    </row>
    <row r="46" spans="1:60" ht="30" x14ac:dyDescent="0.25">
      <c r="A46" s="556" t="s">
        <v>141</v>
      </c>
      <c r="B46" s="556">
        <f>'Расходы на ЗП ОТ'!B46</f>
        <v>0</v>
      </c>
      <c r="C46" s="556">
        <f>'Расходы на ЗП ОТ'!C46</f>
        <v>0</v>
      </c>
      <c r="D46" s="556">
        <f>'Расходы на ЗП ОТ'!D46</f>
        <v>0</v>
      </c>
      <c r="E46" s="556">
        <f>'Расходы на ЗП ОТ'!E46</f>
        <v>0</v>
      </c>
      <c r="F46" s="556">
        <f>'Расходы на ЗП ОТ'!F46</f>
        <v>0</v>
      </c>
      <c r="G46" s="556">
        <f>'Расходы на ЗП ОТ'!G46</f>
        <v>0</v>
      </c>
      <c r="H46" s="556">
        <f>'Расходы на ЗП ОТ'!H46</f>
        <v>0</v>
      </c>
      <c r="I46" s="556">
        <f>'Расходы на ЗП ОТ'!I46</f>
        <v>0</v>
      </c>
      <c r="J46" s="556">
        <f>'Расходы на ЗП ОТ'!J46</f>
        <v>0</v>
      </c>
      <c r="K46" s="556">
        <f>'Расходы на ЗП ОТ'!K46</f>
        <v>0</v>
      </c>
      <c r="L46" s="556">
        <f>'Расходы на ЗП ОТ'!L46</f>
        <v>0</v>
      </c>
      <c r="M46" s="556">
        <f>'Расходы на ЗП ОТ'!M46</f>
        <v>0</v>
      </c>
      <c r="N46" s="556">
        <f>'Расходы на ЗП ОТ'!N46</f>
        <v>0</v>
      </c>
      <c r="O46" s="556">
        <f>'Расходы на ЗП ОТ'!O46</f>
        <v>0</v>
      </c>
      <c r="P46" s="556">
        <f>'Расходы на ЗП ОТ'!P46</f>
        <v>0</v>
      </c>
      <c r="Q46" s="556">
        <f>'Расходы на ЗП ОТ'!Q46</f>
        <v>0</v>
      </c>
      <c r="R46" s="556">
        <f>'Расходы на ЗП ОТ'!R46</f>
        <v>0</v>
      </c>
      <c r="S46" s="556">
        <f>'Расходы на ЗП ОТ'!S46</f>
        <v>0</v>
      </c>
      <c r="T46" s="556">
        <f>'Расходы на ЗП ОТ'!T46</f>
        <v>0</v>
      </c>
      <c r="U46" s="556">
        <f>'Расходы на ЗП ОТ'!U46</f>
        <v>0</v>
      </c>
      <c r="V46" s="556">
        <f>'Расходы на ЗП ОТ'!V46</f>
        <v>0</v>
      </c>
      <c r="W46" s="556">
        <f>'Расходы на ЗП ОТ'!W46</f>
        <v>0</v>
      </c>
      <c r="X46" s="556">
        <f>'Расходы на ЗП ОТ'!X46</f>
        <v>0</v>
      </c>
      <c r="Y46" s="556">
        <f>'Расходы на ЗП ОТ'!Y46</f>
        <v>0</v>
      </c>
      <c r="Z46" s="556">
        <f>'Расходы на ЗП ОТ'!Z46</f>
        <v>0</v>
      </c>
      <c r="AA46" s="556">
        <f>'Расходы на ЗП ОТ'!AA46</f>
        <v>0</v>
      </c>
      <c r="AB46" s="556">
        <f>'Расходы на ЗП ОТ'!AB46</f>
        <v>0</v>
      </c>
      <c r="AC46" s="556">
        <f>'Расходы на ЗП ОТ'!AC46</f>
        <v>0</v>
      </c>
      <c r="AD46" s="556">
        <f>'Расходы на ЗП ОТ'!AD46</f>
        <v>0</v>
      </c>
      <c r="AE46" s="556">
        <f>'Расходы на ЗП ОТ'!AE46</f>
        <v>0</v>
      </c>
      <c r="AF46" s="556">
        <f>'Расходы на ЗП ОТ'!AF46</f>
        <v>0</v>
      </c>
      <c r="AG46" s="556">
        <f>'Расходы на ЗП ОТ'!AG46</f>
        <v>0</v>
      </c>
      <c r="AH46" s="556">
        <f>'Расходы на ЗП ОТ'!AH46</f>
        <v>0</v>
      </c>
      <c r="AI46" s="556">
        <f>'Расходы на ЗП ОТ'!AI46</f>
        <v>0</v>
      </c>
      <c r="AJ46" s="556">
        <f>'Расходы на ЗП ОТ'!AJ46</f>
        <v>0</v>
      </c>
      <c r="AK46" s="556">
        <f>'Расходы на ЗП ОТ'!AK46</f>
        <v>0</v>
      </c>
      <c r="AL46" s="556">
        <f>'Расходы на ЗП ОТ'!AL46</f>
        <v>0</v>
      </c>
      <c r="AM46" s="556">
        <f>'Расходы на ЗП ОТ'!AM46</f>
        <v>0</v>
      </c>
      <c r="AN46" s="556">
        <f>'Расходы на ЗП ОТ'!AN46</f>
        <v>0</v>
      </c>
      <c r="AO46" s="556">
        <f>'Расходы на ЗП ОТ'!AO46</f>
        <v>0</v>
      </c>
      <c r="AP46" s="556">
        <f>'Расходы на ЗП ОТ'!AP46</f>
        <v>0</v>
      </c>
      <c r="AQ46" s="556">
        <f>'Расходы на ЗП ОТ'!AQ46</f>
        <v>0</v>
      </c>
      <c r="AR46" s="556">
        <f>'Расходы на ЗП ОТ'!AR46</f>
        <v>0</v>
      </c>
      <c r="AS46" s="556">
        <f>'Расходы на ЗП ОТ'!AS46</f>
        <v>0</v>
      </c>
      <c r="AT46" s="556">
        <f>'Расходы на ЗП ОТ'!AT46</f>
        <v>0</v>
      </c>
      <c r="AU46" s="556">
        <f>'Расходы на ЗП ОТ'!AU46</f>
        <v>0</v>
      </c>
      <c r="AV46" s="556"/>
      <c r="AW46" s="604"/>
      <c r="AX46" s="604">
        <f t="shared" si="0"/>
        <v>0</v>
      </c>
      <c r="AY46" s="604">
        <f t="shared" si="1"/>
        <v>0</v>
      </c>
      <c r="AZ46" s="604">
        <f t="shared" si="2"/>
        <v>0</v>
      </c>
      <c r="BA46" s="604">
        <f t="shared" si="3"/>
        <v>0</v>
      </c>
      <c r="BB46" s="604">
        <f t="shared" si="4"/>
        <v>0</v>
      </c>
      <c r="BC46" s="604">
        <f t="shared" si="5"/>
        <v>0</v>
      </c>
      <c r="BD46" s="604">
        <f t="shared" si="6"/>
        <v>0</v>
      </c>
      <c r="BE46" s="604">
        <f t="shared" si="7"/>
        <v>0</v>
      </c>
      <c r="BF46" s="604">
        <f t="shared" si="8"/>
        <v>0</v>
      </c>
      <c r="BG46" s="604">
        <f t="shared" si="9"/>
        <v>0</v>
      </c>
      <c r="BH46" s="604">
        <f t="shared" si="10"/>
        <v>0</v>
      </c>
    </row>
    <row r="47" spans="1:60" s="334" customFormat="1" ht="30" x14ac:dyDescent="0.25">
      <c r="A47" s="561" t="s">
        <v>114</v>
      </c>
      <c r="B47" s="562">
        <f>'Расходы на ЗП ОТ'!B47</f>
        <v>0</v>
      </c>
      <c r="C47" s="562">
        <f>'Расходы на ЗП ОТ'!C47</f>
        <v>0</v>
      </c>
      <c r="D47" s="561">
        <f>SUM(D37:D46)</f>
        <v>0</v>
      </c>
      <c r="E47" s="561">
        <f t="shared" ref="E47:AQ47" si="40">SUM(E37:E46)</f>
        <v>0</v>
      </c>
      <c r="F47" s="561">
        <f t="shared" si="40"/>
        <v>0</v>
      </c>
      <c r="G47" s="561">
        <f t="shared" si="40"/>
        <v>0</v>
      </c>
      <c r="H47" s="561">
        <f t="shared" si="40"/>
        <v>0</v>
      </c>
      <c r="I47" s="561">
        <f t="shared" si="40"/>
        <v>0</v>
      </c>
      <c r="J47" s="561">
        <f t="shared" si="40"/>
        <v>0</v>
      </c>
      <c r="K47" s="561">
        <f t="shared" si="40"/>
        <v>0</v>
      </c>
      <c r="L47" s="561">
        <f t="shared" si="40"/>
        <v>0</v>
      </c>
      <c r="M47" s="561">
        <f t="shared" si="40"/>
        <v>0</v>
      </c>
      <c r="N47" s="561">
        <f t="shared" si="40"/>
        <v>0</v>
      </c>
      <c r="O47" s="561">
        <f t="shared" si="40"/>
        <v>0</v>
      </c>
      <c r="P47" s="561">
        <f t="shared" si="40"/>
        <v>0</v>
      </c>
      <c r="Q47" s="561">
        <f t="shared" si="40"/>
        <v>0</v>
      </c>
      <c r="R47" s="561">
        <f t="shared" si="40"/>
        <v>0</v>
      </c>
      <c r="S47" s="561">
        <f t="shared" si="40"/>
        <v>0</v>
      </c>
      <c r="T47" s="561">
        <f t="shared" si="40"/>
        <v>0</v>
      </c>
      <c r="U47" s="561">
        <f t="shared" si="40"/>
        <v>0</v>
      </c>
      <c r="V47" s="561">
        <f t="shared" si="40"/>
        <v>0</v>
      </c>
      <c r="W47" s="561">
        <f t="shared" si="40"/>
        <v>0</v>
      </c>
      <c r="X47" s="561">
        <f t="shared" si="40"/>
        <v>0</v>
      </c>
      <c r="Y47" s="561">
        <f t="shared" si="40"/>
        <v>0</v>
      </c>
      <c r="Z47" s="561">
        <f t="shared" si="40"/>
        <v>0</v>
      </c>
      <c r="AA47" s="561">
        <f t="shared" si="40"/>
        <v>0</v>
      </c>
      <c r="AB47" s="561">
        <f t="shared" si="40"/>
        <v>0</v>
      </c>
      <c r="AC47" s="561">
        <f t="shared" si="40"/>
        <v>0</v>
      </c>
      <c r="AD47" s="561">
        <f t="shared" si="40"/>
        <v>0</v>
      </c>
      <c r="AE47" s="561">
        <f t="shared" si="40"/>
        <v>0</v>
      </c>
      <c r="AF47" s="561">
        <f t="shared" si="40"/>
        <v>0</v>
      </c>
      <c r="AG47" s="561">
        <f t="shared" si="40"/>
        <v>0</v>
      </c>
      <c r="AH47" s="561">
        <f t="shared" si="40"/>
        <v>0</v>
      </c>
      <c r="AI47" s="561">
        <f t="shared" si="40"/>
        <v>0</v>
      </c>
      <c r="AJ47" s="561">
        <f t="shared" si="40"/>
        <v>0</v>
      </c>
      <c r="AK47" s="561">
        <f t="shared" si="40"/>
        <v>0</v>
      </c>
      <c r="AL47" s="561">
        <f t="shared" si="40"/>
        <v>0</v>
      </c>
      <c r="AM47" s="561">
        <f t="shared" si="40"/>
        <v>0</v>
      </c>
      <c r="AN47" s="561">
        <f t="shared" si="40"/>
        <v>0</v>
      </c>
      <c r="AO47" s="561">
        <f t="shared" si="40"/>
        <v>0</v>
      </c>
      <c r="AP47" s="561">
        <f t="shared" si="40"/>
        <v>0</v>
      </c>
      <c r="AQ47" s="561">
        <f t="shared" si="40"/>
        <v>0</v>
      </c>
      <c r="AR47" s="561">
        <f t="shared" ref="AR47:AU47" si="41">SUM(AR37:AR46)</f>
        <v>0</v>
      </c>
      <c r="AS47" s="561">
        <f t="shared" si="41"/>
        <v>0</v>
      </c>
      <c r="AT47" s="561">
        <f t="shared" si="41"/>
        <v>0</v>
      </c>
      <c r="AU47" s="561">
        <f t="shared" si="41"/>
        <v>0</v>
      </c>
      <c r="AV47" s="561"/>
      <c r="AW47" s="607"/>
      <c r="AX47" s="607">
        <f t="shared" si="0"/>
        <v>0</v>
      </c>
      <c r="AY47" s="607">
        <f t="shared" si="1"/>
        <v>0</v>
      </c>
      <c r="AZ47" s="607">
        <f t="shared" si="2"/>
        <v>0</v>
      </c>
      <c r="BA47" s="607">
        <f t="shared" si="3"/>
        <v>0</v>
      </c>
      <c r="BB47" s="607">
        <f t="shared" si="4"/>
        <v>0</v>
      </c>
      <c r="BC47" s="607">
        <f t="shared" si="5"/>
        <v>0</v>
      </c>
      <c r="BD47" s="607">
        <f t="shared" si="6"/>
        <v>0</v>
      </c>
      <c r="BE47" s="607">
        <f t="shared" si="7"/>
        <v>0</v>
      </c>
      <c r="BF47" s="607">
        <f t="shared" si="8"/>
        <v>0</v>
      </c>
      <c r="BG47" s="607">
        <f t="shared" si="9"/>
        <v>0</v>
      </c>
      <c r="BH47" s="612">
        <f t="shared" si="10"/>
        <v>0</v>
      </c>
    </row>
    <row r="48" spans="1:60" s="108" customFormat="1" ht="30" x14ac:dyDescent="0.25">
      <c r="A48" s="558" t="s">
        <v>142</v>
      </c>
      <c r="B48" s="563"/>
      <c r="C48" s="558"/>
      <c r="D48" s="558">
        <f>D47*$B$62</f>
        <v>0</v>
      </c>
      <c r="E48" s="558">
        <f t="shared" ref="E48:AQ48" si="42">E47*$B$62</f>
        <v>0</v>
      </c>
      <c r="F48" s="558">
        <f t="shared" si="42"/>
        <v>0</v>
      </c>
      <c r="G48" s="558">
        <f t="shared" si="42"/>
        <v>0</v>
      </c>
      <c r="H48" s="558">
        <f t="shared" si="42"/>
        <v>0</v>
      </c>
      <c r="I48" s="558">
        <f t="shared" si="42"/>
        <v>0</v>
      </c>
      <c r="J48" s="558">
        <f t="shared" si="42"/>
        <v>0</v>
      </c>
      <c r="K48" s="558">
        <f t="shared" si="42"/>
        <v>0</v>
      </c>
      <c r="L48" s="558">
        <f t="shared" si="42"/>
        <v>0</v>
      </c>
      <c r="M48" s="558">
        <f t="shared" si="42"/>
        <v>0</v>
      </c>
      <c r="N48" s="558">
        <f t="shared" si="42"/>
        <v>0</v>
      </c>
      <c r="O48" s="558">
        <f t="shared" si="42"/>
        <v>0</v>
      </c>
      <c r="P48" s="558">
        <f t="shared" si="42"/>
        <v>0</v>
      </c>
      <c r="Q48" s="558">
        <f t="shared" si="42"/>
        <v>0</v>
      </c>
      <c r="R48" s="558">
        <f t="shared" si="42"/>
        <v>0</v>
      </c>
      <c r="S48" s="558">
        <f t="shared" si="42"/>
        <v>0</v>
      </c>
      <c r="T48" s="558">
        <f t="shared" si="42"/>
        <v>0</v>
      </c>
      <c r="U48" s="558">
        <f t="shared" si="42"/>
        <v>0</v>
      </c>
      <c r="V48" s="558">
        <f t="shared" si="42"/>
        <v>0</v>
      </c>
      <c r="W48" s="558">
        <f t="shared" si="42"/>
        <v>0</v>
      </c>
      <c r="X48" s="558">
        <f t="shared" si="42"/>
        <v>0</v>
      </c>
      <c r="Y48" s="558">
        <f t="shared" si="42"/>
        <v>0</v>
      </c>
      <c r="Z48" s="558">
        <f t="shared" si="42"/>
        <v>0</v>
      </c>
      <c r="AA48" s="558">
        <f t="shared" si="42"/>
        <v>0</v>
      </c>
      <c r="AB48" s="558">
        <f t="shared" si="42"/>
        <v>0</v>
      </c>
      <c r="AC48" s="558">
        <f t="shared" si="42"/>
        <v>0</v>
      </c>
      <c r="AD48" s="558">
        <f t="shared" si="42"/>
        <v>0</v>
      </c>
      <c r="AE48" s="558">
        <f t="shared" si="42"/>
        <v>0</v>
      </c>
      <c r="AF48" s="558">
        <f t="shared" si="42"/>
        <v>0</v>
      </c>
      <c r="AG48" s="558">
        <f t="shared" si="42"/>
        <v>0</v>
      </c>
      <c r="AH48" s="558">
        <f t="shared" si="42"/>
        <v>0</v>
      </c>
      <c r="AI48" s="558">
        <f t="shared" si="42"/>
        <v>0</v>
      </c>
      <c r="AJ48" s="558">
        <f t="shared" si="42"/>
        <v>0</v>
      </c>
      <c r="AK48" s="558">
        <f t="shared" si="42"/>
        <v>0</v>
      </c>
      <c r="AL48" s="558">
        <f t="shared" si="42"/>
        <v>0</v>
      </c>
      <c r="AM48" s="558">
        <f t="shared" si="42"/>
        <v>0</v>
      </c>
      <c r="AN48" s="558">
        <f t="shared" si="42"/>
        <v>0</v>
      </c>
      <c r="AO48" s="558">
        <f t="shared" si="42"/>
        <v>0</v>
      </c>
      <c r="AP48" s="558">
        <f t="shared" si="42"/>
        <v>0</v>
      </c>
      <c r="AQ48" s="558">
        <f t="shared" si="42"/>
        <v>0</v>
      </c>
      <c r="AR48" s="558">
        <f t="shared" ref="AR48:AU48" si="43">AR47*$B$62</f>
        <v>0</v>
      </c>
      <c r="AS48" s="558">
        <f t="shared" si="43"/>
        <v>0</v>
      </c>
      <c r="AT48" s="558">
        <f t="shared" si="43"/>
        <v>0</v>
      </c>
      <c r="AU48" s="558">
        <f t="shared" si="43"/>
        <v>0</v>
      </c>
      <c r="AV48" s="558"/>
      <c r="AW48" s="606"/>
      <c r="AX48" s="606">
        <f t="shared" si="0"/>
        <v>0</v>
      </c>
      <c r="AY48" s="606">
        <f t="shared" si="1"/>
        <v>0</v>
      </c>
      <c r="AZ48" s="606">
        <f t="shared" si="2"/>
        <v>0</v>
      </c>
      <c r="BA48" s="606">
        <f t="shared" si="3"/>
        <v>0</v>
      </c>
      <c r="BB48" s="606">
        <f t="shared" si="4"/>
        <v>0</v>
      </c>
      <c r="BC48" s="606">
        <f t="shared" si="5"/>
        <v>0</v>
      </c>
      <c r="BD48" s="606">
        <f t="shared" si="6"/>
        <v>0</v>
      </c>
      <c r="BE48" s="606">
        <f t="shared" si="7"/>
        <v>0</v>
      </c>
      <c r="BF48" s="606">
        <f t="shared" si="8"/>
        <v>0</v>
      </c>
      <c r="BG48" s="606">
        <f t="shared" si="9"/>
        <v>0</v>
      </c>
      <c r="BH48" s="613">
        <f t="shared" si="10"/>
        <v>0</v>
      </c>
    </row>
    <row r="49" spans="1:60" s="335" customFormat="1" ht="45" x14ac:dyDescent="0.25">
      <c r="A49" s="564" t="s">
        <v>143</v>
      </c>
      <c r="B49" s="564"/>
      <c r="C49" s="564"/>
      <c r="D49" s="564">
        <f>D6+D15+D23+D26+D34+D47</f>
        <v>780</v>
      </c>
      <c r="E49" s="564">
        <f>E6+E15+E23+E26+E34+E47</f>
        <v>1820</v>
      </c>
      <c r="F49" s="564">
        <f>F6+F15+F23+F26+F34+F47</f>
        <v>6630</v>
      </c>
      <c r="G49" s="564">
        <f t="shared" ref="G49:R49" si="44">G6+G15+G23+G26+G34+G47</f>
        <v>3900</v>
      </c>
      <c r="H49" s="564">
        <f t="shared" si="44"/>
        <v>3900</v>
      </c>
      <c r="I49" s="564">
        <f t="shared" si="44"/>
        <v>3900</v>
      </c>
      <c r="J49" s="564">
        <f t="shared" si="44"/>
        <v>6793.8</v>
      </c>
      <c r="K49" s="564">
        <f t="shared" si="44"/>
        <v>3900</v>
      </c>
      <c r="L49" s="564">
        <f t="shared" si="44"/>
        <v>4049.4</v>
      </c>
      <c r="M49" s="564">
        <f t="shared" si="44"/>
        <v>4049.4</v>
      </c>
      <c r="N49" s="564">
        <f>N6+N15+N23+N26+N34+N47</f>
        <v>7116.8280000000004</v>
      </c>
      <c r="O49" s="564">
        <f t="shared" si="44"/>
        <v>4049.4</v>
      </c>
      <c r="P49" s="564">
        <f t="shared" si="44"/>
        <v>4207.7640000000001</v>
      </c>
      <c r="Q49" s="564">
        <f t="shared" si="44"/>
        <v>4207.7640000000001</v>
      </c>
      <c r="R49" s="564">
        <f t="shared" si="44"/>
        <v>7459.2376800000002</v>
      </c>
      <c r="S49" s="564">
        <f>S6+S15+S23+S26+S34+S47</f>
        <v>4207.7640000000001</v>
      </c>
      <c r="T49" s="564">
        <f>T6+T15+T23+T26+T34+T47</f>
        <v>4460.22984</v>
      </c>
      <c r="U49" s="564">
        <f>U6+U15+U23+U26+U34+U47</f>
        <v>4460.22984</v>
      </c>
      <c r="V49" s="564">
        <f>V6+V15+V23+V26+V34+V47</f>
        <v>7906.7919408000007</v>
      </c>
      <c r="W49" s="564">
        <f t="shared" ref="W49:AQ49" si="45">W6+W15+W23+W26+W34+W47</f>
        <v>4460.22984</v>
      </c>
      <c r="X49" s="564">
        <f t="shared" si="45"/>
        <v>4727.8436304000006</v>
      </c>
      <c r="Y49" s="564">
        <f t="shared" si="45"/>
        <v>4727.8436304000006</v>
      </c>
      <c r="Z49" s="564">
        <f t="shared" si="45"/>
        <v>8381.1994572480016</v>
      </c>
      <c r="AA49" s="564">
        <f t="shared" si="45"/>
        <v>4727.8436304000006</v>
      </c>
      <c r="AB49" s="564">
        <f t="shared" si="45"/>
        <v>5011.5142482240008</v>
      </c>
      <c r="AC49" s="564">
        <f t="shared" si="45"/>
        <v>5011.5142482240008</v>
      </c>
      <c r="AD49" s="564">
        <f t="shared" si="45"/>
        <v>8884.0714246828829</v>
      </c>
      <c r="AE49" s="564">
        <f t="shared" si="45"/>
        <v>5011.5142482240008</v>
      </c>
      <c r="AF49" s="564">
        <f t="shared" si="45"/>
        <v>5284.3353287174414</v>
      </c>
      <c r="AG49" s="564">
        <f t="shared" si="45"/>
        <v>5284.3353287174414</v>
      </c>
      <c r="AH49" s="564">
        <f t="shared" si="45"/>
        <v>9389.2459357638545</v>
      </c>
      <c r="AI49" s="564">
        <f t="shared" si="45"/>
        <v>5284.3353287174414</v>
      </c>
      <c r="AJ49" s="564">
        <f t="shared" si="45"/>
        <v>5601.3954484404885</v>
      </c>
      <c r="AK49" s="564">
        <f t="shared" si="45"/>
        <v>5601.3954484404885</v>
      </c>
      <c r="AL49" s="564">
        <f t="shared" si="45"/>
        <v>9952.6006919096872</v>
      </c>
      <c r="AM49" s="564">
        <f t="shared" si="45"/>
        <v>5601.3954484404885</v>
      </c>
      <c r="AN49" s="564">
        <f t="shared" si="45"/>
        <v>5937.4791753469181</v>
      </c>
      <c r="AO49" s="564">
        <f t="shared" si="45"/>
        <v>5937.4791753469181</v>
      </c>
      <c r="AP49" s="564">
        <f t="shared" si="45"/>
        <v>10549.75673342427</v>
      </c>
      <c r="AQ49" s="564">
        <f t="shared" si="45"/>
        <v>5937.4791753469181</v>
      </c>
      <c r="AR49" s="564">
        <f t="shared" ref="AR49:AU49" si="46">AR6+AR15+AR23+AR26+AR34+AR47</f>
        <v>6293.7279258677336</v>
      </c>
      <c r="AS49" s="564">
        <f t="shared" si="46"/>
        <v>6293.7279258677336</v>
      </c>
      <c r="AT49" s="564">
        <f t="shared" si="46"/>
        <v>11182.742137429726</v>
      </c>
      <c r="AU49" s="564">
        <f t="shared" si="46"/>
        <v>6293.7279258677336</v>
      </c>
      <c r="AV49" s="564"/>
      <c r="AW49" s="608" t="str">
        <f t="shared" ref="AW49:AW58" si="47">A49</f>
        <v>Всего расходов на ЗП:</v>
      </c>
      <c r="AX49" s="608">
        <f t="shared" si="0"/>
        <v>13130</v>
      </c>
      <c r="AY49" s="608">
        <f t="shared" si="1"/>
        <v>18493.8</v>
      </c>
      <c r="AZ49" s="608">
        <f t="shared" si="2"/>
        <v>19265.028000000002</v>
      </c>
      <c r="BA49" s="608">
        <f t="shared" si="3"/>
        <v>20082.52968</v>
      </c>
      <c r="BB49" s="608">
        <f t="shared" si="4"/>
        <v>21287.481460800002</v>
      </c>
      <c r="BC49" s="608">
        <f t="shared" si="5"/>
        <v>22564.730348448</v>
      </c>
      <c r="BD49" s="608">
        <f t="shared" si="6"/>
        <v>23918.614169354885</v>
      </c>
      <c r="BE49" s="608">
        <f t="shared" si="7"/>
        <v>25242.251921916177</v>
      </c>
      <c r="BF49" s="608">
        <f t="shared" si="8"/>
        <v>26756.787037231152</v>
      </c>
      <c r="BG49" s="608">
        <f t="shared" si="9"/>
        <v>28362.194259465025</v>
      </c>
      <c r="BH49" s="608">
        <f t="shared" si="10"/>
        <v>30063.925915032927</v>
      </c>
    </row>
    <row r="50" spans="1:60" s="110" customFormat="1" ht="30" x14ac:dyDescent="0.25">
      <c r="A50" s="556" t="s">
        <v>144</v>
      </c>
      <c r="B50" s="556"/>
      <c r="C50" s="556"/>
      <c r="D50" s="556"/>
      <c r="E50" s="556"/>
      <c r="F50" s="556"/>
      <c r="G50" s="556">
        <f>SUM(D49:G49)</f>
        <v>13130</v>
      </c>
      <c r="H50" s="556"/>
      <c r="I50" s="556"/>
      <c r="J50" s="556"/>
      <c r="K50" s="556">
        <f>SUM(H49:K49)</f>
        <v>18493.8</v>
      </c>
      <c r="L50" s="556"/>
      <c r="M50" s="556"/>
      <c r="N50" s="556"/>
      <c r="O50" s="556">
        <f>SUM(L49:O49)</f>
        <v>19265.028000000002</v>
      </c>
      <c r="P50" s="556"/>
      <c r="Q50" s="556"/>
      <c r="R50" s="556"/>
      <c r="S50" s="556">
        <f>SUM(P49:S49)</f>
        <v>20082.52968</v>
      </c>
      <c r="T50" s="556"/>
      <c r="U50" s="556"/>
      <c r="V50" s="556"/>
      <c r="W50" s="556">
        <f>SUM(T49:W49)</f>
        <v>21287.481460800002</v>
      </c>
      <c r="X50" s="556"/>
      <c r="Y50" s="556"/>
      <c r="Z50" s="556"/>
      <c r="AA50" s="556">
        <f>SUM(X49:AA49)</f>
        <v>22564.730348448</v>
      </c>
      <c r="AB50" s="556"/>
      <c r="AC50" s="556"/>
      <c r="AD50" s="556"/>
      <c r="AE50" s="556">
        <f>SUM(AB49:AE49)</f>
        <v>23918.614169354885</v>
      </c>
      <c r="AF50" s="556"/>
      <c r="AG50" s="556"/>
      <c r="AH50" s="556"/>
      <c r="AI50" s="556">
        <f>SUM(AF49:AI49)</f>
        <v>25242.251921916177</v>
      </c>
      <c r="AJ50" s="556"/>
      <c r="AK50" s="556"/>
      <c r="AL50" s="556"/>
      <c r="AM50" s="556">
        <f t="shared" ref="AM50:AQ50" si="48">SUM(AJ49:AM49)</f>
        <v>26756.787037231152</v>
      </c>
      <c r="AN50" s="556"/>
      <c r="AO50" s="556"/>
      <c r="AP50" s="556"/>
      <c r="AQ50" s="556">
        <f t="shared" si="48"/>
        <v>28362.194259465025</v>
      </c>
      <c r="AR50" s="556">
        <f t="shared" ref="AR50" si="49">SUM(AO49:AR49)</f>
        <v>28718.44300998584</v>
      </c>
      <c r="AS50" s="556">
        <f t="shared" ref="AS50" si="50">SUM(AP49:AS49)</f>
        <v>29074.691760506656</v>
      </c>
      <c r="AT50" s="556">
        <f t="shared" ref="AT50" si="51">SUM(AQ49:AT49)</f>
        <v>29707.677164512112</v>
      </c>
      <c r="AU50" s="556">
        <f t="shared" ref="AU50" si="52">SUM(AR49:AU49)</f>
        <v>30063.925915032927</v>
      </c>
      <c r="AV50" s="556"/>
      <c r="AW50" s="609" t="str">
        <f t="shared" si="47"/>
        <v>Расходы на ЗП в год:</v>
      </c>
      <c r="AX50" s="604">
        <f t="shared" si="0"/>
        <v>13130</v>
      </c>
      <c r="AY50" s="604">
        <f t="shared" si="1"/>
        <v>18493.8</v>
      </c>
      <c r="AZ50" s="604">
        <f t="shared" si="2"/>
        <v>19265.028000000002</v>
      </c>
      <c r="BA50" s="604">
        <f t="shared" si="3"/>
        <v>20082.52968</v>
      </c>
      <c r="BB50" s="604">
        <f t="shared" si="4"/>
        <v>21287.481460800002</v>
      </c>
      <c r="BC50" s="604">
        <f t="shared" si="5"/>
        <v>22564.730348448</v>
      </c>
      <c r="BD50" s="604">
        <f t="shared" si="6"/>
        <v>23918.614169354885</v>
      </c>
      <c r="BE50" s="604">
        <f t="shared" si="7"/>
        <v>25242.251921916177</v>
      </c>
      <c r="BF50" s="604">
        <f t="shared" si="8"/>
        <v>26756.787037231152</v>
      </c>
      <c r="BG50" s="604">
        <f t="shared" si="9"/>
        <v>28362.194259465025</v>
      </c>
      <c r="BH50" s="604">
        <f t="shared" si="10"/>
        <v>117564.73785003753</v>
      </c>
    </row>
    <row r="51" spans="1:60" s="335" customFormat="1" ht="45" x14ac:dyDescent="0.25">
      <c r="A51" s="564" t="s">
        <v>169</v>
      </c>
      <c r="B51" s="564"/>
      <c r="C51" s="564"/>
      <c r="D51" s="564">
        <f>D7+D16+D24+D27+D35+D48</f>
        <v>234</v>
      </c>
      <c r="E51" s="564">
        <f>E7+E16+E24+E27+E35+E48</f>
        <v>546</v>
      </c>
      <c r="F51" s="564">
        <f>F7+F16+F24+F27+F35+F48</f>
        <v>1989</v>
      </c>
      <c r="G51" s="564">
        <f t="shared" ref="G51:R51" si="53">G7+G16+G24+G27+G35+G48</f>
        <v>1170</v>
      </c>
      <c r="H51" s="564">
        <f t="shared" si="53"/>
        <v>1170</v>
      </c>
      <c r="I51" s="564">
        <f>I7+I16+I24+I27+I35+I48</f>
        <v>1170</v>
      </c>
      <c r="J51" s="564">
        <f t="shared" si="53"/>
        <v>2038.1399999999999</v>
      </c>
      <c r="K51" s="564">
        <f t="shared" si="53"/>
        <v>1170</v>
      </c>
      <c r="L51" s="564">
        <f t="shared" si="53"/>
        <v>1214.8200000000002</v>
      </c>
      <c r="M51" s="564">
        <f t="shared" si="53"/>
        <v>1214.8200000000002</v>
      </c>
      <c r="N51" s="564">
        <f t="shared" si="53"/>
        <v>2135.0484000000001</v>
      </c>
      <c r="O51" s="564">
        <f t="shared" si="53"/>
        <v>1214.8200000000002</v>
      </c>
      <c r="P51" s="564">
        <f t="shared" si="53"/>
        <v>1262.3292000000001</v>
      </c>
      <c r="Q51" s="564">
        <f t="shared" si="53"/>
        <v>1262.3292000000001</v>
      </c>
      <c r="R51" s="564">
        <f t="shared" si="53"/>
        <v>2237.7713040000003</v>
      </c>
      <c r="S51" s="564">
        <f>S7+S16+S24+S27+S35+S48</f>
        <v>1262.3292000000001</v>
      </c>
      <c r="T51" s="564">
        <f>T7+T16+T24+T27+T35+T48</f>
        <v>1338.0689520000001</v>
      </c>
      <c r="U51" s="564">
        <f>U7+U16+U24+U27+U35+U48</f>
        <v>1338.0689520000001</v>
      </c>
      <c r="V51" s="564">
        <f>V7+V16+V24+V27+V35+V48</f>
        <v>2372.0375822400001</v>
      </c>
      <c r="W51" s="564">
        <f t="shared" ref="W51:AQ51" si="54">W7+W16+W24+W27+W35+W48</f>
        <v>1338.0689520000001</v>
      </c>
      <c r="X51" s="564">
        <f t="shared" si="54"/>
        <v>1418.3530891200003</v>
      </c>
      <c r="Y51" s="564">
        <f t="shared" si="54"/>
        <v>1418.3530891200003</v>
      </c>
      <c r="Z51" s="564">
        <f t="shared" si="54"/>
        <v>2514.3598371744006</v>
      </c>
      <c r="AA51" s="564">
        <f t="shared" si="54"/>
        <v>1418.3530891200003</v>
      </c>
      <c r="AB51" s="564">
        <f t="shared" si="54"/>
        <v>1503.4542744672003</v>
      </c>
      <c r="AC51" s="564">
        <f t="shared" si="54"/>
        <v>1503.4542744672003</v>
      </c>
      <c r="AD51" s="564">
        <f t="shared" si="54"/>
        <v>2665.2214274048647</v>
      </c>
      <c r="AE51" s="564">
        <f t="shared" si="54"/>
        <v>1503.4542744672003</v>
      </c>
      <c r="AF51" s="564">
        <f t="shared" si="54"/>
        <v>1585.3005986152325</v>
      </c>
      <c r="AG51" s="564">
        <f t="shared" si="54"/>
        <v>1585.3005986152325</v>
      </c>
      <c r="AH51" s="564">
        <f t="shared" si="54"/>
        <v>2816.7737807291569</v>
      </c>
      <c r="AI51" s="564">
        <f t="shared" si="54"/>
        <v>1585.3005986152325</v>
      </c>
      <c r="AJ51" s="564">
        <f t="shared" si="54"/>
        <v>1680.4186345321466</v>
      </c>
      <c r="AK51" s="564">
        <f t="shared" si="54"/>
        <v>1680.4186345321466</v>
      </c>
      <c r="AL51" s="564">
        <f t="shared" si="54"/>
        <v>2985.7802075729064</v>
      </c>
      <c r="AM51" s="564">
        <f t="shared" si="54"/>
        <v>1680.4186345321466</v>
      </c>
      <c r="AN51" s="564">
        <f t="shared" si="54"/>
        <v>1781.2437526040753</v>
      </c>
      <c r="AO51" s="564">
        <f t="shared" si="54"/>
        <v>1781.2437526040753</v>
      </c>
      <c r="AP51" s="564">
        <f t="shared" si="54"/>
        <v>3164.9270200272804</v>
      </c>
      <c r="AQ51" s="564">
        <f t="shared" si="54"/>
        <v>1781.2437526040753</v>
      </c>
      <c r="AR51" s="564">
        <f t="shared" ref="AR51:AU51" si="55">AR7+AR16+AR24+AR27+AR35+AR48</f>
        <v>1888.1183777603201</v>
      </c>
      <c r="AS51" s="564">
        <f t="shared" si="55"/>
        <v>1888.1183777603201</v>
      </c>
      <c r="AT51" s="564">
        <f t="shared" si="55"/>
        <v>3354.8226412289177</v>
      </c>
      <c r="AU51" s="564">
        <f t="shared" si="55"/>
        <v>1888.1183777603201</v>
      </c>
      <c r="AV51" s="564"/>
      <c r="AW51" s="608" t="str">
        <f t="shared" si="47"/>
        <v>Расходы на страховые взносы ФНС:</v>
      </c>
      <c r="AX51" s="608">
        <f>SUM(D51:G51)</f>
        <v>3939</v>
      </c>
      <c r="AY51" s="608">
        <f t="shared" si="1"/>
        <v>5548.1399999999994</v>
      </c>
      <c r="AZ51" s="608">
        <f t="shared" si="2"/>
        <v>5779.5084000000006</v>
      </c>
      <c r="BA51" s="608">
        <f t="shared" si="3"/>
        <v>6024.7589040000003</v>
      </c>
      <c r="BB51" s="608">
        <f t="shared" si="4"/>
        <v>6386.2444382400008</v>
      </c>
      <c r="BC51" s="608">
        <f t="shared" si="5"/>
        <v>6769.4191045344014</v>
      </c>
      <c r="BD51" s="608">
        <f t="shared" si="6"/>
        <v>7175.5842508064652</v>
      </c>
      <c r="BE51" s="608">
        <f t="shared" si="7"/>
        <v>7572.6755765748549</v>
      </c>
      <c r="BF51" s="608">
        <f t="shared" si="8"/>
        <v>8027.0361111693464</v>
      </c>
      <c r="BG51" s="608">
        <f t="shared" si="9"/>
        <v>8508.6582778395059</v>
      </c>
      <c r="BH51" s="608">
        <f t="shared" si="10"/>
        <v>9019.1777745098771</v>
      </c>
    </row>
    <row r="52" spans="1:60" ht="30" x14ac:dyDescent="0.25">
      <c r="A52" s="556" t="s">
        <v>146</v>
      </c>
      <c r="B52" s="556"/>
      <c r="C52" s="556"/>
      <c r="D52" s="556">
        <f>D49+D51</f>
        <v>1014</v>
      </c>
      <c r="E52" s="556">
        <f t="shared" ref="E52:AI52" si="56">E49+E51</f>
        <v>2366</v>
      </c>
      <c r="F52" s="556">
        <f t="shared" si="56"/>
        <v>8619</v>
      </c>
      <c r="G52" s="556">
        <f t="shared" si="56"/>
        <v>5070</v>
      </c>
      <c r="H52" s="556">
        <f>H49+H51</f>
        <v>5070</v>
      </c>
      <c r="I52" s="556">
        <f t="shared" si="56"/>
        <v>5070</v>
      </c>
      <c r="J52" s="556">
        <f t="shared" si="56"/>
        <v>8831.94</v>
      </c>
      <c r="K52" s="556">
        <f t="shared" si="56"/>
        <v>5070</v>
      </c>
      <c r="L52" s="556">
        <f t="shared" si="56"/>
        <v>5264.22</v>
      </c>
      <c r="M52" s="556">
        <f t="shared" si="56"/>
        <v>5264.22</v>
      </c>
      <c r="N52" s="556">
        <f t="shared" si="56"/>
        <v>9251.876400000001</v>
      </c>
      <c r="O52" s="556">
        <f t="shared" si="56"/>
        <v>5264.22</v>
      </c>
      <c r="P52" s="556">
        <f t="shared" si="56"/>
        <v>5470.0932000000003</v>
      </c>
      <c r="Q52" s="556">
        <f t="shared" si="56"/>
        <v>5470.0932000000003</v>
      </c>
      <c r="R52" s="556">
        <f t="shared" si="56"/>
        <v>9697.0089840000001</v>
      </c>
      <c r="S52" s="556">
        <f t="shared" si="56"/>
        <v>5470.0932000000003</v>
      </c>
      <c r="T52" s="556">
        <f t="shared" si="56"/>
        <v>5798.2987919999996</v>
      </c>
      <c r="U52" s="556">
        <f t="shared" si="56"/>
        <v>5798.2987919999996</v>
      </c>
      <c r="V52" s="556">
        <f t="shared" si="56"/>
        <v>10278.82952304</v>
      </c>
      <c r="W52" s="556">
        <f t="shared" si="56"/>
        <v>5798.2987919999996</v>
      </c>
      <c r="X52" s="556">
        <f t="shared" si="56"/>
        <v>6146.1967195200014</v>
      </c>
      <c r="Y52" s="556">
        <f t="shared" si="56"/>
        <v>6146.1967195200014</v>
      </c>
      <c r="Z52" s="556">
        <f t="shared" si="56"/>
        <v>10895.559294422403</v>
      </c>
      <c r="AA52" s="556">
        <f t="shared" si="56"/>
        <v>6146.1967195200014</v>
      </c>
      <c r="AB52" s="556">
        <f t="shared" si="56"/>
        <v>6514.9685226912006</v>
      </c>
      <c r="AC52" s="556">
        <f t="shared" si="56"/>
        <v>6514.9685226912006</v>
      </c>
      <c r="AD52" s="556">
        <f t="shared" si="56"/>
        <v>11549.292852087747</v>
      </c>
      <c r="AE52" s="556">
        <f t="shared" si="56"/>
        <v>6514.9685226912006</v>
      </c>
      <c r="AF52" s="556">
        <f t="shared" si="56"/>
        <v>6869.6359273326743</v>
      </c>
      <c r="AG52" s="556">
        <f t="shared" si="56"/>
        <v>6869.6359273326743</v>
      </c>
      <c r="AH52" s="556">
        <f t="shared" si="56"/>
        <v>12206.01971649301</v>
      </c>
      <c r="AI52" s="556">
        <f t="shared" si="56"/>
        <v>6869.6359273326743</v>
      </c>
      <c r="AJ52" s="556">
        <f t="shared" ref="AJ52:AQ52" si="57">AJ49+AJ51</f>
        <v>7281.8140829726353</v>
      </c>
      <c r="AK52" s="556">
        <f t="shared" si="57"/>
        <v>7281.8140829726353</v>
      </c>
      <c r="AL52" s="556">
        <f t="shared" si="57"/>
        <v>12938.380899482594</v>
      </c>
      <c r="AM52" s="556">
        <f t="shared" si="57"/>
        <v>7281.8140829726353</v>
      </c>
      <c r="AN52" s="556">
        <f>AN49+AN51</f>
        <v>7718.7229279509938</v>
      </c>
      <c r="AO52" s="556">
        <f t="shared" si="57"/>
        <v>7718.7229279509938</v>
      </c>
      <c r="AP52" s="556">
        <f t="shared" si="57"/>
        <v>13714.683753451551</v>
      </c>
      <c r="AQ52" s="556">
        <f t="shared" si="57"/>
        <v>7718.7229279509938</v>
      </c>
      <c r="AR52" s="556">
        <f t="shared" ref="AR52:AU52" si="58">AR49+AR51</f>
        <v>8181.8463036280536</v>
      </c>
      <c r="AS52" s="556">
        <f t="shared" si="58"/>
        <v>8181.8463036280536</v>
      </c>
      <c r="AT52" s="556">
        <f t="shared" si="58"/>
        <v>14537.564778658645</v>
      </c>
      <c r="AU52" s="556">
        <f t="shared" si="58"/>
        <v>8181.8463036280536</v>
      </c>
      <c r="AV52" s="556"/>
      <c r="AW52" s="609" t="str">
        <f t="shared" si="47"/>
        <v>ЗП и взносы ФНС:</v>
      </c>
      <c r="AX52" s="604">
        <f t="shared" si="0"/>
        <v>17069</v>
      </c>
      <c r="AY52" s="604">
        <f t="shared" si="1"/>
        <v>24041.940000000002</v>
      </c>
      <c r="AZ52" s="604">
        <f t="shared" si="2"/>
        <v>25044.536400000005</v>
      </c>
      <c r="BA52" s="604">
        <f t="shared" si="3"/>
        <v>26107.288583999998</v>
      </c>
      <c r="BB52" s="604">
        <f t="shared" si="4"/>
        <v>27673.725899040001</v>
      </c>
      <c r="BC52" s="604">
        <f t="shared" si="5"/>
        <v>29334.149452982409</v>
      </c>
      <c r="BD52" s="604">
        <f t="shared" si="6"/>
        <v>31094.198420161349</v>
      </c>
      <c r="BE52" s="604">
        <f t="shared" si="7"/>
        <v>32814.92749849103</v>
      </c>
      <c r="BF52" s="604">
        <f t="shared" si="8"/>
        <v>34783.823148400501</v>
      </c>
      <c r="BG52" s="604">
        <f t="shared" si="9"/>
        <v>36870.852537304534</v>
      </c>
      <c r="BH52" s="604">
        <f t="shared" si="10"/>
        <v>39083.103689542804</v>
      </c>
    </row>
    <row r="53" spans="1:60" s="336" customFormat="1" ht="45" x14ac:dyDescent="0.25">
      <c r="A53" s="565" t="s">
        <v>147</v>
      </c>
      <c r="B53" s="565"/>
      <c r="C53" s="565"/>
      <c r="D53" s="565">
        <f>D49*0.014</f>
        <v>10.92</v>
      </c>
      <c r="E53" s="565">
        <f t="shared" ref="E53:G53" si="59">E49*0.014</f>
        <v>25.48</v>
      </c>
      <c r="F53" s="565">
        <f t="shared" si="59"/>
        <v>92.820000000000007</v>
      </c>
      <c r="G53" s="565">
        <f t="shared" si="59"/>
        <v>54.6</v>
      </c>
      <c r="H53" s="565">
        <f>H49*$B$61</f>
        <v>54.6</v>
      </c>
      <c r="I53" s="565">
        <f t="shared" ref="I53:S53" si="60">I49*$B$61</f>
        <v>54.6</v>
      </c>
      <c r="J53" s="565">
        <f t="shared" si="60"/>
        <v>95.113200000000006</v>
      </c>
      <c r="K53" s="565">
        <f t="shared" si="60"/>
        <v>54.6</v>
      </c>
      <c r="L53" s="565">
        <f t="shared" si="60"/>
        <v>56.691600000000001</v>
      </c>
      <c r="M53" s="565">
        <f t="shared" si="60"/>
        <v>56.691600000000001</v>
      </c>
      <c r="N53" s="565">
        <f t="shared" si="60"/>
        <v>99.635592000000003</v>
      </c>
      <c r="O53" s="565">
        <f t="shared" si="60"/>
        <v>56.691600000000001</v>
      </c>
      <c r="P53" s="565">
        <f t="shared" si="60"/>
        <v>58.908696000000006</v>
      </c>
      <c r="Q53" s="565">
        <f t="shared" si="60"/>
        <v>58.908696000000006</v>
      </c>
      <c r="R53" s="565">
        <f t="shared" si="60"/>
        <v>104.42932752</v>
      </c>
      <c r="S53" s="565">
        <f t="shared" si="60"/>
        <v>58.908696000000006</v>
      </c>
      <c r="T53" s="565">
        <f>T49*$B$61</f>
        <v>62.443217760000003</v>
      </c>
      <c r="U53" s="565">
        <f t="shared" ref="U53:AQ53" si="61">U49*$B$61</f>
        <v>62.443217760000003</v>
      </c>
      <c r="V53" s="565">
        <f t="shared" si="61"/>
        <v>110.69508717120002</v>
      </c>
      <c r="W53" s="565">
        <f t="shared" si="61"/>
        <v>62.443217760000003</v>
      </c>
      <c r="X53" s="565">
        <f t="shared" si="61"/>
        <v>66.189810825600006</v>
      </c>
      <c r="Y53" s="565">
        <f t="shared" si="61"/>
        <v>66.189810825600006</v>
      </c>
      <c r="Z53" s="565">
        <f t="shared" si="61"/>
        <v>117.33679240147202</v>
      </c>
      <c r="AA53" s="565">
        <f t="shared" si="61"/>
        <v>66.189810825600006</v>
      </c>
      <c r="AB53" s="565">
        <f t="shared" si="61"/>
        <v>70.161199475136016</v>
      </c>
      <c r="AC53" s="565">
        <f t="shared" si="61"/>
        <v>70.161199475136016</v>
      </c>
      <c r="AD53" s="565">
        <f t="shared" si="61"/>
        <v>124.37699994556036</v>
      </c>
      <c r="AE53" s="565">
        <f t="shared" si="61"/>
        <v>70.161199475136016</v>
      </c>
      <c r="AF53" s="565">
        <f t="shared" si="61"/>
        <v>73.980694602044181</v>
      </c>
      <c r="AG53" s="565">
        <f t="shared" si="61"/>
        <v>73.980694602044181</v>
      </c>
      <c r="AH53" s="565">
        <f t="shared" si="61"/>
        <v>131.44944310069397</v>
      </c>
      <c r="AI53" s="565">
        <f t="shared" si="61"/>
        <v>73.980694602044181</v>
      </c>
      <c r="AJ53" s="565">
        <f t="shared" si="61"/>
        <v>78.419536278166845</v>
      </c>
      <c r="AK53" s="565">
        <f t="shared" si="61"/>
        <v>78.419536278166845</v>
      </c>
      <c r="AL53" s="565">
        <f t="shared" si="61"/>
        <v>139.33640968673564</v>
      </c>
      <c r="AM53" s="565">
        <f t="shared" si="61"/>
        <v>78.419536278166845</v>
      </c>
      <c r="AN53" s="565">
        <f t="shared" si="61"/>
        <v>83.124708454856858</v>
      </c>
      <c r="AO53" s="565">
        <f t="shared" si="61"/>
        <v>83.124708454856858</v>
      </c>
      <c r="AP53" s="565">
        <f t="shared" si="61"/>
        <v>147.69659426793979</v>
      </c>
      <c r="AQ53" s="565">
        <f t="shared" si="61"/>
        <v>83.124708454856858</v>
      </c>
      <c r="AR53" s="565">
        <f t="shared" ref="AR53:AU53" si="62">AR49*$B$61</f>
        <v>88.112190962148276</v>
      </c>
      <c r="AS53" s="565">
        <f t="shared" si="62"/>
        <v>88.112190962148276</v>
      </c>
      <c r="AT53" s="565">
        <f t="shared" si="62"/>
        <v>156.55838992401618</v>
      </c>
      <c r="AU53" s="565">
        <f t="shared" si="62"/>
        <v>88.112190962148276</v>
      </c>
      <c r="AV53" s="565"/>
      <c r="AW53" s="608" t="str">
        <f t="shared" si="47"/>
        <v>Страховые взносы ФСС (НС и ПЗ)</v>
      </c>
      <c r="AX53" s="610">
        <f>SUM(D53:G53)</f>
        <v>183.82</v>
      </c>
      <c r="AY53" s="610">
        <f t="shared" si="1"/>
        <v>258.91320000000002</v>
      </c>
      <c r="AZ53" s="610">
        <f t="shared" si="2"/>
        <v>269.71039200000001</v>
      </c>
      <c r="BA53" s="610">
        <f t="shared" si="3"/>
        <v>281.15541552000002</v>
      </c>
      <c r="BB53" s="610">
        <f t="shared" si="4"/>
        <v>298.02474045119999</v>
      </c>
      <c r="BC53" s="610">
        <f t="shared" si="5"/>
        <v>315.90622487827204</v>
      </c>
      <c r="BD53" s="610">
        <f t="shared" si="6"/>
        <v>334.86059837096838</v>
      </c>
      <c r="BE53" s="610">
        <f t="shared" si="7"/>
        <v>353.39152690682653</v>
      </c>
      <c r="BF53" s="610">
        <f t="shared" si="8"/>
        <v>374.59501852123617</v>
      </c>
      <c r="BG53" s="610">
        <f t="shared" si="9"/>
        <v>397.07071963251042</v>
      </c>
      <c r="BH53" s="610">
        <f t="shared" si="10"/>
        <v>420.89496281046104</v>
      </c>
    </row>
    <row r="54" spans="1:60" ht="30" x14ac:dyDescent="0.25">
      <c r="A54" s="556" t="s">
        <v>148</v>
      </c>
      <c r="B54" s="556"/>
      <c r="C54" s="556"/>
      <c r="D54" s="556">
        <f>D52+D53</f>
        <v>1024.92</v>
      </c>
      <c r="E54" s="556">
        <f t="shared" ref="E54:AH54" si="63">E52+E53</f>
        <v>2391.48</v>
      </c>
      <c r="F54" s="556">
        <f t="shared" si="63"/>
        <v>8711.82</v>
      </c>
      <c r="G54" s="556">
        <f t="shared" si="63"/>
        <v>5124.6000000000004</v>
      </c>
      <c r="H54" s="556">
        <f>H52+H53</f>
        <v>5124.6000000000004</v>
      </c>
      <c r="I54" s="556">
        <f t="shared" si="63"/>
        <v>5124.6000000000004</v>
      </c>
      <c r="J54" s="556">
        <f t="shared" si="63"/>
        <v>8927.0532000000003</v>
      </c>
      <c r="K54" s="556">
        <f t="shared" si="63"/>
        <v>5124.6000000000004</v>
      </c>
      <c r="L54" s="556">
        <f t="shared" si="63"/>
        <v>5320.9116000000004</v>
      </c>
      <c r="M54" s="556">
        <f t="shared" si="63"/>
        <v>5320.9116000000004</v>
      </c>
      <c r="N54" s="556">
        <f t="shared" si="63"/>
        <v>9351.5119920000016</v>
      </c>
      <c r="O54" s="556">
        <f t="shared" si="63"/>
        <v>5320.9116000000004</v>
      </c>
      <c r="P54" s="556">
        <f t="shared" si="63"/>
        <v>5529.0018960000007</v>
      </c>
      <c r="Q54" s="556">
        <f t="shared" si="63"/>
        <v>5529.0018960000007</v>
      </c>
      <c r="R54" s="556">
        <f t="shared" si="63"/>
        <v>9801.4383115199998</v>
      </c>
      <c r="S54" s="556">
        <f t="shared" si="63"/>
        <v>5529.0018960000007</v>
      </c>
      <c r="T54" s="556">
        <f t="shared" si="63"/>
        <v>5860.7420097599997</v>
      </c>
      <c r="U54" s="556">
        <f t="shared" si="63"/>
        <v>5860.7420097599997</v>
      </c>
      <c r="V54" s="556">
        <f t="shared" si="63"/>
        <v>10389.5246102112</v>
      </c>
      <c r="W54" s="556">
        <f t="shared" si="63"/>
        <v>5860.7420097599997</v>
      </c>
      <c r="X54" s="556">
        <f t="shared" si="63"/>
        <v>6212.3865303456014</v>
      </c>
      <c r="Y54" s="556">
        <f t="shared" si="63"/>
        <v>6212.3865303456014</v>
      </c>
      <c r="Z54" s="556">
        <f t="shared" si="63"/>
        <v>11012.896086823876</v>
      </c>
      <c r="AA54" s="556">
        <f t="shared" si="63"/>
        <v>6212.3865303456014</v>
      </c>
      <c r="AB54" s="556">
        <f t="shared" si="63"/>
        <v>6585.1297221663363</v>
      </c>
      <c r="AC54" s="556">
        <f t="shared" si="63"/>
        <v>6585.1297221663363</v>
      </c>
      <c r="AD54" s="556">
        <f t="shared" si="63"/>
        <v>11673.669852033307</v>
      </c>
      <c r="AE54" s="556">
        <f t="shared" si="63"/>
        <v>6585.1297221663363</v>
      </c>
      <c r="AF54" s="556">
        <f t="shared" si="63"/>
        <v>6943.6166219347188</v>
      </c>
      <c r="AG54" s="556">
        <f t="shared" si="63"/>
        <v>6943.6166219347188</v>
      </c>
      <c r="AH54" s="556">
        <f t="shared" si="63"/>
        <v>12337.469159593704</v>
      </c>
      <c r="AI54" s="556">
        <f>AI52+AI53</f>
        <v>6943.6166219347188</v>
      </c>
      <c r="AJ54" s="556">
        <f t="shared" ref="AJ54:AQ54" si="64">AJ52+AJ53</f>
        <v>7360.2336192508019</v>
      </c>
      <c r="AK54" s="556">
        <f t="shared" si="64"/>
        <v>7360.2336192508019</v>
      </c>
      <c r="AL54" s="556">
        <f t="shared" si="64"/>
        <v>13077.717309169329</v>
      </c>
      <c r="AM54" s="556">
        <f t="shared" si="64"/>
        <v>7360.2336192508019</v>
      </c>
      <c r="AN54" s="556">
        <f>AN52+AN53</f>
        <v>7801.8476364058506</v>
      </c>
      <c r="AO54" s="556">
        <f t="shared" si="64"/>
        <v>7801.8476364058506</v>
      </c>
      <c r="AP54" s="556">
        <f t="shared" si="64"/>
        <v>13862.380347719491</v>
      </c>
      <c r="AQ54" s="556">
        <f t="shared" si="64"/>
        <v>7801.8476364058506</v>
      </c>
      <c r="AR54" s="556">
        <f t="shared" ref="AR54:AU54" si="65">AR52+AR53</f>
        <v>8269.9584945902025</v>
      </c>
      <c r="AS54" s="556">
        <f t="shared" si="65"/>
        <v>8269.9584945902025</v>
      </c>
      <c r="AT54" s="556">
        <f t="shared" si="65"/>
        <v>14694.123168582661</v>
      </c>
      <c r="AU54" s="556">
        <f t="shared" si="65"/>
        <v>8269.9584945902025</v>
      </c>
      <c r="AV54" s="556"/>
      <c r="AW54" s="609" t="str">
        <f t="shared" si="47"/>
        <v>ЗП и все взносы</v>
      </c>
      <c r="AX54" s="604">
        <f t="shared" si="0"/>
        <v>17252.82</v>
      </c>
      <c r="AY54" s="604">
        <f t="shared" si="1"/>
        <v>24300.853199999998</v>
      </c>
      <c r="AZ54" s="604">
        <f t="shared" si="2"/>
        <v>25314.246792000002</v>
      </c>
      <c r="BA54" s="604">
        <f t="shared" si="3"/>
        <v>26388.443999520001</v>
      </c>
      <c r="BB54" s="604">
        <f t="shared" si="4"/>
        <v>27971.750639491202</v>
      </c>
      <c r="BC54" s="604">
        <f t="shared" si="5"/>
        <v>29650.055677860681</v>
      </c>
      <c r="BD54" s="604">
        <f t="shared" si="6"/>
        <v>31429.059018532316</v>
      </c>
      <c r="BE54" s="604">
        <f t="shared" si="7"/>
        <v>33168.319025397861</v>
      </c>
      <c r="BF54" s="604">
        <f t="shared" si="8"/>
        <v>35158.418166921736</v>
      </c>
      <c r="BG54" s="611">
        <f>SUM(AN54:AQ54)</f>
        <v>37267.923256937043</v>
      </c>
      <c r="BH54" s="604">
        <f t="shared" si="10"/>
        <v>39503.998652353272</v>
      </c>
    </row>
    <row r="55" spans="1:60" x14ac:dyDescent="0.25">
      <c r="A55" s="556" t="s">
        <v>149</v>
      </c>
      <c r="B55" s="556"/>
      <c r="C55" s="556"/>
      <c r="D55" s="556"/>
      <c r="E55" s="556"/>
      <c r="F55" s="556"/>
      <c r="G55" s="556">
        <f>SUM(D54:G54)</f>
        <v>17252.82</v>
      </c>
      <c r="H55" s="556"/>
      <c r="I55" s="556"/>
      <c r="J55" s="556"/>
      <c r="K55" s="556">
        <f>SUM(H54:K54)</f>
        <v>24300.853199999998</v>
      </c>
      <c r="L55" s="556"/>
      <c r="M55" s="556"/>
      <c r="N55" s="556"/>
      <c r="O55" s="556">
        <f>SUM(L54:O54)</f>
        <v>25314.246792000002</v>
      </c>
      <c r="P55" s="556"/>
      <c r="Q55" s="556"/>
      <c r="R55" s="556"/>
      <c r="S55" s="556">
        <f>SUM(P54:S54)</f>
        <v>26388.443999520001</v>
      </c>
      <c r="T55" s="556"/>
      <c r="U55" s="556"/>
      <c r="V55" s="556"/>
      <c r="W55" s="556">
        <f>SUM(T54:W54)</f>
        <v>27971.750639491202</v>
      </c>
      <c r="X55" s="556"/>
      <c r="Y55" s="556"/>
      <c r="Z55" s="556"/>
      <c r="AA55" s="556">
        <f t="shared" ref="AA55:AI55" si="66">SUM(X54:AA54)</f>
        <v>29650.055677860681</v>
      </c>
      <c r="AB55" s="556"/>
      <c r="AC55" s="556"/>
      <c r="AD55" s="556"/>
      <c r="AE55" s="556">
        <f t="shared" si="66"/>
        <v>31429.059018532316</v>
      </c>
      <c r="AF55" s="556"/>
      <c r="AG55" s="556"/>
      <c r="AH55" s="556"/>
      <c r="AI55" s="556">
        <f t="shared" si="66"/>
        <v>33168.319025397861</v>
      </c>
      <c r="AJ55" s="556"/>
      <c r="AK55" s="556"/>
      <c r="AL55" s="556"/>
      <c r="AM55" s="556">
        <f>SUM(AJ54:AM54)</f>
        <v>35158.418166921736</v>
      </c>
      <c r="AN55" s="556"/>
      <c r="AO55" s="556"/>
      <c r="AP55" s="556"/>
      <c r="AQ55" s="556">
        <f>SUM(AN54:AQ54)</f>
        <v>37267.923256937043</v>
      </c>
      <c r="AR55" s="556"/>
      <c r="AS55" s="556"/>
      <c r="AT55" s="556"/>
      <c r="AU55" s="556">
        <f>SUM(AR54:AU54)</f>
        <v>39503.998652353272</v>
      </c>
      <c r="AV55" s="556"/>
      <c r="AW55" s="604" t="s">
        <v>170</v>
      </c>
      <c r="AX55" s="604">
        <f t="shared" si="0"/>
        <v>17252.82</v>
      </c>
      <c r="AY55" s="604">
        <f t="shared" si="1"/>
        <v>24300.853199999998</v>
      </c>
      <c r="AZ55" s="604">
        <f t="shared" si="2"/>
        <v>25314.246792000002</v>
      </c>
      <c r="BA55" s="604">
        <f t="shared" si="3"/>
        <v>26388.443999520001</v>
      </c>
      <c r="BB55" s="604">
        <f t="shared" si="4"/>
        <v>27971.750639491202</v>
      </c>
      <c r="BC55" s="604">
        <f t="shared" si="5"/>
        <v>29650.055677860681</v>
      </c>
      <c r="BD55" s="604">
        <f t="shared" si="6"/>
        <v>31429.059018532316</v>
      </c>
      <c r="BE55" s="604">
        <f t="shared" si="7"/>
        <v>33168.319025397861</v>
      </c>
      <c r="BF55" s="604">
        <f t="shared" si="8"/>
        <v>35158.418166921736</v>
      </c>
      <c r="BG55" s="604">
        <f t="shared" si="9"/>
        <v>37267.923256937043</v>
      </c>
      <c r="BH55" s="604">
        <f t="shared" si="10"/>
        <v>39503.998652353272</v>
      </c>
    </row>
    <row r="56" spans="1:60" x14ac:dyDescent="0.25">
      <c r="A56" s="556" t="str">
        <f>'Расходы на ЗП ОТ'!A56</f>
        <v>НДФЛ РФ</v>
      </c>
      <c r="B56" s="111">
        <f>'Расходы на ЗП ОТ'!B56</f>
        <v>0.13</v>
      </c>
      <c r="C56" s="556">
        <f>'Расходы на ЗП ОТ'!C56</f>
        <v>0</v>
      </c>
      <c r="D56" s="556">
        <f>'Расходы на ЗП ОТ'!D56</f>
        <v>101.4</v>
      </c>
      <c r="E56" s="556">
        <f>'Расходы на ЗП ОТ'!E56</f>
        <v>236.6</v>
      </c>
      <c r="F56" s="556">
        <f>'Расходы на ЗП ОТ'!F56</f>
        <v>861.9</v>
      </c>
      <c r="G56" s="556">
        <f>'Расходы на ЗП ОТ'!G56</f>
        <v>507</v>
      </c>
      <c r="H56" s="556">
        <f>'Расходы на ЗП ОТ'!H56</f>
        <v>507</v>
      </c>
      <c r="I56" s="556">
        <f>'Расходы на ЗП ОТ'!I56</f>
        <v>507</v>
      </c>
      <c r="J56" s="556">
        <f>'Расходы на ЗП ОТ'!J56</f>
        <v>883.19400000000007</v>
      </c>
      <c r="K56" s="556">
        <f>'Расходы на ЗП ОТ'!K56</f>
        <v>507</v>
      </c>
      <c r="L56" s="556">
        <f>'Расходы на ЗП ОТ'!L56</f>
        <v>526.42200000000003</v>
      </c>
      <c r="M56" s="556">
        <f>'Расходы на ЗП ОТ'!M56</f>
        <v>526.42200000000003</v>
      </c>
      <c r="N56" s="556">
        <f>'Расходы на ЗП ОТ'!N56</f>
        <v>925.1876400000001</v>
      </c>
      <c r="O56" s="556">
        <f>'Расходы на ЗП ОТ'!O56</f>
        <v>526.42200000000003</v>
      </c>
      <c r="P56" s="556">
        <f>'Расходы на ЗП ОТ'!P56</f>
        <v>547.00932</v>
      </c>
      <c r="Q56" s="556">
        <f>'Расходы на ЗП ОТ'!Q56</f>
        <v>547.00932</v>
      </c>
      <c r="R56" s="556">
        <f>'Расходы на ЗП ОТ'!R56</f>
        <v>969.70089840000003</v>
      </c>
      <c r="S56" s="556">
        <f>'Расходы на ЗП ОТ'!S56</f>
        <v>547.00932</v>
      </c>
      <c r="T56" s="556">
        <f>'Расходы на ЗП ОТ'!T56</f>
        <v>579.82987920000005</v>
      </c>
      <c r="U56" s="556">
        <f>'Расходы на ЗП ОТ'!U56</f>
        <v>579.82987920000005</v>
      </c>
      <c r="V56" s="556">
        <f>'Расходы на ЗП ОТ'!V56</f>
        <v>1027.8829523040001</v>
      </c>
      <c r="W56" s="556">
        <f>'Расходы на ЗП ОТ'!W56</f>
        <v>579.82987920000005</v>
      </c>
      <c r="X56" s="556">
        <f>'Расходы на ЗП ОТ'!X56</f>
        <v>614.61967195200009</v>
      </c>
      <c r="Y56" s="556">
        <f>'Расходы на ЗП ОТ'!Y56</f>
        <v>614.61967195200009</v>
      </c>
      <c r="Z56" s="556">
        <f>'Расходы на ЗП ОТ'!Z56</f>
        <v>1089.5559294422403</v>
      </c>
      <c r="AA56" s="556">
        <f>'Расходы на ЗП ОТ'!AA56</f>
        <v>614.61967195200009</v>
      </c>
      <c r="AB56" s="556">
        <f>'Расходы на ЗП ОТ'!AB56</f>
        <v>651.49685226912015</v>
      </c>
      <c r="AC56" s="556">
        <f>'Расходы на ЗП ОТ'!AC56</f>
        <v>651.49685226912015</v>
      </c>
      <c r="AD56" s="556">
        <f>'Расходы на ЗП ОТ'!AD56</f>
        <v>1154.9292852087749</v>
      </c>
      <c r="AE56" s="556">
        <f>'Расходы на ЗП ОТ'!AE56</f>
        <v>651.49685226912015</v>
      </c>
      <c r="AF56" s="556">
        <f>'Расходы на ЗП ОТ'!AF56</f>
        <v>686.96359273326743</v>
      </c>
      <c r="AG56" s="556">
        <f>'Расходы на ЗП ОТ'!AG56</f>
        <v>686.96359273326743</v>
      </c>
      <c r="AH56" s="556">
        <f>'Расходы на ЗП ОТ'!AH56</f>
        <v>1220.601971649301</v>
      </c>
      <c r="AI56" s="556">
        <f>'Расходы на ЗП ОТ'!AI56</f>
        <v>686.96359273326743</v>
      </c>
      <c r="AJ56" s="556">
        <f>'Расходы на ЗП ОТ'!AJ56</f>
        <v>728.18140829726349</v>
      </c>
      <c r="AK56" s="556">
        <f>'Расходы на ЗП ОТ'!AK56</f>
        <v>728.18140829726349</v>
      </c>
      <c r="AL56" s="556">
        <f>'Расходы на ЗП ОТ'!AL56</f>
        <v>1293.8380899482593</v>
      </c>
      <c r="AM56" s="556">
        <f>'Расходы на ЗП ОТ'!AM56</f>
        <v>728.18140829726349</v>
      </c>
      <c r="AN56" s="556">
        <f>'Расходы на ЗП ОТ'!AN56</f>
        <v>771.87229279509938</v>
      </c>
      <c r="AO56" s="556">
        <f>'Расходы на ЗП ОТ'!AO56</f>
        <v>771.87229279509938</v>
      </c>
      <c r="AP56" s="556">
        <f>'Расходы на ЗП ОТ'!AP56</f>
        <v>1371.4683753451552</v>
      </c>
      <c r="AQ56" s="556">
        <f>'Расходы на ЗП ОТ'!AQ56</f>
        <v>771.87229279509938</v>
      </c>
      <c r="AR56" s="556">
        <f>'Расходы на ЗП ОТ'!AR56</f>
        <v>818.18463036280536</v>
      </c>
      <c r="AS56" s="556">
        <f>'Расходы на ЗП ОТ'!AS56</f>
        <v>818.18463036280536</v>
      </c>
      <c r="AT56" s="556">
        <f>'Расходы на ЗП ОТ'!AT56</f>
        <v>1453.7564778658646</v>
      </c>
      <c r="AU56" s="556">
        <f>'Расходы на ЗП ОТ'!AU56</f>
        <v>818.18463036280536</v>
      </c>
      <c r="AV56" s="556"/>
      <c r="AW56" s="604" t="str">
        <f t="shared" si="47"/>
        <v>НДФЛ РФ</v>
      </c>
      <c r="AX56" s="604">
        <f t="shared" si="0"/>
        <v>1706.9</v>
      </c>
      <c r="AY56" s="604">
        <f>SUM(H56:K56)</f>
        <v>2404.194</v>
      </c>
      <c r="AZ56" s="604">
        <f>SUM(L56:O56)</f>
        <v>2504.4536400000002</v>
      </c>
      <c r="BA56" s="604">
        <f>SUM(P56:S56)</f>
        <v>2610.7288584000003</v>
      </c>
      <c r="BB56" s="604">
        <f>SUM(T56:W56)</f>
        <v>2767.3725899040005</v>
      </c>
      <c r="BC56" s="604">
        <f>SUM(X56:AA56)</f>
        <v>2933.414945298241</v>
      </c>
      <c r="BD56" s="604">
        <f>SUM(AB56:AE56)</f>
        <v>3109.4198420161351</v>
      </c>
      <c r="BE56" s="604">
        <f>SUM(AF56:AI56)</f>
        <v>3281.4927498491033</v>
      </c>
      <c r="BF56" s="604">
        <f>SUM(AJ56:AM56)</f>
        <v>3478.3823148400497</v>
      </c>
      <c r="BG56" s="604">
        <f t="shared" si="9"/>
        <v>3687.0852537304536</v>
      </c>
      <c r="BH56" s="604">
        <f t="shared" si="10"/>
        <v>3908.3103689542804</v>
      </c>
    </row>
    <row r="57" spans="1:60" x14ac:dyDescent="0.25">
      <c r="A57" s="556" t="str">
        <f>'Расходы на ЗП ОТ'!A57</f>
        <v>НДФЛ ИРС</v>
      </c>
      <c r="B57" s="111">
        <f>'Расходы на ЗП ОТ'!B57</f>
        <v>0.3</v>
      </c>
      <c r="C57" s="556">
        <f>'Расходы на ЗП ОТ'!C57</f>
        <v>0</v>
      </c>
      <c r="D57" s="556">
        <f>'Расходы на ЗП ОТ'!D57</f>
        <v>0</v>
      </c>
      <c r="E57" s="556">
        <f>'Расходы на ЗП ОТ'!E57</f>
        <v>0</v>
      </c>
      <c r="F57" s="556">
        <f>'Расходы на ЗП ОТ'!F57</f>
        <v>0</v>
      </c>
      <c r="G57" s="556">
        <f>'Расходы на ЗП ОТ'!G57</f>
        <v>0</v>
      </c>
      <c r="H57" s="556">
        <f>'Расходы на ЗП ОТ'!H57</f>
        <v>0</v>
      </c>
      <c r="I57" s="556">
        <f>'Расходы на ЗП ОТ'!I57</f>
        <v>0</v>
      </c>
      <c r="J57" s="556">
        <f>'Расходы на ЗП ОТ'!J57</f>
        <v>0</v>
      </c>
      <c r="K57" s="556">
        <f>'Расходы на ЗП ОТ'!K57</f>
        <v>0</v>
      </c>
      <c r="L57" s="556">
        <f>'Расходы на ЗП ОТ'!L57</f>
        <v>0</v>
      </c>
      <c r="M57" s="556">
        <f>'Расходы на ЗП ОТ'!M57</f>
        <v>0</v>
      </c>
      <c r="N57" s="556">
        <f>'Расходы на ЗП ОТ'!N57</f>
        <v>0</v>
      </c>
      <c r="O57" s="556">
        <f>'Расходы на ЗП ОТ'!O57</f>
        <v>0</v>
      </c>
      <c r="P57" s="556">
        <f>'Расходы на ЗП ОТ'!P57</f>
        <v>0</v>
      </c>
      <c r="Q57" s="556">
        <f>'Расходы на ЗП ОТ'!Q57</f>
        <v>0</v>
      </c>
      <c r="R57" s="556">
        <f>'Расходы на ЗП ОТ'!R57</f>
        <v>0</v>
      </c>
      <c r="S57" s="556">
        <f>'Расходы на ЗП ОТ'!S57</f>
        <v>0</v>
      </c>
      <c r="T57" s="556">
        <f>'Расходы на ЗП ОТ'!T57</f>
        <v>0</v>
      </c>
      <c r="U57" s="556">
        <f>'Расходы на ЗП ОТ'!U57</f>
        <v>0</v>
      </c>
      <c r="V57" s="556">
        <f>'Расходы на ЗП ОТ'!V57</f>
        <v>0</v>
      </c>
      <c r="W57" s="556">
        <f>'Расходы на ЗП ОТ'!W57</f>
        <v>0</v>
      </c>
      <c r="X57" s="556">
        <f>'Расходы на ЗП ОТ'!X57</f>
        <v>0</v>
      </c>
      <c r="Y57" s="556">
        <f>'Расходы на ЗП ОТ'!Y57</f>
        <v>0</v>
      </c>
      <c r="Z57" s="556">
        <f>'Расходы на ЗП ОТ'!Z57</f>
        <v>0</v>
      </c>
      <c r="AA57" s="556">
        <f>'Расходы на ЗП ОТ'!AA57</f>
        <v>0</v>
      </c>
      <c r="AB57" s="556">
        <f>'Расходы на ЗП ОТ'!AB57</f>
        <v>0</v>
      </c>
      <c r="AC57" s="556">
        <f>'Расходы на ЗП ОТ'!AC57</f>
        <v>0</v>
      </c>
      <c r="AD57" s="556">
        <f>'Расходы на ЗП ОТ'!AD57</f>
        <v>0</v>
      </c>
      <c r="AE57" s="556">
        <f>'Расходы на ЗП ОТ'!AE57</f>
        <v>0</v>
      </c>
      <c r="AF57" s="556">
        <f>'Расходы на ЗП ОТ'!AF57</f>
        <v>0</v>
      </c>
      <c r="AG57" s="556">
        <f>'Расходы на ЗП ОТ'!AG57</f>
        <v>0</v>
      </c>
      <c r="AH57" s="556">
        <f>'Расходы на ЗП ОТ'!AH57</f>
        <v>0</v>
      </c>
      <c r="AI57" s="556">
        <f>'Расходы на ЗП ОТ'!AI57</f>
        <v>0</v>
      </c>
      <c r="AJ57" s="556">
        <f>'Расходы на ЗП ОТ'!AJ57</f>
        <v>0</v>
      </c>
      <c r="AK57" s="556">
        <f>'Расходы на ЗП ОТ'!AK57</f>
        <v>0</v>
      </c>
      <c r="AL57" s="556">
        <f>'Расходы на ЗП ОТ'!AL57</f>
        <v>0</v>
      </c>
      <c r="AM57" s="556">
        <f>'Расходы на ЗП ОТ'!AM57</f>
        <v>0</v>
      </c>
      <c r="AN57" s="556">
        <f>'Расходы на ЗП ОТ'!AN57</f>
        <v>0</v>
      </c>
      <c r="AO57" s="556">
        <f>'Расходы на ЗП ОТ'!AO57</f>
        <v>0</v>
      </c>
      <c r="AP57" s="556">
        <f>'Расходы на ЗП ОТ'!AP57</f>
        <v>0</v>
      </c>
      <c r="AQ57" s="556">
        <f>'Расходы на ЗП ОТ'!AQ57</f>
        <v>0</v>
      </c>
      <c r="AR57" s="556">
        <f>'Расходы на ЗП ОТ'!AR57</f>
        <v>0</v>
      </c>
      <c r="AS57" s="556">
        <f>'Расходы на ЗП ОТ'!AS57</f>
        <v>0</v>
      </c>
      <c r="AT57" s="556">
        <f>'Расходы на ЗП ОТ'!AT57</f>
        <v>0</v>
      </c>
      <c r="AU57" s="556">
        <f>'Расходы на ЗП ОТ'!AU57</f>
        <v>0</v>
      </c>
      <c r="AV57" s="556"/>
      <c r="AW57" s="604" t="str">
        <f t="shared" si="47"/>
        <v>НДФЛ ИРС</v>
      </c>
      <c r="AX57" s="604">
        <f t="shared" si="0"/>
        <v>0</v>
      </c>
      <c r="AY57" s="604">
        <f t="shared" si="1"/>
        <v>0</v>
      </c>
      <c r="AZ57" s="604">
        <f t="shared" si="2"/>
        <v>0</v>
      </c>
      <c r="BA57" s="604">
        <f t="shared" si="3"/>
        <v>0</v>
      </c>
      <c r="BB57" s="604">
        <f t="shared" si="4"/>
        <v>0</v>
      </c>
      <c r="BC57" s="604">
        <f t="shared" si="5"/>
        <v>0</v>
      </c>
      <c r="BD57" s="604">
        <f t="shared" si="6"/>
        <v>0</v>
      </c>
      <c r="BE57" s="604">
        <f t="shared" si="7"/>
        <v>0</v>
      </c>
      <c r="BF57" s="604">
        <f t="shared" si="8"/>
        <v>0</v>
      </c>
      <c r="BG57" s="604">
        <f t="shared" si="9"/>
        <v>0</v>
      </c>
      <c r="BH57" s="604">
        <f t="shared" si="10"/>
        <v>0</v>
      </c>
    </row>
    <row r="58" spans="1:60" x14ac:dyDescent="0.25">
      <c r="A58" s="556" t="str">
        <f>'Расходы на ЗП ОТ'!A58</f>
        <v>НДФЛ итого</v>
      </c>
      <c r="B58" s="556"/>
      <c r="C58" s="556">
        <f>'Расходы на ЗП ОТ'!C58</f>
        <v>0</v>
      </c>
      <c r="D58" s="556">
        <f>'Расходы на ЗП ОТ'!D58</f>
        <v>101.4</v>
      </c>
      <c r="E58" s="556">
        <f>'Расходы на ЗП ОТ'!E58</f>
        <v>236.6</v>
      </c>
      <c r="F58" s="556">
        <f>'Расходы на ЗП ОТ'!F58</f>
        <v>861.9</v>
      </c>
      <c r="G58" s="556">
        <f>'Расходы на ЗП ОТ'!G58</f>
        <v>507</v>
      </c>
      <c r="H58" s="556">
        <f>'Расходы на ЗП ОТ'!H58</f>
        <v>507</v>
      </c>
      <c r="I58" s="556">
        <f>'Расходы на ЗП ОТ'!I58</f>
        <v>507</v>
      </c>
      <c r="J58" s="556">
        <f>'Расходы на ЗП ОТ'!J58</f>
        <v>883.19400000000007</v>
      </c>
      <c r="K58" s="556">
        <f>'Расходы на ЗП ОТ'!K58</f>
        <v>507</v>
      </c>
      <c r="L58" s="556">
        <f>'Расходы на ЗП ОТ'!L58</f>
        <v>526.42200000000003</v>
      </c>
      <c r="M58" s="556">
        <f>'Расходы на ЗП ОТ'!M58</f>
        <v>526.42200000000003</v>
      </c>
      <c r="N58" s="556">
        <f>'Расходы на ЗП ОТ'!N58</f>
        <v>925.1876400000001</v>
      </c>
      <c r="O58" s="556">
        <f>'Расходы на ЗП ОТ'!O58</f>
        <v>526.42200000000003</v>
      </c>
      <c r="P58" s="556">
        <f>'Расходы на ЗП ОТ'!P58</f>
        <v>547.00932</v>
      </c>
      <c r="Q58" s="556">
        <f>'Расходы на ЗП ОТ'!Q58</f>
        <v>547.00932</v>
      </c>
      <c r="R58" s="556">
        <f>'Расходы на ЗП ОТ'!R58</f>
        <v>969.70089840000003</v>
      </c>
      <c r="S58" s="556">
        <f>'Расходы на ЗП ОТ'!S58</f>
        <v>547.00932</v>
      </c>
      <c r="T58" s="556">
        <f>'Расходы на ЗП ОТ'!T58</f>
        <v>579.82987920000005</v>
      </c>
      <c r="U58" s="556">
        <f>'Расходы на ЗП ОТ'!U58</f>
        <v>579.82987920000005</v>
      </c>
      <c r="V58" s="556">
        <f>'Расходы на ЗП ОТ'!V58</f>
        <v>1027.8829523040001</v>
      </c>
      <c r="W58" s="556">
        <f>'Расходы на ЗП ОТ'!W58</f>
        <v>579.82987920000005</v>
      </c>
      <c r="X58" s="556">
        <f>'Расходы на ЗП ОТ'!X58</f>
        <v>614.61967195200009</v>
      </c>
      <c r="Y58" s="556">
        <f>'Расходы на ЗП ОТ'!Y58</f>
        <v>614.61967195200009</v>
      </c>
      <c r="Z58" s="556">
        <f>'Расходы на ЗП ОТ'!Z58</f>
        <v>1089.5559294422403</v>
      </c>
      <c r="AA58" s="556">
        <f>'Расходы на ЗП ОТ'!AA58</f>
        <v>614.61967195200009</v>
      </c>
      <c r="AB58" s="556">
        <f>'Расходы на ЗП ОТ'!AB58</f>
        <v>651.49685226912015</v>
      </c>
      <c r="AC58" s="556">
        <f>'Расходы на ЗП ОТ'!AC58</f>
        <v>651.49685226912015</v>
      </c>
      <c r="AD58" s="556">
        <f>'Расходы на ЗП ОТ'!AD58</f>
        <v>1154.9292852087749</v>
      </c>
      <c r="AE58" s="556">
        <f>'Расходы на ЗП ОТ'!AE58</f>
        <v>651.49685226912015</v>
      </c>
      <c r="AF58" s="556">
        <f>'Расходы на ЗП ОТ'!AF58</f>
        <v>686.96359273326743</v>
      </c>
      <c r="AG58" s="556">
        <f>'Расходы на ЗП ОТ'!AG58</f>
        <v>686.96359273326743</v>
      </c>
      <c r="AH58" s="556">
        <f>'Расходы на ЗП ОТ'!AH58</f>
        <v>1220.601971649301</v>
      </c>
      <c r="AI58" s="556">
        <f>'Расходы на ЗП ОТ'!AI58</f>
        <v>686.96359273326743</v>
      </c>
      <c r="AJ58" s="556">
        <f>'Расходы на ЗП ОТ'!AJ58</f>
        <v>728.18140829726349</v>
      </c>
      <c r="AK58" s="556">
        <f>'Расходы на ЗП ОТ'!AK58</f>
        <v>728.18140829726349</v>
      </c>
      <c r="AL58" s="556">
        <f>'Расходы на ЗП ОТ'!AL58</f>
        <v>1293.8380899482593</v>
      </c>
      <c r="AM58" s="556">
        <f>'Расходы на ЗП ОТ'!AM58</f>
        <v>728.18140829726349</v>
      </c>
      <c r="AN58" s="556">
        <f>'Расходы на ЗП ОТ'!AN58</f>
        <v>771.87229279509938</v>
      </c>
      <c r="AO58" s="556">
        <f>'Расходы на ЗП ОТ'!AO58</f>
        <v>771.87229279509938</v>
      </c>
      <c r="AP58" s="556">
        <f>'Расходы на ЗП ОТ'!AP58</f>
        <v>1371.4683753451552</v>
      </c>
      <c r="AQ58" s="556">
        <f>'Расходы на ЗП ОТ'!AQ58</f>
        <v>771.87229279509938</v>
      </c>
      <c r="AR58" s="556">
        <f>'Расходы на ЗП ОТ'!AR58</f>
        <v>818.18463036280536</v>
      </c>
      <c r="AS58" s="556">
        <f>'Расходы на ЗП ОТ'!AS58</f>
        <v>818.18463036280536</v>
      </c>
      <c r="AT58" s="556">
        <f>'Расходы на ЗП ОТ'!AT58</f>
        <v>1453.7564778658646</v>
      </c>
      <c r="AU58" s="556">
        <f>'Расходы на ЗП ОТ'!AU58</f>
        <v>818.18463036280536</v>
      </c>
      <c r="AV58" s="556"/>
      <c r="AW58" s="604" t="str">
        <f t="shared" si="47"/>
        <v>НДФЛ итого</v>
      </c>
      <c r="AX58" s="604">
        <f t="shared" si="0"/>
        <v>1706.9</v>
      </c>
      <c r="AY58" s="604">
        <f t="shared" si="1"/>
        <v>2404.194</v>
      </c>
      <c r="AZ58" s="604">
        <f t="shared" si="2"/>
        <v>2504.4536400000002</v>
      </c>
      <c r="BA58" s="604">
        <f>SUM(P58:S58)</f>
        <v>2610.7288584000003</v>
      </c>
      <c r="BB58" s="604">
        <f t="shared" si="4"/>
        <v>2767.3725899040005</v>
      </c>
      <c r="BC58" s="604">
        <f t="shared" si="5"/>
        <v>2933.414945298241</v>
      </c>
      <c r="BD58" s="604">
        <f t="shared" si="6"/>
        <v>3109.4198420161351</v>
      </c>
      <c r="BE58" s="604">
        <f t="shared" si="7"/>
        <v>3281.4927498491033</v>
      </c>
      <c r="BF58" s="604">
        <f t="shared" si="8"/>
        <v>3478.3823148400497</v>
      </c>
      <c r="BG58" s="604">
        <f t="shared" si="9"/>
        <v>3687.0852537304536</v>
      </c>
      <c r="BH58" s="604">
        <f t="shared" si="10"/>
        <v>3908.3103689542804</v>
      </c>
    </row>
    <row r="59" spans="1:60" x14ac:dyDescent="0.25">
      <c r="BG59" s="112"/>
    </row>
    <row r="60" spans="1:60" s="109" customFormat="1" x14ac:dyDescent="0.25">
      <c r="A60" s="566" t="s">
        <v>153</v>
      </c>
      <c r="B60" s="566"/>
      <c r="C60" s="566"/>
      <c r="D60" s="567" t="str">
        <f>D1</f>
        <v>I кв. 1 г.</v>
      </c>
      <c r="E60" s="567" t="str">
        <f t="shared" ref="E60:AU60" si="67">E1</f>
        <v>II кв. 1 г.</v>
      </c>
      <c r="F60" s="567" t="str">
        <f t="shared" si="67"/>
        <v>III кв. 1 г.</v>
      </c>
      <c r="G60" s="567" t="str">
        <f t="shared" si="67"/>
        <v>IV кв. 1 г.</v>
      </c>
      <c r="H60" s="567" t="str">
        <f t="shared" si="67"/>
        <v>I кв. 2 г.</v>
      </c>
      <c r="I60" s="567" t="str">
        <f t="shared" si="67"/>
        <v>II кв. 2 г.</v>
      </c>
      <c r="J60" s="567" t="str">
        <f t="shared" si="67"/>
        <v>III кв. 2 г.</v>
      </c>
      <c r="K60" s="567" t="str">
        <f t="shared" si="67"/>
        <v>IV кв. 2 г.</v>
      </c>
      <c r="L60" s="567" t="str">
        <f t="shared" si="67"/>
        <v>I кв. 3 г.</v>
      </c>
      <c r="M60" s="567" t="str">
        <f t="shared" si="67"/>
        <v>II кв. 3 г.</v>
      </c>
      <c r="N60" s="567" t="str">
        <f t="shared" si="67"/>
        <v>III кв. 3 г.</v>
      </c>
      <c r="O60" s="567" t="str">
        <f t="shared" si="67"/>
        <v>IV кв. 3 г.</v>
      </c>
      <c r="P60" s="567" t="str">
        <f t="shared" si="67"/>
        <v>I кв. 4 г.</v>
      </c>
      <c r="Q60" s="567" t="str">
        <f t="shared" si="67"/>
        <v>II кв. 4 г.</v>
      </c>
      <c r="R60" s="567" t="str">
        <f t="shared" si="67"/>
        <v>III кв. 4 г.</v>
      </c>
      <c r="S60" s="567" t="str">
        <f t="shared" si="67"/>
        <v>IV кв. 4 г.</v>
      </c>
      <c r="T60" s="567" t="str">
        <f t="shared" si="67"/>
        <v>I кв. 5 г.</v>
      </c>
      <c r="U60" s="567" t="str">
        <f t="shared" si="67"/>
        <v>II кв. 5 г.</v>
      </c>
      <c r="V60" s="567" t="str">
        <f t="shared" si="67"/>
        <v>III кв. 5 г.</v>
      </c>
      <c r="W60" s="567" t="str">
        <f t="shared" si="67"/>
        <v>IV кв. 5 г.</v>
      </c>
      <c r="X60" s="567" t="str">
        <f t="shared" si="67"/>
        <v>I кв. 6 г.</v>
      </c>
      <c r="Y60" s="567" t="str">
        <f t="shared" si="67"/>
        <v>II кв. 6 г.</v>
      </c>
      <c r="Z60" s="567" t="str">
        <f t="shared" si="67"/>
        <v>III кв. 6 г.</v>
      </c>
      <c r="AA60" s="567" t="str">
        <f t="shared" si="67"/>
        <v>IV кв. 6 г.</v>
      </c>
      <c r="AB60" s="567" t="str">
        <f t="shared" si="67"/>
        <v>I кв. 7 г.</v>
      </c>
      <c r="AC60" s="567" t="str">
        <f t="shared" si="67"/>
        <v>II кв. 7 г.</v>
      </c>
      <c r="AD60" s="567" t="str">
        <f t="shared" si="67"/>
        <v>III кв. 7 г.</v>
      </c>
      <c r="AE60" s="567" t="str">
        <f t="shared" si="67"/>
        <v>IV кв. 7 г.</v>
      </c>
      <c r="AF60" s="567" t="str">
        <f t="shared" si="67"/>
        <v>I кв. 8 г.</v>
      </c>
      <c r="AG60" s="567" t="str">
        <f t="shared" si="67"/>
        <v>II кв. 8 г.</v>
      </c>
      <c r="AH60" s="567" t="str">
        <f t="shared" si="67"/>
        <v>III кв. 8 г.</v>
      </c>
      <c r="AI60" s="567" t="str">
        <f t="shared" si="67"/>
        <v>IV кв. 8 г.</v>
      </c>
      <c r="AJ60" s="567" t="str">
        <f t="shared" si="67"/>
        <v>I кв. 9 г.</v>
      </c>
      <c r="AK60" s="567" t="str">
        <f t="shared" si="67"/>
        <v>II кв. 9 г.</v>
      </c>
      <c r="AL60" s="567" t="str">
        <f t="shared" si="67"/>
        <v>III кв. 9 г.</v>
      </c>
      <c r="AM60" s="567" t="str">
        <f t="shared" si="67"/>
        <v>IV кв. 9 г.</v>
      </c>
      <c r="AN60" s="567" t="str">
        <f t="shared" si="67"/>
        <v>I кв. 10 г.</v>
      </c>
      <c r="AO60" s="567" t="str">
        <f t="shared" si="67"/>
        <v>II кв. 10 г.</v>
      </c>
      <c r="AP60" s="567" t="str">
        <f t="shared" si="67"/>
        <v>III кв. 10 г.</v>
      </c>
      <c r="AQ60" s="567" t="str">
        <f t="shared" si="67"/>
        <v>IV кв. 10 г.</v>
      </c>
      <c r="AR60" s="567" t="str">
        <f t="shared" si="67"/>
        <v>I кв. 11 г.</v>
      </c>
      <c r="AS60" s="567" t="str">
        <f t="shared" si="67"/>
        <v>II кв. 11 г.</v>
      </c>
      <c r="AT60" s="567" t="str">
        <f t="shared" si="67"/>
        <v>III кв. 11 г.</v>
      </c>
      <c r="AU60" s="567" t="str">
        <f t="shared" si="67"/>
        <v>IV кв. 11 г.</v>
      </c>
      <c r="AV60" s="569"/>
    </row>
    <row r="61" spans="1:60" x14ac:dyDescent="0.25">
      <c r="A61" s="115" t="s">
        <v>171</v>
      </c>
      <c r="B61" s="600">
        <f>'Расходы на ЗП ОТ'!B60</f>
        <v>1.4E-2</v>
      </c>
      <c r="C61" s="568"/>
      <c r="D61" s="115">
        <f>D53</f>
        <v>10.92</v>
      </c>
      <c r="E61" s="115">
        <f t="shared" ref="E61:AQ61" si="68">E53</f>
        <v>25.48</v>
      </c>
      <c r="F61" s="115">
        <f t="shared" si="68"/>
        <v>92.820000000000007</v>
      </c>
      <c r="G61" s="115">
        <f t="shared" si="68"/>
        <v>54.6</v>
      </c>
      <c r="H61" s="115">
        <f t="shared" si="68"/>
        <v>54.6</v>
      </c>
      <c r="I61" s="115">
        <f t="shared" si="68"/>
        <v>54.6</v>
      </c>
      <c r="J61" s="115">
        <f t="shared" si="68"/>
        <v>95.113200000000006</v>
      </c>
      <c r="K61" s="115">
        <f t="shared" si="68"/>
        <v>54.6</v>
      </c>
      <c r="L61" s="115">
        <f t="shared" si="68"/>
        <v>56.691600000000001</v>
      </c>
      <c r="M61" s="115">
        <f t="shared" si="68"/>
        <v>56.691600000000001</v>
      </c>
      <c r="N61" s="115">
        <f t="shared" si="68"/>
        <v>99.635592000000003</v>
      </c>
      <c r="O61" s="115">
        <f t="shared" si="68"/>
        <v>56.691600000000001</v>
      </c>
      <c r="P61" s="115">
        <f t="shared" si="68"/>
        <v>58.908696000000006</v>
      </c>
      <c r="Q61" s="115">
        <f t="shared" si="68"/>
        <v>58.908696000000006</v>
      </c>
      <c r="R61" s="115">
        <f t="shared" si="68"/>
        <v>104.42932752</v>
      </c>
      <c r="S61" s="115">
        <f t="shared" si="68"/>
        <v>58.908696000000006</v>
      </c>
      <c r="T61" s="115">
        <f t="shared" si="68"/>
        <v>62.443217760000003</v>
      </c>
      <c r="U61" s="115">
        <f t="shared" si="68"/>
        <v>62.443217760000003</v>
      </c>
      <c r="V61" s="115">
        <f t="shared" si="68"/>
        <v>110.69508717120002</v>
      </c>
      <c r="W61" s="115">
        <f t="shared" si="68"/>
        <v>62.443217760000003</v>
      </c>
      <c r="X61" s="115">
        <f t="shared" si="68"/>
        <v>66.189810825600006</v>
      </c>
      <c r="Y61" s="115">
        <f t="shared" si="68"/>
        <v>66.189810825600006</v>
      </c>
      <c r="Z61" s="115">
        <f t="shared" si="68"/>
        <v>117.33679240147202</v>
      </c>
      <c r="AA61" s="115">
        <f t="shared" si="68"/>
        <v>66.189810825600006</v>
      </c>
      <c r="AB61" s="115">
        <f t="shared" si="68"/>
        <v>70.161199475136016</v>
      </c>
      <c r="AC61" s="115">
        <f t="shared" si="68"/>
        <v>70.161199475136016</v>
      </c>
      <c r="AD61" s="115">
        <f t="shared" si="68"/>
        <v>124.37699994556036</v>
      </c>
      <c r="AE61" s="115">
        <f t="shared" si="68"/>
        <v>70.161199475136016</v>
      </c>
      <c r="AF61" s="115">
        <f t="shared" si="68"/>
        <v>73.980694602044181</v>
      </c>
      <c r="AG61" s="115">
        <f t="shared" si="68"/>
        <v>73.980694602044181</v>
      </c>
      <c r="AH61" s="115">
        <f t="shared" si="68"/>
        <v>131.44944310069397</v>
      </c>
      <c r="AI61" s="115">
        <f t="shared" si="68"/>
        <v>73.980694602044181</v>
      </c>
      <c r="AJ61" s="115">
        <f t="shared" si="68"/>
        <v>78.419536278166845</v>
      </c>
      <c r="AK61" s="115">
        <f t="shared" si="68"/>
        <v>78.419536278166845</v>
      </c>
      <c r="AL61" s="115">
        <f t="shared" si="68"/>
        <v>139.33640968673564</v>
      </c>
      <c r="AM61" s="115">
        <f t="shared" si="68"/>
        <v>78.419536278166845</v>
      </c>
      <c r="AN61" s="115">
        <f t="shared" si="68"/>
        <v>83.124708454856858</v>
      </c>
      <c r="AO61" s="115">
        <f t="shared" si="68"/>
        <v>83.124708454856858</v>
      </c>
      <c r="AP61" s="115">
        <f t="shared" si="68"/>
        <v>147.69659426793979</v>
      </c>
      <c r="AQ61" s="115">
        <f t="shared" si="68"/>
        <v>83.124708454856858</v>
      </c>
      <c r="AR61" s="115">
        <f t="shared" ref="AR61:AU61" si="69">AR53</f>
        <v>88.112190962148276</v>
      </c>
      <c r="AS61" s="115">
        <f t="shared" si="69"/>
        <v>88.112190962148276</v>
      </c>
      <c r="AT61" s="115">
        <f t="shared" si="69"/>
        <v>156.55838992401618</v>
      </c>
      <c r="AU61" s="115">
        <f t="shared" si="69"/>
        <v>88.112190962148276</v>
      </c>
      <c r="AV61" s="570"/>
    </row>
    <row r="62" spans="1:60" x14ac:dyDescent="0.25">
      <c r="A62" s="115" t="s">
        <v>155</v>
      </c>
      <c r="B62" s="601">
        <f>SUM(B64:B66)</f>
        <v>0.3</v>
      </c>
      <c r="C62" s="568"/>
      <c r="D62" s="115">
        <f>D51</f>
        <v>234</v>
      </c>
      <c r="E62" s="115">
        <f t="shared" ref="E62:AI62" si="70">E51</f>
        <v>546</v>
      </c>
      <c r="F62" s="115">
        <f t="shared" si="70"/>
        <v>1989</v>
      </c>
      <c r="G62" s="115">
        <f t="shared" si="70"/>
        <v>1170</v>
      </c>
      <c r="H62" s="115">
        <f t="shared" si="70"/>
        <v>1170</v>
      </c>
      <c r="I62" s="115">
        <f t="shared" si="70"/>
        <v>1170</v>
      </c>
      <c r="J62" s="115">
        <f t="shared" si="70"/>
        <v>2038.1399999999999</v>
      </c>
      <c r="K62" s="115">
        <f t="shared" si="70"/>
        <v>1170</v>
      </c>
      <c r="L62" s="115">
        <f t="shared" si="70"/>
        <v>1214.8200000000002</v>
      </c>
      <c r="M62" s="115">
        <f t="shared" si="70"/>
        <v>1214.8200000000002</v>
      </c>
      <c r="N62" s="115">
        <f t="shared" si="70"/>
        <v>2135.0484000000001</v>
      </c>
      <c r="O62" s="115">
        <f t="shared" si="70"/>
        <v>1214.8200000000002</v>
      </c>
      <c r="P62" s="115">
        <f t="shared" si="70"/>
        <v>1262.3292000000001</v>
      </c>
      <c r="Q62" s="115">
        <f t="shared" si="70"/>
        <v>1262.3292000000001</v>
      </c>
      <c r="R62" s="115">
        <f t="shared" si="70"/>
        <v>2237.7713040000003</v>
      </c>
      <c r="S62" s="115">
        <f t="shared" si="70"/>
        <v>1262.3292000000001</v>
      </c>
      <c r="T62" s="115">
        <f t="shared" si="70"/>
        <v>1338.0689520000001</v>
      </c>
      <c r="U62" s="115">
        <f t="shared" si="70"/>
        <v>1338.0689520000001</v>
      </c>
      <c r="V62" s="115">
        <f t="shared" si="70"/>
        <v>2372.0375822400001</v>
      </c>
      <c r="W62" s="115">
        <f t="shared" si="70"/>
        <v>1338.0689520000001</v>
      </c>
      <c r="X62" s="115">
        <f t="shared" si="70"/>
        <v>1418.3530891200003</v>
      </c>
      <c r="Y62" s="115">
        <f t="shared" si="70"/>
        <v>1418.3530891200003</v>
      </c>
      <c r="Z62" s="115">
        <f t="shared" si="70"/>
        <v>2514.3598371744006</v>
      </c>
      <c r="AA62" s="115">
        <f t="shared" si="70"/>
        <v>1418.3530891200003</v>
      </c>
      <c r="AB62" s="115">
        <f t="shared" si="70"/>
        <v>1503.4542744672003</v>
      </c>
      <c r="AC62" s="115">
        <f t="shared" si="70"/>
        <v>1503.4542744672003</v>
      </c>
      <c r="AD62" s="115">
        <f t="shared" si="70"/>
        <v>2665.2214274048647</v>
      </c>
      <c r="AE62" s="115">
        <f t="shared" si="70"/>
        <v>1503.4542744672003</v>
      </c>
      <c r="AF62" s="115">
        <f t="shared" si="70"/>
        <v>1585.3005986152325</v>
      </c>
      <c r="AG62" s="115">
        <f t="shared" si="70"/>
        <v>1585.3005986152325</v>
      </c>
      <c r="AH62" s="115">
        <f t="shared" si="70"/>
        <v>2816.7737807291569</v>
      </c>
      <c r="AI62" s="115">
        <f t="shared" si="70"/>
        <v>1585.3005986152325</v>
      </c>
      <c r="AJ62" s="115">
        <f>AJ51</f>
        <v>1680.4186345321466</v>
      </c>
      <c r="AK62" s="115">
        <f t="shared" ref="AK62:AQ62" si="71">AK51</f>
        <v>1680.4186345321466</v>
      </c>
      <c r="AL62" s="115">
        <f t="shared" si="71"/>
        <v>2985.7802075729064</v>
      </c>
      <c r="AM62" s="115">
        <f t="shared" si="71"/>
        <v>1680.4186345321466</v>
      </c>
      <c r="AN62" s="115">
        <f t="shared" si="71"/>
        <v>1781.2437526040753</v>
      </c>
      <c r="AO62" s="115">
        <f t="shared" si="71"/>
        <v>1781.2437526040753</v>
      </c>
      <c r="AP62" s="115">
        <f t="shared" si="71"/>
        <v>3164.9270200272804</v>
      </c>
      <c r="AQ62" s="115">
        <f t="shared" si="71"/>
        <v>1781.2437526040753</v>
      </c>
      <c r="AR62" s="115">
        <f t="shared" ref="AR62:AU62" si="72">AR51</f>
        <v>1888.1183777603201</v>
      </c>
      <c r="AS62" s="115">
        <f t="shared" si="72"/>
        <v>1888.1183777603201</v>
      </c>
      <c r="AT62" s="115">
        <f t="shared" si="72"/>
        <v>3354.8226412289177</v>
      </c>
      <c r="AU62" s="115">
        <f t="shared" si="72"/>
        <v>1888.1183777603201</v>
      </c>
      <c r="AV62" s="570"/>
    </row>
    <row r="63" spans="1:60" x14ac:dyDescent="0.25">
      <c r="A63" s="115" t="s">
        <v>156</v>
      </c>
      <c r="B63" s="601"/>
      <c r="C63" s="568" t="s">
        <v>172</v>
      </c>
      <c r="D63" s="115">
        <f>SUM(D64:D66)</f>
        <v>234</v>
      </c>
      <c r="E63" s="115">
        <f t="shared" ref="E63:AU63" si="73">SUM(E64:E66)</f>
        <v>546</v>
      </c>
      <c r="F63" s="115">
        <f t="shared" si="73"/>
        <v>1989</v>
      </c>
      <c r="G63" s="115">
        <f t="shared" si="73"/>
        <v>1170</v>
      </c>
      <c r="H63" s="115">
        <f t="shared" si="73"/>
        <v>1170</v>
      </c>
      <c r="I63" s="115">
        <f t="shared" si="73"/>
        <v>1170</v>
      </c>
      <c r="J63" s="115">
        <f t="shared" si="73"/>
        <v>2038.1399999999999</v>
      </c>
      <c r="K63" s="115">
        <f t="shared" si="73"/>
        <v>1170</v>
      </c>
      <c r="L63" s="115">
        <f t="shared" si="73"/>
        <v>1214.82</v>
      </c>
      <c r="M63" s="115">
        <f t="shared" si="73"/>
        <v>1214.82</v>
      </c>
      <c r="N63" s="115">
        <f t="shared" si="73"/>
        <v>2135.0484000000001</v>
      </c>
      <c r="O63" s="115">
        <f t="shared" si="73"/>
        <v>1214.82</v>
      </c>
      <c r="P63" s="115">
        <f t="shared" si="73"/>
        <v>1262.3292000000001</v>
      </c>
      <c r="Q63" s="115">
        <f t="shared" si="73"/>
        <v>1262.3292000000001</v>
      </c>
      <c r="R63" s="115">
        <f t="shared" si="73"/>
        <v>2237.7713039999999</v>
      </c>
      <c r="S63" s="115">
        <f t="shared" si="73"/>
        <v>1262.3292000000001</v>
      </c>
      <c r="T63" s="115">
        <f t="shared" si="73"/>
        <v>1338.0689520000001</v>
      </c>
      <c r="U63" s="115">
        <f t="shared" si="73"/>
        <v>1338.0689520000001</v>
      </c>
      <c r="V63" s="115">
        <f t="shared" si="73"/>
        <v>2372.0375822400001</v>
      </c>
      <c r="W63" s="115">
        <f t="shared" si="73"/>
        <v>1338.0689520000001</v>
      </c>
      <c r="X63" s="115">
        <f t="shared" si="73"/>
        <v>1418.3530891200003</v>
      </c>
      <c r="Y63" s="115">
        <f t="shared" si="73"/>
        <v>1418.3530891200003</v>
      </c>
      <c r="Z63" s="115">
        <f t="shared" si="73"/>
        <v>2514.3598371744006</v>
      </c>
      <c r="AA63" s="115">
        <f t="shared" si="73"/>
        <v>1418.3530891200003</v>
      </c>
      <c r="AB63" s="115">
        <f t="shared" si="73"/>
        <v>1503.4542744672001</v>
      </c>
      <c r="AC63" s="115">
        <f t="shared" si="73"/>
        <v>1503.4542744672001</v>
      </c>
      <c r="AD63" s="115">
        <f t="shared" si="73"/>
        <v>2665.2214274048647</v>
      </c>
      <c r="AE63" s="115">
        <f t="shared" si="73"/>
        <v>1503.4542744672001</v>
      </c>
      <c r="AF63" s="115">
        <f t="shared" si="73"/>
        <v>1585.3005986152323</v>
      </c>
      <c r="AG63" s="115">
        <f t="shared" si="73"/>
        <v>1585.3005986152323</v>
      </c>
      <c r="AH63" s="115">
        <f t="shared" si="73"/>
        <v>2816.7737807291569</v>
      </c>
      <c r="AI63" s="115">
        <f t="shared" si="73"/>
        <v>1585.3005986152323</v>
      </c>
      <c r="AJ63" s="115">
        <f t="shared" si="73"/>
        <v>1680.4186345321466</v>
      </c>
      <c r="AK63" s="115">
        <f t="shared" si="73"/>
        <v>1680.4186345321466</v>
      </c>
      <c r="AL63" s="115">
        <f t="shared" si="73"/>
        <v>2985.7802075729064</v>
      </c>
      <c r="AM63" s="115">
        <f t="shared" si="73"/>
        <v>1680.4186345321466</v>
      </c>
      <c r="AN63" s="115">
        <f t="shared" si="73"/>
        <v>1781.2437526040753</v>
      </c>
      <c r="AO63" s="115">
        <f t="shared" si="73"/>
        <v>1781.2437526040753</v>
      </c>
      <c r="AP63" s="115">
        <f t="shared" si="73"/>
        <v>3164.9270200272813</v>
      </c>
      <c r="AQ63" s="115">
        <f t="shared" si="73"/>
        <v>1781.2437526040753</v>
      </c>
      <c r="AR63" s="115">
        <f t="shared" si="73"/>
        <v>1888.1183777603201</v>
      </c>
      <c r="AS63" s="115">
        <f t="shared" si="73"/>
        <v>1888.1183777603201</v>
      </c>
      <c r="AT63" s="115">
        <f t="shared" si="73"/>
        <v>3354.8226412289177</v>
      </c>
      <c r="AU63" s="115">
        <f t="shared" si="73"/>
        <v>1888.1183777603201</v>
      </c>
      <c r="AV63" s="570"/>
    </row>
    <row r="64" spans="1:60" x14ac:dyDescent="0.25">
      <c r="A64" s="115" t="s">
        <v>173</v>
      </c>
      <c r="B64" s="600">
        <v>0.22</v>
      </c>
      <c r="C64" s="568"/>
      <c r="D64" s="115">
        <f>D49*$B$64</f>
        <v>171.6</v>
      </c>
      <c r="E64" s="115">
        <f t="shared" ref="E64:AU64" si="74">E49*$B$64</f>
        <v>400.4</v>
      </c>
      <c r="F64" s="115">
        <f t="shared" si="74"/>
        <v>1458.6</v>
      </c>
      <c r="G64" s="115">
        <f t="shared" si="74"/>
        <v>858</v>
      </c>
      <c r="H64" s="115">
        <f t="shared" si="74"/>
        <v>858</v>
      </c>
      <c r="I64" s="115">
        <f t="shared" si="74"/>
        <v>858</v>
      </c>
      <c r="J64" s="115">
        <f t="shared" si="74"/>
        <v>1494.636</v>
      </c>
      <c r="K64" s="115">
        <f t="shared" si="74"/>
        <v>858</v>
      </c>
      <c r="L64" s="115">
        <f t="shared" si="74"/>
        <v>890.86800000000005</v>
      </c>
      <c r="M64" s="115">
        <f t="shared" si="74"/>
        <v>890.86800000000005</v>
      </c>
      <c r="N64" s="115">
        <f t="shared" si="74"/>
        <v>1565.70216</v>
      </c>
      <c r="O64" s="115">
        <f t="shared" si="74"/>
        <v>890.86800000000005</v>
      </c>
      <c r="P64" s="115">
        <f t="shared" si="74"/>
        <v>925.70808</v>
      </c>
      <c r="Q64" s="115">
        <f t="shared" si="74"/>
        <v>925.70808</v>
      </c>
      <c r="R64" s="115">
        <f t="shared" si="74"/>
        <v>1641.0322896</v>
      </c>
      <c r="S64" s="115">
        <f t="shared" si="74"/>
        <v>925.70808</v>
      </c>
      <c r="T64" s="115">
        <f t="shared" si="74"/>
        <v>981.25056480000001</v>
      </c>
      <c r="U64" s="115">
        <f t="shared" si="74"/>
        <v>981.25056480000001</v>
      </c>
      <c r="V64" s="115">
        <f t="shared" si="74"/>
        <v>1739.4942269760002</v>
      </c>
      <c r="W64" s="115">
        <f t="shared" si="74"/>
        <v>981.25056480000001</v>
      </c>
      <c r="X64" s="115">
        <f t="shared" si="74"/>
        <v>1040.1255986880001</v>
      </c>
      <c r="Y64" s="115">
        <f t="shared" si="74"/>
        <v>1040.1255986880001</v>
      </c>
      <c r="Z64" s="115">
        <f t="shared" si="74"/>
        <v>1843.8638805945604</v>
      </c>
      <c r="AA64" s="115">
        <f t="shared" si="74"/>
        <v>1040.1255986880001</v>
      </c>
      <c r="AB64" s="115">
        <f t="shared" si="74"/>
        <v>1102.5331346092801</v>
      </c>
      <c r="AC64" s="115">
        <f t="shared" si="74"/>
        <v>1102.5331346092801</v>
      </c>
      <c r="AD64" s="115">
        <f t="shared" si="74"/>
        <v>1954.4957134302342</v>
      </c>
      <c r="AE64" s="115">
        <f t="shared" si="74"/>
        <v>1102.5331346092801</v>
      </c>
      <c r="AF64" s="115">
        <f t="shared" si="74"/>
        <v>1162.553772317837</v>
      </c>
      <c r="AG64" s="115">
        <f t="shared" si="74"/>
        <v>1162.553772317837</v>
      </c>
      <c r="AH64" s="115">
        <f t="shared" si="74"/>
        <v>2065.6341058680482</v>
      </c>
      <c r="AI64" s="115">
        <f t="shared" si="74"/>
        <v>1162.553772317837</v>
      </c>
      <c r="AJ64" s="115">
        <f t="shared" si="74"/>
        <v>1232.3069986569076</v>
      </c>
      <c r="AK64" s="115">
        <f t="shared" si="74"/>
        <v>1232.3069986569076</v>
      </c>
      <c r="AL64" s="115">
        <f t="shared" si="74"/>
        <v>2189.5721522201311</v>
      </c>
      <c r="AM64" s="115">
        <f t="shared" si="74"/>
        <v>1232.3069986569076</v>
      </c>
      <c r="AN64" s="115">
        <f t="shared" si="74"/>
        <v>1306.245418576322</v>
      </c>
      <c r="AO64" s="115">
        <f t="shared" si="74"/>
        <v>1306.245418576322</v>
      </c>
      <c r="AP64" s="115">
        <f t="shared" si="74"/>
        <v>2320.9464813533395</v>
      </c>
      <c r="AQ64" s="115">
        <f t="shared" si="74"/>
        <v>1306.245418576322</v>
      </c>
      <c r="AR64" s="115">
        <f t="shared" si="74"/>
        <v>1384.6201436909014</v>
      </c>
      <c r="AS64" s="115">
        <f t="shared" si="74"/>
        <v>1384.6201436909014</v>
      </c>
      <c r="AT64" s="115">
        <f t="shared" si="74"/>
        <v>2460.20327023454</v>
      </c>
      <c r="AU64" s="115">
        <f t="shared" si="74"/>
        <v>1384.6201436909014</v>
      </c>
      <c r="AV64" s="570"/>
    </row>
    <row r="65" spans="1:48" ht="45" x14ac:dyDescent="0.25">
      <c r="A65" s="115" t="s">
        <v>174</v>
      </c>
      <c r="B65" s="600">
        <v>2.9000000000000001E-2</v>
      </c>
      <c r="C65" s="568"/>
      <c r="D65" s="115">
        <f>D49*$B$65</f>
        <v>22.62</v>
      </c>
      <c r="E65" s="115">
        <f t="shared" ref="E65:AU65" si="75">E49*$B$65</f>
        <v>52.78</v>
      </c>
      <c r="F65" s="115">
        <f t="shared" si="75"/>
        <v>192.27</v>
      </c>
      <c r="G65" s="115">
        <f t="shared" si="75"/>
        <v>113.10000000000001</v>
      </c>
      <c r="H65" s="115">
        <f t="shared" si="75"/>
        <v>113.10000000000001</v>
      </c>
      <c r="I65" s="115">
        <f t="shared" si="75"/>
        <v>113.10000000000001</v>
      </c>
      <c r="J65" s="115">
        <f t="shared" si="75"/>
        <v>197.02020000000002</v>
      </c>
      <c r="K65" s="115">
        <f t="shared" si="75"/>
        <v>113.10000000000001</v>
      </c>
      <c r="L65" s="115">
        <f t="shared" si="75"/>
        <v>117.43260000000001</v>
      </c>
      <c r="M65" s="115">
        <f t="shared" si="75"/>
        <v>117.43260000000001</v>
      </c>
      <c r="N65" s="115">
        <f t="shared" si="75"/>
        <v>206.38801200000003</v>
      </c>
      <c r="O65" s="115">
        <f t="shared" si="75"/>
        <v>117.43260000000001</v>
      </c>
      <c r="P65" s="115">
        <f t="shared" si="75"/>
        <v>122.02515600000001</v>
      </c>
      <c r="Q65" s="115">
        <f t="shared" si="75"/>
        <v>122.02515600000001</v>
      </c>
      <c r="R65" s="115">
        <f t="shared" si="75"/>
        <v>216.31789272</v>
      </c>
      <c r="S65" s="115">
        <f t="shared" si="75"/>
        <v>122.02515600000001</v>
      </c>
      <c r="T65" s="115">
        <f t="shared" si="75"/>
        <v>129.34666536</v>
      </c>
      <c r="U65" s="115">
        <f t="shared" si="75"/>
        <v>129.34666536</v>
      </c>
      <c r="V65" s="115">
        <f t="shared" si="75"/>
        <v>229.29696628320002</v>
      </c>
      <c r="W65" s="115">
        <f t="shared" si="75"/>
        <v>129.34666536</v>
      </c>
      <c r="X65" s="115">
        <f t="shared" si="75"/>
        <v>137.10746528160001</v>
      </c>
      <c r="Y65" s="115">
        <f t="shared" si="75"/>
        <v>137.10746528160001</v>
      </c>
      <c r="Z65" s="115">
        <f t="shared" si="75"/>
        <v>243.05478426019206</v>
      </c>
      <c r="AA65" s="115">
        <f t="shared" si="75"/>
        <v>137.10746528160001</v>
      </c>
      <c r="AB65" s="115">
        <f t="shared" si="75"/>
        <v>145.33391319849602</v>
      </c>
      <c r="AC65" s="115">
        <f t="shared" si="75"/>
        <v>145.33391319849602</v>
      </c>
      <c r="AD65" s="115">
        <f t="shared" si="75"/>
        <v>257.63807131580364</v>
      </c>
      <c r="AE65" s="115">
        <f t="shared" si="75"/>
        <v>145.33391319849602</v>
      </c>
      <c r="AF65" s="115">
        <f t="shared" si="75"/>
        <v>153.24572453280581</v>
      </c>
      <c r="AG65" s="115">
        <f t="shared" si="75"/>
        <v>153.24572453280581</v>
      </c>
      <c r="AH65" s="115">
        <f t="shared" si="75"/>
        <v>272.28813213715182</v>
      </c>
      <c r="AI65" s="115">
        <f t="shared" si="75"/>
        <v>153.24572453280581</v>
      </c>
      <c r="AJ65" s="115">
        <f t="shared" si="75"/>
        <v>162.44046800477417</v>
      </c>
      <c r="AK65" s="115">
        <f t="shared" si="75"/>
        <v>162.44046800477417</v>
      </c>
      <c r="AL65" s="115">
        <f t="shared" si="75"/>
        <v>288.62542006538092</v>
      </c>
      <c r="AM65" s="115">
        <f t="shared" si="75"/>
        <v>162.44046800477417</v>
      </c>
      <c r="AN65" s="115">
        <f t="shared" si="75"/>
        <v>172.18689608506062</v>
      </c>
      <c r="AO65" s="115">
        <f t="shared" si="75"/>
        <v>172.18689608506062</v>
      </c>
      <c r="AP65" s="115">
        <f t="shared" si="75"/>
        <v>305.94294526930383</v>
      </c>
      <c r="AQ65" s="115">
        <f t="shared" si="75"/>
        <v>172.18689608506062</v>
      </c>
      <c r="AR65" s="115">
        <f t="shared" si="75"/>
        <v>182.51810985016428</v>
      </c>
      <c r="AS65" s="115">
        <f t="shared" si="75"/>
        <v>182.51810985016428</v>
      </c>
      <c r="AT65" s="115">
        <f t="shared" si="75"/>
        <v>324.29952198546209</v>
      </c>
      <c r="AU65" s="115">
        <f t="shared" si="75"/>
        <v>182.51810985016428</v>
      </c>
      <c r="AV65" s="570"/>
    </row>
    <row r="66" spans="1:48" ht="30" x14ac:dyDescent="0.25">
      <c r="A66" s="115" t="s">
        <v>175</v>
      </c>
      <c r="B66" s="600">
        <v>5.0999999999999997E-2</v>
      </c>
      <c r="C66" s="568"/>
      <c r="D66" s="115">
        <f>D49*$B$66</f>
        <v>39.779999999999994</v>
      </c>
      <c r="E66" s="115">
        <f t="shared" ref="E66:AU66" si="76">E49*$B$66</f>
        <v>92.82</v>
      </c>
      <c r="F66" s="115">
        <f t="shared" si="76"/>
        <v>338.13</v>
      </c>
      <c r="G66" s="115">
        <f t="shared" si="76"/>
        <v>198.89999999999998</v>
      </c>
      <c r="H66" s="115">
        <f t="shared" si="76"/>
        <v>198.89999999999998</v>
      </c>
      <c r="I66" s="115">
        <f t="shared" si="76"/>
        <v>198.89999999999998</v>
      </c>
      <c r="J66" s="115">
        <f t="shared" si="76"/>
        <v>346.48379999999997</v>
      </c>
      <c r="K66" s="115">
        <f t="shared" si="76"/>
        <v>198.89999999999998</v>
      </c>
      <c r="L66" s="115">
        <f t="shared" si="76"/>
        <v>206.51939999999999</v>
      </c>
      <c r="M66" s="115">
        <f t="shared" si="76"/>
        <v>206.51939999999999</v>
      </c>
      <c r="N66" s="115">
        <f t="shared" si="76"/>
        <v>362.95822800000002</v>
      </c>
      <c r="O66" s="115">
        <f t="shared" si="76"/>
        <v>206.51939999999999</v>
      </c>
      <c r="P66" s="115">
        <f t="shared" si="76"/>
        <v>214.59596399999998</v>
      </c>
      <c r="Q66" s="115">
        <f t="shared" si="76"/>
        <v>214.59596399999998</v>
      </c>
      <c r="R66" s="115">
        <f t="shared" si="76"/>
        <v>380.42112168</v>
      </c>
      <c r="S66" s="115">
        <f t="shared" si="76"/>
        <v>214.59596399999998</v>
      </c>
      <c r="T66" s="115">
        <f t="shared" si="76"/>
        <v>227.47172183999999</v>
      </c>
      <c r="U66" s="115">
        <f t="shared" si="76"/>
        <v>227.47172183999999</v>
      </c>
      <c r="V66" s="115">
        <f t="shared" si="76"/>
        <v>403.24638898080002</v>
      </c>
      <c r="W66" s="115">
        <f t="shared" si="76"/>
        <v>227.47172183999999</v>
      </c>
      <c r="X66" s="115">
        <f t="shared" si="76"/>
        <v>241.12002515040001</v>
      </c>
      <c r="Y66" s="115">
        <f t="shared" si="76"/>
        <v>241.12002515040001</v>
      </c>
      <c r="Z66" s="115">
        <f t="shared" si="76"/>
        <v>427.44117231964805</v>
      </c>
      <c r="AA66" s="115">
        <f t="shared" si="76"/>
        <v>241.12002515040001</v>
      </c>
      <c r="AB66" s="115">
        <f t="shared" si="76"/>
        <v>255.58722665942403</v>
      </c>
      <c r="AC66" s="115">
        <f t="shared" si="76"/>
        <v>255.58722665942403</v>
      </c>
      <c r="AD66" s="115">
        <f t="shared" si="76"/>
        <v>453.08764265882701</v>
      </c>
      <c r="AE66" s="115">
        <f t="shared" si="76"/>
        <v>255.58722665942403</v>
      </c>
      <c r="AF66" s="115">
        <f t="shared" si="76"/>
        <v>269.50110176458952</v>
      </c>
      <c r="AG66" s="115">
        <f t="shared" si="76"/>
        <v>269.50110176458952</v>
      </c>
      <c r="AH66" s="115">
        <f t="shared" si="76"/>
        <v>478.85154272395653</v>
      </c>
      <c r="AI66" s="115">
        <f t="shared" si="76"/>
        <v>269.50110176458952</v>
      </c>
      <c r="AJ66" s="115">
        <f t="shared" si="76"/>
        <v>285.6711678704649</v>
      </c>
      <c r="AK66" s="115">
        <f t="shared" si="76"/>
        <v>285.6711678704649</v>
      </c>
      <c r="AL66" s="115">
        <f t="shared" si="76"/>
        <v>507.582635287394</v>
      </c>
      <c r="AM66" s="115">
        <f t="shared" si="76"/>
        <v>285.6711678704649</v>
      </c>
      <c r="AN66" s="115">
        <f t="shared" si="76"/>
        <v>302.81143794269281</v>
      </c>
      <c r="AO66" s="115">
        <f t="shared" si="76"/>
        <v>302.81143794269281</v>
      </c>
      <c r="AP66" s="115">
        <f t="shared" si="76"/>
        <v>538.03759340463773</v>
      </c>
      <c r="AQ66" s="115">
        <f t="shared" si="76"/>
        <v>302.81143794269281</v>
      </c>
      <c r="AR66" s="115">
        <f t="shared" si="76"/>
        <v>320.98012421925438</v>
      </c>
      <c r="AS66" s="115">
        <f t="shared" si="76"/>
        <v>320.98012421925438</v>
      </c>
      <c r="AT66" s="115">
        <f t="shared" si="76"/>
        <v>570.31984900891598</v>
      </c>
      <c r="AU66" s="115">
        <f t="shared" si="76"/>
        <v>320.98012421925438</v>
      </c>
      <c r="AV66" s="570"/>
    </row>
    <row r="68" spans="1:48" x14ac:dyDescent="0.25">
      <c r="A68" s="113" t="s">
        <v>153</v>
      </c>
      <c r="B68" s="100" t="str">
        <f>AX1</f>
        <v>1 год</v>
      </c>
      <c r="C68" s="100" t="str">
        <f t="shared" ref="C68:L68" si="77">AY1</f>
        <v>2 год</v>
      </c>
      <c r="D68" s="100" t="str">
        <f t="shared" si="77"/>
        <v>3 год</v>
      </c>
      <c r="E68" s="100" t="str">
        <f t="shared" si="77"/>
        <v>4 год</v>
      </c>
      <c r="F68" s="100" t="str">
        <f t="shared" si="77"/>
        <v>5 год</v>
      </c>
      <c r="G68" s="100" t="str">
        <f t="shared" si="77"/>
        <v>6 год</v>
      </c>
      <c r="H68" s="100" t="str">
        <f t="shared" si="77"/>
        <v>7 год</v>
      </c>
      <c r="I68" s="100" t="str">
        <f t="shared" si="77"/>
        <v>8 год</v>
      </c>
      <c r="J68" s="100" t="str">
        <f t="shared" si="77"/>
        <v>9 год</v>
      </c>
      <c r="K68" s="100" t="str">
        <f t="shared" si="77"/>
        <v>10 год</v>
      </c>
      <c r="L68" s="100" t="str">
        <f t="shared" si="77"/>
        <v>11 год</v>
      </c>
    </row>
    <row r="69" spans="1:48" x14ac:dyDescent="0.25">
      <c r="A69" s="114" t="s">
        <v>176</v>
      </c>
      <c r="B69" s="115">
        <f t="shared" ref="B69:B74" si="78">SUM(D61:G61)</f>
        <v>183.82</v>
      </c>
      <c r="C69" s="115">
        <f t="shared" ref="C69:C74" si="79">SUM(H61:K61)</f>
        <v>258.91320000000002</v>
      </c>
      <c r="D69" s="116">
        <f t="shared" ref="D69:D74" si="80">SUM(L61:O61)</f>
        <v>269.71039200000001</v>
      </c>
      <c r="E69" s="115">
        <f t="shared" ref="E69:E74" si="81">SUM(P61:S61)</f>
        <v>281.15541552000002</v>
      </c>
      <c r="F69" s="115">
        <f t="shared" ref="F69:F74" si="82">SUM(T61:W61)</f>
        <v>298.02474045119999</v>
      </c>
      <c r="G69" s="115">
        <f t="shared" ref="G69:G74" si="83">SUM(X61:AA61)</f>
        <v>315.90622487827204</v>
      </c>
      <c r="H69" s="115">
        <f t="shared" ref="H69:H74" si="84">SUM(AB61:AE61)</f>
        <v>334.86059837096838</v>
      </c>
      <c r="I69" s="115">
        <f t="shared" ref="I69:I74" si="85">SUM(AF61:AI61)</f>
        <v>353.39152690682653</v>
      </c>
      <c r="J69" s="115">
        <f>SUM(AJ61:AM61)</f>
        <v>374.59501852123617</v>
      </c>
      <c r="K69" s="115">
        <f>SUM(AN61:AQ61)</f>
        <v>397.07071963251042</v>
      </c>
      <c r="L69" s="115">
        <f t="shared" ref="L69:L74" si="86">K69</f>
        <v>397.07071963251042</v>
      </c>
      <c r="P69" s="117"/>
    </row>
    <row r="70" spans="1:48" x14ac:dyDescent="0.25">
      <c r="A70" s="114" t="s">
        <v>155</v>
      </c>
      <c r="B70" s="115">
        <f t="shared" si="78"/>
        <v>3939</v>
      </c>
      <c r="C70" s="115">
        <f t="shared" si="79"/>
        <v>5548.1399999999994</v>
      </c>
      <c r="D70" s="116">
        <f t="shared" si="80"/>
        <v>5779.5084000000006</v>
      </c>
      <c r="E70" s="115">
        <f t="shared" si="81"/>
        <v>6024.7589040000003</v>
      </c>
      <c r="F70" s="115">
        <f t="shared" si="82"/>
        <v>6386.2444382400008</v>
      </c>
      <c r="G70" s="115">
        <f t="shared" si="83"/>
        <v>6769.4191045344014</v>
      </c>
      <c r="H70" s="115">
        <f t="shared" si="84"/>
        <v>7175.5842508064652</v>
      </c>
      <c r="I70" s="115">
        <f t="shared" si="85"/>
        <v>7572.6755765748549</v>
      </c>
      <c r="J70" s="115">
        <f>SUM(J72:J74)</f>
        <v>8027.0361111693455</v>
      </c>
      <c r="K70" s="115">
        <f>SUM(K72:K74)</f>
        <v>8508.6582778395059</v>
      </c>
      <c r="L70" s="115">
        <f t="shared" si="86"/>
        <v>8508.6582778395059</v>
      </c>
    </row>
    <row r="71" spans="1:48" x14ac:dyDescent="0.25">
      <c r="A71" s="114" t="s">
        <v>156</v>
      </c>
      <c r="B71" s="115"/>
      <c r="C71" s="115"/>
      <c r="D71" s="116"/>
      <c r="E71" s="115"/>
      <c r="F71" s="115"/>
      <c r="G71" s="115"/>
      <c r="H71" s="115"/>
      <c r="I71" s="115"/>
      <c r="J71" s="115"/>
      <c r="K71" s="115"/>
      <c r="L71" s="115">
        <f t="shared" si="86"/>
        <v>0</v>
      </c>
    </row>
    <row r="72" spans="1:48" x14ac:dyDescent="0.25">
      <c r="A72" s="114" t="s">
        <v>177</v>
      </c>
      <c r="B72" s="115">
        <f t="shared" si="78"/>
        <v>2888.6</v>
      </c>
      <c r="C72" s="115">
        <f t="shared" si="79"/>
        <v>4068.636</v>
      </c>
      <c r="D72" s="116">
        <f t="shared" si="80"/>
        <v>4238.3061600000001</v>
      </c>
      <c r="E72" s="115">
        <f t="shared" si="81"/>
        <v>4418.1565295999999</v>
      </c>
      <c r="F72" s="115">
        <f t="shared" si="82"/>
        <v>4683.2459213760003</v>
      </c>
      <c r="G72" s="115">
        <f t="shared" si="83"/>
        <v>4964.2406766585609</v>
      </c>
      <c r="H72" s="115">
        <f t="shared" si="84"/>
        <v>5262.0951172580744</v>
      </c>
      <c r="I72" s="115">
        <f t="shared" si="85"/>
        <v>5553.2954228215585</v>
      </c>
      <c r="J72" s="115">
        <f t="shared" ref="J72:J74" si="87">SUM(AJ64:AM64)</f>
        <v>5886.4931481908534</v>
      </c>
      <c r="K72" s="115">
        <f t="shared" ref="K72:K74" si="88">SUM(AN64:AQ64)</f>
        <v>6239.6827370823048</v>
      </c>
      <c r="L72" s="115">
        <f t="shared" si="86"/>
        <v>6239.6827370823048</v>
      </c>
    </row>
    <row r="73" spans="1:48" ht="45" x14ac:dyDescent="0.25">
      <c r="A73" s="114" t="s">
        <v>178</v>
      </c>
      <c r="B73" s="115">
        <f t="shared" si="78"/>
        <v>380.77000000000004</v>
      </c>
      <c r="C73" s="115">
        <f t="shared" si="79"/>
        <v>536.3202</v>
      </c>
      <c r="D73" s="116">
        <f t="shared" si="80"/>
        <v>558.68581200000006</v>
      </c>
      <c r="E73" s="115">
        <f t="shared" si="81"/>
        <v>582.39336072000003</v>
      </c>
      <c r="F73" s="115">
        <f t="shared" si="82"/>
        <v>617.33696236319997</v>
      </c>
      <c r="G73" s="115">
        <f t="shared" si="83"/>
        <v>654.37718010499202</v>
      </c>
      <c r="H73" s="115">
        <f t="shared" si="84"/>
        <v>693.63981091129176</v>
      </c>
      <c r="I73" s="115">
        <f t="shared" si="85"/>
        <v>732.02530573556919</v>
      </c>
      <c r="J73" s="115">
        <f t="shared" si="87"/>
        <v>775.94682407970345</v>
      </c>
      <c r="K73" s="115">
        <f t="shared" si="88"/>
        <v>822.50363352448574</v>
      </c>
      <c r="L73" s="115">
        <f t="shared" si="86"/>
        <v>822.50363352448574</v>
      </c>
    </row>
    <row r="74" spans="1:48" ht="30" x14ac:dyDescent="0.25">
      <c r="A74" s="114" t="s">
        <v>179</v>
      </c>
      <c r="B74" s="115">
        <f t="shared" si="78"/>
        <v>669.63</v>
      </c>
      <c r="C74" s="115">
        <f t="shared" si="79"/>
        <v>943.18379999999991</v>
      </c>
      <c r="D74" s="116">
        <f t="shared" si="80"/>
        <v>982.51642800000002</v>
      </c>
      <c r="E74" s="115">
        <f t="shared" si="81"/>
        <v>1024.2090136799998</v>
      </c>
      <c r="F74" s="115">
        <f t="shared" si="82"/>
        <v>1085.6615545007999</v>
      </c>
      <c r="G74" s="115">
        <f t="shared" si="83"/>
        <v>1150.801247770848</v>
      </c>
      <c r="H74" s="115">
        <f t="shared" si="84"/>
        <v>1219.849322637099</v>
      </c>
      <c r="I74" s="115">
        <f t="shared" si="85"/>
        <v>1287.3548480177251</v>
      </c>
      <c r="J74" s="115">
        <f t="shared" si="87"/>
        <v>1364.5961388987887</v>
      </c>
      <c r="K74" s="115">
        <f t="shared" si="88"/>
        <v>1446.4719072327161</v>
      </c>
      <c r="L74" s="338">
        <f t="shared" si="86"/>
        <v>1446.4719072327161</v>
      </c>
      <c r="M74" s="114"/>
      <c r="N74" s="312" t="s">
        <v>180</v>
      </c>
    </row>
    <row r="75" spans="1:48" x14ac:dyDescent="0.25">
      <c r="A75" s="115" t="s">
        <v>17</v>
      </c>
      <c r="B75" s="115">
        <f>B69+B70</f>
        <v>4122.82</v>
      </c>
      <c r="C75" s="115">
        <f>C69+C70</f>
        <v>5807.0531999999994</v>
      </c>
      <c r="D75" s="115">
        <f t="shared" ref="D75:L75" si="89">D69+D70</f>
        <v>6049.2187920000006</v>
      </c>
      <c r="E75" s="115">
        <f t="shared" si="89"/>
        <v>6305.9143195200004</v>
      </c>
      <c r="F75" s="115">
        <f t="shared" si="89"/>
        <v>6684.269178691201</v>
      </c>
      <c r="G75" s="115">
        <f t="shared" si="89"/>
        <v>7085.3253294126735</v>
      </c>
      <c r="H75" s="115">
        <f t="shared" si="89"/>
        <v>7510.4448491774338</v>
      </c>
      <c r="I75" s="115">
        <f t="shared" si="89"/>
        <v>7926.0671034816814</v>
      </c>
      <c r="J75" s="115">
        <f>J69+J70</f>
        <v>8401.6311296905824</v>
      </c>
      <c r="K75" s="115">
        <f t="shared" si="89"/>
        <v>8905.728997472017</v>
      </c>
      <c r="L75" s="338">
        <f t="shared" si="89"/>
        <v>8905.728997472017</v>
      </c>
      <c r="M75" s="339" t="s">
        <v>369</v>
      </c>
      <c r="N75" s="122">
        <f>SUM(B75:K75)</f>
        <v>68798.47289944558</v>
      </c>
    </row>
    <row r="76" spans="1:48" x14ac:dyDescent="0.25">
      <c r="M76" s="339" t="s">
        <v>370</v>
      </c>
      <c r="N76" s="122">
        <f>SUM('Расходы на ЗП ОТ'!B74:K74)</f>
        <v>68798.47289944558</v>
      </c>
    </row>
    <row r="77" spans="1:48" x14ac:dyDescent="0.25">
      <c r="M77" s="114"/>
      <c r="N77" s="340">
        <f>N76-N75</f>
        <v>0</v>
      </c>
    </row>
    <row r="87" spans="19:19" x14ac:dyDescent="0.25">
      <c r="S87" s="60"/>
    </row>
  </sheetData>
  <pageMargins left="0.59055118110236249" right="0.59055118110236249" top="0.98425196850393704" bottom="0.39370078740157477" header="0" footer="0"/>
  <pageSetup paperSize="8" scale="63" firstPageNumber="2147483648" orientation="landscape"/>
  <legacy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T67"/>
  <sheetViews>
    <sheetView zoomScale="60" zoomScaleNormal="60" workbookViewId="0">
      <selection activeCell="E16" sqref="E16"/>
    </sheetView>
  </sheetViews>
  <sheetFormatPr defaultRowHeight="15" x14ac:dyDescent="0.25"/>
  <cols>
    <col min="1" max="1" width="19" style="57" customWidth="1"/>
    <col min="2" max="2" width="12" style="57" customWidth="1"/>
    <col min="3" max="3" width="14.28515625" customWidth="1"/>
    <col min="4" max="5" width="16.28515625" customWidth="1"/>
    <col min="6" max="6" width="15.28515625" customWidth="1"/>
    <col min="7" max="7" width="15.85546875" customWidth="1"/>
    <col min="8" max="8" width="16" customWidth="1"/>
    <col min="9" max="10" width="17.7109375" customWidth="1"/>
    <col min="11" max="11" width="15.5703125" customWidth="1"/>
    <col min="12" max="12" width="15.85546875" customWidth="1"/>
    <col min="13" max="13" width="17.7109375" customWidth="1"/>
    <col min="14" max="14" width="17.42578125" customWidth="1"/>
    <col min="15" max="15" width="16.85546875" customWidth="1"/>
    <col min="16" max="16" width="23.42578125" customWidth="1"/>
    <col min="17" max="17" width="17.28515625" customWidth="1"/>
    <col min="18" max="18" width="19.5703125" customWidth="1"/>
    <col min="19" max="19" width="16.85546875" customWidth="1"/>
    <col min="20" max="20" width="14.42578125" customWidth="1"/>
    <col min="21" max="21" width="14.7109375" customWidth="1"/>
    <col min="22" max="22" width="13.85546875" customWidth="1"/>
    <col min="23" max="23" width="17.85546875" customWidth="1"/>
    <col min="24" max="24" width="10.42578125" customWidth="1"/>
    <col min="25" max="25" width="12.42578125" customWidth="1"/>
    <col min="26" max="26" width="14.7109375" customWidth="1"/>
  </cols>
  <sheetData>
    <row r="1" spans="1:20" ht="26.25" x14ac:dyDescent="0.4">
      <c r="A1" s="139" t="s">
        <v>202</v>
      </c>
      <c r="B1" s="229"/>
      <c r="C1" s="229"/>
      <c r="D1" s="229"/>
      <c r="E1" s="229"/>
      <c r="F1" s="229"/>
      <c r="G1" s="229"/>
      <c r="H1" s="230"/>
      <c r="J1" s="60"/>
      <c r="K1" s="60"/>
      <c r="L1" s="137"/>
      <c r="M1" s="761"/>
      <c r="N1" s="761"/>
      <c r="O1" s="761"/>
    </row>
    <row r="2" spans="1:20" x14ac:dyDescent="0.25">
      <c r="A2" s="348"/>
      <c r="B2" s="348" t="str">
        <f>'Налоги ТОР'!B2</f>
        <v>1 год</v>
      </c>
      <c r="C2" s="348" t="str">
        <f>'Налоги ТОР'!C2</f>
        <v>2 год</v>
      </c>
      <c r="D2" s="348" t="str">
        <f>'Налоги ТОР'!D2</f>
        <v>3 год</v>
      </c>
      <c r="E2" s="348" t="str">
        <f>'Налоги ТОР'!E2</f>
        <v>4 год</v>
      </c>
      <c r="F2" s="348" t="str">
        <f>'Налоги ТОР'!F2</f>
        <v>5 год</v>
      </c>
      <c r="G2" s="348" t="str">
        <f>'Налоги ТОР'!G2</f>
        <v>6 год</v>
      </c>
      <c r="H2" s="348" t="str">
        <f>'Налоги ТОР'!H2</f>
        <v>7 год</v>
      </c>
      <c r="I2" s="348" t="str">
        <f>'Налоги ТОР'!I2</f>
        <v>8 год</v>
      </c>
      <c r="J2" s="348" t="str">
        <f>'Налоги ТОР'!J2</f>
        <v>9 год</v>
      </c>
      <c r="K2" s="348" t="str">
        <f>'Налоги ТОР'!K2</f>
        <v>10 год</v>
      </c>
      <c r="L2" s="348" t="str">
        <f>'Налоги ТОР'!L2</f>
        <v>11 год</v>
      </c>
      <c r="M2" s="762"/>
      <c r="N2" s="762"/>
      <c r="O2" s="762"/>
      <c r="P2" s="349"/>
      <c r="Q2" s="350" t="s">
        <v>203</v>
      </c>
      <c r="R2" s="351"/>
      <c r="S2" s="350" t="s">
        <v>203</v>
      </c>
      <c r="T2" s="352"/>
    </row>
    <row r="3" spans="1:20" x14ac:dyDescent="0.25">
      <c r="A3" s="530" t="s">
        <v>181</v>
      </c>
      <c r="B3" s="530">
        <f>IF('Фин результат ТОР'!B24&lt;0, 0, 0.2*'Фин результат ТОР'!B24)</f>
        <v>0</v>
      </c>
      <c r="C3" s="530">
        <f>IF('Фин результат ТОР'!C24&lt;0, 0, 0.2*'Фин результат ТОР'!C24)</f>
        <v>11713.874586574204</v>
      </c>
      <c r="D3" s="530">
        <f>IF('Фин результат ТОР'!D24&lt;0, 0, 0.2*'Фин результат ТОР'!D24)</f>
        <v>12646.980299211224</v>
      </c>
      <c r="E3" s="530">
        <f>IF('Фин результат ТОР'!E24&lt;0, 0, 0.2*'Фин результат ТОР'!E24)</f>
        <v>13937.565598421024</v>
      </c>
      <c r="F3" s="530">
        <f>IF('Фин результат ТОР'!F24&lt;0, 0, 0.2*'Фин результат ТОР'!F24)</f>
        <v>15216.687816763586</v>
      </c>
      <c r="G3" s="530">
        <f>IF('Фин результат ТОР'!G24&lt;0, 0, 0.2*'Фин результат ТОР'!G24)</f>
        <v>16425.542204308138</v>
      </c>
      <c r="H3" s="530">
        <f>IF('Фин результат ТОР'!H24&lt;0, 0, 0.2*'Фин результат ТОР'!H24)</f>
        <v>17401.01255093456</v>
      </c>
      <c r="I3" s="530">
        <f>IF('Фин результат ТОР'!I24&lt;0, 0, 0.2*'Фин результат ТОР'!I24)</f>
        <v>18654.16926828766</v>
      </c>
      <c r="J3" s="530">
        <f>IF('Фин результат ТОР'!J24&lt;0, 0, 0.2*'Фин результат ТОР'!J24)</f>
        <v>19951.083799903907</v>
      </c>
      <c r="K3" s="530">
        <f>IF('Фин результат ТОР'!K24&lt;0, 0, 0.2*'Фин результат ТОР'!K24)</f>
        <v>22497.978847325136</v>
      </c>
      <c r="L3" s="530">
        <f>IF('Фин результат ТОР'!L24&lt;0, 0, 0.2*'Фин результат ТОР'!L24)</f>
        <v>24910.73055321438</v>
      </c>
      <c r="M3" s="761"/>
      <c r="N3" s="761"/>
      <c r="O3" s="761"/>
      <c r="P3" s="143" t="str">
        <f>A3</f>
        <v>Налог на прибыль:</v>
      </c>
      <c r="Q3" s="143">
        <f>SUM(B3:K3)</f>
        <v>148444.89497172943</v>
      </c>
      <c r="R3" s="7"/>
      <c r="S3" s="143" t="s">
        <v>194</v>
      </c>
      <c r="T3" s="144">
        <f>Q4+Q17</f>
        <v>263272.54938287818</v>
      </c>
    </row>
    <row r="4" spans="1:20" ht="30" x14ac:dyDescent="0.25">
      <c r="A4" s="141" t="s">
        <v>182</v>
      </c>
      <c r="B4" s="141">
        <f>B3*2/20</f>
        <v>0</v>
      </c>
      <c r="C4" s="141">
        <f t="shared" ref="C4:G4" si="0">C3*2/20</f>
        <v>1171.3874586574204</v>
      </c>
      <c r="D4" s="141">
        <f t="shared" si="0"/>
        <v>1264.6980299211223</v>
      </c>
      <c r="E4" s="141">
        <f t="shared" si="0"/>
        <v>1393.7565598421024</v>
      </c>
      <c r="F4" s="141">
        <f t="shared" si="0"/>
        <v>1521.6687816763585</v>
      </c>
      <c r="G4" s="141">
        <f t="shared" si="0"/>
        <v>1642.5542204308138</v>
      </c>
      <c r="H4" s="141">
        <f>H3*2/20</f>
        <v>1740.1012550934561</v>
      </c>
      <c r="I4" s="141">
        <f>I3*2/20</f>
        <v>1865.416926828766</v>
      </c>
      <c r="J4" s="141">
        <f>J3*2/20</f>
        <v>1995.1083799903906</v>
      </c>
      <c r="K4" s="141">
        <f>K3*2/20</f>
        <v>2249.7978847325135</v>
      </c>
      <c r="L4" s="141">
        <f>L3*2/20</f>
        <v>2491.073055321438</v>
      </c>
      <c r="M4" s="762"/>
      <c r="N4" s="762"/>
      <c r="O4" s="762"/>
      <c r="P4" s="143" t="str">
        <f t="shared" ref="P4:P18" si="1">A4</f>
        <v>- федеральный бюджет</v>
      </c>
      <c r="Q4" s="143">
        <f>SUM(B4:K4)</f>
        <v>14844.489497172945</v>
      </c>
      <c r="R4" s="7"/>
      <c r="S4" s="143" t="s">
        <v>195</v>
      </c>
      <c r="T4" s="144">
        <f>Q5+Q7+Q9+Q11</f>
        <v>169274.94803948878</v>
      </c>
    </row>
    <row r="5" spans="1:20" ht="30" x14ac:dyDescent="0.25">
      <c r="A5" s="141" t="s">
        <v>184</v>
      </c>
      <c r="B5" s="141">
        <f>B3-B4</f>
        <v>0</v>
      </c>
      <c r="C5" s="141">
        <f t="shared" ref="C5:L5" si="2">C3-C4</f>
        <v>10542.487127916784</v>
      </c>
      <c r="D5" s="141">
        <f t="shared" si="2"/>
        <v>11382.282269290101</v>
      </c>
      <c r="E5" s="141">
        <f t="shared" si="2"/>
        <v>12543.809038578922</v>
      </c>
      <c r="F5" s="141">
        <f t="shared" si="2"/>
        <v>13695.019035087227</v>
      </c>
      <c r="G5" s="141">
        <f t="shared" si="2"/>
        <v>14782.987983877325</v>
      </c>
      <c r="H5" s="141">
        <f t="shared" si="2"/>
        <v>15660.911295841104</v>
      </c>
      <c r="I5" s="141">
        <f t="shared" si="2"/>
        <v>16788.752341458894</v>
      </c>
      <c r="J5" s="141">
        <f t="shared" si="2"/>
        <v>17955.975419913517</v>
      </c>
      <c r="K5" s="141">
        <f t="shared" si="2"/>
        <v>20248.180962592622</v>
      </c>
      <c r="L5" s="141">
        <f t="shared" si="2"/>
        <v>22419.657497892942</v>
      </c>
      <c r="M5" s="761"/>
      <c r="N5" s="761"/>
      <c r="O5" s="761"/>
      <c r="P5" s="143" t="str">
        <f t="shared" si="1"/>
        <v>- региональный бюджет</v>
      </c>
      <c r="Q5" s="143">
        <f t="shared" ref="Q5:Q18" si="3">SUM(B5:K5)</f>
        <v>133600.40547455649</v>
      </c>
      <c r="R5" s="7"/>
      <c r="S5" s="143" t="s">
        <v>196</v>
      </c>
      <c r="T5" s="144">
        <f>Q12+Q18</f>
        <v>4272.5166291056976</v>
      </c>
    </row>
    <row r="6" spans="1:20" ht="20.25" customHeight="1" x14ac:dyDescent="0.25">
      <c r="A6" s="530" t="s">
        <v>185</v>
      </c>
      <c r="B6" s="530">
        <f>'Расходы на П, строит-во, ввод'!B39</f>
        <v>375.70499999999998</v>
      </c>
      <c r="C6" s="530">
        <f>'Расходы на П, строит-во, ввод'!C39</f>
        <v>1464.87</v>
      </c>
      <c r="D6" s="530">
        <f>'Расходы на П, строит-во, ввод'!D39</f>
        <v>1404.1499999999999</v>
      </c>
      <c r="E6" s="530">
        <f>'Расходы на П, строит-во, ввод'!E39</f>
        <v>1343.4299999999998</v>
      </c>
      <c r="F6" s="530">
        <f>'Расходы на П, строит-во, ввод'!F39</f>
        <v>1282.7099999999998</v>
      </c>
      <c r="G6" s="530">
        <f>'Расходы на П, строит-во, ввод'!G39</f>
        <v>1221.99</v>
      </c>
      <c r="H6" s="530">
        <f>'Расходы на П, строит-во, ввод'!H39</f>
        <v>1161.27</v>
      </c>
      <c r="I6" s="530">
        <f>'Расходы на П, строит-во, ввод'!I39</f>
        <v>1100.55</v>
      </c>
      <c r="J6" s="530">
        <f>'Расходы на П, строит-во, ввод'!J39</f>
        <v>1039.83</v>
      </c>
      <c r="K6" s="530">
        <f>'Расходы на П, строит-во, ввод'!K39</f>
        <v>979.1099999999999</v>
      </c>
      <c r="L6" s="530">
        <f>'Расходы на П, строит-во, ввод'!L39</f>
        <v>918.38999999999987</v>
      </c>
      <c r="M6" s="762"/>
      <c r="N6" s="762"/>
      <c r="O6" s="762"/>
      <c r="P6" s="143" t="str">
        <f t="shared" si="1"/>
        <v>Налог на имущество:</v>
      </c>
      <c r="Q6" s="143">
        <f t="shared" si="3"/>
        <v>11373.614999999998</v>
      </c>
      <c r="R6" s="7"/>
      <c r="S6" s="143" t="s">
        <v>197</v>
      </c>
      <c r="T6" s="144"/>
    </row>
    <row r="7" spans="1:20" ht="30" x14ac:dyDescent="0.25">
      <c r="A7" s="141" t="s">
        <v>184</v>
      </c>
      <c r="B7" s="141">
        <f>B6</f>
        <v>375.70499999999998</v>
      </c>
      <c r="C7" s="141">
        <f>'Расходы на П, строит-во, ввод'!C39</f>
        <v>1464.87</v>
      </c>
      <c r="D7" s="141">
        <f>'Расходы на П, строит-во, ввод'!D39</f>
        <v>1404.1499999999999</v>
      </c>
      <c r="E7" s="141">
        <f>'Расходы на П, строит-во, ввод'!E39</f>
        <v>1343.4299999999998</v>
      </c>
      <c r="F7" s="141">
        <f>'Расходы на П, строит-во, ввод'!F39</f>
        <v>1282.7099999999998</v>
      </c>
      <c r="G7" s="141">
        <f>'Расходы на П, строит-во, ввод'!G39</f>
        <v>1221.99</v>
      </c>
      <c r="H7" s="141">
        <f>'Расходы на П, строит-во, ввод'!H39</f>
        <v>1161.27</v>
      </c>
      <c r="I7" s="141">
        <f>'Расходы на П, строит-во, ввод'!I39</f>
        <v>1100.55</v>
      </c>
      <c r="J7" s="141">
        <f>'Расходы на П, строит-во, ввод'!J39</f>
        <v>1039.83</v>
      </c>
      <c r="K7" s="141">
        <f>'Расходы на П, строит-во, ввод'!K39</f>
        <v>979.1099999999999</v>
      </c>
      <c r="L7" s="141">
        <f>'Расходы на П, строит-во, ввод'!L39</f>
        <v>918.38999999999987</v>
      </c>
      <c r="M7" s="761"/>
      <c r="N7" s="761"/>
      <c r="O7" s="761"/>
      <c r="P7" s="143" t="str">
        <f t="shared" si="1"/>
        <v>- региональный бюджет</v>
      </c>
      <c r="Q7" s="143">
        <f t="shared" si="3"/>
        <v>11373.614999999998</v>
      </c>
      <c r="R7" s="7"/>
      <c r="S7" s="7"/>
      <c r="T7" s="145"/>
    </row>
    <row r="8" spans="1:20" ht="19.5" customHeight="1" x14ac:dyDescent="0.25">
      <c r="A8" s="141" t="s">
        <v>186</v>
      </c>
      <c r="B8" s="141">
        <v>9</v>
      </c>
      <c r="C8" s="141">
        <v>9</v>
      </c>
      <c r="D8" s="141">
        <v>9</v>
      </c>
      <c r="E8" s="141">
        <v>9</v>
      </c>
      <c r="F8" s="141">
        <v>9</v>
      </c>
      <c r="G8" s="141">
        <v>9</v>
      </c>
      <c r="H8" s="141">
        <v>9</v>
      </c>
      <c r="I8" s="141">
        <v>9</v>
      </c>
      <c r="J8" s="141">
        <v>9</v>
      </c>
      <c r="K8" s="141">
        <v>9</v>
      </c>
      <c r="L8" s="141">
        <v>9</v>
      </c>
      <c r="M8" s="762"/>
      <c r="N8" s="762"/>
      <c r="O8" s="762"/>
      <c r="P8" s="143" t="str">
        <f t="shared" si="1"/>
        <v>Транспортный налог:</v>
      </c>
      <c r="Q8" s="143">
        <f t="shared" si="3"/>
        <v>90</v>
      </c>
      <c r="R8" s="7"/>
      <c r="S8" s="7"/>
      <c r="T8" s="145"/>
    </row>
    <row r="9" spans="1:20" ht="30" x14ac:dyDescent="0.25">
      <c r="A9" s="141" t="s">
        <v>184</v>
      </c>
      <c r="B9" s="141">
        <v>9</v>
      </c>
      <c r="C9" s="141">
        <v>9</v>
      </c>
      <c r="D9" s="141">
        <v>9</v>
      </c>
      <c r="E9" s="141">
        <v>9</v>
      </c>
      <c r="F9" s="141">
        <v>9</v>
      </c>
      <c r="G9" s="141">
        <v>9</v>
      </c>
      <c r="H9" s="141">
        <v>9</v>
      </c>
      <c r="I9" s="141">
        <v>9</v>
      </c>
      <c r="J9" s="141">
        <v>9</v>
      </c>
      <c r="K9" s="141">
        <v>9</v>
      </c>
      <c r="L9" s="141">
        <v>9</v>
      </c>
      <c r="M9" s="761"/>
      <c r="N9" s="761"/>
      <c r="O9" s="761"/>
      <c r="P9" s="143" t="str">
        <f t="shared" si="1"/>
        <v>- региональный бюджет</v>
      </c>
      <c r="Q9" s="143">
        <f t="shared" si="3"/>
        <v>90</v>
      </c>
      <c r="R9" s="7"/>
      <c r="S9" s="7"/>
      <c r="T9" s="145"/>
    </row>
    <row r="10" spans="1:20" x14ac:dyDescent="0.25">
      <c r="A10" s="530" t="s">
        <v>187</v>
      </c>
      <c r="B10" s="530">
        <f>'Расходы на ЗП ОТ'!AW58</f>
        <v>1706.9</v>
      </c>
      <c r="C10" s="530">
        <f>'Расходы на ЗП ОТ'!AX58</f>
        <v>2404.194</v>
      </c>
      <c r="D10" s="530">
        <f>'Расходы на ЗП ОТ'!AY58</f>
        <v>2504.4536400000002</v>
      </c>
      <c r="E10" s="530">
        <f>'Расходы на ЗП ОТ'!AZ58</f>
        <v>2610.7288584000003</v>
      </c>
      <c r="F10" s="530">
        <f>'Расходы на ЗП ОТ'!BA58</f>
        <v>2767.3725899040005</v>
      </c>
      <c r="G10" s="530">
        <f>'Расходы на ЗП ОТ'!BB58</f>
        <v>2933.414945298241</v>
      </c>
      <c r="H10" s="530">
        <f>'Расходы на ЗП ОТ'!BC58</f>
        <v>3109.4198420161351</v>
      </c>
      <c r="I10" s="530">
        <f>'Расходы на ЗП ОТ'!BD58</f>
        <v>3281.4927498491033</v>
      </c>
      <c r="J10" s="530">
        <f>'Расходы на ЗП ОТ'!BE58</f>
        <v>3478.3823148400497</v>
      </c>
      <c r="K10" s="530">
        <f>'Расходы на ЗП ОТ'!BF58</f>
        <v>3687.0852537304536</v>
      </c>
      <c r="L10" s="530">
        <f>'Расходы на ЗП ОТ'!BG58</f>
        <v>3908.3103689542804</v>
      </c>
      <c r="M10" s="762"/>
      <c r="N10" s="762"/>
      <c r="O10" s="762"/>
      <c r="P10" s="143" t="str">
        <f t="shared" si="1"/>
        <v>НДФЛ:</v>
      </c>
      <c r="Q10" s="143">
        <f t="shared" si="3"/>
        <v>28483.444194037977</v>
      </c>
      <c r="R10" s="7"/>
      <c r="S10" s="7"/>
      <c r="T10" s="145"/>
    </row>
    <row r="11" spans="1:20" ht="30" x14ac:dyDescent="0.25">
      <c r="A11" s="141" t="s">
        <v>184</v>
      </c>
      <c r="B11" s="141">
        <f>B10*0.85</f>
        <v>1450.865</v>
      </c>
      <c r="C11" s="141">
        <f t="shared" ref="C11:L11" si="4">C10*0.85</f>
        <v>2043.5648999999999</v>
      </c>
      <c r="D11" s="141">
        <f t="shared" si="4"/>
        <v>2128.7855939999999</v>
      </c>
      <c r="E11" s="141">
        <f t="shared" si="4"/>
        <v>2219.1195296400001</v>
      </c>
      <c r="F11" s="141">
        <f t="shared" si="4"/>
        <v>2352.2667014184003</v>
      </c>
      <c r="G11" s="141">
        <f t="shared" si="4"/>
        <v>2493.4027035035047</v>
      </c>
      <c r="H11" s="141">
        <f t="shared" si="4"/>
        <v>2643.0068657137149</v>
      </c>
      <c r="I11" s="141">
        <f t="shared" si="4"/>
        <v>2789.2688373717378</v>
      </c>
      <c r="J11" s="141">
        <f t="shared" si="4"/>
        <v>2956.6249676140424</v>
      </c>
      <c r="K11" s="141">
        <f t="shared" si="4"/>
        <v>3134.0224656708856</v>
      </c>
      <c r="L11" s="141">
        <f t="shared" si="4"/>
        <v>3322.0638136111384</v>
      </c>
      <c r="M11" s="761"/>
      <c r="N11" s="761"/>
      <c r="O11" s="761"/>
      <c r="P11" s="143" t="str">
        <f t="shared" si="1"/>
        <v>- региональный бюджет</v>
      </c>
      <c r="Q11" s="143">
        <f t="shared" si="3"/>
        <v>24210.927564932288</v>
      </c>
      <c r="R11" s="7"/>
      <c r="S11" s="7"/>
      <c r="T11" s="145"/>
    </row>
    <row r="12" spans="1:20" ht="30" x14ac:dyDescent="0.25">
      <c r="A12" s="141" t="s">
        <v>188</v>
      </c>
      <c r="B12" s="141">
        <f>B10*0.15</f>
        <v>256.03500000000003</v>
      </c>
      <c r="C12" s="141">
        <f>C10*0.15</f>
        <v>360.62909999999999</v>
      </c>
      <c r="D12" s="141">
        <f>D10*0.15</f>
        <v>375.668046</v>
      </c>
      <c r="E12" s="141">
        <f>E10*0.15</f>
        <v>391.60932876000004</v>
      </c>
      <c r="F12" s="141">
        <f t="shared" ref="F12:L12" si="5">F10*0.15</f>
        <v>415.10588848560008</v>
      </c>
      <c r="G12" s="141">
        <f t="shared" si="5"/>
        <v>440.01224179473616</v>
      </c>
      <c r="H12" s="141">
        <f t="shared" si="5"/>
        <v>466.41297630242025</v>
      </c>
      <c r="I12" s="141">
        <f t="shared" si="5"/>
        <v>492.2239124773655</v>
      </c>
      <c r="J12" s="141">
        <f t="shared" si="5"/>
        <v>521.75734722600748</v>
      </c>
      <c r="K12" s="141">
        <f t="shared" si="5"/>
        <v>553.06278805956799</v>
      </c>
      <c r="L12" s="141">
        <f t="shared" si="5"/>
        <v>586.24655534314206</v>
      </c>
      <c r="M12" s="762"/>
      <c r="N12" s="762"/>
      <c r="O12" s="762"/>
      <c r="P12" s="143" t="str">
        <f t="shared" si="1"/>
        <v>- муниципальный бюджет</v>
      </c>
      <c r="Q12" s="143">
        <f t="shared" si="3"/>
        <v>4272.5166291056976</v>
      </c>
      <c r="R12" s="7"/>
      <c r="S12" s="7"/>
      <c r="T12" s="145"/>
    </row>
    <row r="13" spans="1:20" ht="30" x14ac:dyDescent="0.25">
      <c r="A13" s="141" t="s">
        <v>189</v>
      </c>
      <c r="B13" s="141">
        <v>0</v>
      </c>
      <c r="C13" s="141">
        <v>0</v>
      </c>
      <c r="D13" s="141">
        <v>0</v>
      </c>
      <c r="E13" s="141">
        <v>0</v>
      </c>
      <c r="F13" s="141">
        <v>0</v>
      </c>
      <c r="G13" s="141">
        <v>0</v>
      </c>
      <c r="H13" s="141">
        <v>0</v>
      </c>
      <c r="I13" s="141">
        <v>0</v>
      </c>
      <c r="J13" s="141">
        <v>0</v>
      </c>
      <c r="K13" s="141">
        <v>0</v>
      </c>
      <c r="L13" s="141">
        <v>0</v>
      </c>
      <c r="M13" s="761"/>
      <c r="N13" s="761"/>
      <c r="O13" s="761"/>
      <c r="P13" s="143" t="str">
        <f t="shared" si="1"/>
        <v>- бюджет поселения</v>
      </c>
      <c r="Q13" s="143">
        <f t="shared" si="3"/>
        <v>0</v>
      </c>
      <c r="R13" s="7"/>
      <c r="S13" s="7"/>
      <c r="T13" s="145"/>
    </row>
    <row r="14" spans="1:20" ht="30" x14ac:dyDescent="0.25">
      <c r="A14" s="530" t="s">
        <v>190</v>
      </c>
      <c r="B14" s="530">
        <f>'Расходы на ЗП ОТ'!B69</f>
        <v>3939</v>
      </c>
      <c r="C14" s="530">
        <f>'Расходы на ЗП ОТ'!C69</f>
        <v>5548.1399999999994</v>
      </c>
      <c r="D14" s="530">
        <f>'Расходы на ЗП ОТ'!D69</f>
        <v>5779.5084000000006</v>
      </c>
      <c r="E14" s="530">
        <f>'Расходы на ЗП ОТ'!E69</f>
        <v>6024.7589040000003</v>
      </c>
      <c r="F14" s="530">
        <f>'Расходы на ЗП ОТ'!F69</f>
        <v>6386.2444382400008</v>
      </c>
      <c r="G14" s="530">
        <f>'Расходы на ЗП ОТ'!G69</f>
        <v>6769.4191045344014</v>
      </c>
      <c r="H14" s="530">
        <f>'Расходы на ЗП ОТ'!H69</f>
        <v>7175.5842508064652</v>
      </c>
      <c r="I14" s="530">
        <f>'Расходы на ЗП ОТ'!I69</f>
        <v>7572.6755765748549</v>
      </c>
      <c r="J14" s="530">
        <f>'Расходы на ЗП ОТ'!J69</f>
        <v>8027.0361111693464</v>
      </c>
      <c r="K14" s="530">
        <f>'Расходы на ЗП ОТ'!K69</f>
        <v>8508.6582778395059</v>
      </c>
      <c r="L14" s="530">
        <f>'Расходы на ЗП ОТ'!L69</f>
        <v>9019.1777745098771</v>
      </c>
      <c r="M14" s="762"/>
      <c r="N14" s="762"/>
      <c r="O14" s="762"/>
      <c r="P14" s="143" t="str">
        <f t="shared" si="1"/>
        <v>Страховые платежи в ФНС</v>
      </c>
      <c r="Q14" s="143">
        <f t="shared" si="3"/>
        <v>65731.025063164576</v>
      </c>
      <c r="R14" s="7"/>
      <c r="S14" s="7"/>
      <c r="T14" s="145"/>
    </row>
    <row r="15" spans="1:20" ht="30" x14ac:dyDescent="0.25">
      <c r="A15" s="530" t="s">
        <v>191</v>
      </c>
      <c r="B15" s="530">
        <f>'Расходы на ЗП ОТ'!AW53</f>
        <v>183.82</v>
      </c>
      <c r="C15" s="530">
        <f>'Расходы на ЗП ОТ'!AX53</f>
        <v>258.91320000000002</v>
      </c>
      <c r="D15" s="530">
        <f>'Расходы на ЗП ОТ'!AY53</f>
        <v>269.71039200000001</v>
      </c>
      <c r="E15" s="530">
        <f>'Расходы на ЗП ОТ'!AZ53</f>
        <v>281.15541552000002</v>
      </c>
      <c r="F15" s="530">
        <f>'Расходы на ЗП ОТ'!BA53</f>
        <v>298.02474045119999</v>
      </c>
      <c r="G15" s="530">
        <f>'Расходы на ЗП ОТ'!BB53</f>
        <v>315.90622487827204</v>
      </c>
      <c r="H15" s="530">
        <f>'Расходы на ЗП ОТ'!BC53</f>
        <v>334.86059837096838</v>
      </c>
      <c r="I15" s="530">
        <f>'Расходы на ЗП ОТ'!BD53</f>
        <v>353.39152690682653</v>
      </c>
      <c r="J15" s="530">
        <f>'Расходы на ЗП ОТ'!BE53</f>
        <v>374.59501852123617</v>
      </c>
      <c r="K15" s="530">
        <f>'Расходы на ЗП ОТ'!BF53</f>
        <v>397.07071963251042</v>
      </c>
      <c r="L15" s="530">
        <f>'Расходы на ЗП ОТ'!BG53</f>
        <v>420.89496281046104</v>
      </c>
      <c r="M15" s="761"/>
      <c r="N15" s="761"/>
      <c r="O15" s="761"/>
      <c r="P15" s="143" t="str">
        <f t="shared" si="1"/>
        <v>Страховые платежи в ФСС</v>
      </c>
      <c r="Q15" s="143">
        <f t="shared" si="3"/>
        <v>3067.4478362810132</v>
      </c>
      <c r="R15" s="7"/>
      <c r="S15" s="7"/>
      <c r="T15" s="145"/>
    </row>
    <row r="16" spans="1:20" x14ac:dyDescent="0.25">
      <c r="A16" s="530" t="s">
        <v>192</v>
      </c>
      <c r="B16" s="530">
        <f>'Налоги ТОР'!B16</f>
        <v>-19290.010713333337</v>
      </c>
      <c r="C16" s="530">
        <f>'Налоги ТОР'!C16</f>
        <v>22990.939079600008</v>
      </c>
      <c r="D16" s="530">
        <f>'Налоги ТОР'!D16</f>
        <v>24189.225352976002</v>
      </c>
      <c r="E16" s="530">
        <f>'Налоги ТОР'!E16</f>
        <v>25766.028962754561</v>
      </c>
      <c r="F16" s="530">
        <f>'Налоги ТОР'!F16</f>
        <v>27432.104897919839</v>
      </c>
      <c r="G16" s="530">
        <f>'Налоги ТОР'!G16</f>
        <v>29198.14538919503</v>
      </c>
      <c r="H16" s="530">
        <f>'Налоги ТОР'!H16</f>
        <v>31070.148309946733</v>
      </c>
      <c r="I16" s="530">
        <f>'Налоги ТОР'!I16</f>
        <v>33056.229208354503</v>
      </c>
      <c r="J16" s="530">
        <f>'Налоги ТОР'!J16</f>
        <v>35159.717158255764</v>
      </c>
      <c r="K16" s="530">
        <f>'Налоги ТОР'!K16</f>
        <v>38855.53224003614</v>
      </c>
      <c r="L16" s="530">
        <f>'Налоги ТОР'!L16</f>
        <v>40341.158694569283</v>
      </c>
      <c r="M16" s="762"/>
      <c r="N16" s="762"/>
      <c r="O16" s="762"/>
      <c r="P16" s="143" t="str">
        <f t="shared" si="1"/>
        <v>НДС:</v>
      </c>
      <c r="Q16" s="143">
        <f t="shared" si="3"/>
        <v>248428.05988570521</v>
      </c>
      <c r="R16" s="7"/>
      <c r="S16" s="7"/>
      <c r="T16" s="145"/>
    </row>
    <row r="17" spans="1:20" ht="30" x14ac:dyDescent="0.25">
      <c r="A17" s="141" t="s">
        <v>182</v>
      </c>
      <c r="B17" s="141">
        <f>B16</f>
        <v>-19290.010713333337</v>
      </c>
      <c r="C17" s="141">
        <f t="shared" ref="C17:L17" si="6">C16</f>
        <v>22990.939079600008</v>
      </c>
      <c r="D17" s="141">
        <f t="shared" si="6"/>
        <v>24189.225352976002</v>
      </c>
      <c r="E17" s="141">
        <f t="shared" si="6"/>
        <v>25766.028962754561</v>
      </c>
      <c r="F17" s="141">
        <f t="shared" si="6"/>
        <v>27432.104897919839</v>
      </c>
      <c r="G17" s="141">
        <f t="shared" si="6"/>
        <v>29198.14538919503</v>
      </c>
      <c r="H17" s="141">
        <f t="shared" si="6"/>
        <v>31070.148309946733</v>
      </c>
      <c r="I17" s="141">
        <f t="shared" si="6"/>
        <v>33056.229208354503</v>
      </c>
      <c r="J17" s="141">
        <f t="shared" si="6"/>
        <v>35159.717158255764</v>
      </c>
      <c r="K17" s="141">
        <f t="shared" si="6"/>
        <v>38855.53224003614</v>
      </c>
      <c r="L17" s="141">
        <f t="shared" si="6"/>
        <v>40341.158694569283</v>
      </c>
      <c r="M17" s="761"/>
      <c r="N17" s="761"/>
      <c r="O17" s="761"/>
      <c r="P17" s="143" t="str">
        <f t="shared" si="1"/>
        <v>- федеральный бюджет</v>
      </c>
      <c r="Q17" s="143">
        <f t="shared" si="3"/>
        <v>248428.05988570521</v>
      </c>
      <c r="R17" s="7"/>
      <c r="S17" s="7"/>
      <c r="T17" s="145"/>
    </row>
    <row r="18" spans="1:20" x14ac:dyDescent="0.25">
      <c r="A18" s="141" t="s">
        <v>193</v>
      </c>
      <c r="B18" s="141">
        <f>B19</f>
        <v>0</v>
      </c>
      <c r="C18" s="141">
        <f>C19</f>
        <v>0</v>
      </c>
      <c r="D18" s="141">
        <f t="shared" ref="D18:G18" si="7">D19</f>
        <v>0</v>
      </c>
      <c r="E18" s="141">
        <f t="shared" si="7"/>
        <v>0</v>
      </c>
      <c r="F18" s="141">
        <f t="shared" si="7"/>
        <v>0</v>
      </c>
      <c r="G18" s="141">
        <f t="shared" si="7"/>
        <v>0</v>
      </c>
      <c r="H18" s="141">
        <f>'Расходы на П, строит-во, ввод'!G46</f>
        <v>0</v>
      </c>
      <c r="I18" s="141">
        <f>'Расходы на П, строит-во, ввод'!H46</f>
        <v>0</v>
      </c>
      <c r="J18" s="141">
        <f>'Расходы на П, строит-во, ввод'!I46</f>
        <v>0</v>
      </c>
      <c r="K18" s="141">
        <f>'Расходы на П, строит-во, ввод'!J46</f>
        <v>0</v>
      </c>
      <c r="L18" s="141">
        <f>'Расходы на П, строит-во, ввод'!K46</f>
        <v>0</v>
      </c>
      <c r="M18" s="762"/>
      <c r="N18" s="762"/>
      <c r="O18" s="762"/>
      <c r="P18" s="143" t="str">
        <f t="shared" si="1"/>
        <v>Земельный налог</v>
      </c>
      <c r="Q18" s="143">
        <f t="shared" si="3"/>
        <v>0</v>
      </c>
      <c r="R18" s="7"/>
      <c r="S18" s="7"/>
      <c r="T18" s="145"/>
    </row>
    <row r="19" spans="1:20" ht="30" x14ac:dyDescent="0.25">
      <c r="A19" s="141" t="str">
        <f>A12</f>
        <v>- муниципальный бюджет</v>
      </c>
      <c r="B19" s="141">
        <f>'Расходы на П, строит-во, ввод'!B52</f>
        <v>0</v>
      </c>
      <c r="C19" s="141">
        <f>'Расходы на П, строит-во, ввод'!C52</f>
        <v>0</v>
      </c>
      <c r="D19" s="141">
        <f>'Расходы на П, строит-во, ввод'!D52</f>
        <v>0</v>
      </c>
      <c r="E19" s="141">
        <f>'Расходы на П, строит-во, ввод'!E52</f>
        <v>0</v>
      </c>
      <c r="F19" s="141">
        <f>'Расходы на П, строит-во, ввод'!F52</f>
        <v>0</v>
      </c>
      <c r="G19" s="141">
        <f>'Расходы на П, строит-во, ввод'!G52</f>
        <v>0</v>
      </c>
      <c r="H19" s="141">
        <f>'Расходы на П, строит-во, ввод'!H52</f>
        <v>0</v>
      </c>
      <c r="I19" s="141">
        <f>'Расходы на П, строит-во, ввод'!I52</f>
        <v>0</v>
      </c>
      <c r="J19" s="141">
        <f>'Расходы на П, строит-во, ввод'!J52</f>
        <v>0</v>
      </c>
      <c r="K19" s="141">
        <f>'Расходы на П, строит-во, ввод'!K52</f>
        <v>0</v>
      </c>
      <c r="L19" s="141">
        <f>'Расходы на П, строит-во, ввод'!L52</f>
        <v>0</v>
      </c>
      <c r="M19" s="761"/>
      <c r="N19" s="761"/>
      <c r="O19" s="761"/>
      <c r="P19" s="142"/>
      <c r="Q19" s="7"/>
      <c r="R19" s="7"/>
      <c r="S19" s="7"/>
      <c r="T19" s="145"/>
    </row>
    <row r="20" spans="1:20" x14ac:dyDescent="0.25">
      <c r="A20" s="146" t="s">
        <v>194</v>
      </c>
      <c r="B20" s="141">
        <f>B4+B17</f>
        <v>-19290.010713333337</v>
      </c>
      <c r="C20" s="141">
        <f>C4+C17</f>
        <v>24162.326538257428</v>
      </c>
      <c r="D20" s="141">
        <f>D4+D17</f>
        <v>25453.923382897123</v>
      </c>
      <c r="E20" s="141">
        <f t="shared" ref="E20:L20" si="8">E4+E17</f>
        <v>27159.785522596663</v>
      </c>
      <c r="F20" s="141">
        <f t="shared" si="8"/>
        <v>28953.773679596197</v>
      </c>
      <c r="G20" s="141">
        <f t="shared" si="8"/>
        <v>30840.699609625844</v>
      </c>
      <c r="H20" s="141">
        <f t="shared" si="8"/>
        <v>32810.249565040191</v>
      </c>
      <c r="I20" s="141">
        <f t="shared" si="8"/>
        <v>34921.64613518327</v>
      </c>
      <c r="J20" s="141">
        <f t="shared" si="8"/>
        <v>37154.825538246158</v>
      </c>
      <c r="K20" s="141">
        <f t="shared" si="8"/>
        <v>41105.330124768654</v>
      </c>
      <c r="L20" s="141">
        <f t="shared" si="8"/>
        <v>42832.231749890721</v>
      </c>
      <c r="M20" s="762"/>
      <c r="N20" s="762"/>
      <c r="O20" s="762"/>
      <c r="P20" s="147" t="s">
        <v>204</v>
      </c>
      <c r="Q20" s="361">
        <f>Q3+Q6+Q8+Q10+Q16</f>
        <v>436820.01405147265</v>
      </c>
      <c r="R20" s="7"/>
      <c r="S20" s="7"/>
      <c r="T20" s="145"/>
    </row>
    <row r="21" spans="1:20" x14ac:dyDescent="0.25">
      <c r="A21" s="146" t="s">
        <v>195</v>
      </c>
      <c r="B21" s="141">
        <f>B5+B7+B9+B11</f>
        <v>1835.57</v>
      </c>
      <c r="C21" s="141">
        <f>C5+C7+C9+C11</f>
        <v>14059.922027916784</v>
      </c>
      <c r="D21" s="141">
        <f>D5+D7+D9+D11</f>
        <v>14924.217863290101</v>
      </c>
      <c r="E21" s="141">
        <f t="shared" ref="E21:L21" si="9">E5+E7+E9+E11</f>
        <v>16115.358568218922</v>
      </c>
      <c r="F21" s="141">
        <f t="shared" si="9"/>
        <v>17338.995736505625</v>
      </c>
      <c r="G21" s="141">
        <f t="shared" si="9"/>
        <v>18507.380687380828</v>
      </c>
      <c r="H21" s="141">
        <f t="shared" si="9"/>
        <v>19474.188161554819</v>
      </c>
      <c r="I21" s="141">
        <f t="shared" si="9"/>
        <v>20687.571178830633</v>
      </c>
      <c r="J21" s="141">
        <f t="shared" si="9"/>
        <v>21961.430387527558</v>
      </c>
      <c r="K21" s="141">
        <f t="shared" si="9"/>
        <v>24370.313428263507</v>
      </c>
      <c r="L21" s="141">
        <f t="shared" si="9"/>
        <v>26669.111311504079</v>
      </c>
      <c r="M21" s="761"/>
      <c r="N21" s="761"/>
      <c r="O21" s="761"/>
      <c r="P21" s="148" t="s">
        <v>205</v>
      </c>
      <c r="Q21" s="361">
        <f>Q14+Q15</f>
        <v>68798.472899445595</v>
      </c>
      <c r="R21" s="149"/>
      <c r="S21" s="149"/>
      <c r="T21" s="150"/>
    </row>
    <row r="22" spans="1:20" x14ac:dyDescent="0.25">
      <c r="A22" s="146" t="s">
        <v>196</v>
      </c>
      <c r="B22" s="141">
        <f>B12</f>
        <v>256.03500000000003</v>
      </c>
      <c r="C22" s="141">
        <f>C12</f>
        <v>360.62909999999999</v>
      </c>
      <c r="D22" s="141">
        <f>D12</f>
        <v>375.668046</v>
      </c>
      <c r="E22" s="141">
        <f t="shared" ref="E22:L22" si="10">E12</f>
        <v>391.60932876000004</v>
      </c>
      <c r="F22" s="141">
        <f t="shared" si="10"/>
        <v>415.10588848560008</v>
      </c>
      <c r="G22" s="141">
        <f t="shared" si="10"/>
        <v>440.01224179473616</v>
      </c>
      <c r="H22" s="141">
        <f t="shared" si="10"/>
        <v>466.41297630242025</v>
      </c>
      <c r="I22" s="141">
        <f t="shared" si="10"/>
        <v>492.2239124773655</v>
      </c>
      <c r="J22" s="141">
        <f t="shared" si="10"/>
        <v>521.75734722600748</v>
      </c>
      <c r="K22" s="141">
        <f t="shared" si="10"/>
        <v>553.06278805956799</v>
      </c>
      <c r="L22" s="141">
        <f t="shared" si="10"/>
        <v>586.24655534314206</v>
      </c>
      <c r="M22" s="762"/>
      <c r="N22" s="762"/>
      <c r="O22" s="762"/>
      <c r="P22" s="124"/>
    </row>
    <row r="23" spans="1:20" x14ac:dyDescent="0.25">
      <c r="A23" s="146" t="s">
        <v>197</v>
      </c>
      <c r="B23" s="141">
        <f>B13+B19</f>
        <v>0</v>
      </c>
      <c r="C23" s="141">
        <f t="shared" ref="C23:L23" si="11">C13+C19</f>
        <v>0</v>
      </c>
      <c r="D23" s="141">
        <f t="shared" si="11"/>
        <v>0</v>
      </c>
      <c r="E23" s="141">
        <f t="shared" si="11"/>
        <v>0</v>
      </c>
      <c r="F23" s="141">
        <f t="shared" si="11"/>
        <v>0</v>
      </c>
      <c r="G23" s="141">
        <f t="shared" si="11"/>
        <v>0</v>
      </c>
      <c r="H23" s="141">
        <f t="shared" si="11"/>
        <v>0</v>
      </c>
      <c r="I23" s="141">
        <f t="shared" si="11"/>
        <v>0</v>
      </c>
      <c r="J23" s="141">
        <f t="shared" si="11"/>
        <v>0</v>
      </c>
      <c r="K23" s="141">
        <f t="shared" si="11"/>
        <v>0</v>
      </c>
      <c r="L23" s="141">
        <f t="shared" si="11"/>
        <v>0</v>
      </c>
      <c r="M23" s="761"/>
      <c r="N23" s="761"/>
      <c r="O23" s="761"/>
      <c r="P23" s="125"/>
    </row>
    <row r="24" spans="1:20" x14ac:dyDescent="0.25">
      <c r="L24" s="125"/>
      <c r="M24" s="762"/>
      <c r="N24" s="762"/>
      <c r="O24" s="762"/>
      <c r="P24" s="761"/>
    </row>
    <row r="25" spans="1:20" x14ac:dyDescent="0.25">
      <c r="I25" s="128"/>
      <c r="J25" s="128"/>
      <c r="P25" s="762"/>
    </row>
    <row r="26" spans="1:20" x14ac:dyDescent="0.25">
      <c r="I26" s="128"/>
      <c r="M26" s="761"/>
      <c r="N26" s="761"/>
      <c r="O26" s="761"/>
      <c r="P26" s="761"/>
      <c r="Q26" s="761"/>
      <c r="R26" s="761"/>
      <c r="S26" s="761"/>
    </row>
    <row r="27" spans="1:20" ht="15.75" x14ac:dyDescent="0.25">
      <c r="A27" s="353" t="s">
        <v>206</v>
      </c>
      <c r="B27" s="354" t="str">
        <f>B2</f>
        <v>1 год</v>
      </c>
      <c r="C27" s="354" t="str">
        <f t="shared" ref="C27:L27" si="12">C2</f>
        <v>2 год</v>
      </c>
      <c r="D27" s="354" t="str">
        <f t="shared" si="12"/>
        <v>3 год</v>
      </c>
      <c r="E27" s="354" t="str">
        <f t="shared" si="12"/>
        <v>4 год</v>
      </c>
      <c r="F27" s="354" t="str">
        <f t="shared" si="12"/>
        <v>5 год</v>
      </c>
      <c r="G27" s="354" t="str">
        <f t="shared" si="12"/>
        <v>6 год</v>
      </c>
      <c r="H27" s="354" t="str">
        <f t="shared" si="12"/>
        <v>7 год</v>
      </c>
      <c r="I27" s="354" t="str">
        <f t="shared" si="12"/>
        <v>8 год</v>
      </c>
      <c r="J27" s="354" t="str">
        <f t="shared" si="12"/>
        <v>9 год</v>
      </c>
      <c r="K27" s="354" t="str">
        <f t="shared" si="12"/>
        <v>10 год</v>
      </c>
      <c r="L27" s="354" t="str">
        <f t="shared" si="12"/>
        <v>11 год</v>
      </c>
      <c r="M27" s="762"/>
      <c r="N27" s="762"/>
      <c r="O27" s="762"/>
      <c r="P27" s="762"/>
      <c r="Q27" s="762"/>
      <c r="R27" s="762"/>
      <c r="S27" s="762"/>
    </row>
    <row r="28" spans="1:20" ht="15.75" x14ac:dyDescent="0.25">
      <c r="A28" s="377" t="s">
        <v>192</v>
      </c>
      <c r="B28" s="378">
        <f t="shared" ref="B28:B29" si="13">B16</f>
        <v>-19290.010713333337</v>
      </c>
      <c r="C28" s="378">
        <f t="shared" ref="C28:L29" si="14">C16</f>
        <v>22990.939079600008</v>
      </c>
      <c r="D28" s="378">
        <f t="shared" si="14"/>
        <v>24189.225352976002</v>
      </c>
      <c r="E28" s="378">
        <f t="shared" si="14"/>
        <v>25766.028962754561</v>
      </c>
      <c r="F28" s="378">
        <f t="shared" si="14"/>
        <v>27432.104897919839</v>
      </c>
      <c r="G28" s="378">
        <f t="shared" si="14"/>
        <v>29198.14538919503</v>
      </c>
      <c r="H28" s="378">
        <f t="shared" si="14"/>
        <v>31070.148309946733</v>
      </c>
      <c r="I28" s="378">
        <f t="shared" si="14"/>
        <v>33056.229208354503</v>
      </c>
      <c r="J28" s="378">
        <f t="shared" si="14"/>
        <v>35159.717158255764</v>
      </c>
      <c r="K28" s="378">
        <f t="shared" si="14"/>
        <v>38855.53224003614</v>
      </c>
      <c r="L28" s="378">
        <f t="shared" si="14"/>
        <v>40341.158694569283</v>
      </c>
      <c r="M28" s="761"/>
      <c r="N28" s="761"/>
      <c r="O28" s="761"/>
      <c r="P28" s="761"/>
      <c r="Q28" s="761"/>
      <c r="R28" s="761"/>
      <c r="S28" s="761"/>
    </row>
    <row r="29" spans="1:20" ht="31.5" x14ac:dyDescent="0.25">
      <c r="A29" s="357" t="s">
        <v>182</v>
      </c>
      <c r="B29" s="356">
        <f t="shared" si="13"/>
        <v>-19290.010713333337</v>
      </c>
      <c r="C29" s="356">
        <f t="shared" si="14"/>
        <v>22990.939079600008</v>
      </c>
      <c r="D29" s="356">
        <f t="shared" si="14"/>
        <v>24189.225352976002</v>
      </c>
      <c r="E29" s="356">
        <f t="shared" si="14"/>
        <v>25766.028962754561</v>
      </c>
      <c r="F29" s="356">
        <f t="shared" si="14"/>
        <v>27432.104897919839</v>
      </c>
      <c r="G29" s="356">
        <f t="shared" si="14"/>
        <v>29198.14538919503</v>
      </c>
      <c r="H29" s="356">
        <f t="shared" si="14"/>
        <v>31070.148309946733</v>
      </c>
      <c r="I29" s="356">
        <f t="shared" si="14"/>
        <v>33056.229208354503</v>
      </c>
      <c r="J29" s="356">
        <f t="shared" si="14"/>
        <v>35159.717158255764</v>
      </c>
      <c r="K29" s="356">
        <f t="shared" si="14"/>
        <v>38855.53224003614</v>
      </c>
      <c r="L29" s="356">
        <f t="shared" si="14"/>
        <v>40341.158694569283</v>
      </c>
      <c r="M29" s="762"/>
      <c r="N29" s="762"/>
      <c r="O29" s="762"/>
      <c r="P29" s="762"/>
      <c r="Q29" s="762"/>
      <c r="R29" s="762"/>
      <c r="S29" s="762"/>
    </row>
    <row r="30" spans="1:20" ht="31.5" x14ac:dyDescent="0.25">
      <c r="A30" s="377" t="s">
        <v>181</v>
      </c>
      <c r="B30" s="378">
        <f t="shared" ref="B30:L32" si="15">B3</f>
        <v>0</v>
      </c>
      <c r="C30" s="378">
        <f t="shared" ref="C30:L30" si="16">C3</f>
        <v>11713.874586574204</v>
      </c>
      <c r="D30" s="378">
        <f t="shared" si="16"/>
        <v>12646.980299211224</v>
      </c>
      <c r="E30" s="378">
        <f t="shared" si="16"/>
        <v>13937.565598421024</v>
      </c>
      <c r="F30" s="378">
        <f t="shared" si="16"/>
        <v>15216.687816763586</v>
      </c>
      <c r="G30" s="378">
        <f t="shared" si="16"/>
        <v>16425.542204308138</v>
      </c>
      <c r="H30" s="378">
        <f t="shared" si="16"/>
        <v>17401.01255093456</v>
      </c>
      <c r="I30" s="378">
        <f t="shared" si="16"/>
        <v>18654.16926828766</v>
      </c>
      <c r="J30" s="378">
        <f t="shared" si="16"/>
        <v>19951.083799903907</v>
      </c>
      <c r="K30" s="378">
        <f t="shared" si="16"/>
        <v>22497.978847325136</v>
      </c>
      <c r="L30" s="378">
        <f t="shared" si="16"/>
        <v>24910.73055321438</v>
      </c>
      <c r="M30" s="761"/>
      <c r="N30" s="761"/>
      <c r="O30" s="761"/>
      <c r="P30" s="761"/>
      <c r="Q30" s="761"/>
      <c r="R30" s="761"/>
      <c r="S30" s="761"/>
    </row>
    <row r="31" spans="1:20" ht="31.5" x14ac:dyDescent="0.25">
      <c r="A31" s="357" t="s">
        <v>182</v>
      </c>
      <c r="B31" s="356">
        <f t="shared" si="15"/>
        <v>0</v>
      </c>
      <c r="C31" s="356">
        <f t="shared" si="15"/>
        <v>1171.3874586574204</v>
      </c>
      <c r="D31" s="356">
        <f t="shared" si="15"/>
        <v>1264.6980299211223</v>
      </c>
      <c r="E31" s="356">
        <f t="shared" si="15"/>
        <v>1393.7565598421024</v>
      </c>
      <c r="F31" s="356">
        <f t="shared" si="15"/>
        <v>1521.6687816763585</v>
      </c>
      <c r="G31" s="356">
        <f t="shared" si="15"/>
        <v>1642.5542204308138</v>
      </c>
      <c r="H31" s="356">
        <f t="shared" si="15"/>
        <v>1740.1012550934561</v>
      </c>
      <c r="I31" s="356">
        <f t="shared" si="15"/>
        <v>1865.416926828766</v>
      </c>
      <c r="J31" s="356">
        <f t="shared" si="15"/>
        <v>1995.1083799903906</v>
      </c>
      <c r="K31" s="356">
        <f t="shared" si="15"/>
        <v>2249.7978847325135</v>
      </c>
      <c r="L31" s="356">
        <f t="shared" si="15"/>
        <v>2491.073055321438</v>
      </c>
      <c r="M31" s="762"/>
      <c r="N31" s="762"/>
      <c r="O31" s="762"/>
      <c r="P31" s="762"/>
      <c r="Q31" s="762"/>
      <c r="R31" s="762"/>
      <c r="S31" s="762"/>
    </row>
    <row r="32" spans="1:20" ht="31.5" x14ac:dyDescent="0.25">
      <c r="A32" s="357" t="s">
        <v>184</v>
      </c>
      <c r="B32" s="356">
        <f t="shared" si="15"/>
        <v>0</v>
      </c>
      <c r="C32" s="356">
        <f t="shared" si="15"/>
        <v>10542.487127916784</v>
      </c>
      <c r="D32" s="356">
        <f t="shared" si="15"/>
        <v>11382.282269290101</v>
      </c>
      <c r="E32" s="356">
        <f t="shared" si="15"/>
        <v>12543.809038578922</v>
      </c>
      <c r="F32" s="356">
        <f t="shared" si="15"/>
        <v>13695.019035087227</v>
      </c>
      <c r="G32" s="356">
        <f t="shared" si="15"/>
        <v>14782.987983877325</v>
      </c>
      <c r="H32" s="356">
        <f t="shared" si="15"/>
        <v>15660.911295841104</v>
      </c>
      <c r="I32" s="356">
        <f t="shared" si="15"/>
        <v>16788.752341458894</v>
      </c>
      <c r="J32" s="356">
        <f t="shared" si="15"/>
        <v>17955.975419913517</v>
      </c>
      <c r="K32" s="356">
        <f t="shared" si="15"/>
        <v>20248.180962592622</v>
      </c>
      <c r="L32" s="356">
        <f t="shared" si="15"/>
        <v>22419.657497892942</v>
      </c>
      <c r="M32" s="761"/>
      <c r="N32" s="761"/>
      <c r="O32" s="761"/>
      <c r="P32" s="761"/>
      <c r="Q32" s="761"/>
      <c r="R32" s="761"/>
      <c r="S32" s="761"/>
    </row>
    <row r="33" spans="1:19" ht="31.5" x14ac:dyDescent="0.25">
      <c r="A33" s="377" t="s">
        <v>185</v>
      </c>
      <c r="B33" s="378">
        <f>B34</f>
        <v>375.70499999999998</v>
      </c>
      <c r="C33" s="378">
        <f t="shared" ref="C33:L33" si="17">C34</f>
        <v>1464.87</v>
      </c>
      <c r="D33" s="378">
        <f t="shared" si="17"/>
        <v>1404.1499999999999</v>
      </c>
      <c r="E33" s="378">
        <f>E34</f>
        <v>1343.4299999999998</v>
      </c>
      <c r="F33" s="378">
        <f t="shared" si="17"/>
        <v>1282.7099999999998</v>
      </c>
      <c r="G33" s="378">
        <f t="shared" si="17"/>
        <v>1221.99</v>
      </c>
      <c r="H33" s="378">
        <f t="shared" si="17"/>
        <v>1161.27</v>
      </c>
      <c r="I33" s="378">
        <f t="shared" si="17"/>
        <v>1100.55</v>
      </c>
      <c r="J33" s="378">
        <f t="shared" si="17"/>
        <v>1039.83</v>
      </c>
      <c r="K33" s="378">
        <f t="shared" si="17"/>
        <v>979.1099999999999</v>
      </c>
      <c r="L33" s="378">
        <f t="shared" si="17"/>
        <v>918.38999999999987</v>
      </c>
      <c r="M33" s="762"/>
      <c r="N33" s="762"/>
      <c r="O33" s="762"/>
      <c r="P33" s="762"/>
      <c r="Q33" s="762"/>
      <c r="R33" s="762"/>
      <c r="S33" s="762"/>
    </row>
    <row r="34" spans="1:19" ht="31.5" x14ac:dyDescent="0.25">
      <c r="A34" s="357" t="s">
        <v>184</v>
      </c>
      <c r="B34" s="356">
        <f>B6</f>
        <v>375.70499999999998</v>
      </c>
      <c r="C34" s="356">
        <f t="shared" ref="C34:L34" si="18">C6</f>
        <v>1464.87</v>
      </c>
      <c r="D34" s="356">
        <f t="shared" si="18"/>
        <v>1404.1499999999999</v>
      </c>
      <c r="E34" s="356">
        <f>E6</f>
        <v>1343.4299999999998</v>
      </c>
      <c r="F34" s="356">
        <f t="shared" si="18"/>
        <v>1282.7099999999998</v>
      </c>
      <c r="G34" s="356">
        <f t="shared" si="18"/>
        <v>1221.99</v>
      </c>
      <c r="H34" s="356">
        <f t="shared" si="18"/>
        <v>1161.27</v>
      </c>
      <c r="I34" s="356">
        <f t="shared" si="18"/>
        <v>1100.55</v>
      </c>
      <c r="J34" s="356">
        <f t="shared" si="18"/>
        <v>1039.83</v>
      </c>
      <c r="K34" s="356">
        <f t="shared" si="18"/>
        <v>979.1099999999999</v>
      </c>
      <c r="L34" s="356">
        <f t="shared" si="18"/>
        <v>918.38999999999987</v>
      </c>
      <c r="M34" s="761"/>
      <c r="N34" s="761"/>
      <c r="O34" s="761"/>
      <c r="P34" s="761"/>
      <c r="Q34" s="761"/>
      <c r="R34" s="761"/>
      <c r="S34" s="761"/>
    </row>
    <row r="35" spans="1:19" ht="31.5" x14ac:dyDescent="0.25">
      <c r="A35" s="355" t="s">
        <v>186</v>
      </c>
      <c r="B35" s="356">
        <v>0</v>
      </c>
      <c r="C35" s="356">
        <v>0</v>
      </c>
      <c r="D35" s="356">
        <v>0</v>
      </c>
      <c r="E35" s="356">
        <v>0</v>
      </c>
      <c r="F35" s="356">
        <v>0</v>
      </c>
      <c r="G35" s="356">
        <v>0</v>
      </c>
      <c r="H35" s="356">
        <v>0</v>
      </c>
      <c r="I35" s="356">
        <v>0</v>
      </c>
      <c r="J35" s="356">
        <v>0</v>
      </c>
      <c r="K35" s="356">
        <v>0</v>
      </c>
      <c r="L35" s="356">
        <v>0</v>
      </c>
      <c r="M35" s="762"/>
      <c r="N35" s="762"/>
      <c r="O35" s="762"/>
      <c r="P35" s="762"/>
      <c r="Q35" s="762"/>
      <c r="R35" s="762"/>
      <c r="S35" s="762"/>
    </row>
    <row r="36" spans="1:19" ht="31.5" x14ac:dyDescent="0.25">
      <c r="A36" s="357" t="s">
        <v>184</v>
      </c>
      <c r="B36" s="356">
        <v>0</v>
      </c>
      <c r="C36" s="356">
        <v>0</v>
      </c>
      <c r="D36" s="356">
        <v>0</v>
      </c>
      <c r="E36" s="356">
        <v>0</v>
      </c>
      <c r="F36" s="356">
        <v>0</v>
      </c>
      <c r="G36" s="356">
        <v>0</v>
      </c>
      <c r="H36" s="356">
        <v>0</v>
      </c>
      <c r="I36" s="356">
        <v>0</v>
      </c>
      <c r="J36" s="356">
        <v>0</v>
      </c>
      <c r="K36" s="356">
        <v>0</v>
      </c>
      <c r="L36" s="356">
        <v>0</v>
      </c>
      <c r="M36" s="761"/>
      <c r="N36" s="761"/>
      <c r="O36" s="761"/>
      <c r="P36" s="761"/>
      <c r="Q36" s="140"/>
      <c r="R36" s="140"/>
      <c r="S36" s="140"/>
    </row>
    <row r="37" spans="1:19" ht="31.5" x14ac:dyDescent="0.25">
      <c r="A37" s="355" t="s">
        <v>207</v>
      </c>
      <c r="B37" s="356">
        <f>B38</f>
        <v>0</v>
      </c>
      <c r="C37" s="356">
        <f t="shared" ref="C37:L37" si="19">C38</f>
        <v>0</v>
      </c>
      <c r="D37" s="356">
        <f t="shared" si="19"/>
        <v>0</v>
      </c>
      <c r="E37" s="356">
        <f t="shared" si="19"/>
        <v>0</v>
      </c>
      <c r="F37" s="356">
        <f t="shared" si="19"/>
        <v>0</v>
      </c>
      <c r="G37" s="356">
        <f t="shared" si="19"/>
        <v>0</v>
      </c>
      <c r="H37" s="356">
        <f t="shared" si="19"/>
        <v>0</v>
      </c>
      <c r="I37" s="356">
        <f t="shared" si="19"/>
        <v>0</v>
      </c>
      <c r="J37" s="356">
        <f t="shared" si="19"/>
        <v>0</v>
      </c>
      <c r="K37" s="356">
        <f t="shared" si="19"/>
        <v>0</v>
      </c>
      <c r="L37" s="356">
        <f t="shared" si="19"/>
        <v>0</v>
      </c>
      <c r="M37" s="762"/>
      <c r="N37" s="762"/>
      <c r="O37" s="762"/>
      <c r="P37" s="762"/>
    </row>
    <row r="38" spans="1:19" ht="31.5" x14ac:dyDescent="0.25">
      <c r="A38" s="357" t="s">
        <v>208</v>
      </c>
      <c r="B38" s="356">
        <f>B19</f>
        <v>0</v>
      </c>
      <c r="C38" s="356">
        <f t="shared" ref="C38:L38" si="20">C19</f>
        <v>0</v>
      </c>
      <c r="D38" s="356">
        <f t="shared" si="20"/>
        <v>0</v>
      </c>
      <c r="E38" s="356">
        <f t="shared" si="20"/>
        <v>0</v>
      </c>
      <c r="F38" s="356">
        <f t="shared" si="20"/>
        <v>0</v>
      </c>
      <c r="G38" s="356">
        <f t="shared" si="20"/>
        <v>0</v>
      </c>
      <c r="H38" s="356">
        <f t="shared" si="20"/>
        <v>0</v>
      </c>
      <c r="I38" s="356">
        <f t="shared" si="20"/>
        <v>0</v>
      </c>
      <c r="J38" s="356">
        <f t="shared" si="20"/>
        <v>0</v>
      </c>
      <c r="K38" s="356">
        <f t="shared" si="20"/>
        <v>0</v>
      </c>
      <c r="L38" s="356">
        <f t="shared" si="20"/>
        <v>0</v>
      </c>
      <c r="M38" s="761"/>
      <c r="N38" s="761"/>
      <c r="O38" s="761"/>
      <c r="P38" s="761"/>
    </row>
    <row r="39" spans="1:19" ht="15.75" x14ac:dyDescent="0.25">
      <c r="A39" s="377" t="s">
        <v>187</v>
      </c>
      <c r="B39" s="378">
        <f t="shared" ref="B39:L41" si="21">B10</f>
        <v>1706.9</v>
      </c>
      <c r="C39" s="378">
        <f t="shared" ref="C39:L39" si="22">C10</f>
        <v>2404.194</v>
      </c>
      <c r="D39" s="378">
        <f t="shared" si="22"/>
        <v>2504.4536400000002</v>
      </c>
      <c r="E39" s="378">
        <f t="shared" si="22"/>
        <v>2610.7288584000003</v>
      </c>
      <c r="F39" s="378">
        <f t="shared" si="22"/>
        <v>2767.3725899040005</v>
      </c>
      <c r="G39" s="378">
        <f t="shared" si="22"/>
        <v>2933.414945298241</v>
      </c>
      <c r="H39" s="378">
        <f t="shared" si="22"/>
        <v>3109.4198420161351</v>
      </c>
      <c r="I39" s="378">
        <f t="shared" si="22"/>
        <v>3281.4927498491033</v>
      </c>
      <c r="J39" s="378">
        <f t="shared" si="22"/>
        <v>3478.3823148400497</v>
      </c>
      <c r="K39" s="378">
        <f t="shared" si="22"/>
        <v>3687.0852537304536</v>
      </c>
      <c r="L39" s="378">
        <f t="shared" si="22"/>
        <v>3908.3103689542804</v>
      </c>
      <c r="M39" s="762"/>
      <c r="N39" s="762"/>
      <c r="O39" s="762"/>
      <c r="P39" s="762"/>
    </row>
    <row r="40" spans="1:19" ht="31.5" x14ac:dyDescent="0.25">
      <c r="A40" s="357" t="s">
        <v>184</v>
      </c>
      <c r="B40" s="356">
        <f t="shared" si="21"/>
        <v>1450.865</v>
      </c>
      <c r="C40" s="356">
        <f t="shared" si="21"/>
        <v>2043.5648999999999</v>
      </c>
      <c r="D40" s="356">
        <f t="shared" si="21"/>
        <v>2128.7855939999999</v>
      </c>
      <c r="E40" s="356">
        <f t="shared" si="21"/>
        <v>2219.1195296400001</v>
      </c>
      <c r="F40" s="356">
        <f t="shared" si="21"/>
        <v>2352.2667014184003</v>
      </c>
      <c r="G40" s="356">
        <f t="shared" si="21"/>
        <v>2493.4027035035047</v>
      </c>
      <c r="H40" s="356">
        <f t="shared" si="21"/>
        <v>2643.0068657137149</v>
      </c>
      <c r="I40" s="356">
        <f t="shared" si="21"/>
        <v>2789.2688373717378</v>
      </c>
      <c r="J40" s="356">
        <f t="shared" si="21"/>
        <v>2956.6249676140424</v>
      </c>
      <c r="K40" s="356">
        <f t="shared" si="21"/>
        <v>3134.0224656708856</v>
      </c>
      <c r="L40" s="356">
        <f t="shared" si="21"/>
        <v>3322.0638136111384</v>
      </c>
      <c r="M40" s="761"/>
      <c r="N40" s="761"/>
      <c r="O40" s="761"/>
      <c r="P40" s="761"/>
    </row>
    <row r="41" spans="1:19" ht="31.5" x14ac:dyDescent="0.25">
      <c r="A41" s="357" t="s">
        <v>209</v>
      </c>
      <c r="B41" s="356">
        <f t="shared" si="21"/>
        <v>256.03500000000003</v>
      </c>
      <c r="C41" s="356">
        <f t="shared" si="21"/>
        <v>360.62909999999999</v>
      </c>
      <c r="D41" s="356">
        <f t="shared" si="21"/>
        <v>375.668046</v>
      </c>
      <c r="E41" s="356">
        <f t="shared" si="21"/>
        <v>391.60932876000004</v>
      </c>
      <c r="F41" s="356">
        <f t="shared" si="21"/>
        <v>415.10588848560008</v>
      </c>
      <c r="G41" s="356">
        <f t="shared" si="21"/>
        <v>440.01224179473616</v>
      </c>
      <c r="H41" s="356">
        <f t="shared" si="21"/>
        <v>466.41297630242025</v>
      </c>
      <c r="I41" s="356">
        <f t="shared" si="21"/>
        <v>492.2239124773655</v>
      </c>
      <c r="J41" s="356">
        <f t="shared" si="21"/>
        <v>521.75734722600748</v>
      </c>
      <c r="K41" s="356">
        <f t="shared" si="21"/>
        <v>553.06278805956799</v>
      </c>
      <c r="L41" s="356">
        <f t="shared" si="21"/>
        <v>586.24655534314206</v>
      </c>
      <c r="M41" s="762"/>
      <c r="N41" s="762"/>
      <c r="O41" s="762"/>
      <c r="P41" s="762"/>
    </row>
    <row r="42" spans="1:19" ht="31.5" x14ac:dyDescent="0.25">
      <c r="A42" s="377" t="s">
        <v>190</v>
      </c>
      <c r="B42" s="378">
        <f>B14</f>
        <v>3939</v>
      </c>
      <c r="C42" s="378">
        <f t="shared" ref="C42:L42" si="23">C14</f>
        <v>5548.1399999999994</v>
      </c>
      <c r="D42" s="378">
        <f t="shared" si="23"/>
        <v>5779.5084000000006</v>
      </c>
      <c r="E42" s="378">
        <f t="shared" si="23"/>
        <v>6024.7589040000003</v>
      </c>
      <c r="F42" s="378">
        <f t="shared" si="23"/>
        <v>6386.2444382400008</v>
      </c>
      <c r="G42" s="378">
        <f t="shared" si="23"/>
        <v>6769.4191045344014</v>
      </c>
      <c r="H42" s="378">
        <f t="shared" si="23"/>
        <v>7175.5842508064652</v>
      </c>
      <c r="I42" s="378">
        <f t="shared" si="23"/>
        <v>7572.6755765748549</v>
      </c>
      <c r="J42" s="378">
        <f t="shared" si="23"/>
        <v>8027.0361111693464</v>
      </c>
      <c r="K42" s="378">
        <f t="shared" si="23"/>
        <v>8508.6582778395059</v>
      </c>
      <c r="L42" s="378">
        <f t="shared" si="23"/>
        <v>9019.1777745098771</v>
      </c>
      <c r="M42" s="761"/>
      <c r="N42" s="761"/>
      <c r="O42" s="761"/>
      <c r="P42" s="761"/>
    </row>
    <row r="43" spans="1:19" ht="31.5" x14ac:dyDescent="0.25">
      <c r="A43" s="357" t="s">
        <v>210</v>
      </c>
      <c r="B43" s="356">
        <v>0</v>
      </c>
      <c r="C43" s="358">
        <f>'Расходы на ЗП ОТ'!C71</f>
        <v>4068.636</v>
      </c>
      <c r="D43" s="358">
        <f>'Расходы на ЗП ОТ'!D71</f>
        <v>4238.3061600000001</v>
      </c>
      <c r="E43" s="358">
        <f>'Расходы на ЗП ОТ'!E71</f>
        <v>4418.1565295999999</v>
      </c>
      <c r="F43" s="358">
        <f>'Расходы на ЗП ОТ'!F71</f>
        <v>4683.2459213760003</v>
      </c>
      <c r="G43" s="358">
        <f>'Расходы на ЗП ОТ'!G71</f>
        <v>4964.2406766585609</v>
      </c>
      <c r="H43" s="358">
        <f>'Расходы на ЗП ОТ'!H71</f>
        <v>5262.0951172580744</v>
      </c>
      <c r="I43" s="358">
        <f>'Расходы на ЗП ОТ'!I71</f>
        <v>5553.2954228215585</v>
      </c>
      <c r="J43" s="358">
        <f>'Расходы на ЗП ОТ'!J71</f>
        <v>5886.4931481908534</v>
      </c>
      <c r="K43" s="358">
        <f>'Расходы на ЗП ОТ'!K71</f>
        <v>6239.6827370823048</v>
      </c>
      <c r="L43" s="358">
        <f t="shared" ref="L43:L45" si="24">K43</f>
        <v>6239.6827370823048</v>
      </c>
      <c r="M43" s="762"/>
      <c r="N43" s="762"/>
      <c r="O43" s="762"/>
      <c r="P43" s="762"/>
    </row>
    <row r="44" spans="1:19" ht="69" customHeight="1" x14ac:dyDescent="0.25">
      <c r="A44" s="357" t="s">
        <v>211</v>
      </c>
      <c r="B44" s="356">
        <v>0</v>
      </c>
      <c r="C44" s="358">
        <f>'Расходы на ЗП ОТ'!C72</f>
        <v>536.3202</v>
      </c>
      <c r="D44" s="358">
        <f>'Расходы на ЗП ОТ'!D72</f>
        <v>558.68581200000006</v>
      </c>
      <c r="E44" s="358">
        <f>'Расходы на ЗП ОТ'!E72</f>
        <v>582.39336072000003</v>
      </c>
      <c r="F44" s="358">
        <f>'Расходы на ЗП ОТ'!F72</f>
        <v>617.33696236319997</v>
      </c>
      <c r="G44" s="358">
        <f>'Расходы на ЗП ОТ'!G72</f>
        <v>654.37718010499202</v>
      </c>
      <c r="H44" s="358">
        <f>'Расходы на ЗП ОТ'!H72</f>
        <v>693.63981091129176</v>
      </c>
      <c r="I44" s="358">
        <f>'Расходы на ЗП ОТ'!I72</f>
        <v>732.02530573556919</v>
      </c>
      <c r="J44" s="358">
        <f>'Расходы на ЗП ОТ'!J72</f>
        <v>775.94682407970345</v>
      </c>
      <c r="K44" s="358">
        <f>'Расходы на ЗП ОТ'!K72</f>
        <v>822.50363352448574</v>
      </c>
      <c r="L44" s="358">
        <f t="shared" si="24"/>
        <v>822.50363352448574</v>
      </c>
      <c r="M44" s="761"/>
      <c r="N44" s="761"/>
      <c r="O44" s="761"/>
      <c r="P44" s="761"/>
    </row>
    <row r="45" spans="1:19" ht="63" x14ac:dyDescent="0.25">
      <c r="A45" s="357" t="s">
        <v>212</v>
      </c>
      <c r="B45" s="356">
        <v>0</v>
      </c>
      <c r="C45" s="358">
        <f>'Расходы на ЗП ОТ'!C73</f>
        <v>943.18379999999991</v>
      </c>
      <c r="D45" s="358">
        <f>'Расходы на ЗП ОТ'!D73</f>
        <v>982.51642800000002</v>
      </c>
      <c r="E45" s="358">
        <f>'Расходы на ЗП ОТ'!E73</f>
        <v>1024.2090136799998</v>
      </c>
      <c r="F45" s="358">
        <f>'Расходы на ЗП ОТ'!F73</f>
        <v>1085.6615545007999</v>
      </c>
      <c r="G45" s="358">
        <f>'Расходы на ЗП ОТ'!G73</f>
        <v>1150.801247770848</v>
      </c>
      <c r="H45" s="358">
        <f>'Расходы на ЗП ОТ'!H73</f>
        <v>1219.849322637099</v>
      </c>
      <c r="I45" s="358">
        <f>'Расходы на ЗП ОТ'!I73</f>
        <v>1287.3548480177251</v>
      </c>
      <c r="J45" s="358">
        <f>'Расходы на ЗП ОТ'!J73</f>
        <v>1364.5961388987887</v>
      </c>
      <c r="K45" s="358">
        <f>'Расходы на ЗП ОТ'!K73</f>
        <v>1446.4719072327161</v>
      </c>
      <c r="L45" s="358">
        <f t="shared" si="24"/>
        <v>1446.4719072327161</v>
      </c>
      <c r="M45" s="762"/>
      <c r="N45" s="762"/>
      <c r="O45" s="762"/>
      <c r="P45" s="762"/>
    </row>
    <row r="46" spans="1:19" ht="31.5" x14ac:dyDescent="0.25">
      <c r="A46" s="377" t="s">
        <v>191</v>
      </c>
      <c r="B46" s="378">
        <f>B15</f>
        <v>183.82</v>
      </c>
      <c r="C46" s="378">
        <f t="shared" ref="C46:L46" si="25">C15</f>
        <v>258.91320000000002</v>
      </c>
      <c r="D46" s="378">
        <f t="shared" si="25"/>
        <v>269.71039200000001</v>
      </c>
      <c r="E46" s="378">
        <f t="shared" si="25"/>
        <v>281.15541552000002</v>
      </c>
      <c r="F46" s="378">
        <f t="shared" si="25"/>
        <v>298.02474045119999</v>
      </c>
      <c r="G46" s="378">
        <f t="shared" si="25"/>
        <v>315.90622487827204</v>
      </c>
      <c r="H46" s="378">
        <f t="shared" si="25"/>
        <v>334.86059837096838</v>
      </c>
      <c r="I46" s="378">
        <f t="shared" si="25"/>
        <v>353.39152690682653</v>
      </c>
      <c r="J46" s="378">
        <f t="shared" si="25"/>
        <v>374.59501852123617</v>
      </c>
      <c r="K46" s="378">
        <f t="shared" si="25"/>
        <v>397.07071963251042</v>
      </c>
      <c r="L46" s="378">
        <f t="shared" si="25"/>
        <v>420.89496281046104</v>
      </c>
      <c r="M46" s="761"/>
      <c r="N46" s="761"/>
      <c r="O46" s="761"/>
      <c r="P46" s="761"/>
    </row>
    <row r="47" spans="1:19" ht="15.75" x14ac:dyDescent="0.25">
      <c r="A47" s="355" t="s">
        <v>213</v>
      </c>
      <c r="B47" s="359"/>
      <c r="C47" s="360"/>
      <c r="D47" s="360"/>
      <c r="E47" s="360"/>
      <c r="F47" s="360"/>
      <c r="G47" s="360"/>
      <c r="H47" s="360"/>
      <c r="I47" s="360"/>
      <c r="J47" s="360"/>
      <c r="K47" s="360"/>
      <c r="L47" s="360"/>
      <c r="M47" s="762"/>
      <c r="N47" s="762"/>
      <c r="O47" s="762"/>
      <c r="P47" s="762"/>
    </row>
    <row r="48" spans="1:19" x14ac:dyDescent="0.25">
      <c r="M48" s="761"/>
      <c r="N48" s="761"/>
      <c r="O48" s="761"/>
      <c r="P48" s="761"/>
    </row>
    <row r="49" spans="13:16" x14ac:dyDescent="0.25">
      <c r="M49" s="762"/>
      <c r="N49" s="762"/>
      <c r="O49" s="762"/>
      <c r="P49" s="762"/>
    </row>
    <row r="50" spans="13:16" x14ac:dyDescent="0.25">
      <c r="M50" s="761"/>
      <c r="N50" s="761"/>
      <c r="O50" s="761"/>
      <c r="P50" s="761"/>
    </row>
    <row r="51" spans="13:16" x14ac:dyDescent="0.25">
      <c r="M51" s="762"/>
      <c r="N51" s="762"/>
      <c r="O51" s="762"/>
      <c r="P51" s="762"/>
    </row>
    <row r="52" spans="13:16" x14ac:dyDescent="0.25">
      <c r="M52" s="761"/>
      <c r="N52" s="761"/>
      <c r="O52" s="761"/>
      <c r="P52" s="761"/>
    </row>
    <row r="53" spans="13:16" x14ac:dyDescent="0.25">
      <c r="M53" s="762"/>
      <c r="N53" s="762"/>
      <c r="O53" s="762"/>
      <c r="P53" s="762"/>
    </row>
    <row r="54" spans="13:16" x14ac:dyDescent="0.25">
      <c r="M54" s="761"/>
      <c r="N54" s="761"/>
      <c r="O54" s="761"/>
      <c r="P54" s="761"/>
    </row>
    <row r="55" spans="13:16" x14ac:dyDescent="0.25">
      <c r="M55" s="762"/>
      <c r="N55" s="762"/>
      <c r="O55" s="762"/>
      <c r="P55" s="762"/>
    </row>
    <row r="56" spans="13:16" x14ac:dyDescent="0.25">
      <c r="M56" s="761"/>
      <c r="N56" s="761"/>
      <c r="O56" s="761"/>
      <c r="P56" s="761"/>
    </row>
    <row r="57" spans="13:16" x14ac:dyDescent="0.25">
      <c r="M57" s="762"/>
      <c r="N57" s="762"/>
      <c r="O57" s="762"/>
      <c r="P57" s="762"/>
    </row>
    <row r="58" spans="13:16" x14ac:dyDescent="0.25">
      <c r="M58" s="761"/>
      <c r="N58" s="761"/>
      <c r="O58" s="761"/>
      <c r="P58" s="761"/>
    </row>
    <row r="59" spans="13:16" x14ac:dyDescent="0.25">
      <c r="M59" s="762"/>
      <c r="N59" s="762"/>
      <c r="O59" s="762"/>
      <c r="P59" s="762"/>
    </row>
    <row r="60" spans="13:16" x14ac:dyDescent="0.25">
      <c r="M60" s="761"/>
      <c r="N60" s="761"/>
      <c r="O60" s="761"/>
      <c r="P60" s="761"/>
    </row>
    <row r="61" spans="13:16" x14ac:dyDescent="0.25">
      <c r="M61" s="762"/>
      <c r="N61" s="762"/>
      <c r="O61" s="762"/>
      <c r="P61" s="762"/>
    </row>
    <row r="62" spans="13:16" x14ac:dyDescent="0.25">
      <c r="M62" s="761"/>
      <c r="N62" s="761"/>
      <c r="O62" s="761"/>
      <c r="P62" s="761"/>
    </row>
    <row r="63" spans="13:16" x14ac:dyDescent="0.25">
      <c r="M63" s="762"/>
      <c r="N63" s="762"/>
      <c r="O63" s="762"/>
      <c r="P63" s="762"/>
    </row>
    <row r="64" spans="13:16" x14ac:dyDescent="0.25">
      <c r="M64" s="761"/>
      <c r="N64" s="761"/>
      <c r="O64" s="761"/>
      <c r="P64" s="761"/>
    </row>
    <row r="65" spans="13:16" x14ac:dyDescent="0.25">
      <c r="M65" s="762"/>
      <c r="N65" s="762"/>
      <c r="O65" s="762"/>
      <c r="P65" s="762"/>
    </row>
    <row r="66" spans="13:16" x14ac:dyDescent="0.25">
      <c r="M66" s="761"/>
      <c r="N66" s="761"/>
      <c r="O66" s="761"/>
      <c r="P66" s="761"/>
    </row>
    <row r="67" spans="13:16" x14ac:dyDescent="0.25">
      <c r="M67" s="762"/>
      <c r="N67" s="762"/>
      <c r="O67" s="762"/>
      <c r="P67" s="762"/>
    </row>
  </sheetData>
  <mergeCells count="136">
    <mergeCell ref="M1:M2"/>
    <mergeCell ref="N1:N2"/>
    <mergeCell ref="O1:O2"/>
    <mergeCell ref="M3:M4"/>
    <mergeCell ref="N3:N4"/>
    <mergeCell ref="O3:O4"/>
    <mergeCell ref="M5:M6"/>
    <mergeCell ref="N5:N6"/>
    <mergeCell ref="O5:O6"/>
    <mergeCell ref="M7:M8"/>
    <mergeCell ref="N7:N8"/>
    <mergeCell ref="O7:O8"/>
    <mergeCell ref="M9:M10"/>
    <mergeCell ref="N9:N10"/>
    <mergeCell ref="O9:O10"/>
    <mergeCell ref="M11:M12"/>
    <mergeCell ref="N11:N12"/>
    <mergeCell ref="O11:O12"/>
    <mergeCell ref="M13:M14"/>
    <mergeCell ref="N13:N14"/>
    <mergeCell ref="O13:O14"/>
    <mergeCell ref="M15:M16"/>
    <mergeCell ref="N15:N16"/>
    <mergeCell ref="O15:O16"/>
    <mergeCell ref="M17:M18"/>
    <mergeCell ref="N17:N18"/>
    <mergeCell ref="O17:O18"/>
    <mergeCell ref="M19:M20"/>
    <mergeCell ref="N19:N20"/>
    <mergeCell ref="O19:O20"/>
    <mergeCell ref="M21:M22"/>
    <mergeCell ref="N21:N22"/>
    <mergeCell ref="O21:O22"/>
    <mergeCell ref="M23:M24"/>
    <mergeCell ref="N23:N24"/>
    <mergeCell ref="O23:O24"/>
    <mergeCell ref="P24:P25"/>
    <mergeCell ref="M26:M27"/>
    <mergeCell ref="N26:N27"/>
    <mergeCell ref="O26:O27"/>
    <mergeCell ref="P26:P27"/>
    <mergeCell ref="Q26:Q27"/>
    <mergeCell ref="R26:R27"/>
    <mergeCell ref="S26:S27"/>
    <mergeCell ref="M28:M29"/>
    <mergeCell ref="N28:N29"/>
    <mergeCell ref="O28:O29"/>
    <mergeCell ref="P28:P29"/>
    <mergeCell ref="Q28:Q29"/>
    <mergeCell ref="R28:R29"/>
    <mergeCell ref="S28:S29"/>
    <mergeCell ref="M30:M31"/>
    <mergeCell ref="N30:N31"/>
    <mergeCell ref="O30:O31"/>
    <mergeCell ref="P30:P31"/>
    <mergeCell ref="Q30:Q31"/>
    <mergeCell ref="R30:R31"/>
    <mergeCell ref="S30:S31"/>
    <mergeCell ref="M32:M33"/>
    <mergeCell ref="N32:N33"/>
    <mergeCell ref="O32:O33"/>
    <mergeCell ref="P32:P33"/>
    <mergeCell ref="Q32:Q33"/>
    <mergeCell ref="R32:R33"/>
    <mergeCell ref="S32:S33"/>
    <mergeCell ref="M34:M35"/>
    <mergeCell ref="N34:N35"/>
    <mergeCell ref="O34:O35"/>
    <mergeCell ref="P34:P35"/>
    <mergeCell ref="Q34:Q35"/>
    <mergeCell ref="R34:R35"/>
    <mergeCell ref="S34:S35"/>
    <mergeCell ref="M36:M37"/>
    <mergeCell ref="N36:N37"/>
    <mergeCell ref="O36:O37"/>
    <mergeCell ref="P36:P37"/>
    <mergeCell ref="M38:M39"/>
    <mergeCell ref="N38:N39"/>
    <mergeCell ref="O38:O39"/>
    <mergeCell ref="P38:P39"/>
    <mergeCell ref="M40:M41"/>
    <mergeCell ref="N40:N41"/>
    <mergeCell ref="O40:O41"/>
    <mergeCell ref="P40:P41"/>
    <mergeCell ref="M42:M43"/>
    <mergeCell ref="N42:N43"/>
    <mergeCell ref="O42:O43"/>
    <mergeCell ref="P42:P43"/>
    <mergeCell ref="M44:M45"/>
    <mergeCell ref="N44:N45"/>
    <mergeCell ref="O44:O45"/>
    <mergeCell ref="P44:P45"/>
    <mergeCell ref="M46:M47"/>
    <mergeCell ref="N46:N47"/>
    <mergeCell ref="O46:O47"/>
    <mergeCell ref="P46:P47"/>
    <mergeCell ref="M48:M49"/>
    <mergeCell ref="N48:N49"/>
    <mergeCell ref="O48:O49"/>
    <mergeCell ref="P48:P49"/>
    <mergeCell ref="M50:M51"/>
    <mergeCell ref="N50:N51"/>
    <mergeCell ref="O50:O51"/>
    <mergeCell ref="P50:P51"/>
    <mergeCell ref="M52:M53"/>
    <mergeCell ref="N52:N53"/>
    <mergeCell ref="O52:O53"/>
    <mergeCell ref="P52:P53"/>
    <mergeCell ref="M54:M55"/>
    <mergeCell ref="N54:N55"/>
    <mergeCell ref="O54:O55"/>
    <mergeCell ref="P54:P55"/>
    <mergeCell ref="M56:M57"/>
    <mergeCell ref="N56:N57"/>
    <mergeCell ref="O56:O57"/>
    <mergeCell ref="P56:P57"/>
    <mergeCell ref="M58:M59"/>
    <mergeCell ref="N58:N59"/>
    <mergeCell ref="O58:O59"/>
    <mergeCell ref="P58:P59"/>
    <mergeCell ref="M60:M61"/>
    <mergeCell ref="N60:N61"/>
    <mergeCell ref="O60:O61"/>
    <mergeCell ref="P60:P61"/>
    <mergeCell ref="M62:M63"/>
    <mergeCell ref="N62:N63"/>
    <mergeCell ref="O62:O63"/>
    <mergeCell ref="P62:P63"/>
    <mergeCell ref="M64:M65"/>
    <mergeCell ref="N64:N65"/>
    <mergeCell ref="O64:O65"/>
    <mergeCell ref="P64:P65"/>
    <mergeCell ref="M66:M67"/>
    <mergeCell ref="N66:N67"/>
    <mergeCell ref="O66:O67"/>
    <mergeCell ref="P66:P67"/>
  </mergeCells>
  <pageMargins left="0.7" right="0.7" top="0.75" bottom="0.75" header="0.3" footer="0.3"/>
  <pageSetup paperSize="9" firstPageNumber="2147483648" orientation="portrait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7030A0"/>
  </sheetPr>
  <dimension ref="A1:AA59"/>
  <sheetViews>
    <sheetView zoomScale="60" zoomScaleNormal="60" workbookViewId="0">
      <selection activeCell="D31" sqref="D31:L31"/>
    </sheetView>
  </sheetViews>
  <sheetFormatPr defaultRowHeight="15" x14ac:dyDescent="0.25"/>
  <cols>
    <col min="1" max="1" width="19" style="57" customWidth="1"/>
    <col min="2" max="2" width="14.5703125" style="57" customWidth="1"/>
    <col min="3" max="3" width="13.42578125" style="57" customWidth="1"/>
    <col min="4" max="4" width="13.140625" customWidth="1"/>
    <col min="5" max="5" width="12.140625" customWidth="1"/>
    <col min="6" max="6" width="12.7109375" customWidth="1"/>
    <col min="7" max="7" width="13.140625" customWidth="1"/>
    <col min="8" max="8" width="12.28515625" customWidth="1"/>
    <col min="9" max="9" width="13.42578125" customWidth="1"/>
    <col min="10" max="10" width="10.85546875" customWidth="1"/>
    <col min="11" max="11" width="11.140625" customWidth="1"/>
    <col min="12" max="12" width="13.85546875" customWidth="1"/>
    <col min="13" max="13" width="11.28515625" customWidth="1"/>
    <col min="15" max="15" width="19.42578125" customWidth="1"/>
    <col min="16" max="25" width="13" customWidth="1"/>
    <col min="26" max="26" width="12.5703125" customWidth="1"/>
    <col min="27" max="27" width="16" customWidth="1"/>
  </cols>
  <sheetData>
    <row r="1" spans="1:27" ht="26.25" customHeight="1" x14ac:dyDescent="0.25">
      <c r="A1" s="763" t="s">
        <v>371</v>
      </c>
      <c r="B1" s="763"/>
      <c r="C1" s="763"/>
      <c r="D1" s="763"/>
      <c r="E1" s="763"/>
      <c r="F1" s="763"/>
      <c r="G1" s="763"/>
      <c r="H1" s="763"/>
      <c r="I1" s="763"/>
      <c r="J1" s="763"/>
      <c r="K1" s="763"/>
      <c r="L1" s="763"/>
      <c r="O1" s="1" t="s">
        <v>372</v>
      </c>
    </row>
    <row r="2" spans="1:27" x14ac:dyDescent="0.25">
      <c r="A2" s="341"/>
      <c r="B2" s="341" t="str">
        <f>'объем работ 100% загр'!C2</f>
        <v>1 год</v>
      </c>
      <c r="C2" s="341" t="str">
        <f>'объем работ 100% загр'!D2</f>
        <v>2 год</v>
      </c>
      <c r="D2" s="341" t="str">
        <f>'объем работ 100% загр'!E2</f>
        <v>3 год</v>
      </c>
      <c r="E2" s="341" t="str">
        <f>'объем работ 100% загр'!F2</f>
        <v>4 год</v>
      </c>
      <c r="F2" s="341" t="str">
        <f>'объем работ 100% загр'!G2</f>
        <v>5 год</v>
      </c>
      <c r="G2" s="341" t="str">
        <f>'объем работ 100% загр'!H2</f>
        <v>6 год</v>
      </c>
      <c r="H2" s="341" t="str">
        <f>'объем работ 100% загр'!I2</f>
        <v>7 год</v>
      </c>
      <c r="I2" s="341" t="str">
        <f>'объем работ 100% загр'!J2</f>
        <v>8 год</v>
      </c>
      <c r="J2" s="341" t="str">
        <f>'объем работ 100% загр'!K2</f>
        <v>9 год</v>
      </c>
      <c r="K2" s="341" t="str">
        <f>'объем работ 100% загр'!L2</f>
        <v>10 год</v>
      </c>
      <c r="L2" s="341" t="str">
        <f>'объем работ 100% загр'!M2</f>
        <v>11 год</v>
      </c>
      <c r="O2" s="345"/>
      <c r="P2" s="346" t="s">
        <v>42</v>
      </c>
      <c r="Q2" s="346" t="s">
        <v>43</v>
      </c>
      <c r="R2" s="346" t="s">
        <v>44</v>
      </c>
      <c r="S2" s="346" t="s">
        <v>45</v>
      </c>
      <c r="T2" s="346" t="s">
        <v>46</v>
      </c>
      <c r="U2" s="346" t="s">
        <v>47</v>
      </c>
      <c r="V2" s="346" t="s">
        <v>48</v>
      </c>
      <c r="W2" s="346" t="s">
        <v>49</v>
      </c>
      <c r="X2" s="346" t="s">
        <v>50</v>
      </c>
      <c r="Y2" s="346" t="s">
        <v>51</v>
      </c>
      <c r="Z2" s="346" t="s">
        <v>52</v>
      </c>
      <c r="AA2" s="347" t="s">
        <v>17</v>
      </c>
    </row>
    <row r="3" spans="1:27" x14ac:dyDescent="0.25">
      <c r="A3" s="362" t="s">
        <v>181</v>
      </c>
      <c r="B3" s="363">
        <f>'Фин результат ТОР'!B25</f>
        <v>0</v>
      </c>
      <c r="C3" s="363">
        <f>'Фин результат ТОР'!C25</f>
        <v>0</v>
      </c>
      <c r="D3" s="363">
        <f>'Фин результат ТОР'!D25</f>
        <v>0</v>
      </c>
      <c r="E3" s="363">
        <f>'Фин результат ТОР'!E25</f>
        <v>0</v>
      </c>
      <c r="F3" s="363">
        <f>'Фин результат ТОР'!F25</f>
        <v>0</v>
      </c>
      <c r="G3" s="363">
        <f>'Фин результат ТОР'!G25</f>
        <v>6081.2298638805105</v>
      </c>
      <c r="H3" s="363">
        <f>'Фин результат ТОР'!H25</f>
        <v>6335.0575130247344</v>
      </c>
      <c r="I3" s="363">
        <f>'Фин результат ТОР'!I25</f>
        <v>6856.2660863844376</v>
      </c>
      <c r="J3" s="363">
        <f>'Фин результат ТОР'!J25</f>
        <v>7389.4510368788888</v>
      </c>
      <c r="K3" s="363">
        <f>'Фин результат ТОР'!K25</f>
        <v>13381.294108395081</v>
      </c>
      <c r="L3" s="363">
        <f>'Фин результат ТОР'!L25</f>
        <v>9528.5644343257663</v>
      </c>
      <c r="O3" s="366" t="str">
        <f t="shared" ref="O3:O9" si="0">A3</f>
        <v>Налог на прибыль:</v>
      </c>
      <c r="P3" s="367">
        <f>'Налоги без ТОР'!B3-'Налоги ТОР'!B3</f>
        <v>0</v>
      </c>
      <c r="Q3" s="367">
        <f>'Налоги без ТОР'!C3-'Налоги ТОР'!C3</f>
        <v>11713.874586574204</v>
      </c>
      <c r="R3" s="367">
        <f>'Налоги без ТОР'!D3-'Налоги ТОР'!D3</f>
        <v>12646.980299211224</v>
      </c>
      <c r="S3" s="367">
        <f>'Налоги без ТОР'!E3-'Налоги ТОР'!E3</f>
        <v>13937.565598421024</v>
      </c>
      <c r="T3" s="367">
        <f>'Налоги без ТОР'!F3-'Налоги ТОР'!F3</f>
        <v>15216.687816763586</v>
      </c>
      <c r="U3" s="367">
        <f>'Налоги без ТОР'!G3-'Налоги ТОР'!G3</f>
        <v>10344.312340427627</v>
      </c>
      <c r="V3" s="367">
        <f>'Налоги без ТОР'!H3-'Налоги ТОР'!H3</f>
        <v>11065.955037909825</v>
      </c>
      <c r="W3" s="367">
        <f>'Налоги без ТОР'!I3-'Налоги ТОР'!I3</f>
        <v>11797.903181903223</v>
      </c>
      <c r="X3" s="367">
        <f>'Налоги без ТОР'!J3-'Налоги ТОР'!J3</f>
        <v>12561.632763025018</v>
      </c>
      <c r="Y3" s="367">
        <f>'Налоги без ТОР'!K3-'Налоги ТОР'!K3</f>
        <v>9116.6847389300547</v>
      </c>
      <c r="Z3" s="367">
        <f>'Налоги без ТОР'!L3-'Налоги ТОР'!L3</f>
        <v>15382.166118888614</v>
      </c>
      <c r="AA3" s="367">
        <f t="shared" ref="AA3:AA23" si="1">SUM(P3:Z3)</f>
        <v>123783.76248205439</v>
      </c>
    </row>
    <row r="4" spans="1:27" ht="31.5" customHeight="1" x14ac:dyDescent="0.25">
      <c r="A4" s="115" t="s">
        <v>182</v>
      </c>
      <c r="B4" s="225" t="s">
        <v>183</v>
      </c>
      <c r="C4" s="225" t="str">
        <f>B4</f>
        <v>0</v>
      </c>
      <c r="D4" s="225" t="str">
        <f t="shared" ref="D4:F5" si="2">C4</f>
        <v>0</v>
      </c>
      <c r="E4" s="225" t="str">
        <f t="shared" si="2"/>
        <v>0</v>
      </c>
      <c r="F4" s="225" t="str">
        <f t="shared" si="2"/>
        <v>0</v>
      </c>
      <c r="G4" s="225">
        <f>G3*(2/12)</f>
        <v>1013.5383106467517</v>
      </c>
      <c r="H4" s="225">
        <f t="shared" ref="H4:K4" si="3">H3*(2/12)</f>
        <v>1055.8429188374557</v>
      </c>
      <c r="I4" s="225">
        <f t="shared" si="3"/>
        <v>1142.7110143974062</v>
      </c>
      <c r="J4" s="225">
        <f t="shared" si="3"/>
        <v>1231.5751728131481</v>
      </c>
      <c r="K4" s="225">
        <f t="shared" si="3"/>
        <v>2230.2156847325132</v>
      </c>
      <c r="L4" s="225">
        <f>2/20*L3</f>
        <v>952.85644343257673</v>
      </c>
      <c r="O4" s="119" t="str">
        <f t="shared" si="0"/>
        <v>- федеральный бюджет</v>
      </c>
      <c r="P4" s="122">
        <f>'Налоги без ТОР'!B4-'Налоги ТОР'!B4</f>
        <v>0</v>
      </c>
      <c r="Q4" s="122">
        <f>'Налоги без ТОР'!C4-'Налоги ТОР'!C4</f>
        <v>1171.3874586574204</v>
      </c>
      <c r="R4" s="122">
        <f>'Налоги без ТОР'!D4-'Налоги ТОР'!D4</f>
        <v>1264.6980299211223</v>
      </c>
      <c r="S4" s="122">
        <f>'Налоги без ТОР'!E4-'Налоги ТОР'!E4</f>
        <v>1393.7565598421024</v>
      </c>
      <c r="T4" s="122">
        <f>'Налоги без ТОР'!F4-'Налоги ТОР'!F4</f>
        <v>1521.6687816763585</v>
      </c>
      <c r="U4" s="122">
        <f>'Налоги без ТОР'!G4-'Налоги ТОР'!G4</f>
        <v>629.01590978406205</v>
      </c>
      <c r="V4" s="122">
        <f>'Налоги без ТОР'!H4-'Налоги ТОР'!H4</f>
        <v>684.25833625600035</v>
      </c>
      <c r="W4" s="122">
        <f>'Налоги без ТОР'!I4-'Налоги ТОР'!I4</f>
        <v>722.70591243135982</v>
      </c>
      <c r="X4" s="122">
        <f>'Налоги без ТОР'!J4-'Налоги ТОР'!J4</f>
        <v>763.5332071772425</v>
      </c>
      <c r="Y4" s="122">
        <f>'Налоги без ТОР'!K4-'Налоги ТОР'!K4</f>
        <v>19.582200000000284</v>
      </c>
      <c r="Z4" s="122">
        <f>'Налоги без ТОР'!L4-'Налоги ТОР'!L4</f>
        <v>1538.2166118888613</v>
      </c>
      <c r="AA4" s="122">
        <f t="shared" si="1"/>
        <v>9708.8230076345317</v>
      </c>
    </row>
    <row r="5" spans="1:27" ht="32.25" customHeight="1" x14ac:dyDescent="0.25">
      <c r="A5" s="115" t="s">
        <v>184</v>
      </c>
      <c r="B5" s="225">
        <v>0</v>
      </c>
      <c r="C5" s="225">
        <f t="shared" ref="C5" si="4">B5</f>
        <v>0</v>
      </c>
      <c r="D5" s="225">
        <f t="shared" si="2"/>
        <v>0</v>
      </c>
      <c r="E5" s="225">
        <f t="shared" si="2"/>
        <v>0</v>
      </c>
      <c r="F5" s="225">
        <f t="shared" si="2"/>
        <v>0</v>
      </c>
      <c r="G5" s="226">
        <f>G3*10/12</f>
        <v>5067.6915532337589</v>
      </c>
      <c r="H5" s="226">
        <f t="shared" ref="H5:K5" si="5">H3*10/12</f>
        <v>5279.2145941872786</v>
      </c>
      <c r="I5" s="226">
        <f t="shared" si="5"/>
        <v>5713.5550719870307</v>
      </c>
      <c r="J5" s="226">
        <f t="shared" si="5"/>
        <v>6157.8758640657406</v>
      </c>
      <c r="K5" s="226">
        <f t="shared" si="5"/>
        <v>11151.078423662568</v>
      </c>
      <c r="L5" s="226">
        <f>18/20*L3</f>
        <v>8575.7079908931901</v>
      </c>
      <c r="O5" s="119" t="str">
        <f t="shared" si="0"/>
        <v>- региональный бюджет</v>
      </c>
      <c r="P5" s="122">
        <f>'Налоги без ТОР'!B5-'Налоги ТОР'!B5</f>
        <v>0</v>
      </c>
      <c r="Q5" s="122">
        <f>'Налоги без ТОР'!C5-'Налоги ТОР'!C5</f>
        <v>10542.487127916784</v>
      </c>
      <c r="R5" s="122">
        <f>'Налоги без ТОР'!D5-'Налоги ТОР'!D5</f>
        <v>11382.282269290101</v>
      </c>
      <c r="S5" s="122">
        <f>'Налоги без ТОР'!E5-'Налоги ТОР'!E5</f>
        <v>12543.809038578922</v>
      </c>
      <c r="T5" s="122">
        <f>'Налоги без ТОР'!F5-'Налоги ТОР'!F5</f>
        <v>13695.019035087227</v>
      </c>
      <c r="U5" s="123">
        <f>'Налоги без ТОР'!G5-'Налоги ТОР'!G5</f>
        <v>9715.2964306435661</v>
      </c>
      <c r="V5" s="123">
        <f>'Налоги без ТОР'!H5-'Налоги ТОР'!H5</f>
        <v>10381.696701653826</v>
      </c>
      <c r="W5" s="123">
        <f>'Налоги без ТОР'!I5-'Налоги ТОР'!I5</f>
        <v>11075.197269471864</v>
      </c>
      <c r="X5" s="123">
        <f>'Налоги без ТОР'!J5-'Налоги ТОР'!J5</f>
        <v>11798.099555847777</v>
      </c>
      <c r="Y5" s="123">
        <f>'Налоги без ТОР'!K5-'Налоги ТОР'!K5</f>
        <v>9097.1025389300539</v>
      </c>
      <c r="Z5" s="123">
        <f>'Налоги без ТОР'!L5-'Налоги ТОР'!L5</f>
        <v>13843.949506999752</v>
      </c>
      <c r="AA5" s="123">
        <f t="shared" si="1"/>
        <v>114074.93947441985</v>
      </c>
    </row>
    <row r="6" spans="1:27" ht="27.75" customHeight="1" x14ac:dyDescent="0.25">
      <c r="A6" s="362" t="s">
        <v>185</v>
      </c>
      <c r="B6" s="364">
        <f>B7</f>
        <v>0</v>
      </c>
      <c r="C6" s="364">
        <f t="shared" ref="C6:L6" si="6">C7</f>
        <v>0</v>
      </c>
      <c r="D6" s="364">
        <f t="shared" si="6"/>
        <v>0</v>
      </c>
      <c r="E6" s="364">
        <f t="shared" si="6"/>
        <v>0</v>
      </c>
      <c r="F6" s="364">
        <f t="shared" si="6"/>
        <v>0</v>
      </c>
      <c r="G6" s="364">
        <f t="shared" si="6"/>
        <v>299.80500000000001</v>
      </c>
      <c r="H6" s="364">
        <f t="shared" si="6"/>
        <v>1161.27</v>
      </c>
      <c r="I6" s="364">
        <f t="shared" si="6"/>
        <v>1100.55</v>
      </c>
      <c r="J6" s="364">
        <f t="shared" si="6"/>
        <v>1039.83</v>
      </c>
      <c r="K6" s="364">
        <f t="shared" si="6"/>
        <v>979.1099999999999</v>
      </c>
      <c r="L6" s="364">
        <f t="shared" si="6"/>
        <v>918.38999999999987</v>
      </c>
      <c r="O6" s="366" t="str">
        <f t="shared" si="0"/>
        <v>Налог на имущество:</v>
      </c>
      <c r="P6" s="367">
        <f>'Налоги без ТОР'!B6-'Налоги ТОР'!B6</f>
        <v>375.70499999999998</v>
      </c>
      <c r="Q6" s="367">
        <f>'Налоги без ТОР'!C6-'Налоги ТОР'!C6</f>
        <v>1464.87</v>
      </c>
      <c r="R6" s="367">
        <f>'Налоги без ТОР'!D6-'Налоги ТОР'!D6</f>
        <v>1404.1499999999999</v>
      </c>
      <c r="S6" s="367">
        <f>'Налоги без ТОР'!E6-'Налоги ТОР'!E6</f>
        <v>1343.4299999999998</v>
      </c>
      <c r="T6" s="367">
        <f>'Налоги без ТОР'!F6-'Налоги ТОР'!F6</f>
        <v>1282.7099999999998</v>
      </c>
      <c r="U6" s="367">
        <f>'Налоги без ТОР'!G6-'Налоги ТОР'!G6</f>
        <v>922.18499999999995</v>
      </c>
      <c r="V6" s="367">
        <f>'Налоги без ТОР'!H6-'Налоги ТОР'!H6</f>
        <v>0</v>
      </c>
      <c r="W6" s="367">
        <f>'Налоги без ТОР'!I6-'Налоги ТОР'!I6</f>
        <v>0</v>
      </c>
      <c r="X6" s="367">
        <f>'Налоги без ТОР'!J6-'Налоги ТОР'!J6</f>
        <v>0</v>
      </c>
      <c r="Y6" s="367">
        <f>'Налоги без ТОР'!K6-'Налоги ТОР'!K6</f>
        <v>0</v>
      </c>
      <c r="Z6" s="367">
        <f>'Налоги без ТОР'!L6-'Налоги ТОР'!L6</f>
        <v>0</v>
      </c>
      <c r="AA6" s="367">
        <f t="shared" si="1"/>
        <v>6793.0499999999993</v>
      </c>
    </row>
    <row r="7" spans="1:27" ht="35.25" customHeight="1" x14ac:dyDescent="0.25">
      <c r="A7" s="115" t="s">
        <v>184</v>
      </c>
      <c r="B7" s="224">
        <f>'Расходы на П, строит-во, ввод'!B38</f>
        <v>0</v>
      </c>
      <c r="C7" s="224">
        <f>'Расходы на П, строит-во, ввод'!C38</f>
        <v>0</v>
      </c>
      <c r="D7" s="224">
        <f>'Расходы на П, строит-во, ввод'!D38</f>
        <v>0</v>
      </c>
      <c r="E7" s="224">
        <f>'Расходы на П, строит-во, ввод'!E38</f>
        <v>0</v>
      </c>
      <c r="F7" s="224">
        <f>'Расходы на П, строит-во, ввод'!F38</f>
        <v>0</v>
      </c>
      <c r="G7" s="224">
        <f>'Расходы на П, строит-во, ввод'!G38</f>
        <v>299.80500000000001</v>
      </c>
      <c r="H7" s="224">
        <f>'Расходы на П, строит-во, ввод'!H38</f>
        <v>1161.27</v>
      </c>
      <c r="I7" s="224">
        <f>'Расходы на П, строит-во, ввод'!I38</f>
        <v>1100.55</v>
      </c>
      <c r="J7" s="224">
        <f>'Расходы на П, строит-во, ввод'!J38</f>
        <v>1039.83</v>
      </c>
      <c r="K7" s="224">
        <f>'Расходы на П, строит-во, ввод'!K38</f>
        <v>979.1099999999999</v>
      </c>
      <c r="L7" s="224">
        <f>'Расходы на П, строит-во, ввод'!L38</f>
        <v>918.38999999999987</v>
      </c>
      <c r="O7" s="119" t="str">
        <f t="shared" si="0"/>
        <v>- региональный бюджет</v>
      </c>
      <c r="P7" s="122">
        <f>'Налоги без ТОР'!B7-'Налоги ТОР'!B7</f>
        <v>375.70499999999998</v>
      </c>
      <c r="Q7" s="122">
        <f>'Налоги без ТОР'!C7-'Налоги ТОР'!C7</f>
        <v>1464.87</v>
      </c>
      <c r="R7" s="122">
        <f>'Налоги без ТОР'!D7-'Налоги ТОР'!D7</f>
        <v>1404.1499999999999</v>
      </c>
      <c r="S7" s="122">
        <f>'Налоги без ТОР'!E7-'Налоги ТОР'!E7</f>
        <v>1343.4299999999998</v>
      </c>
      <c r="T7" s="122">
        <f>'Налоги без ТОР'!F7-'Налоги ТОР'!F7</f>
        <v>1282.7099999999998</v>
      </c>
      <c r="U7" s="122">
        <f>'Налоги без ТОР'!G7-'Налоги ТОР'!G7</f>
        <v>922.18499999999995</v>
      </c>
      <c r="V7" s="122">
        <f>'Налоги без ТОР'!H7-'Налоги ТОР'!H7</f>
        <v>0</v>
      </c>
      <c r="W7" s="122">
        <f>'Налоги без ТОР'!I7-'Налоги ТОР'!I7</f>
        <v>0</v>
      </c>
      <c r="X7" s="122">
        <f>'Налоги без ТОР'!J7-'Налоги ТОР'!J7</f>
        <v>0</v>
      </c>
      <c r="Y7" s="122">
        <f>'Налоги без ТОР'!K7-'Налоги ТОР'!K7</f>
        <v>0</v>
      </c>
      <c r="Z7" s="122">
        <f>'Налоги без ТОР'!L7-'Налоги ТОР'!L7</f>
        <v>0</v>
      </c>
      <c r="AA7" s="122">
        <f t="shared" si="1"/>
        <v>6793.0499999999993</v>
      </c>
    </row>
    <row r="8" spans="1:27" ht="33" customHeight="1" x14ac:dyDescent="0.25">
      <c r="A8" s="120" t="s">
        <v>186</v>
      </c>
      <c r="B8" s="226">
        <v>9</v>
      </c>
      <c r="C8" s="226">
        <v>9</v>
      </c>
      <c r="D8" s="226">
        <v>9</v>
      </c>
      <c r="E8" s="226">
        <v>9</v>
      </c>
      <c r="F8" s="226">
        <v>9</v>
      </c>
      <c r="G8" s="226">
        <v>9</v>
      </c>
      <c r="H8" s="226">
        <v>9</v>
      </c>
      <c r="I8" s="226">
        <v>9</v>
      </c>
      <c r="J8" s="226">
        <v>9</v>
      </c>
      <c r="K8" s="226">
        <v>9</v>
      </c>
      <c r="L8" s="226">
        <v>9</v>
      </c>
      <c r="O8" s="366" t="str">
        <f t="shared" si="0"/>
        <v>Транспортный налог:</v>
      </c>
      <c r="P8" s="367">
        <f>'Налоги без ТОР'!B8-'Налоги ТОР'!B8</f>
        <v>0</v>
      </c>
      <c r="Q8" s="367">
        <f>'Налоги без ТОР'!C8-'Налоги ТОР'!C8</f>
        <v>0</v>
      </c>
      <c r="R8" s="367">
        <f>'Налоги без ТОР'!D8-'Налоги ТОР'!D8</f>
        <v>0</v>
      </c>
      <c r="S8" s="367">
        <f>'Налоги без ТОР'!E8-'Налоги ТОР'!E8</f>
        <v>0</v>
      </c>
      <c r="T8" s="367">
        <f>'Налоги без ТОР'!F8-'Налоги ТОР'!F8</f>
        <v>0</v>
      </c>
      <c r="U8" s="367">
        <f>'Налоги без ТОР'!G8-'Налоги ТОР'!G8</f>
        <v>0</v>
      </c>
      <c r="V8" s="367">
        <f>'Налоги без ТОР'!H8-'Налоги ТОР'!H8</f>
        <v>0</v>
      </c>
      <c r="W8" s="367">
        <f>'Налоги без ТОР'!I8-'Налоги ТОР'!I8</f>
        <v>0</v>
      </c>
      <c r="X8" s="367">
        <f>'Налоги без ТОР'!J8-'Налоги ТОР'!J8</f>
        <v>0</v>
      </c>
      <c r="Y8" s="367">
        <f>'Налоги без ТОР'!K8-'Налоги ТОР'!K8</f>
        <v>0</v>
      </c>
      <c r="Z8" s="367">
        <f>'Налоги без ТОР'!L8-'Налоги ТОР'!L8</f>
        <v>0</v>
      </c>
      <c r="AA8" s="367">
        <f t="shared" si="1"/>
        <v>0</v>
      </c>
    </row>
    <row r="9" spans="1:27" ht="30" x14ac:dyDescent="0.25">
      <c r="A9" s="115" t="s">
        <v>184</v>
      </c>
      <c r="B9" s="226">
        <v>9</v>
      </c>
      <c r="C9" s="227">
        <v>9</v>
      </c>
      <c r="D9" s="227">
        <v>9</v>
      </c>
      <c r="E9" s="227">
        <v>9</v>
      </c>
      <c r="F9" s="227">
        <v>9</v>
      </c>
      <c r="G9" s="227">
        <v>9</v>
      </c>
      <c r="H9" s="227">
        <v>9</v>
      </c>
      <c r="I9" s="227">
        <v>9</v>
      </c>
      <c r="J9" s="227">
        <v>9</v>
      </c>
      <c r="K9" s="227">
        <v>9</v>
      </c>
      <c r="L9" s="226">
        <v>9</v>
      </c>
      <c r="O9" s="119" t="str">
        <f t="shared" si="0"/>
        <v>- региональный бюджет</v>
      </c>
      <c r="P9" s="122">
        <f>'Налоги без ТОР'!B9-'Налоги ТОР'!B9</f>
        <v>0</v>
      </c>
      <c r="Q9" s="122">
        <f>'Налоги без ТОР'!C9-'Налоги ТОР'!C9</f>
        <v>0</v>
      </c>
      <c r="R9" s="122">
        <f>'Налоги без ТОР'!D9-'Налоги ТОР'!D9</f>
        <v>0</v>
      </c>
      <c r="S9" s="122">
        <f>'Налоги без ТОР'!E9-'Налоги ТОР'!E9</f>
        <v>0</v>
      </c>
      <c r="T9" s="122">
        <f>'Налоги без ТОР'!F9-'Налоги ТОР'!F9</f>
        <v>0</v>
      </c>
      <c r="U9" s="122">
        <f>'Налоги без ТОР'!G9-'Налоги ТОР'!G9</f>
        <v>0</v>
      </c>
      <c r="V9" s="122">
        <f>'Налоги без ТОР'!H9-'Налоги ТОР'!H9</f>
        <v>0</v>
      </c>
      <c r="W9" s="122">
        <f>'Налоги без ТОР'!I9-'Налоги ТОР'!I9</f>
        <v>0</v>
      </c>
      <c r="X9" s="122">
        <f>'Налоги без ТОР'!J9-'Налоги ТОР'!J9</f>
        <v>0</v>
      </c>
      <c r="Y9" s="122">
        <f>'Налоги без ТОР'!K9-'Налоги ТОР'!K9</f>
        <v>0</v>
      </c>
      <c r="Z9" s="122">
        <f>'Налоги без ТОР'!L9-'Налоги ТОР'!L9</f>
        <v>0</v>
      </c>
      <c r="AA9" s="122">
        <f t="shared" si="1"/>
        <v>0</v>
      </c>
    </row>
    <row r="10" spans="1:27" x14ac:dyDescent="0.25">
      <c r="A10" s="362" t="s">
        <v>187</v>
      </c>
      <c r="B10" s="363">
        <f>'Расходы на ЗП ТОР'!AX58</f>
        <v>1706.9</v>
      </c>
      <c r="C10" s="363">
        <f>'Расходы на ЗП ТОР'!AY58</f>
        <v>2404.194</v>
      </c>
      <c r="D10" s="363">
        <f>'Расходы на ЗП ТОР'!AZ58</f>
        <v>2504.4536400000002</v>
      </c>
      <c r="E10" s="363">
        <f>'Расходы на ЗП ТОР'!BA58</f>
        <v>2610.7288584000003</v>
      </c>
      <c r="F10" s="363">
        <f>'Расходы на ЗП ТОР'!BB58</f>
        <v>2767.3725899040005</v>
      </c>
      <c r="G10" s="363">
        <f>'Расходы на ЗП ТОР'!BC58</f>
        <v>2933.414945298241</v>
      </c>
      <c r="H10" s="363">
        <f>'Расходы на ЗП ТОР'!BD58</f>
        <v>3109.4198420161351</v>
      </c>
      <c r="I10" s="363">
        <f>'Расходы на ЗП ТОР'!BE58</f>
        <v>3281.4927498491033</v>
      </c>
      <c r="J10" s="363">
        <f>'Расходы на ЗП ТОР'!BF58</f>
        <v>3478.3823148400497</v>
      </c>
      <c r="K10" s="363">
        <f>'Расходы на ЗП ТОР'!BG58</f>
        <v>3687.0852537304536</v>
      </c>
      <c r="L10" s="363">
        <f>'Расходы на ЗП ТОР'!BH58</f>
        <v>3908.3103689542804</v>
      </c>
      <c r="O10" s="366" t="str">
        <f t="shared" ref="O10:O23" si="7">A10</f>
        <v>НДФЛ:</v>
      </c>
      <c r="P10" s="367">
        <f>'Налоги без ТОР'!B10-'Налоги ТОР'!B10</f>
        <v>0</v>
      </c>
      <c r="Q10" s="367">
        <f>'Налоги без ТОР'!C10-'Налоги ТОР'!C10</f>
        <v>0</v>
      </c>
      <c r="R10" s="367">
        <f>'Налоги без ТОР'!D10-'Налоги ТОР'!D10</f>
        <v>0</v>
      </c>
      <c r="S10" s="367">
        <f>'Налоги без ТОР'!E10-'Налоги ТОР'!E10</f>
        <v>0</v>
      </c>
      <c r="T10" s="367">
        <f>'Налоги без ТОР'!F10-'Налоги ТОР'!F10</f>
        <v>0</v>
      </c>
      <c r="U10" s="367">
        <f>'Налоги без ТОР'!G10-'Налоги ТОР'!G10</f>
        <v>0</v>
      </c>
      <c r="V10" s="367">
        <f>'Налоги без ТОР'!H10-'Налоги ТОР'!H10</f>
        <v>0</v>
      </c>
      <c r="W10" s="367">
        <f>'Налоги без ТОР'!I10-'Налоги ТОР'!I10</f>
        <v>0</v>
      </c>
      <c r="X10" s="367">
        <f>'Налоги без ТОР'!J10-'Налоги ТОР'!J10</f>
        <v>0</v>
      </c>
      <c r="Y10" s="367">
        <f>'Налоги без ТОР'!K10-'Налоги ТОР'!K10</f>
        <v>0</v>
      </c>
      <c r="Z10" s="367">
        <f>'Налоги без ТОР'!L10-'Налоги ТОР'!L10</f>
        <v>0</v>
      </c>
      <c r="AA10" s="367">
        <f t="shared" si="1"/>
        <v>0</v>
      </c>
    </row>
    <row r="11" spans="1:27" ht="30" x14ac:dyDescent="0.25">
      <c r="A11" s="115" t="s">
        <v>184</v>
      </c>
      <c r="B11" s="227">
        <f>B10*0.85</f>
        <v>1450.865</v>
      </c>
      <c r="C11" s="227">
        <f>C10*0.85</f>
        <v>2043.5648999999999</v>
      </c>
      <c r="D11" s="227">
        <f t="shared" ref="D11:L11" si="8">D10*0.85</f>
        <v>2128.7855939999999</v>
      </c>
      <c r="E11" s="227">
        <f>E10*0.85</f>
        <v>2219.1195296400001</v>
      </c>
      <c r="F11" s="227">
        <f t="shared" si="8"/>
        <v>2352.2667014184003</v>
      </c>
      <c r="G11" s="227">
        <f t="shared" si="8"/>
        <v>2493.4027035035047</v>
      </c>
      <c r="H11" s="227">
        <f t="shared" si="8"/>
        <v>2643.0068657137149</v>
      </c>
      <c r="I11" s="227">
        <f t="shared" si="8"/>
        <v>2789.2688373717378</v>
      </c>
      <c r="J11" s="227">
        <f t="shared" si="8"/>
        <v>2956.6249676140424</v>
      </c>
      <c r="K11" s="227">
        <f t="shared" si="8"/>
        <v>3134.0224656708856</v>
      </c>
      <c r="L11" s="226">
        <f t="shared" si="8"/>
        <v>3322.0638136111384</v>
      </c>
      <c r="O11" s="119" t="str">
        <f t="shared" si="7"/>
        <v>- региональный бюджет</v>
      </c>
      <c r="P11" s="122">
        <f>'Налоги без ТОР'!B11-'Налоги ТОР'!B11</f>
        <v>0</v>
      </c>
      <c r="Q11" s="122">
        <f>'Налоги без ТОР'!C11-'Налоги ТОР'!C11</f>
        <v>0</v>
      </c>
      <c r="R11" s="122">
        <f>'Налоги без ТОР'!D11-'Налоги ТОР'!D11</f>
        <v>0</v>
      </c>
      <c r="S11" s="122">
        <f>'Налоги без ТОР'!E11-'Налоги ТОР'!E11</f>
        <v>0</v>
      </c>
      <c r="T11" s="122">
        <f>'Налоги без ТОР'!F11-'Налоги ТОР'!F11</f>
        <v>0</v>
      </c>
      <c r="U11" s="122">
        <f>'Налоги без ТОР'!G11-'Налоги ТОР'!G11</f>
        <v>0</v>
      </c>
      <c r="V11" s="122">
        <f>'Налоги без ТОР'!H11-'Налоги ТОР'!H11</f>
        <v>0</v>
      </c>
      <c r="W11" s="122">
        <f>'Налоги без ТОР'!I11-'Налоги ТОР'!I11</f>
        <v>0</v>
      </c>
      <c r="X11" s="122">
        <f>'Налоги без ТОР'!J11-'Налоги ТОР'!J11</f>
        <v>0</v>
      </c>
      <c r="Y11" s="122">
        <f>'Налоги без ТОР'!K11-'Налоги ТОР'!K11</f>
        <v>0</v>
      </c>
      <c r="Z11" s="122">
        <f>'Налоги без ТОР'!L11-'Налоги ТОР'!L11</f>
        <v>0</v>
      </c>
      <c r="AA11" s="122">
        <f t="shared" si="1"/>
        <v>0</v>
      </c>
    </row>
    <row r="12" spans="1:27" ht="30" x14ac:dyDescent="0.25">
      <c r="A12" s="115" t="s">
        <v>188</v>
      </c>
      <c r="B12" s="227">
        <f>B10*0.15</f>
        <v>256.03500000000003</v>
      </c>
      <c r="C12" s="227">
        <f>C10*0.15</f>
        <v>360.62909999999999</v>
      </c>
      <c r="D12" s="227">
        <f t="shared" ref="D12:L12" si="9">D10*0.15</f>
        <v>375.668046</v>
      </c>
      <c r="E12" s="227">
        <f t="shared" si="9"/>
        <v>391.60932876000004</v>
      </c>
      <c r="F12" s="227">
        <f t="shared" si="9"/>
        <v>415.10588848560008</v>
      </c>
      <c r="G12" s="227">
        <f t="shared" si="9"/>
        <v>440.01224179473616</v>
      </c>
      <c r="H12" s="227">
        <f t="shared" si="9"/>
        <v>466.41297630242025</v>
      </c>
      <c r="I12" s="227">
        <f t="shared" si="9"/>
        <v>492.2239124773655</v>
      </c>
      <c r="J12" s="227">
        <f t="shared" si="9"/>
        <v>521.75734722600748</v>
      </c>
      <c r="K12" s="227">
        <f t="shared" si="9"/>
        <v>553.06278805956799</v>
      </c>
      <c r="L12" s="226">
        <f t="shared" si="9"/>
        <v>586.24655534314206</v>
      </c>
      <c r="O12" s="119" t="str">
        <f t="shared" si="7"/>
        <v>- муниципальный бюджет</v>
      </c>
      <c r="P12" s="122">
        <f>'Налоги без ТОР'!B12-'Налоги ТОР'!B12</f>
        <v>0</v>
      </c>
      <c r="Q12" s="122">
        <f>'Налоги без ТОР'!C12-'Налоги ТОР'!C12</f>
        <v>0</v>
      </c>
      <c r="R12" s="122">
        <f>'Налоги без ТОР'!D12-'Налоги ТОР'!D12</f>
        <v>0</v>
      </c>
      <c r="S12" s="122">
        <f>'Налоги без ТОР'!E12-'Налоги ТОР'!E12</f>
        <v>0</v>
      </c>
      <c r="T12" s="122">
        <f>'Налоги без ТОР'!F12-'Налоги ТОР'!F12</f>
        <v>0</v>
      </c>
      <c r="U12" s="122">
        <f>'Налоги без ТОР'!G12-'Налоги ТОР'!G12</f>
        <v>0</v>
      </c>
      <c r="V12" s="122">
        <f>'Налоги без ТОР'!H12-'Налоги ТОР'!H12</f>
        <v>0</v>
      </c>
      <c r="W12" s="122">
        <f>'Налоги без ТОР'!I12-'Налоги ТОР'!I12</f>
        <v>0</v>
      </c>
      <c r="X12" s="122">
        <f>'Налоги без ТОР'!J12-'Налоги ТОР'!J12</f>
        <v>0</v>
      </c>
      <c r="Y12" s="122">
        <f>'Налоги без ТОР'!K12-'Налоги ТОР'!K12</f>
        <v>0</v>
      </c>
      <c r="Z12" s="122">
        <f>'Налоги без ТОР'!L12-'Налоги ТОР'!L12</f>
        <v>0</v>
      </c>
      <c r="AA12" s="122">
        <f t="shared" si="1"/>
        <v>0</v>
      </c>
    </row>
    <row r="13" spans="1:27" ht="35.25" customHeight="1" x14ac:dyDescent="0.25">
      <c r="A13" s="115" t="s">
        <v>189</v>
      </c>
      <c r="B13" s="226">
        <v>0</v>
      </c>
      <c r="C13" s="227">
        <v>0</v>
      </c>
      <c r="D13" s="227">
        <v>0</v>
      </c>
      <c r="E13" s="227">
        <v>0</v>
      </c>
      <c r="F13" s="227">
        <v>0</v>
      </c>
      <c r="G13" s="227">
        <v>0</v>
      </c>
      <c r="H13" s="227">
        <v>0</v>
      </c>
      <c r="I13" s="227">
        <v>0</v>
      </c>
      <c r="J13" s="227">
        <v>0</v>
      </c>
      <c r="K13" s="227">
        <v>0</v>
      </c>
      <c r="L13" s="226">
        <v>0</v>
      </c>
      <c r="O13" s="119" t="str">
        <f t="shared" si="7"/>
        <v>- бюджет поселения</v>
      </c>
      <c r="P13" s="122">
        <f>'Налоги без ТОР'!B13-'Налоги ТОР'!B13</f>
        <v>0</v>
      </c>
      <c r="Q13" s="122">
        <f>'Налоги без ТОР'!C13-'Налоги ТОР'!C13</f>
        <v>0</v>
      </c>
      <c r="R13" s="122">
        <f>'Налоги без ТОР'!D13-'Налоги ТОР'!D13</f>
        <v>0</v>
      </c>
      <c r="S13" s="122">
        <f>'Налоги без ТОР'!E13-'Налоги ТОР'!E13</f>
        <v>0</v>
      </c>
      <c r="T13" s="122">
        <f>'Налоги без ТОР'!F13-'Налоги ТОР'!F13</f>
        <v>0</v>
      </c>
      <c r="U13" s="122">
        <f>'Налоги без ТОР'!G13-'Налоги ТОР'!G13</f>
        <v>0</v>
      </c>
      <c r="V13" s="122">
        <f>'Налоги без ТОР'!H13-'Налоги ТОР'!H13</f>
        <v>0</v>
      </c>
      <c r="W13" s="122">
        <f>'Налоги без ТОР'!I13-'Налоги ТОР'!I13</f>
        <v>0</v>
      </c>
      <c r="X13" s="122">
        <f>'Налоги без ТОР'!J13-'Налоги ТОР'!J13</f>
        <v>0</v>
      </c>
      <c r="Y13" s="122">
        <f>'Налоги без ТОР'!K13-'Налоги ТОР'!K13</f>
        <v>0</v>
      </c>
      <c r="Z13" s="122">
        <f>'Налоги без ТОР'!L13-'Налоги ТОР'!L13</f>
        <v>0</v>
      </c>
      <c r="AA13" s="122">
        <f t="shared" si="1"/>
        <v>0</v>
      </c>
    </row>
    <row r="14" spans="1:27" ht="31.5" customHeight="1" x14ac:dyDescent="0.25">
      <c r="A14" s="362" t="s">
        <v>190</v>
      </c>
      <c r="B14" s="363">
        <f>'Расходы на ЗП ТОР'!AX51</f>
        <v>3939</v>
      </c>
      <c r="C14" s="363">
        <f>'Расходы на ЗП ТОР'!AY51</f>
        <v>5548.1399999999994</v>
      </c>
      <c r="D14" s="363">
        <f>'Расходы на ЗП ТОР'!AZ51</f>
        <v>5779.5084000000006</v>
      </c>
      <c r="E14" s="363">
        <f>'Расходы на ЗП ТОР'!BA51</f>
        <v>6024.7589040000003</v>
      </c>
      <c r="F14" s="363">
        <f>'Расходы на ЗП ТОР'!BB51</f>
        <v>6386.2444382400008</v>
      </c>
      <c r="G14" s="363">
        <f>'Расходы на ЗП ТОР'!BC51</f>
        <v>6769.4191045344014</v>
      </c>
      <c r="H14" s="363">
        <f>'Расходы на ЗП ТОР'!BD51</f>
        <v>7175.5842508064652</v>
      </c>
      <c r="I14" s="363">
        <f>'Расходы на ЗП ТОР'!BE51</f>
        <v>7572.6755765748549</v>
      </c>
      <c r="J14" s="363">
        <f>'Расходы на ЗП ТОР'!BF51</f>
        <v>8027.0361111693464</v>
      </c>
      <c r="K14" s="363">
        <f>'Расходы на ЗП ТОР'!BG51</f>
        <v>8508.6582778395059</v>
      </c>
      <c r="L14" s="363">
        <f>'Расходы на ЗП ТОР'!BH51</f>
        <v>9019.1777745098771</v>
      </c>
      <c r="O14" s="366" t="str">
        <f t="shared" si="7"/>
        <v>Страховые платежи в ФНС</v>
      </c>
      <c r="P14" s="367">
        <f>'Налоги без ТОР'!B14-'Налоги ТОР'!B14</f>
        <v>0</v>
      </c>
      <c r="Q14" s="367">
        <f>'Налоги без ТОР'!C14-'Налоги ТОР'!C14</f>
        <v>0</v>
      </c>
      <c r="R14" s="367">
        <f>'Налоги без ТОР'!D14-'Налоги ТОР'!D14</f>
        <v>0</v>
      </c>
      <c r="S14" s="367">
        <f>'Налоги без ТОР'!E14-'Налоги ТОР'!E14</f>
        <v>0</v>
      </c>
      <c r="T14" s="367">
        <f>'Налоги без ТОР'!F14-'Налоги ТОР'!F14</f>
        <v>0</v>
      </c>
      <c r="U14" s="367">
        <f>'Налоги без ТОР'!G14-'Налоги ТОР'!G14</f>
        <v>0</v>
      </c>
      <c r="V14" s="367">
        <f>'Налоги без ТОР'!H14-'Налоги ТОР'!H14</f>
        <v>0</v>
      </c>
      <c r="W14" s="367">
        <f>'Налоги без ТОР'!I14-'Налоги ТОР'!I14</f>
        <v>0</v>
      </c>
      <c r="X14" s="367">
        <f>'Налоги без ТОР'!J14-'Налоги ТОР'!J14</f>
        <v>0</v>
      </c>
      <c r="Y14" s="367">
        <f>'Налоги без ТОР'!K14-'Налоги ТОР'!K14</f>
        <v>0</v>
      </c>
      <c r="Z14" s="367">
        <f>'Налоги без ТОР'!L14-'Налоги ТОР'!L14</f>
        <v>0</v>
      </c>
      <c r="AA14" s="367">
        <f t="shared" si="1"/>
        <v>0</v>
      </c>
    </row>
    <row r="15" spans="1:27" ht="30" customHeight="1" x14ac:dyDescent="0.25">
      <c r="A15" s="362" t="s">
        <v>191</v>
      </c>
      <c r="B15" s="363">
        <f>'Расходы на ЗП ТОР'!AX53</f>
        <v>183.82</v>
      </c>
      <c r="C15" s="363">
        <f>'Расходы на ЗП ТОР'!AY53</f>
        <v>258.91320000000002</v>
      </c>
      <c r="D15" s="363">
        <f>'Расходы на ЗП ТОР'!AZ53</f>
        <v>269.71039200000001</v>
      </c>
      <c r="E15" s="363">
        <f>'Расходы на ЗП ТОР'!BA53</f>
        <v>281.15541552000002</v>
      </c>
      <c r="F15" s="363">
        <f>'Расходы на ЗП ТОР'!BB53</f>
        <v>298.02474045119999</v>
      </c>
      <c r="G15" s="363">
        <f>'Расходы на ЗП ТОР'!BC53</f>
        <v>315.90622487827204</v>
      </c>
      <c r="H15" s="363">
        <f>'Расходы на ЗП ТОР'!BD53</f>
        <v>334.86059837096838</v>
      </c>
      <c r="I15" s="363">
        <f>'Расходы на ЗП ТОР'!BE53</f>
        <v>353.39152690682653</v>
      </c>
      <c r="J15" s="363">
        <f>'Расходы на ЗП ТОР'!BF53</f>
        <v>374.59501852123617</v>
      </c>
      <c r="K15" s="363">
        <f>'Расходы на ЗП ТОР'!BG53</f>
        <v>397.07071963251042</v>
      </c>
      <c r="L15" s="363">
        <f>'Расходы на ЗП ТОР'!BH53</f>
        <v>420.89496281046104</v>
      </c>
      <c r="O15" s="366" t="str">
        <f t="shared" si="7"/>
        <v>Страховые платежи в ФСС</v>
      </c>
      <c r="P15" s="367">
        <f>'Налоги без ТОР'!B15-'Налоги ТОР'!B15</f>
        <v>0</v>
      </c>
      <c r="Q15" s="368">
        <f>'Налоги без ТОР'!C15-'Налоги ТОР'!C15</f>
        <v>0</v>
      </c>
      <c r="R15" s="368">
        <f>'Налоги без ТОР'!D15-'Налоги ТОР'!D15</f>
        <v>0</v>
      </c>
      <c r="S15" s="368">
        <f>'Налоги без ТОР'!E15-'Налоги ТОР'!E15</f>
        <v>0</v>
      </c>
      <c r="T15" s="368">
        <f>'Налоги без ТОР'!F15-'Налоги ТОР'!F15</f>
        <v>0</v>
      </c>
      <c r="U15" s="368">
        <f>'Налоги без ТОР'!G15-'Налоги ТОР'!G15</f>
        <v>0</v>
      </c>
      <c r="V15" s="368">
        <f>'Налоги без ТОР'!H15-'Налоги ТОР'!H15</f>
        <v>0</v>
      </c>
      <c r="W15" s="368">
        <f>'Налоги без ТОР'!I15-'Налоги ТОР'!I15</f>
        <v>0</v>
      </c>
      <c r="X15" s="368">
        <f>'Налоги без ТОР'!J15-'Налоги ТОР'!J15</f>
        <v>0</v>
      </c>
      <c r="Y15" s="368">
        <f>'Налоги без ТОР'!K15-'Налоги ТОР'!K15</f>
        <v>0</v>
      </c>
      <c r="Z15" s="368">
        <f>'Налоги без ТОР'!L15-'Налоги ТОР'!L15</f>
        <v>0</v>
      </c>
      <c r="AA15" s="367">
        <f t="shared" si="1"/>
        <v>0</v>
      </c>
    </row>
    <row r="16" spans="1:27" x14ac:dyDescent="0.25">
      <c r="A16" s="362" t="s">
        <v>192</v>
      </c>
      <c r="B16" s="363">
        <f>'Расходы ТОР'!B37</f>
        <v>-19290.010713333337</v>
      </c>
      <c r="C16" s="363">
        <f>'Расходы ТОР'!C37</f>
        <v>22990.939079600008</v>
      </c>
      <c r="D16" s="363">
        <f>'Расходы ТОР'!D37</f>
        <v>24189.225352976002</v>
      </c>
      <c r="E16" s="363">
        <f>'Расходы ТОР'!E37</f>
        <v>25766.028962754561</v>
      </c>
      <c r="F16" s="363">
        <f>'Расходы ТОР'!F37</f>
        <v>27432.104897919839</v>
      </c>
      <c r="G16" s="363">
        <f>'Расходы ТОР'!G37</f>
        <v>29198.14538919503</v>
      </c>
      <c r="H16" s="363">
        <f>'Расходы ТОР'!H37</f>
        <v>31070.148309946733</v>
      </c>
      <c r="I16" s="363">
        <f>'Расходы ТОР'!I37</f>
        <v>33056.229208354503</v>
      </c>
      <c r="J16" s="363">
        <f>'Расходы ТОР'!J37</f>
        <v>35159.717158255764</v>
      </c>
      <c r="K16" s="363">
        <f>'Расходы ТОР'!K37</f>
        <v>38855.53224003614</v>
      </c>
      <c r="L16" s="363">
        <f>'Расходы ТОР'!L37</f>
        <v>40341.158694569283</v>
      </c>
      <c r="O16" s="366" t="str">
        <f t="shared" si="7"/>
        <v>НДС:</v>
      </c>
      <c r="P16" s="367">
        <f>'Налоги без ТОР'!B16-'Налоги ТОР'!B16</f>
        <v>0</v>
      </c>
      <c r="Q16" s="367">
        <f>'Налоги без ТОР'!C16-'Налоги ТОР'!C16</f>
        <v>0</v>
      </c>
      <c r="R16" s="367">
        <f>'Налоги без ТОР'!D16-'Налоги ТОР'!D16</f>
        <v>0</v>
      </c>
      <c r="S16" s="367">
        <f>'Налоги без ТОР'!E16-'Налоги ТОР'!E16</f>
        <v>0</v>
      </c>
      <c r="T16" s="367">
        <f>'Налоги без ТОР'!F16-'Налоги ТОР'!F16</f>
        <v>0</v>
      </c>
      <c r="U16" s="367">
        <f>'Налоги без ТОР'!G16-'Налоги ТОР'!G16</f>
        <v>0</v>
      </c>
      <c r="V16" s="367">
        <f>'Налоги без ТОР'!H16-'Налоги ТОР'!H16</f>
        <v>0</v>
      </c>
      <c r="W16" s="367">
        <f>'Налоги без ТОР'!I16-'Налоги ТОР'!I16</f>
        <v>0</v>
      </c>
      <c r="X16" s="367">
        <f>'Налоги без ТОР'!J16-'Налоги ТОР'!J16</f>
        <v>0</v>
      </c>
      <c r="Y16" s="367">
        <f>'Налоги без ТОР'!K16-'Налоги ТОР'!K16</f>
        <v>0</v>
      </c>
      <c r="Z16" s="367">
        <f>'Налоги без ТОР'!L16-'Налоги ТОР'!L16</f>
        <v>0</v>
      </c>
      <c r="AA16" s="367">
        <f t="shared" si="1"/>
        <v>0</v>
      </c>
    </row>
    <row r="17" spans="1:27" ht="30" x14ac:dyDescent="0.25">
      <c r="A17" s="115" t="s">
        <v>182</v>
      </c>
      <c r="B17" s="226">
        <f>'Расходы ТОР'!B37</f>
        <v>-19290.010713333337</v>
      </c>
      <c r="C17" s="227">
        <f>C16</f>
        <v>22990.939079600008</v>
      </c>
      <c r="D17" s="228">
        <f t="shared" ref="D17:L17" si="10">D16</f>
        <v>24189.225352976002</v>
      </c>
      <c r="E17" s="226">
        <f t="shared" si="10"/>
        <v>25766.028962754561</v>
      </c>
      <c r="F17" s="226">
        <f t="shared" si="10"/>
        <v>27432.104897919839</v>
      </c>
      <c r="G17" s="226">
        <f t="shared" si="10"/>
        <v>29198.14538919503</v>
      </c>
      <c r="H17" s="226">
        <f t="shared" si="10"/>
        <v>31070.148309946733</v>
      </c>
      <c r="I17" s="226">
        <f t="shared" si="10"/>
        <v>33056.229208354503</v>
      </c>
      <c r="J17" s="226">
        <f t="shared" si="10"/>
        <v>35159.717158255764</v>
      </c>
      <c r="K17" s="226">
        <f t="shared" si="10"/>
        <v>38855.53224003614</v>
      </c>
      <c r="L17" s="226">
        <f t="shared" si="10"/>
        <v>40341.158694569283</v>
      </c>
      <c r="O17" s="119" t="str">
        <f t="shared" si="7"/>
        <v>- федеральный бюджет</v>
      </c>
      <c r="P17" s="122">
        <f>'Налоги без ТОР'!B17-'Налоги ТОР'!B17</f>
        <v>0</v>
      </c>
      <c r="Q17" s="122">
        <f>'Налоги без ТОР'!C17-'Налоги ТОР'!C17</f>
        <v>0</v>
      </c>
      <c r="R17" s="122">
        <f>'Налоги без ТОР'!D17-'Налоги ТОР'!D17</f>
        <v>0</v>
      </c>
      <c r="S17" s="122">
        <f>'Налоги без ТОР'!E17-'Налоги ТОР'!E17</f>
        <v>0</v>
      </c>
      <c r="T17" s="122">
        <f>'Налоги без ТОР'!F17-'Налоги ТОР'!F17</f>
        <v>0</v>
      </c>
      <c r="U17" s="122">
        <f>'Налоги без ТОР'!G17-'Налоги ТОР'!G17</f>
        <v>0</v>
      </c>
      <c r="V17" s="122">
        <f>'Налоги без ТОР'!H17-'Налоги ТОР'!H17</f>
        <v>0</v>
      </c>
      <c r="W17" s="122">
        <f>'Налоги без ТОР'!I17-'Налоги ТОР'!I17</f>
        <v>0</v>
      </c>
      <c r="X17" s="122">
        <f>'Налоги без ТОР'!J17-'Налоги ТОР'!J17</f>
        <v>0</v>
      </c>
      <c r="Y17" s="122">
        <f>'Налоги без ТОР'!K17-'Налоги ТОР'!K17</f>
        <v>0</v>
      </c>
      <c r="Z17" s="122">
        <f>'Налоги без ТОР'!L17-'Налоги ТОР'!L17</f>
        <v>0</v>
      </c>
      <c r="AA17" s="122">
        <f t="shared" si="1"/>
        <v>0</v>
      </c>
    </row>
    <row r="18" spans="1:27" x14ac:dyDescent="0.25">
      <c r="A18" s="362" t="s">
        <v>193</v>
      </c>
      <c r="B18" s="365">
        <v>0</v>
      </c>
      <c r="C18" s="365">
        <v>0</v>
      </c>
      <c r="D18" s="365">
        <v>0</v>
      </c>
      <c r="E18" s="365">
        <v>0</v>
      </c>
      <c r="F18" s="365">
        <v>0</v>
      </c>
      <c r="G18" s="365">
        <v>0</v>
      </c>
      <c r="H18" s="365">
        <v>0</v>
      </c>
      <c r="I18" s="365">
        <v>0</v>
      </c>
      <c r="J18" s="365">
        <v>0</v>
      </c>
      <c r="K18" s="365">
        <v>0</v>
      </c>
      <c r="L18" s="365">
        <v>0</v>
      </c>
      <c r="O18" s="366" t="str">
        <f t="shared" si="7"/>
        <v>Земельный налог</v>
      </c>
      <c r="P18" s="367">
        <f>'Налоги без ТОР'!B18-'Налоги ТОР'!B18</f>
        <v>0</v>
      </c>
      <c r="Q18" s="367">
        <f>'Налоги без ТОР'!C18-'Налоги ТОР'!C18</f>
        <v>0</v>
      </c>
      <c r="R18" s="367">
        <f>'Налоги без ТОР'!D18-'Налоги ТОР'!D18</f>
        <v>0</v>
      </c>
      <c r="S18" s="367">
        <f>'Налоги без ТОР'!E18-'Налоги ТОР'!E18</f>
        <v>0</v>
      </c>
      <c r="T18" s="367">
        <f>'Налоги без ТОР'!F18-'Налоги ТОР'!F18</f>
        <v>0</v>
      </c>
      <c r="U18" s="367">
        <f>'Налоги без ТОР'!G18-'Налоги ТОР'!G18</f>
        <v>0</v>
      </c>
      <c r="V18" s="367">
        <f>'Налоги без ТОР'!H18-'Налоги ТОР'!H18</f>
        <v>0</v>
      </c>
      <c r="W18" s="367">
        <f>'Налоги без ТОР'!I18-'Налоги ТОР'!I18</f>
        <v>0</v>
      </c>
      <c r="X18" s="367">
        <f>'Налоги без ТОР'!J18-'Налоги ТОР'!J18</f>
        <v>0</v>
      </c>
      <c r="Y18" s="367">
        <f>'Налоги без ТОР'!K18-'Налоги ТОР'!K18</f>
        <v>0</v>
      </c>
      <c r="Z18" s="367">
        <f>'Налоги без ТОР'!L18-'Налоги ТОР'!L18</f>
        <v>0</v>
      </c>
      <c r="AA18" s="367">
        <f t="shared" si="1"/>
        <v>0</v>
      </c>
    </row>
    <row r="19" spans="1:27" ht="30" x14ac:dyDescent="0.25">
      <c r="A19" s="115" t="str">
        <f>A12</f>
        <v>- муниципальный бюджет</v>
      </c>
      <c r="B19" s="226">
        <v>0</v>
      </c>
      <c r="C19" s="226">
        <v>0</v>
      </c>
      <c r="D19" s="226">
        <v>0</v>
      </c>
      <c r="E19" s="226">
        <v>0</v>
      </c>
      <c r="F19" s="226">
        <v>0</v>
      </c>
      <c r="G19" s="226">
        <v>0</v>
      </c>
      <c r="H19" s="226">
        <v>0</v>
      </c>
      <c r="I19" s="226">
        <v>0</v>
      </c>
      <c r="J19" s="226">
        <v>0</v>
      </c>
      <c r="K19" s="226">
        <v>0</v>
      </c>
      <c r="L19" s="226">
        <v>0</v>
      </c>
      <c r="O19" s="119" t="str">
        <f t="shared" si="7"/>
        <v>- муниципальный бюджет</v>
      </c>
      <c r="P19" s="122">
        <f>'Налоги без ТОР'!B19-'Налоги ТОР'!B19</f>
        <v>0</v>
      </c>
      <c r="Q19" s="122">
        <f>'Налоги без ТОР'!C19-'Налоги ТОР'!C19</f>
        <v>0</v>
      </c>
      <c r="R19" s="122">
        <f>'Налоги без ТОР'!D19-'Налоги ТОР'!D19</f>
        <v>0</v>
      </c>
      <c r="S19" s="122">
        <f>'Налоги без ТОР'!E19-'Налоги ТОР'!E19</f>
        <v>0</v>
      </c>
      <c r="T19" s="122">
        <f>'Налоги без ТОР'!F19-'Налоги ТОР'!F19</f>
        <v>0</v>
      </c>
      <c r="U19" s="122">
        <f>'Налоги без ТОР'!G19-'Налоги ТОР'!G19</f>
        <v>0</v>
      </c>
      <c r="V19" s="122">
        <f>'Налоги без ТОР'!H19-'Налоги ТОР'!H19</f>
        <v>0</v>
      </c>
      <c r="W19" s="122">
        <f>'Налоги без ТОР'!I19-'Налоги ТОР'!I19</f>
        <v>0</v>
      </c>
      <c r="X19" s="122">
        <f>'Налоги без ТОР'!J19-'Налоги ТОР'!J19</f>
        <v>0</v>
      </c>
      <c r="Y19" s="122">
        <f>'Налоги без ТОР'!K19-'Налоги ТОР'!K19</f>
        <v>0</v>
      </c>
      <c r="Z19" s="122">
        <f>'Налоги без ТОР'!L19-'Налоги ТОР'!L19</f>
        <v>0</v>
      </c>
      <c r="AA19" s="122">
        <f t="shared" si="1"/>
        <v>0</v>
      </c>
    </row>
    <row r="20" spans="1:27" ht="16.5" customHeight="1" x14ac:dyDescent="0.25">
      <c r="A20" s="369" t="s">
        <v>194</v>
      </c>
      <c r="B20" s="370">
        <f>B4+B17</f>
        <v>-19290.010713333337</v>
      </c>
      <c r="C20" s="371">
        <f>C4+C17</f>
        <v>22990.939079600008</v>
      </c>
      <c r="D20" s="372">
        <f>D4+D17</f>
        <v>24189.225352976002</v>
      </c>
      <c r="E20" s="370">
        <f>E4+E17</f>
        <v>25766.028962754561</v>
      </c>
      <c r="F20" s="370">
        <f t="shared" ref="F20:L20" si="11">F4+F17</f>
        <v>27432.104897919839</v>
      </c>
      <c r="G20" s="370">
        <f t="shared" si="11"/>
        <v>30211.683699841782</v>
      </c>
      <c r="H20" s="370">
        <f t="shared" si="11"/>
        <v>32125.991228784187</v>
      </c>
      <c r="I20" s="370">
        <f t="shared" si="11"/>
        <v>34198.940222751909</v>
      </c>
      <c r="J20" s="370">
        <f t="shared" si="11"/>
        <v>36391.292331068915</v>
      </c>
      <c r="K20" s="370">
        <f t="shared" si="11"/>
        <v>41085.747924768657</v>
      </c>
      <c r="L20" s="370">
        <f t="shared" si="11"/>
        <v>41294.015138001858</v>
      </c>
      <c r="O20" s="375" t="str">
        <f t="shared" si="7"/>
        <v>фб</v>
      </c>
      <c r="P20" s="340">
        <f>'Налоги без ТОР'!B20-'Налоги ТОР'!B20</f>
        <v>0</v>
      </c>
      <c r="Q20" s="340">
        <f>'Налоги без ТОР'!C20-'Налоги ТОР'!C20</f>
        <v>1171.3874586574202</v>
      </c>
      <c r="R20" s="340">
        <f>'Налоги без ТОР'!D20-'Налоги ТОР'!D20</f>
        <v>1264.6980299211209</v>
      </c>
      <c r="S20" s="340">
        <f>'Налоги без ТОР'!E20-'Налоги ТОР'!E20</f>
        <v>1393.7565598421024</v>
      </c>
      <c r="T20" s="340">
        <f>'Налоги без ТОР'!F20-'Налоги ТОР'!F20</f>
        <v>1521.6687816763588</v>
      </c>
      <c r="U20" s="340">
        <f>'Налоги без ТОР'!G20-'Налоги ТОР'!G20</f>
        <v>629.01590978406239</v>
      </c>
      <c r="V20" s="340">
        <f>'Налоги без ТОР'!H20-'Налоги ТОР'!H20</f>
        <v>684.25833625600353</v>
      </c>
      <c r="W20" s="340">
        <f>'Налоги без ТОР'!I20-'Налоги ТОР'!I20</f>
        <v>722.70591243136005</v>
      </c>
      <c r="X20" s="340">
        <f>'Налоги без ТОР'!J20-'Налоги ТОР'!J20</f>
        <v>763.53320717724273</v>
      </c>
      <c r="Y20" s="340">
        <f>'Налоги без ТОР'!K20-'Налоги ТОР'!K20</f>
        <v>19.582199999997101</v>
      </c>
      <c r="Z20" s="340">
        <f>'Налоги без ТОР'!L20-'Налоги ТОР'!L20</f>
        <v>1538.2166118888636</v>
      </c>
      <c r="AA20" s="340">
        <f>SUM(P20:Z20)</f>
        <v>9708.8230076345317</v>
      </c>
    </row>
    <row r="21" spans="1:27" ht="16.5" customHeight="1" x14ac:dyDescent="0.25">
      <c r="A21" s="369" t="s">
        <v>195</v>
      </c>
      <c r="B21" s="370">
        <f>B5+B7+B9+B11</f>
        <v>1459.865</v>
      </c>
      <c r="C21" s="371">
        <f>C5+C7+C9+C11</f>
        <v>2052.5648999999999</v>
      </c>
      <c r="D21" s="372">
        <f>D5+D7+D9+D11</f>
        <v>2137.7855939999999</v>
      </c>
      <c r="E21" s="370">
        <f>E5+E7+E9+E11</f>
        <v>2228.1195296400001</v>
      </c>
      <c r="F21" s="370">
        <f t="shared" ref="F21:L21" si="12">F5+F7+F9+F11</f>
        <v>2361.2667014184003</v>
      </c>
      <c r="G21" s="370">
        <f t="shared" si="12"/>
        <v>7869.8992567372643</v>
      </c>
      <c r="H21" s="370">
        <f t="shared" si="12"/>
        <v>9092.4914599009935</v>
      </c>
      <c r="I21" s="370">
        <f t="shared" si="12"/>
        <v>9612.3739093587683</v>
      </c>
      <c r="J21" s="370">
        <f t="shared" si="12"/>
        <v>10163.330831679783</v>
      </c>
      <c r="K21" s="370">
        <f t="shared" si="12"/>
        <v>15273.210889333453</v>
      </c>
      <c r="L21" s="370">
        <f t="shared" si="12"/>
        <v>12825.161804504329</v>
      </c>
      <c r="O21" s="375" t="str">
        <f t="shared" si="7"/>
        <v>рб</v>
      </c>
      <c r="P21" s="340">
        <f>'Налоги без ТОР'!B21-'Налоги ТОР'!B21</f>
        <v>375.70499999999993</v>
      </c>
      <c r="Q21" s="340">
        <f>'Налоги без ТОР'!C21-'Налоги ТОР'!C21</f>
        <v>12007.357127916785</v>
      </c>
      <c r="R21" s="340">
        <f>'Налоги без ТОР'!D21-'Налоги ТОР'!D21</f>
        <v>12786.432269290101</v>
      </c>
      <c r="S21" s="340">
        <f>'Налоги без ТОР'!E21-'Налоги ТОР'!E21</f>
        <v>13887.239038578922</v>
      </c>
      <c r="T21" s="340">
        <f>'Налоги без ТОР'!F21-'Налоги ТОР'!F21</f>
        <v>14977.729035087224</v>
      </c>
      <c r="U21" s="340">
        <f>'Налоги без ТОР'!G21-'Налоги ТОР'!G21</f>
        <v>10637.481430643564</v>
      </c>
      <c r="V21" s="340">
        <f>'Налоги без ТОР'!H21-'Налоги ТОР'!H21</f>
        <v>10381.696701653826</v>
      </c>
      <c r="W21" s="340">
        <f>'Налоги без ТОР'!I21-'Налоги ТОР'!I21</f>
        <v>11075.197269471864</v>
      </c>
      <c r="X21" s="340">
        <f>'Налоги без ТОР'!J21-'Налоги ТОР'!J21</f>
        <v>11798.099555847775</v>
      </c>
      <c r="Y21" s="340">
        <f>'Налоги без ТОР'!K21-'Налоги ТОР'!K21</f>
        <v>9097.1025389300539</v>
      </c>
      <c r="Z21" s="340">
        <f>'Налоги без ТОР'!L21-'Налоги ТОР'!L21</f>
        <v>13843.94950699975</v>
      </c>
      <c r="AA21" s="340">
        <f t="shared" si="1"/>
        <v>120867.98947441984</v>
      </c>
    </row>
    <row r="22" spans="1:27" x14ac:dyDescent="0.25">
      <c r="A22" s="369" t="s">
        <v>196</v>
      </c>
      <c r="B22" s="370">
        <f>B12</f>
        <v>256.03500000000003</v>
      </c>
      <c r="C22" s="371">
        <f>C12</f>
        <v>360.62909999999999</v>
      </c>
      <c r="D22" s="372">
        <f>D12</f>
        <v>375.668046</v>
      </c>
      <c r="E22" s="370">
        <f>E12</f>
        <v>391.60932876000004</v>
      </c>
      <c r="F22" s="370">
        <f t="shared" ref="F22:L22" si="13">F12</f>
        <v>415.10588848560008</v>
      </c>
      <c r="G22" s="370">
        <f t="shared" si="13"/>
        <v>440.01224179473616</v>
      </c>
      <c r="H22" s="370">
        <f t="shared" si="13"/>
        <v>466.41297630242025</v>
      </c>
      <c r="I22" s="370">
        <f t="shared" si="13"/>
        <v>492.2239124773655</v>
      </c>
      <c r="J22" s="370">
        <f t="shared" si="13"/>
        <v>521.75734722600748</v>
      </c>
      <c r="K22" s="370">
        <f t="shared" si="13"/>
        <v>553.06278805956799</v>
      </c>
      <c r="L22" s="370">
        <f t="shared" si="13"/>
        <v>586.24655534314206</v>
      </c>
      <c r="M22" s="124"/>
      <c r="O22" s="375" t="str">
        <f t="shared" si="7"/>
        <v>мб</v>
      </c>
      <c r="P22" s="340">
        <f>'Налоги без ТОР'!B22-'Налоги ТОР'!B22</f>
        <v>0</v>
      </c>
      <c r="Q22" s="340">
        <f>'Налоги без ТОР'!C22-'Налоги ТОР'!C22</f>
        <v>0</v>
      </c>
      <c r="R22" s="340">
        <f>'Налоги без ТОР'!D22-'Налоги ТОР'!D22</f>
        <v>0</v>
      </c>
      <c r="S22" s="340">
        <f>'Налоги без ТОР'!E22-'Налоги ТОР'!E22</f>
        <v>0</v>
      </c>
      <c r="T22" s="340">
        <f>'Налоги без ТОР'!F22-'Налоги ТОР'!F22</f>
        <v>0</v>
      </c>
      <c r="U22" s="340">
        <f>'Налоги без ТОР'!G22-'Налоги ТОР'!G22</f>
        <v>0</v>
      </c>
      <c r="V22" s="340">
        <f>'Налоги без ТОР'!H22-'Налоги ТОР'!H22</f>
        <v>0</v>
      </c>
      <c r="W22" s="340">
        <f>'Налоги без ТОР'!I22-'Налоги ТОР'!I22</f>
        <v>0</v>
      </c>
      <c r="X22" s="340">
        <f>'Налоги без ТОР'!J22-'Налоги ТОР'!J22</f>
        <v>0</v>
      </c>
      <c r="Y22" s="340">
        <f>'Налоги без ТОР'!K22-'Налоги ТОР'!K22</f>
        <v>0</v>
      </c>
      <c r="Z22" s="340">
        <f>'Налоги без ТОР'!L22-'Налоги ТОР'!L22</f>
        <v>0</v>
      </c>
      <c r="AA22" s="340">
        <f t="shared" si="1"/>
        <v>0</v>
      </c>
    </row>
    <row r="23" spans="1:27" x14ac:dyDescent="0.25">
      <c r="A23" s="369" t="s">
        <v>197</v>
      </c>
      <c r="B23" s="370">
        <f>B13+B19</f>
        <v>0</v>
      </c>
      <c r="C23" s="371">
        <f>C13+C19</f>
        <v>0</v>
      </c>
      <c r="D23" s="373">
        <f>D13+D19</f>
        <v>0</v>
      </c>
      <c r="E23" s="374">
        <f t="shared" ref="E23:L23" si="14">E13+E19</f>
        <v>0</v>
      </c>
      <c r="F23" s="374">
        <f t="shared" si="14"/>
        <v>0</v>
      </c>
      <c r="G23" s="374">
        <f t="shared" si="14"/>
        <v>0</v>
      </c>
      <c r="H23" s="374">
        <f t="shared" si="14"/>
        <v>0</v>
      </c>
      <c r="I23" s="374">
        <f t="shared" si="14"/>
        <v>0</v>
      </c>
      <c r="J23" s="374">
        <f t="shared" si="14"/>
        <v>0</v>
      </c>
      <c r="K23" s="374">
        <f t="shared" si="14"/>
        <v>0</v>
      </c>
      <c r="L23" s="374">
        <f t="shared" si="14"/>
        <v>0</v>
      </c>
      <c r="M23" s="125"/>
      <c r="O23" s="376" t="str">
        <f t="shared" si="7"/>
        <v>бп</v>
      </c>
      <c r="P23" s="340">
        <f>'Налоги без ТОР'!B23-'Налоги ТОР'!B23</f>
        <v>0</v>
      </c>
      <c r="Q23" s="340">
        <f>'Налоги без ТОР'!C23-'Налоги ТОР'!C23</f>
        <v>0</v>
      </c>
      <c r="R23" s="340">
        <f>'Налоги без ТОР'!D23-'Налоги ТОР'!D23</f>
        <v>0</v>
      </c>
      <c r="S23" s="340">
        <f>'Налоги без ТОР'!E23-'Налоги ТОР'!E23</f>
        <v>0</v>
      </c>
      <c r="T23" s="340">
        <f>'Налоги без ТОР'!F23-'Налоги ТОР'!F23</f>
        <v>0</v>
      </c>
      <c r="U23" s="340">
        <f>'Налоги без ТОР'!G23-'Налоги ТОР'!G23</f>
        <v>0</v>
      </c>
      <c r="V23" s="340">
        <f>'Налоги без ТОР'!H23-'Налоги ТОР'!H23</f>
        <v>0</v>
      </c>
      <c r="W23" s="340">
        <f>'Налоги без ТОР'!I23-'Налоги ТОР'!I23</f>
        <v>0</v>
      </c>
      <c r="X23" s="340">
        <f>'Налоги без ТОР'!J23-'Налоги ТОР'!J23</f>
        <v>0</v>
      </c>
      <c r="Y23" s="340">
        <f>'Налоги без ТОР'!K23-'Налоги ТОР'!K23</f>
        <v>0</v>
      </c>
      <c r="Z23" s="340">
        <f>'Налоги без ТОР'!L23-'Налоги ТОР'!L23</f>
        <v>0</v>
      </c>
      <c r="AA23" s="340">
        <f t="shared" si="1"/>
        <v>0</v>
      </c>
    </row>
    <row r="24" spans="1:27" ht="30" x14ac:dyDescent="0.25">
      <c r="A24" s="121" t="s">
        <v>198</v>
      </c>
      <c r="B24" s="224">
        <f>'Расходы ТОР'!B25</f>
        <v>10.769648399999999</v>
      </c>
      <c r="C24" s="224">
        <f>'Расходы ТОР'!C25</f>
        <v>10.769648399999999</v>
      </c>
      <c r="D24" s="224">
        <f>'Расходы ТОР'!D25</f>
        <v>10.769648399999999</v>
      </c>
      <c r="E24" s="224">
        <f>'Расходы ТОР'!E25</f>
        <v>10.769648399999999</v>
      </c>
      <c r="F24" s="224">
        <f>'Расходы ТОР'!F25</f>
        <v>10.769648399999999</v>
      </c>
      <c r="G24" s="224">
        <f>'Расходы ТОР'!G25</f>
        <v>10.769648399999999</v>
      </c>
      <c r="H24" s="224">
        <f>'Расходы ТОР'!H25</f>
        <v>10.769648399999999</v>
      </c>
      <c r="I24" s="224">
        <f>'Расходы ТОР'!I25</f>
        <v>10.769648399999999</v>
      </c>
      <c r="J24" s="224">
        <f>'Расходы ТОР'!J25</f>
        <v>10.769648399999999</v>
      </c>
      <c r="K24" s="224">
        <f>'Расходы ТОР'!K25</f>
        <v>10.769648399999999</v>
      </c>
      <c r="L24" s="224">
        <f>'Расходы ТОР'!L25</f>
        <v>10.769648399999999</v>
      </c>
      <c r="AA24" s="126">
        <f>SUM(AA20:AA23)</f>
        <v>130576.81248205437</v>
      </c>
    </row>
    <row r="25" spans="1:27" x14ac:dyDescent="0.25">
      <c r="A25" s="342"/>
      <c r="B25" s="341" t="str">
        <f>B2</f>
        <v>1 год</v>
      </c>
      <c r="C25" s="343" t="str">
        <f>C2</f>
        <v>2 год</v>
      </c>
      <c r="D25" s="343" t="str">
        <f t="shared" ref="D25:L25" si="15">D2</f>
        <v>3 год</v>
      </c>
      <c r="E25" s="343" t="str">
        <f t="shared" si="15"/>
        <v>4 год</v>
      </c>
      <c r="F25" s="343" t="str">
        <f t="shared" si="15"/>
        <v>5 год</v>
      </c>
      <c r="G25" s="343" t="str">
        <f t="shared" si="15"/>
        <v>6 год</v>
      </c>
      <c r="H25" s="343" t="str">
        <f t="shared" si="15"/>
        <v>7 год</v>
      </c>
      <c r="I25" s="343" t="str">
        <f t="shared" si="15"/>
        <v>8 год</v>
      </c>
      <c r="J25" s="343" t="str">
        <f t="shared" si="15"/>
        <v>9 год</v>
      </c>
      <c r="K25" s="343" t="str">
        <f t="shared" si="15"/>
        <v>10 год</v>
      </c>
      <c r="L25" s="343" t="str">
        <f t="shared" si="15"/>
        <v>11 год</v>
      </c>
    </row>
    <row r="26" spans="1:27" x14ac:dyDescent="0.25">
      <c r="A26" s="344" t="s">
        <v>199</v>
      </c>
      <c r="C26" s="57">
        <v>0</v>
      </c>
      <c r="D26" s="6">
        <f>D20/1000</f>
        <v>24.189225352976003</v>
      </c>
      <c r="E26" s="6">
        <f t="shared" ref="E26:L28" si="16">E20/1000</f>
        <v>25.766028962754561</v>
      </c>
      <c r="F26" s="6">
        <f t="shared" si="16"/>
        <v>27.432104897919839</v>
      </c>
      <c r="G26" s="6">
        <f t="shared" si="16"/>
        <v>30.211683699841782</v>
      </c>
      <c r="H26" s="6">
        <f t="shared" si="16"/>
        <v>32.125991228784187</v>
      </c>
      <c r="I26" s="6">
        <f t="shared" si="16"/>
        <v>34.198940222751908</v>
      </c>
      <c r="J26" s="6">
        <f t="shared" si="16"/>
        <v>36.391292331068918</v>
      </c>
      <c r="K26" s="6">
        <f t="shared" si="16"/>
        <v>41.085747924768654</v>
      </c>
      <c r="L26" s="6">
        <f t="shared" si="16"/>
        <v>41.294015138001861</v>
      </c>
    </row>
    <row r="27" spans="1:27" x14ac:dyDescent="0.25">
      <c r="A27" s="337" t="s">
        <v>200</v>
      </c>
      <c r="C27" s="57">
        <v>0</v>
      </c>
      <c r="D27" s="6">
        <f t="shared" ref="D27:D28" si="17">D21/1000</f>
        <v>2.1377855939999999</v>
      </c>
      <c r="E27" s="6">
        <f t="shared" si="16"/>
        <v>2.2281195296400003</v>
      </c>
      <c r="F27" s="6">
        <f t="shared" si="16"/>
        <v>2.3612667014184003</v>
      </c>
      <c r="G27" s="6">
        <f t="shared" si="16"/>
        <v>7.8698992567372645</v>
      </c>
      <c r="H27" s="6">
        <f t="shared" si="16"/>
        <v>9.0924914599009927</v>
      </c>
      <c r="I27" s="6">
        <f t="shared" si="16"/>
        <v>9.6123739093587677</v>
      </c>
      <c r="J27" s="6">
        <f t="shared" si="16"/>
        <v>10.163330831679783</v>
      </c>
      <c r="K27" s="6">
        <f t="shared" si="16"/>
        <v>15.273210889333454</v>
      </c>
      <c r="L27" s="6">
        <f t="shared" si="16"/>
        <v>12.825161804504329</v>
      </c>
      <c r="M27" s="6"/>
    </row>
    <row r="28" spans="1:27" x14ac:dyDescent="0.25">
      <c r="A28" s="337" t="s">
        <v>201</v>
      </c>
      <c r="C28" s="57">
        <v>0</v>
      </c>
      <c r="D28" s="127">
        <f t="shared" si="17"/>
        <v>0.37566804599999998</v>
      </c>
      <c r="E28" s="127">
        <f t="shared" si="16"/>
        <v>0.39160932876000004</v>
      </c>
      <c r="F28" s="127">
        <f t="shared" si="16"/>
        <v>0.41510588848560009</v>
      </c>
      <c r="G28" s="127">
        <f t="shared" si="16"/>
        <v>0.44001224179473614</v>
      </c>
      <c r="H28" s="127">
        <f t="shared" si="16"/>
        <v>0.46641297630242023</v>
      </c>
      <c r="I28" s="127">
        <f t="shared" si="16"/>
        <v>0.49222391247736552</v>
      </c>
      <c r="J28" s="127">
        <f t="shared" si="16"/>
        <v>0.52175734722600753</v>
      </c>
      <c r="K28" s="127">
        <f t="shared" si="16"/>
        <v>0.55306278805956799</v>
      </c>
      <c r="L28" s="127">
        <f t="shared" si="16"/>
        <v>0.58624655534314207</v>
      </c>
      <c r="M28" s="6"/>
    </row>
    <row r="29" spans="1:27" x14ac:dyDescent="0.25">
      <c r="A29" s="337" t="s">
        <v>373</v>
      </c>
      <c r="C29" s="57">
        <v>0</v>
      </c>
      <c r="D29" s="128">
        <f>(D14+D15)/1000</f>
        <v>6.0492187920000005</v>
      </c>
      <c r="E29" s="128">
        <f t="shared" ref="E29:L29" si="18">(E14+E15)/1000</f>
        <v>6.3059143195200003</v>
      </c>
      <c r="F29" s="128">
        <f t="shared" si="18"/>
        <v>6.684269178691201</v>
      </c>
      <c r="G29" s="128">
        <f t="shared" si="18"/>
        <v>7.0853253294126732</v>
      </c>
      <c r="H29" s="128">
        <f t="shared" si="18"/>
        <v>7.5104448491774338</v>
      </c>
      <c r="I29" s="128">
        <f t="shared" si="18"/>
        <v>7.9260671034816816</v>
      </c>
      <c r="J29" s="128">
        <f t="shared" si="18"/>
        <v>8.4016311296905819</v>
      </c>
      <c r="K29" s="128">
        <f t="shared" si="18"/>
        <v>8.9057289974720177</v>
      </c>
      <c r="L29" s="128">
        <f t="shared" si="18"/>
        <v>9.440072737320337</v>
      </c>
      <c r="M29" s="6"/>
    </row>
    <row r="30" spans="1:27" x14ac:dyDescent="0.25">
      <c r="A30" s="337" t="s">
        <v>21</v>
      </c>
      <c r="C30" s="118">
        <f>SUM(C26:C29)</f>
        <v>0</v>
      </c>
      <c r="D30" s="118">
        <f t="shared" ref="D30:L30" si="19">SUM(D26:D29)</f>
        <v>32.751897784976002</v>
      </c>
      <c r="E30" s="118">
        <f t="shared" si="19"/>
        <v>34.691672140674562</v>
      </c>
      <c r="F30" s="118">
        <f t="shared" si="19"/>
        <v>36.892746666515038</v>
      </c>
      <c r="G30" s="118">
        <f t="shared" si="19"/>
        <v>45.606920527786457</v>
      </c>
      <c r="H30" s="118">
        <f t="shared" si="19"/>
        <v>49.195340514165032</v>
      </c>
      <c r="I30" s="118">
        <f t="shared" si="19"/>
        <v>52.229605148069723</v>
      </c>
      <c r="J30" s="118">
        <f t="shared" si="19"/>
        <v>55.478011639665283</v>
      </c>
      <c r="K30" s="118">
        <f t="shared" si="19"/>
        <v>65.817750599633698</v>
      </c>
      <c r="L30" s="118">
        <f t="shared" si="19"/>
        <v>64.145496235169674</v>
      </c>
    </row>
    <row r="31" spans="1:27" x14ac:dyDescent="0.25">
      <c r="C31" s="57">
        <f>SUM(C26:C28)</f>
        <v>0</v>
      </c>
      <c r="D31" s="57">
        <f t="shared" ref="D31:L31" si="20">SUM(D26:D28)</f>
        <v>26.702678992976004</v>
      </c>
      <c r="E31" s="57">
        <f t="shared" si="20"/>
        <v>28.385757821154563</v>
      </c>
      <c r="F31" s="57">
        <f t="shared" si="20"/>
        <v>30.208477487823838</v>
      </c>
      <c r="G31" s="57">
        <f t="shared" si="20"/>
        <v>38.521595198373781</v>
      </c>
      <c r="H31" s="57">
        <f t="shared" si="20"/>
        <v>41.6848956649876</v>
      </c>
      <c r="I31" s="57">
        <f t="shared" si="20"/>
        <v>44.303538044588038</v>
      </c>
      <c r="J31" s="57">
        <f t="shared" si="20"/>
        <v>47.076380509974705</v>
      </c>
      <c r="K31" s="57">
        <f t="shared" si="20"/>
        <v>56.91202160216168</v>
      </c>
      <c r="L31" s="57">
        <f t="shared" si="20"/>
        <v>54.705423497849331</v>
      </c>
    </row>
    <row r="32" spans="1:27" x14ac:dyDescent="0.25">
      <c r="H32" s="128"/>
      <c r="I32" s="128"/>
      <c r="J32" s="128"/>
      <c r="K32" s="128"/>
      <c r="L32" s="128"/>
    </row>
    <row r="33" spans="1:26" x14ac:dyDescent="0.25">
      <c r="A33" s="674" t="s">
        <v>508</v>
      </c>
      <c r="B33" s="363">
        <f>допущения!$C$19*('Расходы ТОР'!B27+'Расходы ТОР'!B28+'Расходы ТОР'!B29+'Расходы ТОР'!B30+'Расходы ТОР'!B31+'Расходы ТОР'!B32+'Расходы ТОР'!B34)+'Расходы на П, строит-во, ввод'!B15</f>
        <v>25477.344046666669</v>
      </c>
      <c r="C33" s="363">
        <f>допущения!$C$19*('Расходы ТОР'!C27+'Расходы ТОР'!C28+'Расходы ТОР'!C29+'Расходы ТОР'!C30+'Расходы ТОР'!C31+'Расходы ТОР'!C32+'Расходы ТОР'!C34)</f>
        <v>9118.868920400002</v>
      </c>
      <c r="D33" s="363">
        <f>допущения!$C$19*('Расходы ТОР'!D27+'Расходы ТОР'!D28+'Расходы ТОР'!D29+'Расходы ТОР'!D30+'Расходы ТОР'!D31+'Расходы ТОР'!D32+'Расходы ТОР'!D34)</f>
        <v>9533.0111270239995</v>
      </c>
      <c r="E33" s="363">
        <f>допущения!$C$19*('Расходы ТОР'!E27+'Расходы ТОР'!E28+'Расходы ТОР'!E29+'Расходы ТОР'!E30+'Расходы ТОР'!E31+'Расходы ТОР'!E32+'Расходы ТОР'!E34)</f>
        <v>9979.541706045442</v>
      </c>
      <c r="F33" s="363">
        <f>допущения!$C$19*('Расходы ТОР'!F27+'Расходы ТОР'!F28+'Расходы ТОР'!F29+'Расходы ТОР'!F30+'Расходы ТОР'!F31+'Расходы ТОР'!F32+'Расходы ТОР'!F34)</f>
        <v>10458.200011008166</v>
      </c>
      <c r="G33" s="363">
        <f>допущения!$C$19*('Расходы ТОР'!G27+'Расходы ТОР'!G28+'Расходы ТОР'!G29+'Расходы ТОР'!G30+'Расходы ТОР'!G31+'Расходы ТОР'!G32+'Расходы ТОР'!G34)</f>
        <v>10965.577814268658</v>
      </c>
      <c r="H33" s="363">
        <f>допущения!$C$19*('Расходы ТОР'!H27+'Расходы ТОР'!H28+'Расходы ТОР'!H29+'Расходы ТОР'!H30+'Расходы ТОР'!H31+'Расходы ТОР'!H32+'Расходы ТОР'!H34)</f>
        <v>11503.398285724779</v>
      </c>
      <c r="I33" s="363">
        <f>допущения!$C$19*('Расходы ТОР'!I27+'Расходы ТОР'!I28+'Расходы ТОР'!I29+'Расходы ТОР'!I30+'Расходы ТОР'!I31+'Расходы ТОР'!I32+'Расходы ТОР'!I34)</f>
        <v>12071.730183057312</v>
      </c>
      <c r="J33" s="363">
        <f>допущения!$C$19*('Расходы ТОР'!J27+'Расходы ТОР'!J28+'Расходы ТОР'!J29+'Расходы ТОР'!J30+'Расходы ТОР'!J31+'Расходы ТОР'!J32+'Расходы ТОР'!J34)</f>
        <v>12675.919796640752</v>
      </c>
      <c r="K33" s="363">
        <f>допущения!$C$19*('Расходы ТОР'!K27+'Расходы ТОР'!K28+'Расходы ТОР'!K29+'Расходы ТОР'!K30+'Расходы ТОР'!K31+'Расходы ТОР'!K32+'Расходы ТОР'!K34)</f>
        <v>13352.412865438007</v>
      </c>
      <c r="L33" s="363">
        <f>допущения!$C$19*('Расходы ТОР'!L27+'Расходы ТОР'!L28+'Расходы ТОР'!L29+'Расходы ТОР'!L30+'Расходы ТОР'!L31+'Расходы ТОР'!L32+'Расходы ТОР'!L34)</f>
        <v>13907.686299047058</v>
      </c>
      <c r="M33" s="129"/>
      <c r="S33" s="128"/>
      <c r="T33" s="128"/>
      <c r="U33" s="128"/>
      <c r="V33" s="128"/>
      <c r="W33" s="128"/>
      <c r="X33" s="128"/>
      <c r="Y33" s="128"/>
      <c r="Z33" s="128"/>
    </row>
    <row r="34" spans="1:26" ht="15.75" x14ac:dyDescent="0.25">
      <c r="A34" s="130" t="s">
        <v>509</v>
      </c>
      <c r="B34" s="131">
        <f>допущения!$C$19*'выручка по кв и годам'!D21</f>
        <v>6187.3333333333339</v>
      </c>
      <c r="C34" s="131">
        <f>допущения!$C$19*'выручка по кв и годам'!E21</f>
        <v>26873.808000000005</v>
      </c>
      <c r="D34" s="131">
        <f>допущения!$C$19*'выручка по кв и годам'!F21</f>
        <v>28486.23648</v>
      </c>
      <c r="E34" s="131">
        <f>допущения!$C$19*'выручка по кв и годам'!G21</f>
        <v>30195.410668800003</v>
      </c>
      <c r="F34" s="131">
        <f>допущения!$C$19*'выручка по кв и годам'!H21</f>
        <v>32007.135308928002</v>
      </c>
      <c r="G34" s="131">
        <f>допущения!$C$19*'выручка по кв и годам'!I21</f>
        <v>33927.563427463683</v>
      </c>
      <c r="H34" s="131">
        <f>допущения!$C$19*'выручка по кв и годам'!J21</f>
        <v>35963.217233111514</v>
      </c>
      <c r="I34" s="131">
        <f>допущения!$C$19*'выручка по кв и годам'!K21</f>
        <v>38121.010267098201</v>
      </c>
      <c r="J34" s="131">
        <f>допущения!$C$19*'выручка по кв и годам'!L21</f>
        <v>40408.270883124096</v>
      </c>
      <c r="K34" s="131">
        <f>допущения!$C$19*'выручка по кв и годам'!M21</f>
        <v>52207.945105474144</v>
      </c>
      <c r="L34" s="131">
        <f>допущения!$C$19*'выручка по кв и годам'!N21</f>
        <v>45402.733164278237</v>
      </c>
      <c r="M34" s="132"/>
      <c r="S34" s="128"/>
      <c r="T34" s="128"/>
      <c r="U34" s="128"/>
      <c r="V34" s="128"/>
      <c r="W34" s="128"/>
      <c r="X34" s="128"/>
      <c r="Y34" s="128"/>
      <c r="Z34" s="128"/>
    </row>
    <row r="35" spans="1:26" ht="15.75" x14ac:dyDescent="0.25">
      <c r="A35" s="133" t="s">
        <v>510</v>
      </c>
      <c r="B35" s="134">
        <f>B34-B33</f>
        <v>-19290.010713333337</v>
      </c>
      <c r="C35" s="134">
        <f t="shared" ref="C35:L35" si="21">C34-C33</f>
        <v>17754.939079600001</v>
      </c>
      <c r="D35" s="134">
        <f t="shared" si="21"/>
        <v>18953.225352975998</v>
      </c>
      <c r="E35" s="134">
        <f t="shared" si="21"/>
        <v>20215.868962754561</v>
      </c>
      <c r="F35" s="134">
        <f t="shared" si="21"/>
        <v>21548.935297919837</v>
      </c>
      <c r="G35" s="134">
        <f t="shared" si="21"/>
        <v>22961.985613195026</v>
      </c>
      <c r="H35" s="134">
        <f t="shared" si="21"/>
        <v>24459.818947386735</v>
      </c>
      <c r="I35" s="134">
        <f t="shared" si="21"/>
        <v>26049.280084040889</v>
      </c>
      <c r="J35" s="134">
        <f t="shared" si="21"/>
        <v>27732.351086483344</v>
      </c>
      <c r="K35" s="134">
        <f t="shared" si="21"/>
        <v>38855.532240036133</v>
      </c>
      <c r="L35" s="134">
        <f t="shared" si="21"/>
        <v>31495.046865231179</v>
      </c>
      <c r="M35" s="132">
        <f>SUM(B35:L35)</f>
        <v>230736.97281629033</v>
      </c>
    </row>
    <row r="36" spans="1:26" ht="15.75" x14ac:dyDescent="0.25">
      <c r="L36" s="134"/>
      <c r="M36" s="132"/>
    </row>
    <row r="37" spans="1:26" ht="15.75" x14ac:dyDescent="0.25">
      <c r="L37" s="134"/>
      <c r="M37" s="56"/>
    </row>
    <row r="38" spans="1:26" ht="15.75" x14ac:dyDescent="0.25">
      <c r="L38" s="134"/>
      <c r="M38" s="56"/>
      <c r="Q38" s="128"/>
    </row>
    <row r="39" spans="1:26" ht="15.75" x14ac:dyDescent="0.25">
      <c r="L39" s="134"/>
      <c r="M39" s="56"/>
    </row>
    <row r="40" spans="1:26" ht="15.75" x14ac:dyDescent="0.25">
      <c r="L40" s="134"/>
      <c r="M40" s="56"/>
    </row>
    <row r="41" spans="1:26" ht="15.75" x14ac:dyDescent="0.25">
      <c r="A41" s="130"/>
      <c r="B41" s="130"/>
      <c r="C41" s="134"/>
      <c r="D41" s="134"/>
      <c r="E41" s="134"/>
      <c r="F41" s="134"/>
      <c r="G41" s="134"/>
      <c r="H41" s="134"/>
      <c r="I41" s="134"/>
      <c r="J41" s="134"/>
      <c r="K41" s="134"/>
      <c r="L41" s="134"/>
      <c r="M41" s="56"/>
    </row>
    <row r="42" spans="1:26" ht="15.75" x14ac:dyDescent="0.25">
      <c r="A42" s="133"/>
      <c r="B42" s="130"/>
      <c r="C42" s="134"/>
      <c r="D42" s="134"/>
      <c r="E42" s="134"/>
      <c r="F42" s="134"/>
      <c r="G42" s="134"/>
      <c r="H42" s="134"/>
      <c r="I42" s="134"/>
      <c r="J42" s="134"/>
      <c r="K42" s="134"/>
      <c r="L42" s="134"/>
      <c r="M42" s="56"/>
    </row>
    <row r="43" spans="1:26" ht="15.75" x14ac:dyDescent="0.25">
      <c r="A43" s="130"/>
      <c r="B43" s="130"/>
      <c r="C43" s="134"/>
      <c r="D43" s="134"/>
      <c r="E43" s="134"/>
      <c r="F43" s="134"/>
      <c r="G43" s="134"/>
      <c r="H43" s="134"/>
      <c r="I43" s="134"/>
      <c r="J43" s="134"/>
      <c r="K43" s="134"/>
      <c r="L43" s="134"/>
      <c r="M43" s="56"/>
    </row>
    <row r="44" spans="1:26" ht="15.75" x14ac:dyDescent="0.25">
      <c r="A44" s="133"/>
      <c r="B44" s="130"/>
      <c r="C44" s="134"/>
      <c r="D44" s="134"/>
      <c r="E44" s="134"/>
      <c r="F44" s="134"/>
      <c r="G44" s="134"/>
      <c r="H44" s="134"/>
      <c r="I44" s="134"/>
      <c r="J44" s="134"/>
      <c r="K44" s="134"/>
      <c r="L44" s="134"/>
      <c r="M44" s="56"/>
    </row>
    <row r="45" spans="1:26" ht="15.75" x14ac:dyDescent="0.25">
      <c r="A45" s="130"/>
      <c r="B45" s="130"/>
      <c r="C45" s="134"/>
      <c r="D45" s="134"/>
      <c r="E45" s="134"/>
      <c r="F45" s="134"/>
      <c r="G45" s="134"/>
      <c r="H45" s="134"/>
      <c r="I45" s="134"/>
      <c r="J45" s="134"/>
      <c r="K45" s="134"/>
      <c r="L45" s="134"/>
      <c r="M45" s="56"/>
    </row>
    <row r="46" spans="1:26" ht="15.75" x14ac:dyDescent="0.25">
      <c r="A46" s="133"/>
      <c r="B46" s="130"/>
      <c r="C46" s="134"/>
      <c r="D46" s="134"/>
      <c r="E46" s="134"/>
      <c r="F46" s="134"/>
      <c r="G46" s="134"/>
      <c r="H46" s="134"/>
      <c r="I46" s="134"/>
      <c r="J46" s="134"/>
      <c r="K46" s="134"/>
      <c r="L46" s="134"/>
      <c r="M46" s="56"/>
    </row>
    <row r="47" spans="1:26" ht="15.75" x14ac:dyDescent="0.25">
      <c r="A47" s="130"/>
      <c r="B47" s="130"/>
      <c r="C47" s="134"/>
      <c r="D47" s="134"/>
      <c r="E47" s="134"/>
      <c r="F47" s="134"/>
      <c r="G47" s="134"/>
      <c r="H47" s="134"/>
      <c r="I47" s="134"/>
      <c r="J47" s="134"/>
      <c r="K47" s="134"/>
      <c r="L47" s="134"/>
      <c r="M47" s="56"/>
    </row>
    <row r="48" spans="1:26" ht="15.75" x14ac:dyDescent="0.25">
      <c r="A48" s="130"/>
      <c r="B48" s="130"/>
      <c r="C48" s="134"/>
      <c r="D48" s="134"/>
      <c r="E48" s="134"/>
      <c r="F48" s="134"/>
      <c r="G48" s="134"/>
      <c r="H48" s="134"/>
      <c r="I48" s="134"/>
      <c r="J48" s="134"/>
      <c r="K48" s="134"/>
      <c r="L48" s="134"/>
      <c r="M48" s="56"/>
    </row>
    <row r="49" spans="1:13" ht="15.75" x14ac:dyDescent="0.25">
      <c r="A49" s="133"/>
      <c r="B49" s="130"/>
      <c r="C49" s="134"/>
      <c r="D49" s="134"/>
      <c r="E49" s="134"/>
      <c r="F49" s="134"/>
      <c r="G49" s="134"/>
      <c r="H49" s="134"/>
      <c r="I49" s="134"/>
      <c r="J49" s="134"/>
      <c r="K49" s="134"/>
      <c r="L49" s="134"/>
      <c r="M49" s="56"/>
    </row>
    <row r="50" spans="1:13" ht="15.75" x14ac:dyDescent="0.25">
      <c r="A50" s="130"/>
      <c r="B50" s="130"/>
      <c r="C50" s="134"/>
      <c r="D50" s="136"/>
      <c r="E50" s="136"/>
      <c r="F50" s="136"/>
      <c r="G50" s="136"/>
      <c r="H50" s="136"/>
      <c r="I50" s="136"/>
      <c r="J50" s="136"/>
      <c r="K50" s="136"/>
      <c r="L50" s="136"/>
      <c r="M50" s="56"/>
    </row>
    <row r="51" spans="1:13" ht="15.75" x14ac:dyDescent="0.25">
      <c r="A51" s="130"/>
      <c r="B51" s="130"/>
      <c r="C51" s="134"/>
      <c r="D51" s="136"/>
      <c r="E51" s="136"/>
      <c r="F51" s="136"/>
      <c r="G51" s="136"/>
      <c r="H51" s="136"/>
      <c r="I51" s="136"/>
      <c r="J51" s="136"/>
      <c r="K51" s="136"/>
      <c r="L51" s="136"/>
      <c r="M51" s="56"/>
    </row>
    <row r="52" spans="1:13" ht="15.75" x14ac:dyDescent="0.25">
      <c r="A52" s="130"/>
      <c r="B52" s="130"/>
      <c r="C52" s="134"/>
      <c r="D52" s="136"/>
      <c r="E52" s="136"/>
      <c r="F52" s="136"/>
      <c r="G52" s="136"/>
      <c r="H52" s="136"/>
      <c r="I52" s="136"/>
      <c r="J52" s="136"/>
      <c r="K52" s="136"/>
      <c r="L52" s="136"/>
      <c r="M52" s="56"/>
    </row>
    <row r="53" spans="1:13" ht="15.75" x14ac:dyDescent="0.25">
      <c r="A53" s="133"/>
      <c r="B53" s="130"/>
      <c r="C53" s="134"/>
      <c r="D53" s="134"/>
      <c r="E53" s="134"/>
      <c r="F53" s="134"/>
      <c r="G53" s="134"/>
      <c r="H53" s="134"/>
      <c r="I53" s="134"/>
      <c r="J53" s="134"/>
      <c r="K53" s="134"/>
      <c r="L53" s="134"/>
      <c r="M53" s="56"/>
    </row>
    <row r="54" spans="1:13" ht="15.75" x14ac:dyDescent="0.25">
      <c r="A54" s="133"/>
      <c r="B54" s="133"/>
      <c r="C54" s="137"/>
      <c r="D54" s="64"/>
      <c r="E54" s="64"/>
      <c r="F54" s="64"/>
      <c r="G54" s="64"/>
      <c r="H54" s="64"/>
      <c r="I54" s="64"/>
      <c r="J54" s="64"/>
      <c r="K54" s="64"/>
      <c r="L54" s="64"/>
      <c r="M54" s="56"/>
    </row>
    <row r="55" spans="1:13" x14ac:dyDescent="0.25">
      <c r="A55" s="60"/>
      <c r="B55" s="60"/>
      <c r="C55" s="60"/>
      <c r="D55" s="56"/>
      <c r="E55" s="56"/>
      <c r="F55" s="56"/>
      <c r="G55" s="56"/>
      <c r="H55" s="56"/>
      <c r="I55" s="56"/>
      <c r="J55" s="56"/>
      <c r="K55" s="56"/>
      <c r="L55" s="56"/>
      <c r="M55" s="138"/>
    </row>
    <row r="56" spans="1:13" x14ac:dyDescent="0.25">
      <c r="A56" s="60"/>
      <c r="B56" s="60"/>
      <c r="C56" s="60"/>
      <c r="D56" s="60"/>
      <c r="E56" s="60"/>
      <c r="F56" s="60"/>
      <c r="G56" s="60"/>
      <c r="H56" s="60"/>
      <c r="I56" s="60"/>
      <c r="J56" s="60"/>
      <c r="K56" s="60"/>
      <c r="L56" s="60"/>
      <c r="M56" s="56"/>
    </row>
    <row r="57" spans="1:13" x14ac:dyDescent="0.25">
      <c r="A57" s="60"/>
      <c r="B57" s="60"/>
      <c r="C57" s="60"/>
      <c r="D57" s="60"/>
      <c r="E57" s="60"/>
      <c r="F57" s="60"/>
      <c r="G57" s="60"/>
      <c r="H57" s="60"/>
      <c r="I57" s="60"/>
      <c r="J57" s="60"/>
      <c r="K57" s="60"/>
      <c r="L57" s="60"/>
      <c r="M57" s="56"/>
    </row>
    <row r="58" spans="1:13" x14ac:dyDescent="0.25">
      <c r="A58" s="60"/>
      <c r="B58" s="60"/>
      <c r="C58" s="60"/>
      <c r="D58" s="60"/>
      <c r="E58" s="60"/>
      <c r="F58" s="60"/>
      <c r="G58" s="60"/>
      <c r="H58" s="60"/>
      <c r="I58" s="60"/>
      <c r="J58" s="60"/>
      <c r="K58" s="60"/>
      <c r="L58" s="60"/>
      <c r="M58" s="56"/>
    </row>
    <row r="59" spans="1:13" x14ac:dyDescent="0.25">
      <c r="A59" s="60"/>
      <c r="B59" s="60"/>
      <c r="C59" s="60"/>
      <c r="D59" s="60"/>
      <c r="E59" s="60"/>
      <c r="F59" s="60"/>
      <c r="G59" s="60"/>
      <c r="H59" s="60"/>
      <c r="I59" s="60"/>
      <c r="J59" s="60"/>
      <c r="K59" s="60"/>
      <c r="L59" s="60"/>
      <c r="M59" s="56"/>
    </row>
  </sheetData>
  <mergeCells count="1">
    <mergeCell ref="A1:L1"/>
  </mergeCells>
  <phoneticPr fontId="50" type="noConversion"/>
  <pageMargins left="0.7" right="0.7" top="0.75" bottom="0.75" header="0.3" footer="0.3"/>
  <pageSetup paperSize="9" firstPageNumber="2147483648" orientation="portrait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11">
    <tabColor theme="0"/>
  </sheetPr>
  <dimension ref="A1:AU54"/>
  <sheetViews>
    <sheetView zoomScale="60" zoomScaleNormal="60" workbookViewId="0">
      <pane xSplit="1" ySplit="1" topLeftCell="B17" activePane="bottomRight" state="frozen"/>
      <selection pane="topRight" activeCell="B1" sqref="B1"/>
      <selection pane="bottomLeft" activeCell="A2" sqref="A2"/>
      <selection pane="bottomRight" activeCell="S25" sqref="S25"/>
    </sheetView>
  </sheetViews>
  <sheetFormatPr defaultColWidth="9.140625" defaultRowHeight="15" x14ac:dyDescent="0.25"/>
  <cols>
    <col min="1" max="1" width="19.28515625" style="152" customWidth="1"/>
    <col min="2" max="2" width="12.85546875" style="179" customWidth="1"/>
    <col min="3" max="8" width="15" style="179" customWidth="1"/>
    <col min="9" max="16" width="15" style="151" customWidth="1"/>
    <col min="17" max="49" width="15.42578125" style="151" customWidth="1"/>
    <col min="50" max="16384" width="9.140625" style="151"/>
  </cols>
  <sheetData>
    <row r="1" spans="1:45" s="271" customFormat="1" ht="30.75" customHeight="1" x14ac:dyDescent="0.25">
      <c r="A1" s="269" t="s">
        <v>233</v>
      </c>
      <c r="B1" s="270" t="str">
        <f>'выручка по кв и годам'!D1</f>
        <v>I кв. 1 г.</v>
      </c>
      <c r="C1" s="270" t="str">
        <f>'выручка по кв и годам'!E1</f>
        <v>II кв. 1 г.</v>
      </c>
      <c r="D1" s="270" t="str">
        <f>'выручка по кв и годам'!F1</f>
        <v>III кв. 1 г.</v>
      </c>
      <c r="E1" s="270" t="str">
        <f>'выручка по кв и годам'!G1</f>
        <v>IV кв. 1 г.</v>
      </c>
      <c r="F1" s="270" t="str">
        <f>'выручка по кв и годам'!H1</f>
        <v>I кв. 2 г.</v>
      </c>
      <c r="G1" s="270" t="str">
        <f>'выручка по кв и годам'!I1</f>
        <v>II кв. 2 г.</v>
      </c>
      <c r="H1" s="270" t="str">
        <f>'выручка по кв и годам'!J1</f>
        <v>III кв. 2 г.</v>
      </c>
      <c r="I1" s="270" t="str">
        <f>'выручка по кв и годам'!K1</f>
        <v>IV кв. 2 г.</v>
      </c>
      <c r="J1" s="270" t="str">
        <f>'выручка по кв и годам'!L1</f>
        <v>I кв. 3 г.</v>
      </c>
      <c r="K1" s="270" t="str">
        <f>'выручка по кв и годам'!M1</f>
        <v>II кв. 3 г.</v>
      </c>
      <c r="L1" s="270" t="str">
        <f>'выручка по кв и годам'!N1</f>
        <v>III кв. 3 г.</v>
      </c>
      <c r="M1" s="270" t="str">
        <f>'выручка по кв и годам'!O1</f>
        <v>IV кв. 3 г.</v>
      </c>
      <c r="N1" s="270" t="str">
        <f>'выручка по кв и годам'!P1</f>
        <v>I кв. 4 г.</v>
      </c>
      <c r="O1" s="270" t="str">
        <f>'выручка по кв и годам'!Q1</f>
        <v>II кв. 4 г.</v>
      </c>
      <c r="P1" s="270" t="str">
        <f>'выручка по кв и годам'!R1</f>
        <v>III кв. 4 г.</v>
      </c>
      <c r="Q1" s="270" t="str">
        <f>'выручка по кв и годам'!S1</f>
        <v>IV кв. 4 г.</v>
      </c>
      <c r="R1" s="270" t="str">
        <f>'выручка по кв и годам'!T1</f>
        <v>I кв. 5 г.</v>
      </c>
      <c r="S1" s="270" t="str">
        <f>'выручка по кв и годам'!U1</f>
        <v>II кв. 5 г.</v>
      </c>
      <c r="T1" s="270" t="str">
        <f>'выручка по кв и годам'!V1</f>
        <v>III кв. 5 г.</v>
      </c>
      <c r="U1" s="270" t="str">
        <f>'выручка по кв и годам'!W1</f>
        <v>IV кв. 5 г.</v>
      </c>
      <c r="V1" s="270" t="str">
        <f>'выручка по кв и годам'!X1</f>
        <v>I кв. 6 г.</v>
      </c>
      <c r="W1" s="270" t="str">
        <f>'выручка по кв и годам'!Y1</f>
        <v>II кв. 6 г.</v>
      </c>
      <c r="X1" s="270" t="str">
        <f>'выручка по кв и годам'!Z1</f>
        <v>III кв. 6 г.</v>
      </c>
      <c r="Y1" s="270" t="str">
        <f>'выручка по кв и годам'!AA1</f>
        <v>IV кв. 6 г.</v>
      </c>
      <c r="Z1" s="270" t="str">
        <f>'выручка по кв и годам'!AB1</f>
        <v>I кв. 7 г.</v>
      </c>
      <c r="AA1" s="270" t="str">
        <f>'выручка по кв и годам'!AC1</f>
        <v>II кв. 7 г.</v>
      </c>
      <c r="AB1" s="270" t="str">
        <f>'выручка по кв и годам'!AD1</f>
        <v>III кв. 7 г.</v>
      </c>
      <c r="AC1" s="270" t="str">
        <f>'выручка по кв и годам'!AE1</f>
        <v>IV кв. 7 г.</v>
      </c>
      <c r="AD1" s="270" t="str">
        <f>'выручка по кв и годам'!AF1</f>
        <v>I кв. 8 г.</v>
      </c>
      <c r="AE1" s="270" t="str">
        <f>'выручка по кв и годам'!AG1</f>
        <v>II кв. 8 г.</v>
      </c>
      <c r="AF1" s="270" t="str">
        <f>'выручка по кв и годам'!AH1</f>
        <v>III кв. 8 г.</v>
      </c>
      <c r="AG1" s="270" t="str">
        <f>'выручка по кв и годам'!AI1</f>
        <v>IV кв. 8 г.</v>
      </c>
      <c r="AH1" s="270" t="str">
        <f>'выручка по кв и годам'!AJ1</f>
        <v>I кв. 9 г.</v>
      </c>
      <c r="AI1" s="270" t="str">
        <f>'выручка по кв и годам'!AK1</f>
        <v>II кв. 9 г.</v>
      </c>
      <c r="AJ1" s="270" t="str">
        <f>'выручка по кв и годам'!AL1</f>
        <v>III кв. 9 г.</v>
      </c>
      <c r="AK1" s="270" t="str">
        <f>'выручка по кв и годам'!AM1</f>
        <v>IV кв. 9 г.</v>
      </c>
      <c r="AL1" s="270" t="str">
        <f>'выручка по кв и годам'!AN1</f>
        <v>I кв. 10 г.</v>
      </c>
      <c r="AM1" s="270" t="str">
        <f>'выручка по кв и годам'!AO1</f>
        <v>II кв. 10 г.</v>
      </c>
      <c r="AN1" s="270" t="str">
        <f>'выручка по кв и годам'!AP1</f>
        <v>III кв. 10 г.</v>
      </c>
      <c r="AO1" s="270" t="str">
        <f>'выручка по кв и годам'!AQ1</f>
        <v>IV кв. 10 г.</v>
      </c>
      <c r="AP1" s="270" t="str">
        <f>'выручка по кв и годам'!AR1</f>
        <v>I кв. 11 г.</v>
      </c>
      <c r="AQ1" s="270" t="str">
        <f>'выручка по кв и годам'!AS1</f>
        <v>II кв. 11 г.</v>
      </c>
      <c r="AR1" s="270" t="str">
        <f>'выручка по кв и годам'!AT1</f>
        <v>III кв. 11 г.</v>
      </c>
      <c r="AS1" s="270" t="str">
        <f>'выручка по кв и годам'!AU1</f>
        <v>IV кв. 11 г.</v>
      </c>
    </row>
    <row r="2" spans="1:45" ht="30" x14ac:dyDescent="0.25">
      <c r="A2" s="429" t="s">
        <v>234</v>
      </c>
      <c r="B2" s="402">
        <f>допущения!$C$30*0.01%</f>
        <v>2.6924120999999999</v>
      </c>
      <c r="C2" s="402">
        <f>допущения!$C$30*0.01%</f>
        <v>2.6924120999999999</v>
      </c>
      <c r="D2" s="402">
        <f>допущения!$C$30*0.01%</f>
        <v>2.6924120999999999</v>
      </c>
      <c r="E2" s="402">
        <f>допущения!$C$30*0.01%</f>
        <v>2.6924120999999999</v>
      </c>
      <c r="F2" s="402">
        <f>допущения!$C$30*0.01%</f>
        <v>2.6924120999999999</v>
      </c>
      <c r="G2" s="402">
        <f>допущения!$C$30*0.01%</f>
        <v>2.6924120999999999</v>
      </c>
      <c r="H2" s="402">
        <f>допущения!$C$30*0.01%</f>
        <v>2.6924120999999999</v>
      </c>
      <c r="I2" s="402">
        <f>допущения!$C$30*0.01%</f>
        <v>2.6924120999999999</v>
      </c>
      <c r="J2" s="402">
        <f>допущения!$C$30*0.01%</f>
        <v>2.6924120999999999</v>
      </c>
      <c r="K2" s="402">
        <f>допущения!$C$30*0.01%</f>
        <v>2.6924120999999999</v>
      </c>
      <c r="L2" s="402">
        <f>допущения!$C$30*0.01%</f>
        <v>2.6924120999999999</v>
      </c>
      <c r="M2" s="402">
        <f>допущения!$C$30*0.01%</f>
        <v>2.6924120999999999</v>
      </c>
      <c r="N2" s="402">
        <f>допущения!$C$30*0.01%</f>
        <v>2.6924120999999999</v>
      </c>
      <c r="O2" s="402">
        <f>допущения!$C$30*0.01%</f>
        <v>2.6924120999999999</v>
      </c>
      <c r="P2" s="402">
        <f>допущения!$C$30*0.01%</f>
        <v>2.6924120999999999</v>
      </c>
      <c r="Q2" s="402">
        <f>допущения!$C$30*0.01%</f>
        <v>2.6924120999999999</v>
      </c>
      <c r="R2" s="402">
        <f>допущения!$C$30*0.01%</f>
        <v>2.6924120999999999</v>
      </c>
      <c r="S2" s="402">
        <f>допущения!$C$30*0.01%</f>
        <v>2.6924120999999999</v>
      </c>
      <c r="T2" s="402">
        <f>допущения!$C$30*0.01%</f>
        <v>2.6924120999999999</v>
      </c>
      <c r="U2" s="402">
        <f>допущения!$C$30*0.01%</f>
        <v>2.6924120999999999</v>
      </c>
      <c r="V2" s="402">
        <f>допущения!$C$30*0.01%</f>
        <v>2.6924120999999999</v>
      </c>
      <c r="W2" s="402">
        <f>допущения!$C$30*0.01%</f>
        <v>2.6924120999999999</v>
      </c>
      <c r="X2" s="402">
        <f>допущения!$C$30*0.01%</f>
        <v>2.6924120999999999</v>
      </c>
      <c r="Y2" s="402">
        <f>допущения!$C$30*0.01%</f>
        <v>2.6924120999999999</v>
      </c>
      <c r="Z2" s="402">
        <f>допущения!$C$30*0.01%</f>
        <v>2.6924120999999999</v>
      </c>
      <c r="AA2" s="402">
        <f>допущения!$C$30*0.01%</f>
        <v>2.6924120999999999</v>
      </c>
      <c r="AB2" s="402">
        <f>допущения!$C$30*0.01%</f>
        <v>2.6924120999999999</v>
      </c>
      <c r="AC2" s="402">
        <f>допущения!$C$30*0.01%</f>
        <v>2.6924120999999999</v>
      </c>
      <c r="AD2" s="402">
        <f>допущения!$C$30*0.01%</f>
        <v>2.6924120999999999</v>
      </c>
      <c r="AE2" s="402">
        <f>допущения!$C$30*0.01%</f>
        <v>2.6924120999999999</v>
      </c>
      <c r="AF2" s="402">
        <f>допущения!$C$30*0.01%</f>
        <v>2.6924120999999999</v>
      </c>
      <c r="AG2" s="402">
        <f>допущения!$C$30*0.01%</f>
        <v>2.6924120999999999</v>
      </c>
      <c r="AH2" s="402">
        <f>допущения!$C$30*0.01%</f>
        <v>2.6924120999999999</v>
      </c>
      <c r="AI2" s="402">
        <f>допущения!$C$30*0.01%</f>
        <v>2.6924120999999999</v>
      </c>
      <c r="AJ2" s="402">
        <f>допущения!$C$30*0.01%</f>
        <v>2.6924120999999999</v>
      </c>
      <c r="AK2" s="402">
        <f>допущения!$C$30*0.01%</f>
        <v>2.6924120999999999</v>
      </c>
      <c r="AL2" s="402">
        <f>допущения!$C$30*0.01%</f>
        <v>2.6924120999999999</v>
      </c>
      <c r="AM2" s="402">
        <f>допущения!$C$30*0.01%</f>
        <v>2.6924120999999999</v>
      </c>
      <c r="AN2" s="402">
        <f>допущения!$C$30*0.01%</f>
        <v>2.6924120999999999</v>
      </c>
      <c r="AO2" s="402">
        <f>допущения!$C$30*0.01%</f>
        <v>2.6924120999999999</v>
      </c>
      <c r="AP2" s="402">
        <f>допущения!$C$30*0.01%</f>
        <v>2.6924120999999999</v>
      </c>
      <c r="AQ2" s="402">
        <f>допущения!$C$30*0.01%</f>
        <v>2.6924120999999999</v>
      </c>
      <c r="AR2" s="402">
        <f>допущения!$C$30*0.01%</f>
        <v>2.6924120999999999</v>
      </c>
      <c r="AS2" s="402">
        <f>допущения!$C$30*0.01%</f>
        <v>2.6924120999999999</v>
      </c>
    </row>
    <row r="3" spans="1:45" ht="56.25" customHeight="1" x14ac:dyDescent="0.25">
      <c r="A3" s="429" t="s">
        <v>235</v>
      </c>
      <c r="B3" s="430">
        <f>'Расходы на ЗП ТОР'!D54</f>
        <v>1024.92</v>
      </c>
      <c r="C3" s="430">
        <f>'Расходы на ЗП ТОР'!E54</f>
        <v>2391.48</v>
      </c>
      <c r="D3" s="430">
        <f>'Расходы на ЗП ТОР'!F54</f>
        <v>8711.82</v>
      </c>
      <c r="E3" s="430">
        <f>'Расходы на ЗП ТОР'!G54</f>
        <v>5124.6000000000004</v>
      </c>
      <c r="F3" s="430">
        <f>'Расходы на ЗП ТОР'!H54</f>
        <v>5124.6000000000004</v>
      </c>
      <c r="G3" s="182">
        <f>'Расходы на ЗП ОТ'!I54</f>
        <v>5124.6000000000004</v>
      </c>
      <c r="H3" s="182">
        <f>'Расходы на ЗП ОТ'!J54</f>
        <v>8927.0532000000003</v>
      </c>
      <c r="I3" s="182">
        <f>'Расходы на ЗП ОТ'!K54</f>
        <v>5124.6000000000004</v>
      </c>
      <c r="J3" s="182">
        <f>'Расходы на ЗП ОТ'!L54</f>
        <v>5320.9116000000004</v>
      </c>
      <c r="K3" s="182">
        <f>'Расходы на ЗП ОТ'!M54</f>
        <v>5320.9116000000004</v>
      </c>
      <c r="L3" s="182">
        <f>'Расходы на ЗП ОТ'!N54</f>
        <v>9351.5119920000016</v>
      </c>
      <c r="M3" s="182">
        <f>'Расходы на ЗП ОТ'!O54</f>
        <v>5320.9116000000004</v>
      </c>
      <c r="N3" s="182">
        <f>'Расходы на ЗП ОТ'!P54</f>
        <v>5529.0018960000007</v>
      </c>
      <c r="O3" s="182">
        <f>'Расходы на ЗП ОТ'!Q54</f>
        <v>5529.0018960000007</v>
      </c>
      <c r="P3" s="182">
        <f>'Расходы на ЗП ОТ'!R54</f>
        <v>9801.4383115199998</v>
      </c>
      <c r="Q3" s="182">
        <f>'Расходы на ЗП ОТ'!S54</f>
        <v>5529.0018960000007</v>
      </c>
      <c r="R3" s="182">
        <f>'Расходы на ЗП ОТ'!T54</f>
        <v>5860.7420097599997</v>
      </c>
      <c r="S3" s="182">
        <f>'Расходы на ЗП ОТ'!U54</f>
        <v>5860.7420097599997</v>
      </c>
      <c r="T3" s="182">
        <f>'Расходы на ЗП ОТ'!V54</f>
        <v>10389.5246102112</v>
      </c>
      <c r="U3" s="182">
        <f>'Расходы на ЗП ОТ'!W54</f>
        <v>5860.7420097599997</v>
      </c>
      <c r="V3" s="182">
        <f>'Расходы на ЗП ОТ'!X54</f>
        <v>6212.3865303456014</v>
      </c>
      <c r="W3" s="182">
        <f>'Расходы на ЗП ОТ'!Y54</f>
        <v>6212.3865303456014</v>
      </c>
      <c r="X3" s="182">
        <f>'Расходы на ЗП ОТ'!Z54</f>
        <v>11012.896086823876</v>
      </c>
      <c r="Y3" s="182">
        <f>'Расходы на ЗП ОТ'!AA54</f>
        <v>6212.3865303456014</v>
      </c>
      <c r="Z3" s="182">
        <f>'Расходы на ЗП ОТ'!AB54</f>
        <v>6585.1297221663363</v>
      </c>
      <c r="AA3" s="182">
        <f>'Расходы на ЗП ОТ'!AC54</f>
        <v>6585.1297221663363</v>
      </c>
      <c r="AB3" s="182">
        <f>'Расходы на ЗП ОТ'!AD54</f>
        <v>11673.669852033307</v>
      </c>
      <c r="AC3" s="182">
        <f>'Расходы на ЗП ОТ'!AE54</f>
        <v>6585.1297221663363</v>
      </c>
      <c r="AD3" s="182">
        <f>'Расходы на ЗП ОТ'!AF54</f>
        <v>6943.6166219347188</v>
      </c>
      <c r="AE3" s="182">
        <f>'Расходы на ЗП ОТ'!AG54</f>
        <v>6943.6166219347188</v>
      </c>
      <c r="AF3" s="182">
        <f>'Расходы на ЗП ОТ'!AH54</f>
        <v>12337.469159593704</v>
      </c>
      <c r="AG3" s="182">
        <f>'Расходы на ЗП ОТ'!AI54</f>
        <v>6943.6166219347188</v>
      </c>
      <c r="AH3" s="182">
        <f>'Расходы на ЗП ОТ'!AJ54</f>
        <v>7360.2336192508019</v>
      </c>
      <c r="AI3" s="182">
        <f>'Расходы на ЗП ОТ'!AK54</f>
        <v>7360.2336192508019</v>
      </c>
      <c r="AJ3" s="182">
        <f>'Расходы на ЗП ОТ'!AL54</f>
        <v>13077.717309169329</v>
      </c>
      <c r="AK3" s="182">
        <f>'Расходы на ЗП ОТ'!AM54</f>
        <v>7360.2336192508019</v>
      </c>
      <c r="AL3" s="182">
        <f>'Расходы на ЗП ОТ'!AN54</f>
        <v>7801.8476364058506</v>
      </c>
      <c r="AM3" s="182">
        <f>'Расходы на ЗП ОТ'!AO54</f>
        <v>7801.8476364058506</v>
      </c>
      <c r="AN3" s="182">
        <f>'Расходы на ЗП ОТ'!AP54</f>
        <v>13862.380347719491</v>
      </c>
      <c r="AO3" s="182">
        <f>'Расходы на ЗП ОТ'!AQ54</f>
        <v>7801.8476364058506</v>
      </c>
      <c r="AP3" s="182">
        <f>AO3</f>
        <v>7801.8476364058506</v>
      </c>
      <c r="AQ3" s="182">
        <f t="shared" ref="AQ3:AS3" si="0">AP3</f>
        <v>7801.8476364058506</v>
      </c>
      <c r="AR3" s="182">
        <f t="shared" si="0"/>
        <v>7801.8476364058506</v>
      </c>
      <c r="AS3" s="182">
        <f t="shared" si="0"/>
        <v>7801.8476364058506</v>
      </c>
    </row>
    <row r="4" spans="1:45" s="669" customFormat="1" ht="69" customHeight="1" x14ac:dyDescent="0.25">
      <c r="A4" s="667" t="str">
        <f>Себестоимость!A15</f>
        <v>Запасные части, комлектующие, обслуживание оборудования</v>
      </c>
      <c r="B4" s="668">
        <f>Себестоимость!C15</f>
        <v>0</v>
      </c>
      <c r="C4" s="668">
        <f>Себестоимость!D15</f>
        <v>0</v>
      </c>
      <c r="D4" s="668">
        <f>Себестоимость!E15</f>
        <v>0</v>
      </c>
      <c r="E4" s="668">
        <f>Себестоимость!F15</f>
        <v>0</v>
      </c>
      <c r="F4" s="668">
        <f>Себестоимость!G15</f>
        <v>308</v>
      </c>
      <c r="G4" s="668">
        <f>Себестоимость!H15</f>
        <v>308</v>
      </c>
      <c r="H4" s="668">
        <f>Себестоимость!I15</f>
        <v>308</v>
      </c>
      <c r="I4" s="668">
        <f>Себестоимость!J15</f>
        <v>308</v>
      </c>
      <c r="J4" s="668">
        <f>Себестоимость!K15</f>
        <v>308</v>
      </c>
      <c r="K4" s="668">
        <f>Себестоимость!L15</f>
        <v>308</v>
      </c>
      <c r="L4" s="668">
        <f>Себестоимость!M15</f>
        <v>308</v>
      </c>
      <c r="M4" s="668">
        <f>Себестоимость!N15</f>
        <v>308</v>
      </c>
      <c r="N4" s="668">
        <f>Себестоимость!O15</f>
        <v>308</v>
      </c>
      <c r="O4" s="668">
        <f>Себестоимость!P15</f>
        <v>308</v>
      </c>
      <c r="P4" s="668">
        <f>Себестоимость!Q15</f>
        <v>308</v>
      </c>
      <c r="Q4" s="668">
        <f>Себестоимость!R15</f>
        <v>308</v>
      </c>
      <c r="R4" s="668">
        <f>Себестоимость!S15</f>
        <v>308</v>
      </c>
      <c r="S4" s="668">
        <f>Себестоимость!T15</f>
        <v>308</v>
      </c>
      <c r="T4" s="668">
        <f>Себестоимость!U15</f>
        <v>308</v>
      </c>
      <c r="U4" s="668">
        <f>Себестоимость!V15</f>
        <v>308</v>
      </c>
      <c r="V4" s="668">
        <f>Себестоимость!W15</f>
        <v>308</v>
      </c>
      <c r="W4" s="668">
        <f>Себестоимость!X15</f>
        <v>308</v>
      </c>
      <c r="X4" s="668">
        <f>Себестоимость!Y15</f>
        <v>308</v>
      </c>
      <c r="Y4" s="668">
        <f>Себестоимость!Z15</f>
        <v>308</v>
      </c>
      <c r="Z4" s="668">
        <f>Себестоимость!AA15</f>
        <v>308</v>
      </c>
      <c r="AA4" s="668">
        <f>Себестоимость!AB15</f>
        <v>308</v>
      </c>
      <c r="AB4" s="668">
        <f>Себестоимость!AC15</f>
        <v>308</v>
      </c>
      <c r="AC4" s="668">
        <f>Себестоимость!AD15</f>
        <v>308</v>
      </c>
      <c r="AD4" s="668">
        <f>Себестоимость!AE15</f>
        <v>308</v>
      </c>
      <c r="AE4" s="668">
        <f>Себестоимость!AF15</f>
        <v>308</v>
      </c>
      <c r="AF4" s="668">
        <f>Себестоимость!AG15</f>
        <v>308</v>
      </c>
      <c r="AG4" s="668">
        <f>Себестоимость!AH15</f>
        <v>308</v>
      </c>
      <c r="AH4" s="668">
        <f>Себестоимость!AI15</f>
        <v>308</v>
      </c>
      <c r="AI4" s="668">
        <f>Себестоимость!AJ15</f>
        <v>308</v>
      </c>
      <c r="AJ4" s="668">
        <f>Себестоимость!AK15</f>
        <v>308</v>
      </c>
      <c r="AK4" s="668">
        <f>Себестоимость!AL15</f>
        <v>308</v>
      </c>
      <c r="AL4" s="668">
        <f>Себестоимость!AM15</f>
        <v>308</v>
      </c>
      <c r="AM4" s="668">
        <f>Себестоимость!AN15</f>
        <v>308</v>
      </c>
      <c r="AN4" s="668">
        <f>Себестоимость!AO15</f>
        <v>308</v>
      </c>
      <c r="AO4" s="668">
        <f>Себестоимость!AP15</f>
        <v>308</v>
      </c>
      <c r="AP4" s="668">
        <f>Себестоимость!AQ15</f>
        <v>308</v>
      </c>
      <c r="AQ4" s="668">
        <f>Себестоимость!AR15</f>
        <v>308</v>
      </c>
      <c r="AR4" s="668">
        <f>Себестоимость!AS15</f>
        <v>308</v>
      </c>
      <c r="AS4" s="668">
        <f>Себестоимость!AT15</f>
        <v>308</v>
      </c>
    </row>
    <row r="5" spans="1:45" s="669" customFormat="1" ht="45" x14ac:dyDescent="0.25">
      <c r="A5" s="670" t="s">
        <v>236</v>
      </c>
      <c r="B5" s="668">
        <v>0</v>
      </c>
      <c r="C5" s="668">
        <f>допущения!$C$64*'Расходы на ЗП ТОР'!E54</f>
        <v>143.4888</v>
      </c>
      <c r="D5" s="668">
        <f>допущения!$C$64*'Расходы на ЗП ТОР'!F54</f>
        <v>522.70920000000001</v>
      </c>
      <c r="E5" s="668">
        <f>допущения!$C$64*'Расходы на ЗП ТОР'!G54</f>
        <v>307.476</v>
      </c>
      <c r="F5" s="668">
        <f>допущения!$C$64*'Расходы на ЗП ТОР'!H54</f>
        <v>307.476</v>
      </c>
      <c r="G5" s="668">
        <f>допущения!$C$64*'Расходы на ЗП ТОР'!I54</f>
        <v>307.476</v>
      </c>
      <c r="H5" s="668">
        <f>допущения!$C$64*'Расходы на ЗП ТОР'!J54</f>
        <v>535.62319200000002</v>
      </c>
      <c r="I5" s="668">
        <f>допущения!$C$64*'Расходы на ЗП ТОР'!K54</f>
        <v>307.476</v>
      </c>
      <c r="J5" s="668">
        <f>допущения!$C$64*'Расходы на ЗП ТОР'!L54</f>
        <v>319.25469600000002</v>
      </c>
      <c r="K5" s="668">
        <f>допущения!$C$64*'Расходы на ЗП ТОР'!M54</f>
        <v>319.25469600000002</v>
      </c>
      <c r="L5" s="668">
        <f>допущения!$C$64*'Расходы на ЗП ТОР'!N54</f>
        <v>561.09071952000011</v>
      </c>
      <c r="M5" s="668">
        <f>допущения!$C$64*'Расходы на ЗП ТОР'!O54</f>
        <v>319.25469600000002</v>
      </c>
      <c r="N5" s="668">
        <f>допущения!$C$64*'Расходы на ЗП ТОР'!P54</f>
        <v>331.74011376000004</v>
      </c>
      <c r="O5" s="668">
        <f>допущения!$C$64*'Расходы на ЗП ТОР'!Q54</f>
        <v>331.74011376000004</v>
      </c>
      <c r="P5" s="668">
        <f>допущения!$C$64*'Расходы на ЗП ТОР'!R54</f>
        <v>588.0862986912</v>
      </c>
      <c r="Q5" s="668">
        <f>допущения!$C$64*'Расходы на ЗП ТОР'!S54</f>
        <v>331.74011376000004</v>
      </c>
      <c r="R5" s="668">
        <f>допущения!$C$64*'Расходы на ЗП ТОР'!T54</f>
        <v>351.64452058559999</v>
      </c>
      <c r="S5" s="668">
        <f>допущения!$C$64*'Расходы на ЗП ТОР'!U54</f>
        <v>351.64452058559999</v>
      </c>
      <c r="T5" s="668">
        <f>допущения!$C$64*'Расходы на ЗП ТОР'!V54</f>
        <v>623.37147661267193</v>
      </c>
      <c r="U5" s="668">
        <f>допущения!$C$64*'Расходы на ЗП ТОР'!W54</f>
        <v>351.64452058559999</v>
      </c>
      <c r="V5" s="668">
        <f>допущения!$C$64*'Расходы на ЗП ТОР'!X54</f>
        <v>372.74319182073606</v>
      </c>
      <c r="W5" s="668">
        <f>допущения!$C$64*'Расходы на ЗП ТОР'!Y54</f>
        <v>372.74319182073606</v>
      </c>
      <c r="X5" s="668">
        <f>допущения!$C$64*'Расходы на ЗП ТОР'!Z54</f>
        <v>660.77376520943255</v>
      </c>
      <c r="Y5" s="668">
        <f>допущения!$C$64*'Расходы на ЗП ТОР'!AA54</f>
        <v>372.74319182073606</v>
      </c>
      <c r="Z5" s="668">
        <f>допущения!$C$64*'Расходы на ЗП ТОР'!AB54</f>
        <v>395.10778332998018</v>
      </c>
      <c r="AA5" s="668">
        <f>допущения!$C$64*'Расходы на ЗП ТОР'!AC54</f>
        <v>395.10778332998018</v>
      </c>
      <c r="AB5" s="668">
        <f>допущения!$C$64*'Расходы на ЗП ТОР'!AD54</f>
        <v>700.42019112199841</v>
      </c>
      <c r="AC5" s="668">
        <f>допущения!$C$64*'Расходы на ЗП ТОР'!AE54</f>
        <v>395.10778332998018</v>
      </c>
      <c r="AD5" s="668">
        <f>допущения!$C$64*'Расходы на ЗП ТОР'!AF54</f>
        <v>416.61699731608309</v>
      </c>
      <c r="AE5" s="668">
        <f>допущения!$C$64*'Расходы на ЗП ТОР'!AG54</f>
        <v>416.61699731608309</v>
      </c>
      <c r="AF5" s="668">
        <f>допущения!$C$64*'Расходы на ЗП ТОР'!AH54</f>
        <v>740.24814957562216</v>
      </c>
      <c r="AG5" s="668">
        <f>допущения!$C$64*'Расходы на ЗП ТОР'!AI54</f>
        <v>416.61699731608309</v>
      </c>
      <c r="AH5" s="668">
        <f>допущения!$C$64*'Расходы на ЗП ТОР'!AJ54</f>
        <v>441.61401715504809</v>
      </c>
      <c r="AI5" s="668">
        <f>допущения!$C$64*'Расходы на ЗП ТОР'!AK54</f>
        <v>441.61401715504809</v>
      </c>
      <c r="AJ5" s="668">
        <f>допущения!$C$64*'Расходы на ЗП ТОР'!AL54</f>
        <v>784.66303855015974</v>
      </c>
      <c r="AK5" s="668">
        <f>допущения!$C$64*'Расходы на ЗП ТОР'!AM54</f>
        <v>441.61401715504809</v>
      </c>
      <c r="AL5" s="668">
        <f>допущения!$C$64*'Расходы на ЗП ТОР'!AN54</f>
        <v>468.110858184351</v>
      </c>
      <c r="AM5" s="668">
        <f>допущения!$C$64*'Расходы на ЗП ТОР'!AO54</f>
        <v>468.110858184351</v>
      </c>
      <c r="AN5" s="668">
        <f>допущения!$C$64*'Расходы на ЗП ТОР'!AP54</f>
        <v>831.74282086316941</v>
      </c>
      <c r="AO5" s="668">
        <f>допущения!$C$64*'Расходы на ЗП ТОР'!AQ54</f>
        <v>468.110858184351</v>
      </c>
      <c r="AP5" s="668">
        <f>AO5</f>
        <v>468.110858184351</v>
      </c>
      <c r="AQ5" s="668">
        <f t="shared" ref="AQ5:AS5" si="1">AP5</f>
        <v>468.110858184351</v>
      </c>
      <c r="AR5" s="668">
        <f t="shared" si="1"/>
        <v>468.110858184351</v>
      </c>
      <c r="AS5" s="668">
        <f t="shared" si="1"/>
        <v>468.110858184351</v>
      </c>
    </row>
    <row r="6" spans="1:45" s="669" customFormat="1" ht="65.25" customHeight="1" x14ac:dyDescent="0.25">
      <c r="A6" s="681" t="s">
        <v>495</v>
      </c>
      <c r="B6" s="668">
        <f>Себестоимость!C11</f>
        <v>0</v>
      </c>
      <c r="C6" s="668">
        <f>Себестоимость!D11</f>
        <v>0</v>
      </c>
      <c r="D6" s="668">
        <f>Себестоимость!E11</f>
        <v>28560</v>
      </c>
      <c r="E6" s="668">
        <f>Себестоимость!F11</f>
        <v>0</v>
      </c>
      <c r="F6" s="668">
        <f>Себестоимость!G11</f>
        <v>0</v>
      </c>
      <c r="G6" s="668">
        <f>Себестоимость!H11</f>
        <v>0</v>
      </c>
      <c r="H6" s="668">
        <f>Себестоимость!I11</f>
        <v>30273.600000000002</v>
      </c>
      <c r="I6" s="668">
        <f>Себестоимость!J11</f>
        <v>0</v>
      </c>
      <c r="J6" s="668">
        <f>Себестоимость!K11</f>
        <v>0</v>
      </c>
      <c r="K6" s="668">
        <f>Себестоимость!L11</f>
        <v>0</v>
      </c>
      <c r="L6" s="668">
        <f>Себестоимость!M11</f>
        <v>32090.016000000003</v>
      </c>
      <c r="M6" s="668">
        <f>Себестоимость!N11</f>
        <v>0</v>
      </c>
      <c r="N6" s="668">
        <f>Себестоимость!O11</f>
        <v>0</v>
      </c>
      <c r="O6" s="668">
        <f>Себестоимость!P11</f>
        <v>0</v>
      </c>
      <c r="P6" s="668">
        <f>Себестоимость!Q11</f>
        <v>34015.41696000001</v>
      </c>
      <c r="Q6" s="668">
        <f>Себестоимость!R11</f>
        <v>0</v>
      </c>
      <c r="R6" s="668">
        <f>Себестоимость!S11</f>
        <v>0</v>
      </c>
      <c r="S6" s="668">
        <f>Себестоимость!T11</f>
        <v>0</v>
      </c>
      <c r="T6" s="668">
        <f>Себестоимость!U11</f>
        <v>36056.341977600008</v>
      </c>
      <c r="U6" s="668">
        <f>Себестоимость!V11</f>
        <v>0</v>
      </c>
      <c r="V6" s="668">
        <f>Себестоимость!W11</f>
        <v>0</v>
      </c>
      <c r="W6" s="668">
        <f>Себестоимость!X11</f>
        <v>0</v>
      </c>
      <c r="X6" s="668">
        <f>Себестоимость!Y11</f>
        <v>38219.722496256007</v>
      </c>
      <c r="Y6" s="668">
        <f>Себестоимость!Z11</f>
        <v>0</v>
      </c>
      <c r="Z6" s="668">
        <f>Себестоимость!AA11</f>
        <v>0</v>
      </c>
      <c r="AA6" s="668">
        <f>Себестоимость!AB11</f>
        <v>0</v>
      </c>
      <c r="AB6" s="668">
        <f>Себестоимость!AC11</f>
        <v>40512.905846031375</v>
      </c>
      <c r="AC6" s="668">
        <f>Себестоимость!AD11</f>
        <v>0</v>
      </c>
      <c r="AD6" s="668">
        <f>Себестоимость!AE11</f>
        <v>0</v>
      </c>
      <c r="AE6" s="668">
        <f>Себестоимость!AF11</f>
        <v>0</v>
      </c>
      <c r="AF6" s="668">
        <f>Себестоимость!AG11</f>
        <v>42943.680196793262</v>
      </c>
      <c r="AG6" s="668">
        <f>Себестоимость!AH11</f>
        <v>0</v>
      </c>
      <c r="AH6" s="668">
        <f>Себестоимость!AI11</f>
        <v>0</v>
      </c>
      <c r="AI6" s="668">
        <f>Себестоимость!AJ11</f>
        <v>0</v>
      </c>
      <c r="AJ6" s="668">
        <f>Себестоимость!AK11</f>
        <v>45520.301008600865</v>
      </c>
      <c r="AK6" s="668">
        <f>Себестоимость!AL11</f>
        <v>0</v>
      </c>
      <c r="AL6" s="668">
        <f>Себестоимость!AM11</f>
        <v>0</v>
      </c>
      <c r="AM6" s="668">
        <f>Себестоимость!AN11</f>
        <v>0</v>
      </c>
      <c r="AN6" s="668">
        <f>Себестоимость!AO11</f>
        <v>48251.519069116919</v>
      </c>
      <c r="AO6" s="668">
        <f>Себестоимость!AP11</f>
        <v>0</v>
      </c>
      <c r="AP6" s="668">
        <f>Себестоимость!AQ11</f>
        <v>0</v>
      </c>
      <c r="AQ6" s="668">
        <f>Себестоимость!AR11</f>
        <v>0</v>
      </c>
      <c r="AR6" s="668">
        <f>Себестоимость!AS11</f>
        <v>51146.610213263935</v>
      </c>
      <c r="AS6" s="668">
        <f>Себестоимость!AT11</f>
        <v>0</v>
      </c>
    </row>
    <row r="7" spans="1:45" s="672" customFormat="1" x14ac:dyDescent="0.25">
      <c r="A7" s="670" t="s">
        <v>426</v>
      </c>
      <c r="B7" s="671">
        <f>Себестоимость!C13</f>
        <v>0</v>
      </c>
      <c r="C7" s="671">
        <f>Себестоимость!D13</f>
        <v>50</v>
      </c>
      <c r="D7" s="671">
        <f>Себестоимость!E13</f>
        <v>89.25</v>
      </c>
      <c r="E7" s="671">
        <f>Себестоимость!F13</f>
        <v>343.86333333333334</v>
      </c>
      <c r="F7" s="671">
        <f>Себестоимость!G13</f>
        <v>561.92164000000014</v>
      </c>
      <c r="G7" s="671">
        <f>Себестоимость!H13</f>
        <v>561.92164000000002</v>
      </c>
      <c r="H7" s="671">
        <f>Себестоимость!I13</f>
        <v>561.92164000000002</v>
      </c>
      <c r="I7" s="671">
        <f>Себестоимость!J13</f>
        <v>561.92164000000002</v>
      </c>
      <c r="J7" s="671">
        <f>Себестоимость!K13</f>
        <v>573.64573840000003</v>
      </c>
      <c r="K7" s="671">
        <f>Себестоимость!L13</f>
        <v>595.63693840000008</v>
      </c>
      <c r="L7" s="671">
        <f>Себестоимость!M13</f>
        <v>595.63693840000008</v>
      </c>
      <c r="M7" s="671">
        <f>Себестоимость!N13</f>
        <v>595.63693840000008</v>
      </c>
      <c r="N7" s="671">
        <f>Себестоимость!O13</f>
        <v>608.06448270400006</v>
      </c>
      <c r="O7" s="671">
        <f>Себестоимость!P13</f>
        <v>631.37515470400001</v>
      </c>
      <c r="P7" s="671">
        <f>Себестоимость!Q13</f>
        <v>631.37515470400001</v>
      </c>
      <c r="Q7" s="671">
        <f>Себестоимость!R13</f>
        <v>631.37515470400001</v>
      </c>
      <c r="R7" s="671">
        <f>Себестоимость!S13</f>
        <v>644.54835166624002</v>
      </c>
      <c r="S7" s="671">
        <f>Себестоимость!T13</f>
        <v>669.25766398624</v>
      </c>
      <c r="T7" s="671">
        <f>Себестоимость!U13</f>
        <v>669.25766398624</v>
      </c>
      <c r="U7" s="671">
        <f>Себестоимость!V13</f>
        <v>669.25766398624</v>
      </c>
      <c r="V7" s="671">
        <f>Себестоимость!W13</f>
        <v>683.22125276621432</v>
      </c>
      <c r="W7" s="671">
        <f>Себестоимость!X13</f>
        <v>709.41312382541446</v>
      </c>
      <c r="X7" s="671">
        <f>Себестоимость!Y13</f>
        <v>709.41312382541446</v>
      </c>
      <c r="Y7" s="671">
        <f>Себестоимость!Z13</f>
        <v>709.41312382541446</v>
      </c>
      <c r="Z7" s="671">
        <f>Себестоимость!AA13</f>
        <v>724.21452793218748</v>
      </c>
      <c r="AA7" s="671">
        <f>Себестоимость!AB13</f>
        <v>751.9779112549395</v>
      </c>
      <c r="AB7" s="671">
        <f>Себестоимость!AC13</f>
        <v>751.9779112549395</v>
      </c>
      <c r="AC7" s="671">
        <f>Себестоимость!AD13</f>
        <v>751.9779112549395</v>
      </c>
      <c r="AD7" s="671">
        <f>Себестоимость!AE13</f>
        <v>767.66739960811879</v>
      </c>
      <c r="AE7" s="671">
        <f>Себестоимость!AF13</f>
        <v>797.09658593023585</v>
      </c>
      <c r="AF7" s="671">
        <f>Себестоимость!AG13</f>
        <v>797.09658593023585</v>
      </c>
      <c r="AG7" s="671">
        <f>Себестоимость!AH13</f>
        <v>797.09658593023585</v>
      </c>
      <c r="AH7" s="671">
        <f>Себестоимость!AI13</f>
        <v>813.72744358460579</v>
      </c>
      <c r="AI7" s="671">
        <f>Себестоимость!AJ13</f>
        <v>844.92238108605</v>
      </c>
      <c r="AJ7" s="671">
        <f>Себестоимость!AK13</f>
        <v>844.92238108605</v>
      </c>
      <c r="AK7" s="671">
        <f>Себестоимость!AL13</f>
        <v>844.92238108605</v>
      </c>
      <c r="AL7" s="671">
        <f>Себестоимость!AM13</f>
        <v>862.55109019968222</v>
      </c>
      <c r="AM7" s="671">
        <f>Себестоимость!AN13</f>
        <v>930.66835572783589</v>
      </c>
      <c r="AN7" s="671">
        <f>Себестоимость!AO13</f>
        <v>930.66835572783589</v>
      </c>
      <c r="AO7" s="671">
        <f>Себестоимость!AP13</f>
        <v>930.66835572783589</v>
      </c>
      <c r="AP7" s="671">
        <f>Себестоимость!AQ13</f>
        <v>949.3547873882859</v>
      </c>
      <c r="AQ7" s="671">
        <f>Себестоимость!AR13</f>
        <v>949.3547873882859</v>
      </c>
      <c r="AR7" s="671">
        <f>Себестоимость!AS13</f>
        <v>949.3547873882859</v>
      </c>
      <c r="AS7" s="671">
        <f>Себестоимость!AT13</f>
        <v>949.3547873882859</v>
      </c>
    </row>
    <row r="8" spans="1:45" s="669" customFormat="1" ht="30" x14ac:dyDescent="0.25">
      <c r="A8" s="670" t="s">
        <v>427</v>
      </c>
      <c r="B8" s="668">
        <f>Себестоимость!C14</f>
        <v>0</v>
      </c>
      <c r="C8" s="668">
        <f>Себестоимость!D14</f>
        <v>735.14467500000001</v>
      </c>
      <c r="D8" s="668">
        <f>Себестоимость!E14</f>
        <v>1715.337575</v>
      </c>
      <c r="E8" s="668">
        <f>Себестоимость!F14</f>
        <v>2450.48225</v>
      </c>
      <c r="F8" s="668">
        <f>Себестоимость!G14</f>
        <v>2450.48225</v>
      </c>
      <c r="G8" s="668">
        <f>Себестоимость!H14</f>
        <v>1715.337575</v>
      </c>
      <c r="H8" s="668">
        <f>Себестоимость!I14</f>
        <v>1715.337575</v>
      </c>
      <c r="I8" s="668">
        <f>Себестоимость!J14</f>
        <v>2450.48225</v>
      </c>
      <c r="J8" s="668">
        <f>Себестоимость!K14</f>
        <v>2450.48225</v>
      </c>
      <c r="K8" s="668">
        <f>Себестоимость!L14</f>
        <v>1715.337575</v>
      </c>
      <c r="L8" s="668">
        <f>Себестоимость!M14</f>
        <v>1715.337575</v>
      </c>
      <c r="M8" s="668">
        <f>Себестоимость!N14</f>
        <v>2450.48225</v>
      </c>
      <c r="N8" s="668">
        <f>Себестоимость!O14</f>
        <v>2450.48225</v>
      </c>
      <c r="O8" s="668">
        <f>Себестоимость!P14</f>
        <v>1715.337575</v>
      </c>
      <c r="P8" s="668">
        <f>Себестоимость!Q14</f>
        <v>1715.337575</v>
      </c>
      <c r="Q8" s="668">
        <f>Себестоимость!R14</f>
        <v>2450.48225</v>
      </c>
      <c r="R8" s="668">
        <f>Себестоимость!S14</f>
        <v>2450.48225</v>
      </c>
      <c r="S8" s="668">
        <f>Себестоимость!T14</f>
        <v>1715.337575</v>
      </c>
      <c r="T8" s="668">
        <f>Себестоимость!U14</f>
        <v>1715.337575</v>
      </c>
      <c r="U8" s="668">
        <f>Себестоимость!V14</f>
        <v>2450.48225</v>
      </c>
      <c r="V8" s="668">
        <f>Себестоимость!W14</f>
        <v>2450.48225</v>
      </c>
      <c r="W8" s="668">
        <f>Себестоимость!X14</f>
        <v>1715.337575</v>
      </c>
      <c r="X8" s="668">
        <f>Себестоимость!Y14</f>
        <v>1715.337575</v>
      </c>
      <c r="Y8" s="668">
        <f>Себестоимость!Z14</f>
        <v>2450.48225</v>
      </c>
      <c r="Z8" s="668">
        <f>Себестоимость!AA14</f>
        <v>2450.48225</v>
      </c>
      <c r="AA8" s="668">
        <f>Себестоимость!AB14</f>
        <v>1715.337575</v>
      </c>
      <c r="AB8" s="668">
        <f>Себестоимость!AC14</f>
        <v>1715.337575</v>
      </c>
      <c r="AC8" s="668">
        <f>Себестоимость!AD14</f>
        <v>2450.48225</v>
      </c>
      <c r="AD8" s="668">
        <f>Себестоимость!AE14</f>
        <v>2450.48225</v>
      </c>
      <c r="AE8" s="668">
        <f>Себестоимость!AF14</f>
        <v>1715.337575</v>
      </c>
      <c r="AF8" s="668">
        <f>Себестоимость!AG14</f>
        <v>1715.337575</v>
      </c>
      <c r="AG8" s="668">
        <f>Себестоимость!AH14</f>
        <v>2450.48225</v>
      </c>
      <c r="AH8" s="668">
        <f>Себестоимость!AI14</f>
        <v>2450.48225</v>
      </c>
      <c r="AI8" s="668">
        <f>Себестоимость!AJ14</f>
        <v>1715.337575</v>
      </c>
      <c r="AJ8" s="668">
        <f>Себестоимость!AK14</f>
        <v>1715.337575</v>
      </c>
      <c r="AK8" s="668">
        <f>Себестоимость!AL14</f>
        <v>2450.48225</v>
      </c>
      <c r="AL8" s="668">
        <f>Себестоимость!AM14</f>
        <v>2450.48225</v>
      </c>
      <c r="AM8" s="668">
        <f>Себестоимость!AN14</f>
        <v>1715.337575</v>
      </c>
      <c r="AN8" s="668">
        <f>Себестоимость!AO14</f>
        <v>1715.337575</v>
      </c>
      <c r="AO8" s="668">
        <f>Себестоимость!AP14</f>
        <v>2450.48225</v>
      </c>
      <c r="AP8" s="668">
        <f>Себестоимость!AQ14</f>
        <v>2450.48225</v>
      </c>
      <c r="AQ8" s="668">
        <f>Себестоимость!AR14</f>
        <v>1715.337575</v>
      </c>
      <c r="AR8" s="668">
        <f>Себестоимость!AS14</f>
        <v>1715.337575</v>
      </c>
      <c r="AS8" s="668">
        <f>Себестоимость!AT14</f>
        <v>2450.48225</v>
      </c>
    </row>
    <row r="9" spans="1:45" s="669" customFormat="1" ht="30" x14ac:dyDescent="0.25">
      <c r="A9" s="670" t="s">
        <v>428</v>
      </c>
      <c r="B9" s="668">
        <f>Себестоимость!C18</f>
        <v>0</v>
      </c>
      <c r="C9" s="668">
        <f>Себестоимость!D18</f>
        <v>0</v>
      </c>
      <c r="D9" s="668">
        <f>Себестоимость!E18</f>
        <v>19.800450000000001</v>
      </c>
      <c r="E9" s="668">
        <f>Себестоимость!F18</f>
        <v>56.467950000000002</v>
      </c>
      <c r="F9" s="668">
        <f>Себестоимость!G18</f>
        <v>111.4692</v>
      </c>
      <c r="G9" s="668">
        <f>Себестоимость!H18</f>
        <v>111.4692</v>
      </c>
      <c r="H9" s="668">
        <f>Себестоимость!I18</f>
        <v>111.4692</v>
      </c>
      <c r="I9" s="668">
        <f>Себестоимость!J18</f>
        <v>111.4692</v>
      </c>
      <c r="J9" s="668">
        <f>Себестоимость!K18</f>
        <v>111.4692</v>
      </c>
      <c r="K9" s="668">
        <f>Себестоимость!L18</f>
        <v>111.4692</v>
      </c>
      <c r="L9" s="668">
        <f>Себестоимость!M18</f>
        <v>111.4692</v>
      </c>
      <c r="M9" s="668">
        <f>Себестоимость!N18</f>
        <v>111.4692</v>
      </c>
      <c r="N9" s="668">
        <f>Себестоимость!O18</f>
        <v>111.4692</v>
      </c>
      <c r="O9" s="668">
        <f>Себестоимость!P18</f>
        <v>111.4692</v>
      </c>
      <c r="P9" s="668">
        <f>Себестоимость!Q18</f>
        <v>111.4692</v>
      </c>
      <c r="Q9" s="668">
        <f>Себестоимость!R18</f>
        <v>111.4692</v>
      </c>
      <c r="R9" s="668">
        <f>Себестоимость!S18</f>
        <v>111.4692</v>
      </c>
      <c r="S9" s="668">
        <f>Себестоимость!T18</f>
        <v>111.4692</v>
      </c>
      <c r="T9" s="668">
        <f>Себестоимость!U18</f>
        <v>111.4692</v>
      </c>
      <c r="U9" s="668">
        <f>Себестоимость!V18</f>
        <v>111.4692</v>
      </c>
      <c r="V9" s="668">
        <f>Себестоимость!W18</f>
        <v>111.4692</v>
      </c>
      <c r="W9" s="668">
        <f>Себестоимость!X18</f>
        <v>111.4692</v>
      </c>
      <c r="X9" s="668">
        <f>Себестоимость!Y18</f>
        <v>111.4692</v>
      </c>
      <c r="Y9" s="668">
        <f>Себестоимость!Z18</f>
        <v>111.4692</v>
      </c>
      <c r="Z9" s="668">
        <f>Себестоимость!AA18</f>
        <v>111.4692</v>
      </c>
      <c r="AA9" s="668">
        <f>Себестоимость!AB18</f>
        <v>111.4692</v>
      </c>
      <c r="AB9" s="668">
        <f>Себестоимость!AC18</f>
        <v>111.4692</v>
      </c>
      <c r="AC9" s="668">
        <f>Себестоимость!AD18</f>
        <v>111.4692</v>
      </c>
      <c r="AD9" s="668">
        <f>Себестоимость!AE18</f>
        <v>111.4692</v>
      </c>
      <c r="AE9" s="668">
        <f>Себестоимость!AF18</f>
        <v>111.4692</v>
      </c>
      <c r="AF9" s="668">
        <f>Себестоимость!AG18</f>
        <v>111.4692</v>
      </c>
      <c r="AG9" s="668">
        <f>Себестоимость!AH18</f>
        <v>111.4692</v>
      </c>
      <c r="AH9" s="668">
        <f>Себестоимость!AI18</f>
        <v>111.4692</v>
      </c>
      <c r="AI9" s="668">
        <f>Себестоимость!AJ18</f>
        <v>111.4692</v>
      </c>
      <c r="AJ9" s="668">
        <f>Себестоимость!AK18</f>
        <v>111.4692</v>
      </c>
      <c r="AK9" s="668">
        <f>Себестоимость!AL18</f>
        <v>111.4692</v>
      </c>
      <c r="AL9" s="668">
        <f>Себестоимость!AM18</f>
        <v>111.4692</v>
      </c>
      <c r="AM9" s="668">
        <f>Себестоимость!AN18</f>
        <v>111.4692</v>
      </c>
      <c r="AN9" s="668">
        <f>Себестоимость!AO18</f>
        <v>111.4692</v>
      </c>
      <c r="AO9" s="668">
        <f>Себестоимость!AP18</f>
        <v>111.4692</v>
      </c>
      <c r="AP9" s="668">
        <f>Себестоимость!AQ18</f>
        <v>111.4692</v>
      </c>
      <c r="AQ9" s="668">
        <f>Себестоимость!AR18</f>
        <v>111.4692</v>
      </c>
      <c r="AR9" s="668">
        <f>Себестоимость!AS18</f>
        <v>111.4692</v>
      </c>
      <c r="AS9" s="668">
        <f>Себестоимость!AT18</f>
        <v>111.4692</v>
      </c>
    </row>
    <row r="10" spans="1:45" ht="34.5" customHeight="1" x14ac:dyDescent="0.25">
      <c r="A10" s="706" t="s">
        <v>545</v>
      </c>
      <c r="B10" s="183">
        <f>Себестоимость!C26</f>
        <v>0</v>
      </c>
      <c r="C10" s="183">
        <f>Себестоимость!D26</f>
        <v>0</v>
      </c>
      <c r="D10" s="183">
        <f>Себестоимость!E26</f>
        <v>35</v>
      </c>
      <c r="E10" s="183">
        <f>Себестоимость!F26</f>
        <v>35</v>
      </c>
      <c r="F10" s="183">
        <f>Себестоимость!G26</f>
        <v>35</v>
      </c>
      <c r="G10" s="183">
        <f>Себестоимость!H26</f>
        <v>35</v>
      </c>
      <c r="H10" s="183">
        <f>Себестоимость!I26</f>
        <v>35</v>
      </c>
      <c r="I10" s="183">
        <f>Себестоимость!J26</f>
        <v>35</v>
      </c>
      <c r="J10" s="183">
        <f>Себестоимость!K26</f>
        <v>35</v>
      </c>
      <c r="K10" s="183">
        <f>Себестоимость!L26</f>
        <v>35</v>
      </c>
      <c r="L10" s="183">
        <f>Себестоимость!M26</f>
        <v>35</v>
      </c>
      <c r="M10" s="183">
        <f>Себестоимость!N26</f>
        <v>35</v>
      </c>
      <c r="N10" s="183">
        <f>Себестоимость!O26</f>
        <v>35</v>
      </c>
      <c r="O10" s="183">
        <f>Себестоимость!P26</f>
        <v>35</v>
      </c>
      <c r="P10" s="183">
        <f>Себестоимость!Q26</f>
        <v>35</v>
      </c>
      <c r="Q10" s="183">
        <f>Себестоимость!R26</f>
        <v>35</v>
      </c>
      <c r="R10" s="183">
        <f>Себестоимость!S26</f>
        <v>35</v>
      </c>
      <c r="S10" s="183">
        <f>Себестоимость!T26</f>
        <v>35</v>
      </c>
      <c r="T10" s="183">
        <f>Себестоимость!U26</f>
        <v>35</v>
      </c>
      <c r="U10" s="183">
        <f>Себестоимость!V26</f>
        <v>35</v>
      </c>
      <c r="V10" s="183">
        <f>Себестоимость!W26</f>
        <v>35</v>
      </c>
      <c r="W10" s="183">
        <f>Себестоимость!X26</f>
        <v>35</v>
      </c>
      <c r="X10" s="183">
        <f>Себестоимость!Y26</f>
        <v>35</v>
      </c>
      <c r="Y10" s="183">
        <f>Себестоимость!Z26</f>
        <v>35</v>
      </c>
      <c r="Z10" s="183">
        <f>Себестоимость!AA26</f>
        <v>35</v>
      </c>
      <c r="AA10" s="183">
        <f>Себестоимость!AB26</f>
        <v>35</v>
      </c>
      <c r="AB10" s="183">
        <f>Себестоимость!AC26</f>
        <v>35</v>
      </c>
      <c r="AC10" s="183">
        <f>Себестоимость!AD26</f>
        <v>35</v>
      </c>
      <c r="AD10" s="183">
        <f>Себестоимость!AE26</f>
        <v>35</v>
      </c>
      <c r="AE10" s="183">
        <f>Себестоимость!AF26</f>
        <v>35</v>
      </c>
      <c r="AF10" s="183">
        <f>Себестоимость!AG26</f>
        <v>35</v>
      </c>
      <c r="AG10" s="183">
        <f>Себестоимость!AH26</f>
        <v>35</v>
      </c>
      <c r="AH10" s="183">
        <f>Себестоимость!AI26</f>
        <v>35</v>
      </c>
      <c r="AI10" s="183">
        <f>Себестоимость!AJ26</f>
        <v>35</v>
      </c>
      <c r="AJ10" s="183">
        <f>Себестоимость!AK26</f>
        <v>35</v>
      </c>
      <c r="AK10" s="183">
        <f>Себестоимость!AL26</f>
        <v>35</v>
      </c>
      <c r="AL10" s="183">
        <f>Себестоимость!AM26</f>
        <v>35</v>
      </c>
      <c r="AM10" s="183">
        <f>Себестоимость!AN26</f>
        <v>35</v>
      </c>
      <c r="AN10" s="183">
        <f>Себестоимость!AO26</f>
        <v>35</v>
      </c>
      <c r="AO10" s="183">
        <f>Себестоимость!AP26</f>
        <v>35</v>
      </c>
      <c r="AP10" s="183">
        <f>Себестоимость!AQ26</f>
        <v>35</v>
      </c>
      <c r="AQ10" s="183">
        <f>Себестоимость!AR26</f>
        <v>35</v>
      </c>
      <c r="AR10" s="183">
        <f>Себестоимость!AS26</f>
        <v>35</v>
      </c>
      <c r="AS10" s="183">
        <f>Себестоимость!AT26</f>
        <v>35</v>
      </c>
    </row>
    <row r="11" spans="1:45" s="669" customFormat="1" ht="30" x14ac:dyDescent="0.25">
      <c r="A11" s="673" t="s">
        <v>434</v>
      </c>
      <c r="B11" s="671">
        <f>Себестоимость!C16</f>
        <v>0</v>
      </c>
      <c r="C11" s="671">
        <f>Себестоимость!D16</f>
        <v>0</v>
      </c>
      <c r="D11" s="671">
        <f>Себестоимость!E16</f>
        <v>63.75</v>
      </c>
      <c r="E11" s="671">
        <f>Себестоимость!F16</f>
        <v>245.61666666666667</v>
      </c>
      <c r="F11" s="671">
        <f>Себестоимость!G16</f>
        <v>401.37260000000009</v>
      </c>
      <c r="G11" s="671">
        <f>Себестоимость!H16</f>
        <v>401.37260000000003</v>
      </c>
      <c r="H11" s="671">
        <f>Себестоимость!I16</f>
        <v>401.37260000000003</v>
      </c>
      <c r="I11" s="671">
        <f>Себестоимость!J16</f>
        <v>401.37260000000003</v>
      </c>
      <c r="J11" s="671">
        <f>Себестоимость!K16</f>
        <v>409.74695600000001</v>
      </c>
      <c r="K11" s="671">
        <f>Себестоимость!L16</f>
        <v>425.45495600000004</v>
      </c>
      <c r="L11" s="671">
        <f>Себестоимость!M16</f>
        <v>425.45495600000004</v>
      </c>
      <c r="M11" s="671">
        <f>Себестоимость!N16</f>
        <v>425.45495600000004</v>
      </c>
      <c r="N11" s="671">
        <f>Себестоимость!O16</f>
        <v>434.33177336</v>
      </c>
      <c r="O11" s="671">
        <f>Себестоимость!P16</f>
        <v>450.98225336000002</v>
      </c>
      <c r="P11" s="671">
        <f>Себестоимость!Q16</f>
        <v>450.98225336000002</v>
      </c>
      <c r="Q11" s="671">
        <f>Себестоимость!R16</f>
        <v>450.98225336000002</v>
      </c>
      <c r="R11" s="671">
        <f>Себестоимость!S16</f>
        <v>460.39167976160002</v>
      </c>
      <c r="S11" s="671">
        <f>Себестоимость!T16</f>
        <v>478.04118856159999</v>
      </c>
      <c r="T11" s="671">
        <f>Себестоимость!U16</f>
        <v>478.04118856159999</v>
      </c>
      <c r="U11" s="671">
        <f>Себестоимость!V16</f>
        <v>478.04118856159999</v>
      </c>
      <c r="V11" s="671">
        <f>Себестоимость!W16</f>
        <v>488.01518054729598</v>
      </c>
      <c r="W11" s="671">
        <f>Себестоимость!X16</f>
        <v>506.72365987529611</v>
      </c>
      <c r="X11" s="671">
        <f>Себестоимость!Y16</f>
        <v>506.72365987529611</v>
      </c>
      <c r="Y11" s="671">
        <f>Себестоимость!Z16</f>
        <v>506.72365987529611</v>
      </c>
      <c r="Z11" s="671">
        <f>Себестоимость!AA16</f>
        <v>517.29609138013393</v>
      </c>
      <c r="AA11" s="671">
        <f>Себестоимость!AB16</f>
        <v>537.12707946781393</v>
      </c>
      <c r="AB11" s="671">
        <f>Себестоимость!AC16</f>
        <v>537.12707946781393</v>
      </c>
      <c r="AC11" s="671">
        <f>Себестоимость!AD16</f>
        <v>537.12707946781393</v>
      </c>
      <c r="AD11" s="671">
        <f>Себестоимость!AE16</f>
        <v>548.33385686294196</v>
      </c>
      <c r="AE11" s="671">
        <f>Себестоимость!AF16</f>
        <v>569.35470423588276</v>
      </c>
      <c r="AF11" s="671">
        <f>Себестоимость!AG16</f>
        <v>569.35470423588276</v>
      </c>
      <c r="AG11" s="671">
        <f>Себестоимость!AH16</f>
        <v>569.35470423588276</v>
      </c>
      <c r="AH11" s="671">
        <f>Себестоимость!AI16</f>
        <v>581.23388827471842</v>
      </c>
      <c r="AI11" s="671">
        <f>Себестоимость!AJ16</f>
        <v>603.51598649003574</v>
      </c>
      <c r="AJ11" s="671">
        <f>Себестоимость!AK16</f>
        <v>603.51598649003574</v>
      </c>
      <c r="AK11" s="671">
        <f>Себестоимость!AL16</f>
        <v>603.51598649003574</v>
      </c>
      <c r="AL11" s="671">
        <f>Себестоимость!AM16</f>
        <v>616.10792157120159</v>
      </c>
      <c r="AM11" s="671">
        <f>Себестоимость!AN16</f>
        <v>664.76311123416849</v>
      </c>
      <c r="AN11" s="671">
        <f>Себестоимость!AO16</f>
        <v>664.76311123416849</v>
      </c>
      <c r="AO11" s="671">
        <f>Себестоимость!AP16</f>
        <v>664.76311123416849</v>
      </c>
      <c r="AP11" s="671">
        <f>Себестоимость!AQ16</f>
        <v>678.11056242020425</v>
      </c>
      <c r="AQ11" s="671">
        <f>Себестоимость!AR16</f>
        <v>678.11056242020425</v>
      </c>
      <c r="AR11" s="671">
        <f>Себестоимость!AS16</f>
        <v>678.11056242020425</v>
      </c>
      <c r="AS11" s="671">
        <f>Себестоимость!AT16</f>
        <v>678.11056242020425</v>
      </c>
    </row>
    <row r="12" spans="1:45" x14ac:dyDescent="0.25">
      <c r="A12" s="429" t="s">
        <v>239</v>
      </c>
      <c r="B12" s="183">
        <f>'Расходы на П, строит-во, ввод'!B26</f>
        <v>0</v>
      </c>
      <c r="C12" s="183">
        <f>'Расходы на П, строит-во, ввод'!C26</f>
        <v>0</v>
      </c>
      <c r="D12" s="183">
        <f>'Расходы на П, строит-во, ввод'!D26</f>
        <v>142.04545454545453</v>
      </c>
      <c r="E12" s="183">
        <f>'Расходы на П, строит-во, ввод'!E26</f>
        <v>1072.0454545454545</v>
      </c>
      <c r="F12" s="183">
        <f>'Расходы на П, строит-во, ввод'!F26</f>
        <v>1072.0454545454545</v>
      </c>
      <c r="G12" s="183">
        <f>'Расходы на П, строит-во, ввод'!G26</f>
        <v>1072.0454545454545</v>
      </c>
      <c r="H12" s="183">
        <f>'Расходы на П, строит-во, ввод'!H26</f>
        <v>1072.0454545454545</v>
      </c>
      <c r="I12" s="183">
        <f>'Расходы на П, строит-во, ввод'!I26</f>
        <v>1072.0454545454545</v>
      </c>
      <c r="J12" s="183">
        <f>'Расходы на П, строит-во, ввод'!J26</f>
        <v>1072.0454545454545</v>
      </c>
      <c r="K12" s="183">
        <f>'Расходы на П, строит-во, ввод'!K26</f>
        <v>1072.0454545454545</v>
      </c>
      <c r="L12" s="183">
        <f>'Расходы на П, строит-во, ввод'!L26</f>
        <v>1072.0454545454545</v>
      </c>
      <c r="M12" s="183">
        <f>'Расходы на П, строит-во, ввод'!M26</f>
        <v>1072.0454545454545</v>
      </c>
      <c r="N12" s="183">
        <f>'Расходы на П, строит-во, ввод'!N26</f>
        <v>1072.0454545454545</v>
      </c>
      <c r="O12" s="183">
        <f>'Расходы на П, строит-во, ввод'!O26</f>
        <v>1072.0454545454545</v>
      </c>
      <c r="P12" s="183">
        <f>'Расходы на П, строит-во, ввод'!P26</f>
        <v>1072.0454545454545</v>
      </c>
      <c r="Q12" s="183">
        <f>'Расходы на П, строит-во, ввод'!Q26</f>
        <v>1072.0454545454545</v>
      </c>
      <c r="R12" s="183">
        <f>'Расходы на П, строит-во, ввод'!R26</f>
        <v>1072.0454545454545</v>
      </c>
      <c r="S12" s="183">
        <f>'Расходы на П, строит-во, ввод'!S26</f>
        <v>1072.0454545454545</v>
      </c>
      <c r="T12" s="183">
        <f>'Расходы на П, строит-во, ввод'!T26</f>
        <v>1072.0454545454545</v>
      </c>
      <c r="U12" s="183">
        <f>'Расходы на П, строит-во, ввод'!U26</f>
        <v>1072.0454545454545</v>
      </c>
      <c r="V12" s="183">
        <f>'Расходы на П, строит-во, ввод'!V26</f>
        <v>1072.0454545454545</v>
      </c>
      <c r="W12" s="183">
        <f>'Расходы на П, строит-во, ввод'!W26</f>
        <v>1072.0454545454545</v>
      </c>
      <c r="X12" s="183">
        <f>'Расходы на П, строит-во, ввод'!X26</f>
        <v>1072.0454545454545</v>
      </c>
      <c r="Y12" s="183">
        <f>'Расходы на П, строит-во, ввод'!Y26</f>
        <v>1072.0454545454545</v>
      </c>
      <c r="Z12" s="183">
        <f>'Расходы на П, строит-во, ввод'!Z26</f>
        <v>1072.0454545454545</v>
      </c>
      <c r="AA12" s="183">
        <f>'Расходы на П, строит-во, ввод'!AA26</f>
        <v>1072.0454545454545</v>
      </c>
      <c r="AB12" s="183">
        <f>'Расходы на П, строит-во, ввод'!AB26</f>
        <v>1072.0454545454545</v>
      </c>
      <c r="AC12" s="183">
        <f>'Расходы на П, строит-во, ввод'!AC26</f>
        <v>1072.0454545454545</v>
      </c>
      <c r="AD12" s="183">
        <f>'Расходы на П, строит-во, ввод'!AD26</f>
        <v>1072.0454545454545</v>
      </c>
      <c r="AE12" s="183">
        <f>'Расходы на П, строит-во, ввод'!AE26</f>
        <v>1072.0454545454545</v>
      </c>
      <c r="AF12" s="183">
        <f>'Расходы на П, строит-во, ввод'!AF26</f>
        <v>1072.0454545454545</v>
      </c>
      <c r="AG12" s="183">
        <f>'Расходы на П, строит-во, ввод'!AG26</f>
        <v>1072.0454545454545</v>
      </c>
      <c r="AH12" s="183">
        <f>'Расходы на П, строит-во, ввод'!AH26</f>
        <v>1072.0454545454545</v>
      </c>
      <c r="AI12" s="183">
        <f>'Расходы на П, строит-во, ввод'!AI26</f>
        <v>1072.0454545454545</v>
      </c>
      <c r="AJ12" s="183">
        <f>'Расходы на П, строит-во, ввод'!AJ26</f>
        <v>1072.0454545454545</v>
      </c>
      <c r="AK12" s="183">
        <f>'Расходы на П, строит-во, ввод'!AK26</f>
        <v>1072.0454545454545</v>
      </c>
      <c r="AL12" s="183">
        <f>'Расходы на П, строит-во, ввод'!AL26</f>
        <v>1072.0454545454545</v>
      </c>
      <c r="AM12" s="183">
        <f>'Расходы на П, строит-во, ввод'!AM26</f>
        <v>1072.0454545454545</v>
      </c>
      <c r="AN12" s="183">
        <f>'Расходы на П, строит-во, ввод'!AN26</f>
        <v>1072.0454545454545</v>
      </c>
      <c r="AO12" s="183">
        <f>'Расходы на П, строит-во, ввод'!AO26</f>
        <v>1072.0454545454545</v>
      </c>
      <c r="AP12" s="183">
        <f>'Расходы на П, строит-во, ввод'!AP26</f>
        <v>1072.0454545454545</v>
      </c>
      <c r="AQ12" s="183">
        <f>'Расходы на П, строит-во, ввод'!AQ26</f>
        <v>1072.0454545454545</v>
      </c>
      <c r="AR12" s="183">
        <f>'Расходы на П, строит-во, ввод'!AR26</f>
        <v>1072.0454545454545</v>
      </c>
      <c r="AS12" s="183">
        <f>'Расходы на П, строит-во, ввод'!AS26</f>
        <v>1072.0454545454545</v>
      </c>
    </row>
    <row r="13" spans="1:45" x14ac:dyDescent="0.25">
      <c r="A13" s="185" t="s">
        <v>240</v>
      </c>
      <c r="B13" s="183"/>
      <c r="C13" s="183"/>
      <c r="D13" s="183"/>
      <c r="E13" s="184"/>
      <c r="F13" s="184"/>
      <c r="G13" s="184"/>
      <c r="H13" s="184"/>
      <c r="I13" s="184"/>
      <c r="J13" s="184"/>
      <c r="K13" s="184"/>
      <c r="L13" s="184"/>
      <c r="M13" s="184"/>
      <c r="N13" s="184"/>
      <c r="O13" s="184"/>
      <c r="P13" s="184"/>
      <c r="Q13" s="182"/>
      <c r="R13" s="182"/>
      <c r="S13" s="182"/>
      <c r="T13" s="182"/>
      <c r="U13" s="182"/>
      <c r="V13" s="182"/>
      <c r="W13" s="182"/>
      <c r="X13" s="182"/>
      <c r="Y13" s="182"/>
      <c r="Z13" s="182"/>
      <c r="AA13" s="182"/>
      <c r="AB13" s="182"/>
      <c r="AC13" s="182"/>
      <c r="AD13" s="182"/>
      <c r="AE13" s="182"/>
      <c r="AF13" s="182"/>
      <c r="AG13" s="182"/>
      <c r="AH13" s="182"/>
      <c r="AI13" s="182"/>
      <c r="AJ13" s="182"/>
      <c r="AK13" s="182"/>
      <c r="AL13" s="182"/>
      <c r="AM13" s="182"/>
      <c r="AN13" s="182"/>
      <c r="AO13" s="182"/>
      <c r="AP13" s="182"/>
      <c r="AQ13" s="182"/>
      <c r="AR13" s="182"/>
      <c r="AS13" s="182"/>
    </row>
    <row r="14" spans="1:45" s="669" customFormat="1" ht="15.75" x14ac:dyDescent="0.25">
      <c r="A14" s="684" t="s">
        <v>513</v>
      </c>
      <c r="B14" s="671">
        <f>B22-B21</f>
        <v>0</v>
      </c>
      <c r="C14" s="671">
        <f t="shared" ref="C14:AS14" si="2">C22-C21</f>
        <v>-185.72669500000001</v>
      </c>
      <c r="D14" s="671">
        <f t="shared" si="2"/>
        <v>-4919.1694450000005</v>
      </c>
      <c r="E14" s="671">
        <f t="shared" si="2"/>
        <v>-14185.114573333334</v>
      </c>
      <c r="F14" s="671">
        <f t="shared" si="2"/>
        <v>7199.307662000002</v>
      </c>
      <c r="G14" s="671">
        <f t="shared" si="2"/>
        <v>7346.3365970000013</v>
      </c>
      <c r="H14" s="671">
        <f t="shared" si="2"/>
        <v>1245.9871585999999</v>
      </c>
      <c r="I14" s="671">
        <f t="shared" si="2"/>
        <v>7199.3076620000011</v>
      </c>
      <c r="J14" s="671">
        <f t="shared" si="2"/>
        <v>7360.4193519200007</v>
      </c>
      <c r="K14" s="671">
        <f t="shared" si="2"/>
        <v>7814.0684469200005</v>
      </c>
      <c r="L14" s="671">
        <f t="shared" si="2"/>
        <v>1347.6980422160004</v>
      </c>
      <c r="M14" s="671">
        <f t="shared" si="2"/>
        <v>7667.0395119200002</v>
      </c>
      <c r="N14" s="671">
        <f t="shared" si="2"/>
        <v>7837.8179032352</v>
      </c>
      <c r="O14" s="671">
        <f t="shared" si="2"/>
        <v>8309.8642078352004</v>
      </c>
      <c r="P14" s="671">
        <f t="shared" si="2"/>
        <v>1455.5115788489584</v>
      </c>
      <c r="Q14" s="671">
        <f t="shared" si="2"/>
        <v>8162.8352728352011</v>
      </c>
      <c r="R14" s="671">
        <f t="shared" si="2"/>
        <v>8342.5263948293141</v>
      </c>
      <c r="S14" s="671">
        <f t="shared" si="2"/>
        <v>8834.0737416053125</v>
      </c>
      <c r="T14" s="671">
        <f t="shared" si="2"/>
        <v>1568.4599548798979</v>
      </c>
      <c r="U14" s="671">
        <f t="shared" si="2"/>
        <v>8687.0448066053123</v>
      </c>
      <c r="V14" s="671">
        <f t="shared" si="2"/>
        <v>8877.5173959190688</v>
      </c>
      <c r="W14" s="671">
        <f t="shared" si="2"/>
        <v>9389.7358474016328</v>
      </c>
      <c r="X14" s="671">
        <f t="shared" si="2"/>
        <v>1688.1852334726937</v>
      </c>
      <c r="Y14" s="671">
        <f t="shared" si="2"/>
        <v>9242.7069124016325</v>
      </c>
      <c r="Z14" s="671">
        <f t="shared" si="2"/>
        <v>9444.6078570742175</v>
      </c>
      <c r="AA14" s="671">
        <f t="shared" si="2"/>
        <v>9978.7376795457312</v>
      </c>
      <c r="AB14" s="671">
        <f t="shared" si="2"/>
        <v>1815.0940287810536</v>
      </c>
      <c r="AC14" s="671">
        <f t="shared" si="2"/>
        <v>9831.7087445457328</v>
      </c>
      <c r="AD14" s="671">
        <f t="shared" si="2"/>
        <v>10046.163196501413</v>
      </c>
      <c r="AE14" s="671">
        <f t="shared" si="2"/>
        <v>10603.519072221216</v>
      </c>
      <c r="AF14" s="671">
        <f t="shared" si="2"/>
        <v>1950.0568024106542</v>
      </c>
      <c r="AG14" s="671">
        <f t="shared" si="2"/>
        <v>10456.490137221215</v>
      </c>
      <c r="AH14" s="671">
        <f t="shared" si="2"/>
        <v>10683.372405691494</v>
      </c>
      <c r="AI14" s="671">
        <f t="shared" si="2"/>
        <v>11265.347897854488</v>
      </c>
      <c r="AJ14" s="671">
        <f t="shared" si="2"/>
        <v>2092.6778918552918</v>
      </c>
      <c r="AK14" s="671">
        <f t="shared" si="2"/>
        <v>11118.318962854488</v>
      </c>
      <c r="AL14" s="671">
        <f t="shared" si="2"/>
        <v>11358.814167432985</v>
      </c>
      <c r="AM14" s="671">
        <f t="shared" si="2"/>
        <v>12455.5924046541</v>
      </c>
      <c r="AN14" s="671">
        <f t="shared" si="2"/>
        <v>2732.5621982949524</v>
      </c>
      <c r="AO14" s="671">
        <f t="shared" si="2"/>
        <v>12308.5634696541</v>
      </c>
      <c r="AP14" s="671">
        <f t="shared" si="2"/>
        <v>12569.105716805516</v>
      </c>
      <c r="AQ14" s="671">
        <f t="shared" si="2"/>
        <v>12716.134651805516</v>
      </c>
      <c r="AR14" s="671">
        <f t="shared" si="2"/>
        <v>2486.8126091527301</v>
      </c>
      <c r="AS14" s="671">
        <f t="shared" si="2"/>
        <v>12569.105716805516</v>
      </c>
    </row>
    <row r="15" spans="1:45" ht="35.25" customHeight="1" x14ac:dyDescent="0.25">
      <c r="A15" s="676" t="s">
        <v>512</v>
      </c>
      <c r="B15" s="183">
        <f>'Расходы на П, строит-во, ввод'!B34</f>
        <v>0</v>
      </c>
      <c r="C15" s="183">
        <f>'Расходы на П, строит-во, ввод'!C34</f>
        <v>0</v>
      </c>
      <c r="D15" s="183">
        <f>'Расходы на П, строит-во, ввод'!D34</f>
        <v>0</v>
      </c>
      <c r="E15" s="183">
        <f>'Расходы на П, строит-во, ввод'!E34</f>
        <v>0</v>
      </c>
      <c r="F15" s="275">
        <f>'Расходы на П, строит-во, ввод'!F34</f>
        <v>0</v>
      </c>
      <c r="G15" s="275">
        <f>'Расходы на П, строит-во, ввод'!G34</f>
        <v>0</v>
      </c>
      <c r="H15" s="275">
        <f>'Расходы на П, строит-во, ввод'!H34</f>
        <v>0</v>
      </c>
      <c r="I15" s="275">
        <f>'Расходы на П, строит-во, ввод'!I34</f>
        <v>0</v>
      </c>
      <c r="J15" s="275">
        <f>'Расходы на П, строит-во, ввод'!J34</f>
        <v>0</v>
      </c>
      <c r="K15" s="275">
        <f>'Расходы на П, строит-во, ввод'!K34</f>
        <v>0</v>
      </c>
      <c r="L15" s="275">
        <f>'Расходы на П, строит-во, ввод'!L34</f>
        <v>0</v>
      </c>
      <c r="M15" s="275">
        <f>'Расходы на П, строит-во, ввод'!M34</f>
        <v>0</v>
      </c>
      <c r="N15" s="275">
        <f>'Расходы на П, строит-во, ввод'!N34</f>
        <v>0</v>
      </c>
      <c r="O15" s="275">
        <f>'Расходы на П, строит-во, ввод'!O34</f>
        <v>0</v>
      </c>
      <c r="P15" s="275">
        <f>'Расходы на П, строит-во, ввод'!P34</f>
        <v>0</v>
      </c>
      <c r="Q15" s="275">
        <f>'Расходы на П, строит-во, ввод'!Q34</f>
        <v>0</v>
      </c>
      <c r="R15" s="275">
        <f>'Расходы на П, строит-во, ввод'!R34</f>
        <v>0</v>
      </c>
      <c r="S15" s="275">
        <f>'Расходы на П, строит-во, ввод'!S34</f>
        <v>0</v>
      </c>
      <c r="T15" s="275">
        <f>'Расходы на П, строит-во, ввод'!T34</f>
        <v>0</v>
      </c>
      <c r="U15" s="275">
        <f>'Расходы на П, строит-во, ввод'!U34</f>
        <v>0</v>
      </c>
      <c r="V15" s="275">
        <f>'Расходы на П, строит-во, ввод'!V34</f>
        <v>0</v>
      </c>
      <c r="W15" s="275">
        <f>'Расходы на П, строит-во, ввод'!W34</f>
        <v>0</v>
      </c>
      <c r="X15" s="275">
        <f>'Расходы на П, строит-во, ввод'!X34</f>
        <v>0</v>
      </c>
      <c r="Y15" s="183">
        <f>'Расходы на П, строит-во, ввод'!Y34</f>
        <v>299.80500000000001</v>
      </c>
      <c r="Z15" s="183">
        <f>'Расходы на П, строит-во, ввод'!Z34</f>
        <v>296.01</v>
      </c>
      <c r="AA15" s="183">
        <f>'Расходы на П, строит-во, ввод'!AA34</f>
        <v>292.21499999999997</v>
      </c>
      <c r="AB15" s="183">
        <f>'Расходы на П, строит-во, ввод'!AB34</f>
        <v>288.41999999999996</v>
      </c>
      <c r="AC15" s="183">
        <f>'Расходы на П, строит-во, ввод'!AC34</f>
        <v>284.625</v>
      </c>
      <c r="AD15" s="183">
        <f>'Расходы на П, строит-во, ввод'!AD34</f>
        <v>280.83</v>
      </c>
      <c r="AE15" s="183">
        <f>'Расходы на П, строит-во, ввод'!AE34</f>
        <v>277.03499999999997</v>
      </c>
      <c r="AF15" s="183">
        <f>'Расходы на П, строит-во, ввод'!AF34</f>
        <v>273.24</v>
      </c>
      <c r="AG15" s="183">
        <f>'Расходы на П, строит-во, ввод'!AG34</f>
        <v>269.44499999999999</v>
      </c>
      <c r="AH15" s="183">
        <f>'Расходы на П, строит-во, ввод'!AH34</f>
        <v>265.64999999999998</v>
      </c>
      <c r="AI15" s="183">
        <f>'Расходы на П, строит-во, ввод'!AI34</f>
        <v>261.85499999999996</v>
      </c>
      <c r="AJ15" s="183">
        <f>'Расходы на П, строит-во, ввод'!AJ34</f>
        <v>258.06</v>
      </c>
      <c r="AK15" s="183">
        <f>'Расходы на П, строит-во, ввод'!AK34</f>
        <v>254.26499999999999</v>
      </c>
      <c r="AL15" s="183">
        <f>'Расходы на П, строит-во, ввод'!AL34</f>
        <v>250.47</v>
      </c>
      <c r="AM15" s="183">
        <f>'Расходы на П, строит-во, ввод'!AM34</f>
        <v>246.67499999999998</v>
      </c>
      <c r="AN15" s="183">
        <f>'Расходы на П, строит-во, ввод'!AN34</f>
        <v>242.88</v>
      </c>
      <c r="AO15" s="183">
        <f>'Расходы на П, строит-во, ввод'!AO34</f>
        <v>239.08499999999998</v>
      </c>
      <c r="AP15" s="183">
        <f>'Расходы на П, строит-во, ввод'!AP34</f>
        <v>235.29</v>
      </c>
      <c r="AQ15" s="183">
        <f>'Расходы на П, строит-во, ввод'!AQ34</f>
        <v>231.49499999999998</v>
      </c>
      <c r="AR15" s="183">
        <f>'Расходы на П, строит-во, ввод'!AR34</f>
        <v>227.7</v>
      </c>
      <c r="AS15" s="183">
        <f>'Расходы на П, строит-во, ввод'!AS34</f>
        <v>223.905</v>
      </c>
    </row>
    <row r="16" spans="1:45" ht="30.75" customHeight="1" x14ac:dyDescent="0.25">
      <c r="A16" s="676" t="s">
        <v>193</v>
      </c>
      <c r="B16" s="183">
        <f>'Расходы на П, строит-во, ввод'!B48</f>
        <v>0</v>
      </c>
      <c r="C16" s="183">
        <f>'Расходы на П, строит-во, ввод'!C48</f>
        <v>0</v>
      </c>
      <c r="D16" s="183">
        <f>'Расходы на П, строит-во, ввод'!D48</f>
        <v>0</v>
      </c>
      <c r="E16" s="183">
        <f>'Расходы на П, строит-во, ввод'!E48</f>
        <v>0</v>
      </c>
      <c r="F16" s="183">
        <f>'Расходы на П, строит-во, ввод'!F48</f>
        <v>0</v>
      </c>
      <c r="G16" s="183">
        <f>'Расходы на П, строит-во, ввод'!G48</f>
        <v>0</v>
      </c>
      <c r="H16" s="183">
        <f>'Расходы на П, строит-во, ввод'!H48</f>
        <v>0</v>
      </c>
      <c r="I16" s="183">
        <f>'Расходы на П, строит-во, ввод'!I48</f>
        <v>0</v>
      </c>
      <c r="J16" s="183">
        <f>'Расходы на П, строит-во, ввод'!J48</f>
        <v>0</v>
      </c>
      <c r="K16" s="183">
        <f>'Расходы на П, строит-во, ввод'!K48</f>
        <v>0</v>
      </c>
      <c r="L16" s="183">
        <f>'Расходы на П, строит-во, ввод'!L48</f>
        <v>0</v>
      </c>
      <c r="M16" s="183">
        <f>'Расходы на П, строит-во, ввод'!M48</f>
        <v>0</v>
      </c>
      <c r="N16" s="183">
        <f>'Расходы на П, строит-во, ввод'!N48</f>
        <v>0</v>
      </c>
      <c r="O16" s="183">
        <f>'Расходы на П, строит-во, ввод'!O48</f>
        <v>0</v>
      </c>
      <c r="P16" s="183">
        <f>'Расходы на П, строит-во, ввод'!P48</f>
        <v>0</v>
      </c>
      <c r="Q16" s="183">
        <f>'Расходы на П, строит-во, ввод'!Q48</f>
        <v>0</v>
      </c>
      <c r="R16" s="183">
        <f>'Расходы на П, строит-во, ввод'!R48</f>
        <v>0</v>
      </c>
      <c r="S16" s="183">
        <f>'Расходы на П, строит-во, ввод'!S48</f>
        <v>0</v>
      </c>
      <c r="T16" s="183">
        <f>'Расходы на П, строит-во, ввод'!T48</f>
        <v>0</v>
      </c>
      <c r="U16" s="183">
        <f>'Расходы на П, строит-во, ввод'!U48</f>
        <v>0</v>
      </c>
      <c r="V16" s="183">
        <f>'Расходы на П, строит-во, ввод'!V48</f>
        <v>0</v>
      </c>
      <c r="W16" s="183">
        <f>'Расходы на П, строит-во, ввод'!W48</f>
        <v>0</v>
      </c>
      <c r="X16" s="183">
        <f>'Расходы на П, строит-во, ввод'!X48</f>
        <v>0</v>
      </c>
      <c r="Y16" s="183">
        <f>'Расходы на П, строит-во, ввод'!Y48</f>
        <v>0</v>
      </c>
      <c r="Z16" s="183">
        <f>'Расходы на П, строит-во, ввод'!Z48</f>
        <v>0</v>
      </c>
      <c r="AA16" s="183">
        <f>'Расходы на П, строит-во, ввод'!AA48</f>
        <v>0</v>
      </c>
      <c r="AB16" s="183">
        <f>'Расходы на П, строит-во, ввод'!AB48</f>
        <v>0</v>
      </c>
      <c r="AC16" s="183">
        <f>'Расходы на П, строит-во, ввод'!AC48</f>
        <v>0</v>
      </c>
      <c r="AD16" s="183">
        <f>'Расходы на П, строит-во, ввод'!AD48</f>
        <v>0</v>
      </c>
      <c r="AE16" s="183">
        <f>'Расходы на П, строит-во, ввод'!AE48</f>
        <v>0</v>
      </c>
      <c r="AF16" s="183">
        <f>'Расходы на П, строит-во, ввод'!AF48</f>
        <v>0</v>
      </c>
      <c r="AG16" s="183">
        <f>'Расходы на П, строит-во, ввод'!AG48</f>
        <v>0</v>
      </c>
      <c r="AH16" s="183">
        <f>'Расходы на П, строит-во, ввод'!AH48</f>
        <v>0</v>
      </c>
      <c r="AI16" s="183">
        <f>'Расходы на П, строит-во, ввод'!AI48</f>
        <v>0</v>
      </c>
      <c r="AJ16" s="183">
        <f>'Расходы на П, строит-во, ввод'!AJ48</f>
        <v>0</v>
      </c>
      <c r="AK16" s="183">
        <f>'Расходы на П, строит-во, ввод'!AK48</f>
        <v>0</v>
      </c>
      <c r="AL16" s="183">
        <f>'Расходы на П, строит-во, ввод'!AL48</f>
        <v>0</v>
      </c>
      <c r="AM16" s="183">
        <f>'Расходы на П, строит-во, ввод'!AM48</f>
        <v>0</v>
      </c>
      <c r="AN16" s="183">
        <f>'Расходы на П, строит-во, ввод'!AN48</f>
        <v>0</v>
      </c>
      <c r="AO16" s="183">
        <f>'Расходы на П, строит-во, ввод'!AO48</f>
        <v>0</v>
      </c>
      <c r="AP16" s="183">
        <f>'Расходы на П, строит-во, ввод'!AP48</f>
        <v>0</v>
      </c>
      <c r="AQ16" s="183">
        <f>'Расходы на П, строит-во, ввод'!AQ48</f>
        <v>0</v>
      </c>
      <c r="AR16" s="183">
        <f>'Расходы на П, строит-во, ввод'!AR48</f>
        <v>0</v>
      </c>
      <c r="AS16" s="183">
        <f>'Расходы на П, строит-во, ввод'!AS48</f>
        <v>0</v>
      </c>
    </row>
    <row r="17" spans="1:47" ht="46.5" customHeight="1" x14ac:dyDescent="0.25">
      <c r="A17" s="529" t="s">
        <v>436</v>
      </c>
      <c r="B17" s="63"/>
      <c r="C17" s="63"/>
      <c r="D17" s="63"/>
      <c r="E17" s="182"/>
      <c r="F17" s="182"/>
      <c r="G17" s="182"/>
      <c r="H17" s="182"/>
      <c r="I17" s="182"/>
      <c r="J17" s="182">
        <f>допущения!$C$34/4*('Расходы на П, строит-во, ввод'!$R$3+'Расходы на П, строит-во, ввод'!$R$4+'Расходы на П, строит-во, ввод'!$R$6+'Расходы на П, строит-во, ввод'!$R$7+'Расходы на П, строит-во, ввод'!$R$8)/4</f>
        <v>61.5625</v>
      </c>
      <c r="K17" s="182">
        <f>J17</f>
        <v>61.5625</v>
      </c>
      <c r="L17" s="182">
        <f t="shared" ref="L17:AS17" si="3">K17</f>
        <v>61.5625</v>
      </c>
      <c r="M17" s="182">
        <f t="shared" si="3"/>
        <v>61.5625</v>
      </c>
      <c r="N17" s="182">
        <f t="shared" si="3"/>
        <v>61.5625</v>
      </c>
      <c r="O17" s="182">
        <f t="shared" si="3"/>
        <v>61.5625</v>
      </c>
      <c r="P17" s="182">
        <f t="shared" si="3"/>
        <v>61.5625</v>
      </c>
      <c r="Q17" s="182">
        <f t="shared" si="3"/>
        <v>61.5625</v>
      </c>
      <c r="R17" s="182">
        <f t="shared" si="3"/>
        <v>61.5625</v>
      </c>
      <c r="S17" s="182">
        <f t="shared" si="3"/>
        <v>61.5625</v>
      </c>
      <c r="T17" s="182">
        <f t="shared" si="3"/>
        <v>61.5625</v>
      </c>
      <c r="U17" s="182">
        <f t="shared" si="3"/>
        <v>61.5625</v>
      </c>
      <c r="V17" s="182">
        <f t="shared" si="3"/>
        <v>61.5625</v>
      </c>
      <c r="W17" s="182">
        <f t="shared" si="3"/>
        <v>61.5625</v>
      </c>
      <c r="X17" s="182">
        <f t="shared" si="3"/>
        <v>61.5625</v>
      </c>
      <c r="Y17" s="182">
        <f t="shared" si="3"/>
        <v>61.5625</v>
      </c>
      <c r="Z17" s="182">
        <f t="shared" si="3"/>
        <v>61.5625</v>
      </c>
      <c r="AA17" s="182">
        <f t="shared" si="3"/>
        <v>61.5625</v>
      </c>
      <c r="AB17" s="182">
        <f t="shared" si="3"/>
        <v>61.5625</v>
      </c>
      <c r="AC17" s="182">
        <f t="shared" si="3"/>
        <v>61.5625</v>
      </c>
      <c r="AD17" s="182">
        <f t="shared" si="3"/>
        <v>61.5625</v>
      </c>
      <c r="AE17" s="182">
        <f t="shared" si="3"/>
        <v>61.5625</v>
      </c>
      <c r="AF17" s="182">
        <f t="shared" si="3"/>
        <v>61.5625</v>
      </c>
      <c r="AG17" s="182">
        <f t="shared" si="3"/>
        <v>61.5625</v>
      </c>
      <c r="AH17" s="182">
        <f t="shared" si="3"/>
        <v>61.5625</v>
      </c>
      <c r="AI17" s="182">
        <f t="shared" si="3"/>
        <v>61.5625</v>
      </c>
      <c r="AJ17" s="182">
        <f t="shared" si="3"/>
        <v>61.5625</v>
      </c>
      <c r="AK17" s="182">
        <f t="shared" si="3"/>
        <v>61.5625</v>
      </c>
      <c r="AL17" s="182">
        <f t="shared" si="3"/>
        <v>61.5625</v>
      </c>
      <c r="AM17" s="182">
        <f t="shared" si="3"/>
        <v>61.5625</v>
      </c>
      <c r="AN17" s="182">
        <f t="shared" si="3"/>
        <v>61.5625</v>
      </c>
      <c r="AO17" s="182">
        <f t="shared" si="3"/>
        <v>61.5625</v>
      </c>
      <c r="AP17" s="182">
        <f t="shared" si="3"/>
        <v>61.5625</v>
      </c>
      <c r="AQ17" s="182">
        <f t="shared" si="3"/>
        <v>61.5625</v>
      </c>
      <c r="AR17" s="182">
        <f t="shared" si="3"/>
        <v>61.5625</v>
      </c>
      <c r="AS17" s="182">
        <f t="shared" si="3"/>
        <v>61.5625</v>
      </c>
    </row>
    <row r="18" spans="1:47" s="274" customFormat="1" x14ac:dyDescent="0.25">
      <c r="A18" s="272" t="s">
        <v>241</v>
      </c>
      <c r="B18" s="273">
        <f t="shared" ref="B18:AS18" si="4">SUM(B2:B17)</f>
        <v>1027.6124121</v>
      </c>
      <c r="C18" s="273">
        <f t="shared" si="4"/>
        <v>3137.0791921000005</v>
      </c>
      <c r="D18" s="273">
        <f t="shared" si="4"/>
        <v>34943.235646645451</v>
      </c>
      <c r="E18" s="273">
        <f t="shared" si="4"/>
        <v>-4546.8705066878792</v>
      </c>
      <c r="F18" s="273">
        <f t="shared" si="4"/>
        <v>17574.367218645457</v>
      </c>
      <c r="G18" s="273">
        <f t="shared" si="4"/>
        <v>16986.251478645456</v>
      </c>
      <c r="H18" s="273">
        <f t="shared" si="4"/>
        <v>45190.102432245461</v>
      </c>
      <c r="I18" s="273">
        <f t="shared" si="4"/>
        <v>17574.367218645457</v>
      </c>
      <c r="J18" s="273">
        <f t="shared" si="4"/>
        <v>18025.230158965456</v>
      </c>
      <c r="K18" s="273">
        <f t="shared" si="4"/>
        <v>17781.433778965453</v>
      </c>
      <c r="L18" s="273">
        <f t="shared" si="4"/>
        <v>47677.515789781457</v>
      </c>
      <c r="M18" s="273">
        <f t="shared" si="4"/>
        <v>18369.549518965454</v>
      </c>
      <c r="N18" s="273">
        <f t="shared" si="4"/>
        <v>18782.207985704656</v>
      </c>
      <c r="O18" s="273">
        <f t="shared" si="4"/>
        <v>18559.070767304656</v>
      </c>
      <c r="P18" s="273">
        <f t="shared" si="4"/>
        <v>50248.917698769619</v>
      </c>
      <c r="Q18" s="273">
        <f t="shared" si="4"/>
        <v>19147.186507304654</v>
      </c>
      <c r="R18" s="273">
        <f t="shared" si="4"/>
        <v>19701.104773248207</v>
      </c>
      <c r="S18" s="273">
        <f t="shared" si="4"/>
        <v>19499.866266144207</v>
      </c>
      <c r="T18" s="273">
        <f t="shared" si="4"/>
        <v>53091.104013497068</v>
      </c>
      <c r="U18" s="273">
        <f t="shared" si="4"/>
        <v>20087.982006144208</v>
      </c>
      <c r="V18" s="273">
        <f t="shared" si="4"/>
        <v>20675.135368044372</v>
      </c>
      <c r="W18" s="273">
        <f t="shared" si="4"/>
        <v>20497.109494914133</v>
      </c>
      <c r="X18" s="273">
        <f t="shared" si="4"/>
        <v>56103.821507108165</v>
      </c>
      <c r="Y18" s="273">
        <f t="shared" si="4"/>
        <v>21385.030234914135</v>
      </c>
      <c r="Z18" s="273">
        <f t="shared" si="4"/>
        <v>22003.61779852831</v>
      </c>
      <c r="AA18" s="273">
        <f t="shared" si="4"/>
        <v>21846.402317410259</v>
      </c>
      <c r="AB18" s="273">
        <f t="shared" si="4"/>
        <v>59585.722050335935</v>
      </c>
      <c r="AC18" s="273">
        <f t="shared" si="4"/>
        <v>22426.928057410259</v>
      </c>
      <c r="AD18" s="273">
        <f t="shared" si="4"/>
        <v>23044.479888868733</v>
      </c>
      <c r="AE18" s="273">
        <f t="shared" si="4"/>
        <v>22913.346123283587</v>
      </c>
      <c r="AF18" s="273">
        <f t="shared" si="4"/>
        <v>62917.252740184813</v>
      </c>
      <c r="AG18" s="273">
        <f t="shared" si="4"/>
        <v>23493.871863283588</v>
      </c>
      <c r="AH18" s="273">
        <f t="shared" si="4"/>
        <v>24187.083190602123</v>
      </c>
      <c r="AI18" s="273">
        <f t="shared" si="4"/>
        <v>24083.596043481877</v>
      </c>
      <c r="AJ18" s="273">
        <f t="shared" si="4"/>
        <v>66487.964757397174</v>
      </c>
      <c r="AK18" s="273">
        <f t="shared" si="4"/>
        <v>24664.121783481874</v>
      </c>
      <c r="AL18" s="273">
        <f t="shared" si="4"/>
        <v>25399.153490439523</v>
      </c>
      <c r="AM18" s="273">
        <f t="shared" si="4"/>
        <v>25873.764507851756</v>
      </c>
      <c r="AN18" s="273">
        <f t="shared" si="4"/>
        <v>70822.623044602005</v>
      </c>
      <c r="AO18" s="273">
        <f t="shared" si="4"/>
        <v>26454.290247851757</v>
      </c>
      <c r="AP18" s="273">
        <f t="shared" si="4"/>
        <v>26743.071377849661</v>
      </c>
      <c r="AQ18" s="273">
        <f t="shared" si="4"/>
        <v>26151.160637849662</v>
      </c>
      <c r="AR18" s="273">
        <f t="shared" si="4"/>
        <v>67064.653808460804</v>
      </c>
      <c r="AS18" s="273">
        <f t="shared" si="4"/>
        <v>26731.686377849659</v>
      </c>
    </row>
    <row r="19" spans="1:47" s="280" customFormat="1" ht="30" x14ac:dyDescent="0.25">
      <c r="A19" s="276" t="s">
        <v>242</v>
      </c>
      <c r="B19" s="277"/>
      <c r="C19" s="277"/>
      <c r="D19" s="277"/>
      <c r="E19" s="278">
        <f>B18+C18+D18+E18</f>
        <v>34561.056744157569</v>
      </c>
      <c r="F19" s="278"/>
      <c r="G19" s="278"/>
      <c r="H19" s="278"/>
      <c r="I19" s="279">
        <f>F18+G18+H18+I18</f>
        <v>97325.088348181831</v>
      </c>
      <c r="J19" s="278"/>
      <c r="K19" s="278"/>
      <c r="L19" s="278"/>
      <c r="M19" s="278">
        <f>J18+K18+L18+M18</f>
        <v>101853.7292466778</v>
      </c>
      <c r="N19" s="278"/>
      <c r="O19" s="278"/>
      <c r="P19" s="278"/>
      <c r="Q19" s="278">
        <f>N18+O18+P18+Q18</f>
        <v>106737.38295908358</v>
      </c>
      <c r="R19" s="278"/>
      <c r="S19" s="278"/>
      <c r="T19" s="278"/>
      <c r="U19" s="278">
        <f>R18+S18+T18+U18</f>
        <v>112380.05705903369</v>
      </c>
      <c r="V19" s="278"/>
      <c r="W19" s="278"/>
      <c r="X19" s="278"/>
      <c r="Y19" s="278">
        <f>V18+W18+X18+Y18</f>
        <v>118661.09660498079</v>
      </c>
      <c r="Z19" s="278"/>
      <c r="AA19" s="278"/>
      <c r="AB19" s="278"/>
      <c r="AC19" s="278">
        <f>Z18+AA18+AB18+AC18</f>
        <v>125862.67022368476</v>
      </c>
      <c r="AD19" s="278"/>
      <c r="AE19" s="278"/>
      <c r="AF19" s="278"/>
      <c r="AG19" s="278">
        <f>AD18+AE18+AF18+AG18</f>
        <v>132368.95061562074</v>
      </c>
      <c r="AH19" s="278"/>
      <c r="AI19" s="278"/>
      <c r="AJ19" s="278"/>
      <c r="AK19" s="278">
        <f>AH18+AI18+AJ18+AK18</f>
        <v>139422.76577496305</v>
      </c>
      <c r="AL19" s="278"/>
      <c r="AM19" s="278"/>
      <c r="AN19" s="278"/>
      <c r="AO19" s="278">
        <f>AL18+AM18+AN18+AO18</f>
        <v>148549.83129074503</v>
      </c>
      <c r="AP19" s="278"/>
      <c r="AQ19" s="278"/>
      <c r="AR19" s="278"/>
      <c r="AS19" s="278">
        <f>AP18+AQ18+AR18+AS18</f>
        <v>146690.57220200979</v>
      </c>
    </row>
    <row r="21" spans="1:47" x14ac:dyDescent="0.25">
      <c r="A21" s="674" t="s">
        <v>508</v>
      </c>
      <c r="B21" s="624">
        <f>допущения!$C$19*(SUM(B4:B9)+B11)</f>
        <v>0</v>
      </c>
      <c r="C21" s="624">
        <f>допущения!$C$19*(SUM(C4:C9)+C11)</f>
        <v>185.72669500000001</v>
      </c>
      <c r="D21" s="624">
        <f>допущения!$C$19*(SUM(D4:D9)+D11)</f>
        <v>6194.1694450000005</v>
      </c>
      <c r="E21" s="624">
        <f>допущения!$C$19*(SUM(E4:E9)+E11)+'Расходы на П, строит-во, ввод'!B15</f>
        <v>19097.447906666668</v>
      </c>
      <c r="F21" s="624">
        <f>допущения!$C$19*(SUM(F4:F9)+F11)</f>
        <v>828.14433800000006</v>
      </c>
      <c r="G21" s="624">
        <f>допущения!$C$19*(SUM(G4:G9)+G11)</f>
        <v>681.11540300000013</v>
      </c>
      <c r="H21" s="624">
        <f>допущения!$C$19*(SUM(H4:H9)+H11)</f>
        <v>6781.4648414000012</v>
      </c>
      <c r="I21" s="624">
        <f>допущения!$C$19*(SUM(I4:I9)+I11)</f>
        <v>828.14433800000006</v>
      </c>
      <c r="J21" s="624">
        <f>допущения!$C$19*(SUM(J4:J9)+J11)</f>
        <v>834.51976808000006</v>
      </c>
      <c r="K21" s="624">
        <f>допущения!$C$19*(SUM(K4:K9)+K11)</f>
        <v>695.03067308000004</v>
      </c>
      <c r="L21" s="624">
        <f>допущения!$C$19*(SUM(L4:L9)+L11)</f>
        <v>7161.4010777840003</v>
      </c>
      <c r="M21" s="624">
        <f>допущения!$C$19*(SUM(M4:M9)+M11)</f>
        <v>842.05960808000009</v>
      </c>
      <c r="N21" s="624">
        <f>допущения!$C$19*(SUM(N4:N9)+N11)</f>
        <v>848.8175639648</v>
      </c>
      <c r="O21" s="624">
        <f>допущения!$C$19*(SUM(O4:O9)+O11)</f>
        <v>709.78085936480011</v>
      </c>
      <c r="P21" s="624">
        <f>допущения!$C$19*(SUM(P4:P9)+P11)</f>
        <v>7564.1334883510426</v>
      </c>
      <c r="Q21" s="624">
        <f>допущения!$C$19*(SUM(Q4:Q9)+Q11)</f>
        <v>856.80979436480015</v>
      </c>
      <c r="R21" s="624">
        <f>допущения!$C$19*(SUM(R4:R9)+R11)</f>
        <v>865.30720040268807</v>
      </c>
      <c r="S21" s="624">
        <f>допущения!$C$19*(SUM(S4:S9)+S11)</f>
        <v>726.75002962668805</v>
      </c>
      <c r="T21" s="624">
        <f>допущения!$C$19*(SUM(T4:T9)+T11)</f>
        <v>7992.3638163521027</v>
      </c>
      <c r="U21" s="624">
        <f>допущения!$C$19*(SUM(U4:U9)+U11)</f>
        <v>873.77896462668798</v>
      </c>
      <c r="V21" s="624">
        <f>допущения!$C$19*(SUM(V4:V9)+V11)</f>
        <v>882.78621502684928</v>
      </c>
      <c r="W21" s="624">
        <f>допущения!$C$19*(SUM(W4:W9)+W11)</f>
        <v>744.73735010428936</v>
      </c>
      <c r="X21" s="624">
        <f>допущения!$C$19*(SUM(X4:X9)+X11)</f>
        <v>8446.2879640332285</v>
      </c>
      <c r="Y21" s="624">
        <f>допущения!$C$19*(SUM(Y4:Y9)+Y11)</f>
        <v>891.7662851042893</v>
      </c>
      <c r="Z21" s="624">
        <f>допущения!$C$19*(SUM(Z4:Z9)+Z11)</f>
        <v>901.31397052846046</v>
      </c>
      <c r="AA21" s="624">
        <f>допущения!$C$19*(SUM(AA4:AA9)+AA11)</f>
        <v>763.80390981054677</v>
      </c>
      <c r="AB21" s="624">
        <f>допущения!$C$19*(SUM(AB4:AB9)+AB11)</f>
        <v>8927.447560575225</v>
      </c>
      <c r="AC21" s="624">
        <f>допущения!$C$19*(SUM(AC4:AC9)+AC11)</f>
        <v>910.8328448105467</v>
      </c>
      <c r="AD21" s="624">
        <f>допущения!$C$19*(SUM(AD4:AD9)+AD11)</f>
        <v>920.51394075742883</v>
      </c>
      <c r="AE21" s="624">
        <f>допущения!$C$19*(SUM(AE4:AE9)+AE11)</f>
        <v>783.57501249644042</v>
      </c>
      <c r="AF21" s="624">
        <f>допущения!$C$19*(SUM(AF4:AF9)+AF11)</f>
        <v>9437.0372823070011</v>
      </c>
      <c r="AG21" s="624">
        <f>допущения!$C$19*(SUM(AG4:AG9)+AG11)</f>
        <v>930.60394749644047</v>
      </c>
      <c r="AH21" s="624">
        <f>допущения!$C$19*(SUM(AH4:AH9)+AH11)</f>
        <v>941.30535980287448</v>
      </c>
      <c r="AI21" s="624">
        <f>допущения!$C$19*(SUM(AI4:AI9)+AI11)</f>
        <v>804.97183194622676</v>
      </c>
      <c r="AJ21" s="624">
        <f>допущения!$C$19*(SUM(AJ4:AJ9)+AJ11)</f>
        <v>9977.6418379454226</v>
      </c>
      <c r="AK21" s="624">
        <f>допущения!$C$19*(SUM(AK4:AK9)+AK11)</f>
        <v>952.00076694622703</v>
      </c>
      <c r="AL21" s="624">
        <f>допущения!$C$19*(SUM(AL4:AL9)+AL11)</f>
        <v>963.34426399104711</v>
      </c>
      <c r="AM21" s="624">
        <f>допущения!$C$19*(SUM(AM4:AM9)+AM11)</f>
        <v>839.66982002927114</v>
      </c>
      <c r="AN21" s="624">
        <f>допущения!$C$19*(SUM(AN4:AN9)+AN11)</f>
        <v>10562.700026388418</v>
      </c>
      <c r="AO21" s="624">
        <f>допущения!$C$19*(SUM(AO4:AO9)+AO11)</f>
        <v>986.69875502927118</v>
      </c>
      <c r="AP21" s="624">
        <f>допущения!$C$19*(SUM(AP4:AP9)+AP11)</f>
        <v>993.10553159856829</v>
      </c>
      <c r="AQ21" s="624">
        <f>допущения!$C$19*(SUM(AQ4:AQ9)+AQ11)</f>
        <v>846.07659659856824</v>
      </c>
      <c r="AR21" s="624">
        <f>допущения!$C$19*(SUM(AR4:AR9)+AR11)</f>
        <v>11075.398639251354</v>
      </c>
      <c r="AS21" s="624">
        <f>допущения!$C$19*(SUM(AS4:AS9)+AS11)</f>
        <v>993.10553159856829</v>
      </c>
    </row>
    <row r="22" spans="1:47" ht="15.75" x14ac:dyDescent="0.25">
      <c r="A22" s="130" t="s">
        <v>509</v>
      </c>
      <c r="B22" s="624">
        <f>допущения!$C$19*'выручка по кв и годам'!D6</f>
        <v>0</v>
      </c>
      <c r="C22" s="624">
        <f>допущения!$C$19*'выручка по кв и годам'!E6</f>
        <v>0</v>
      </c>
      <c r="D22" s="624">
        <f>допущения!$C$19*'выручка по кв и годам'!F6</f>
        <v>1275</v>
      </c>
      <c r="E22" s="677">
        <f>допущения!$C$19*'выручка по кв и годам'!G6</f>
        <v>4912.3333333333339</v>
      </c>
      <c r="F22" s="624">
        <f>допущения!$C$19*'выручка по кв и годам'!H6</f>
        <v>8027.452000000002</v>
      </c>
      <c r="G22" s="624">
        <f>допущения!$C$19*'выручка по кв и годам'!I6</f>
        <v>8027.4520000000011</v>
      </c>
      <c r="H22" s="624">
        <f>допущения!$C$19*'выручка по кв и годам'!J6</f>
        <v>8027.4520000000011</v>
      </c>
      <c r="I22" s="624">
        <f>допущения!$C$19*'выручка по кв и годам'!K6</f>
        <v>8027.4520000000011</v>
      </c>
      <c r="J22" s="624">
        <f>допущения!$C$19*'выручка по кв и годам'!L6</f>
        <v>8194.9391200000009</v>
      </c>
      <c r="K22" s="624">
        <f>допущения!$C$19*'выручка по кв и годам'!M6</f>
        <v>8509.0991200000008</v>
      </c>
      <c r="L22" s="624">
        <f>допущения!$C$19*'выручка по кв и годам'!N6</f>
        <v>8509.0991200000008</v>
      </c>
      <c r="M22" s="624">
        <f>допущения!$C$19*'выручка по кв и годам'!O6</f>
        <v>8509.0991200000008</v>
      </c>
      <c r="N22" s="624">
        <f>допущения!$C$19*'выручка по кв и годам'!P6</f>
        <v>8686.6354671999998</v>
      </c>
      <c r="O22" s="624">
        <f>допущения!$C$19*'выручка по кв и годам'!Q6</f>
        <v>9019.645067200001</v>
      </c>
      <c r="P22" s="624">
        <f>допущения!$C$19*'выручка по кв и годам'!R6</f>
        <v>9019.645067200001</v>
      </c>
      <c r="Q22" s="624">
        <f>допущения!$C$19*'выручка по кв и годам'!S6</f>
        <v>9019.645067200001</v>
      </c>
      <c r="R22" s="624">
        <f>допущения!$C$19*'выручка по кв и годам'!T6</f>
        <v>9207.8335952320012</v>
      </c>
      <c r="S22" s="624">
        <f>допущения!$C$19*'выручка по кв и годам'!U6</f>
        <v>9560.8237712320006</v>
      </c>
      <c r="T22" s="624">
        <f>допущения!$C$19*'выручка по кв и годам'!V6</f>
        <v>9560.8237712320006</v>
      </c>
      <c r="U22" s="624">
        <f>допущения!$C$19*'выручка по кв и годам'!W6</f>
        <v>9560.8237712320006</v>
      </c>
      <c r="V22" s="624">
        <f>допущения!$C$19*'выручка по кв и годам'!X6</f>
        <v>9760.303610945919</v>
      </c>
      <c r="W22" s="624">
        <f>допущения!$C$19*'выручка по кв и годам'!Y6</f>
        <v>10134.473197505922</v>
      </c>
      <c r="X22" s="624">
        <f>допущения!$C$19*'выручка по кв и годам'!Z6</f>
        <v>10134.473197505922</v>
      </c>
      <c r="Y22" s="624">
        <f>допущения!$C$19*'выручка по кв и годам'!AA6</f>
        <v>10134.473197505922</v>
      </c>
      <c r="Z22" s="624">
        <f>допущения!$C$19*'выручка по кв и годам'!AB6</f>
        <v>10345.921827602679</v>
      </c>
      <c r="AA22" s="624">
        <f>допущения!$C$19*'выручка по кв и годам'!AC6</f>
        <v>10742.541589356279</v>
      </c>
      <c r="AB22" s="624">
        <f>допущения!$C$19*'выручка по кв и годам'!AD6</f>
        <v>10742.541589356279</v>
      </c>
      <c r="AC22" s="624">
        <f>допущения!$C$19*'выручка по кв и годам'!AE6</f>
        <v>10742.541589356279</v>
      </c>
      <c r="AD22" s="624">
        <f>допущения!$C$19*'выручка по кв и годам'!AF6</f>
        <v>10966.677137258841</v>
      </c>
      <c r="AE22" s="624">
        <f>допущения!$C$19*'выручка по кв и годам'!AG6</f>
        <v>11387.094084717655</v>
      </c>
      <c r="AF22" s="624">
        <f>допущения!$C$19*'выручка по кв и годам'!AH6</f>
        <v>11387.094084717655</v>
      </c>
      <c r="AG22" s="624">
        <f>допущения!$C$19*'выручка по кв и годам'!AI6</f>
        <v>11387.094084717655</v>
      </c>
      <c r="AH22" s="624">
        <f>допущения!$C$19*'выручка по кв и годам'!AJ6</f>
        <v>11624.677765494369</v>
      </c>
      <c r="AI22" s="624">
        <f>допущения!$C$19*'выручка по кв и годам'!AK6</f>
        <v>12070.319729800714</v>
      </c>
      <c r="AJ22" s="624">
        <f>допущения!$C$19*'выручка по кв и годам'!AL6</f>
        <v>12070.319729800714</v>
      </c>
      <c r="AK22" s="624">
        <f>допущения!$C$19*'выручка по кв и годам'!AM6</f>
        <v>12070.319729800714</v>
      </c>
      <c r="AL22" s="624">
        <f>допущения!$C$19*'выручка по кв и годам'!AN6</f>
        <v>12322.158431424032</v>
      </c>
      <c r="AM22" s="624">
        <f>допущения!$C$19*'выручка по кв и годам'!AO6</f>
        <v>13295.262224683371</v>
      </c>
      <c r="AN22" s="624">
        <f>допущения!$C$19*'выручка по кв и годам'!AP6</f>
        <v>13295.262224683371</v>
      </c>
      <c r="AO22" s="624">
        <f>допущения!$C$19*'выручка по кв и годам'!AQ6</f>
        <v>13295.262224683371</v>
      </c>
      <c r="AP22" s="624">
        <f>допущения!$C$19*'выручка по кв и годам'!AR6</f>
        <v>13562.211248404084</v>
      </c>
      <c r="AQ22" s="624">
        <f>допущения!$C$19*'выручка по кв и годам'!AS6</f>
        <v>13562.211248404084</v>
      </c>
      <c r="AR22" s="624">
        <f>допущения!$C$19*'выручка по кв и годам'!AT6</f>
        <v>13562.211248404084</v>
      </c>
      <c r="AS22" s="624">
        <f>допущения!$C$19*'выручка по кв и годам'!AU6</f>
        <v>13562.211248404084</v>
      </c>
    </row>
    <row r="23" spans="1:47" x14ac:dyDescent="0.25">
      <c r="M23" s="186"/>
      <c r="N23" s="186"/>
      <c r="O23" s="186"/>
      <c r="P23" s="186"/>
    </row>
    <row r="24" spans="1:47" ht="30" x14ac:dyDescent="0.25">
      <c r="A24" s="475" t="s">
        <v>233</v>
      </c>
      <c r="B24" s="618" t="s">
        <v>42</v>
      </c>
      <c r="C24" s="618" t="s">
        <v>43</v>
      </c>
      <c r="D24" s="618" t="s">
        <v>44</v>
      </c>
      <c r="E24" s="618" t="s">
        <v>45</v>
      </c>
      <c r="F24" s="618" t="s">
        <v>46</v>
      </c>
      <c r="G24" s="618" t="s">
        <v>47</v>
      </c>
      <c r="H24" s="618" t="s">
        <v>48</v>
      </c>
      <c r="I24" s="618" t="s">
        <v>49</v>
      </c>
      <c r="J24" s="618" t="s">
        <v>50</v>
      </c>
      <c r="K24" s="618" t="s">
        <v>51</v>
      </c>
      <c r="L24" s="618" t="s">
        <v>52</v>
      </c>
      <c r="M24" s="186"/>
      <c r="N24" s="682"/>
      <c r="O24" s="186"/>
      <c r="P24" s="186"/>
    </row>
    <row r="25" spans="1:47" ht="30" x14ac:dyDescent="0.25">
      <c r="A25" s="476" t="str">
        <f t="shared" ref="A25:A36" si="5">A2</f>
        <v>Арендная плата за зем. Участок</v>
      </c>
      <c r="B25" s="477">
        <f t="shared" ref="B25:B36" si="6">SUM(B2:E2)</f>
        <v>10.769648399999999</v>
      </c>
      <c r="C25" s="477">
        <f>F2+G2+H2+I2</f>
        <v>10.769648399999999</v>
      </c>
      <c r="D25" s="477">
        <f t="shared" ref="D25:D35" si="7">J2+K2+L2+M2</f>
        <v>10.769648399999999</v>
      </c>
      <c r="E25" s="477">
        <f>N2+O2+P2+Q2</f>
        <v>10.769648399999999</v>
      </c>
      <c r="F25" s="477">
        <f>R2+S2+T2+U2</f>
        <v>10.769648399999999</v>
      </c>
      <c r="G25" s="477">
        <f t="shared" ref="G25:G35" si="8">V2+W2+X2+Y2</f>
        <v>10.769648399999999</v>
      </c>
      <c r="H25" s="477">
        <f t="shared" ref="H25:H35" si="9">Z2+AA2+AB2+AC2</f>
        <v>10.769648399999999</v>
      </c>
      <c r="I25" s="480">
        <f t="shared" ref="I25:I35" si="10">AD2+AE2+AF2+AG2</f>
        <v>10.769648399999999</v>
      </c>
      <c r="J25" s="480">
        <f t="shared" ref="J25:J35" si="11">AH2+AI2+AJ2+AK2</f>
        <v>10.769648399999999</v>
      </c>
      <c r="K25" s="480">
        <f t="shared" ref="K25:K35" si="12">AL2+AM2+AN2+AO2</f>
        <v>10.769648399999999</v>
      </c>
      <c r="L25" s="480">
        <f t="shared" ref="L25:L35" si="13">AP2+AQ2+AR2+AS2</f>
        <v>10.769648399999999</v>
      </c>
      <c r="M25" s="187"/>
      <c r="N25" s="683"/>
      <c r="O25" s="187"/>
      <c r="P25" s="187"/>
      <c r="AB25" s="188"/>
      <c r="AC25" s="188"/>
      <c r="AD25" s="188"/>
      <c r="AE25" s="188"/>
      <c r="AF25" s="188"/>
      <c r="AG25" s="188"/>
      <c r="AH25" s="188"/>
      <c r="AI25" s="188"/>
      <c r="AJ25" s="179"/>
      <c r="AK25" s="179"/>
      <c r="AL25" s="179"/>
      <c r="AM25" s="179"/>
      <c r="AN25" s="179"/>
      <c r="AO25" s="179"/>
      <c r="AP25" s="179"/>
      <c r="AQ25" s="179"/>
      <c r="AR25" s="179"/>
      <c r="AS25" s="179"/>
      <c r="AT25" s="179"/>
      <c r="AU25" s="179"/>
    </row>
    <row r="26" spans="1:47" ht="30" x14ac:dyDescent="0.25">
      <c r="A26" s="476" t="str">
        <f t="shared" si="5"/>
        <v>Заработная плата и страховые взносы</v>
      </c>
      <c r="B26" s="477">
        <f t="shared" si="6"/>
        <v>17252.82</v>
      </c>
      <c r="C26" s="477">
        <f>F3+G3+H3+I3</f>
        <v>24300.853199999998</v>
      </c>
      <c r="D26" s="477">
        <f t="shared" si="7"/>
        <v>25314.246792000002</v>
      </c>
      <c r="E26" s="477">
        <f>N3+O3+P3+Q3</f>
        <v>26388.443999520001</v>
      </c>
      <c r="F26" s="619">
        <f>R3+S3+T3+U3</f>
        <v>27971.750639491202</v>
      </c>
      <c r="G26" s="477">
        <f t="shared" si="8"/>
        <v>29650.055677860681</v>
      </c>
      <c r="H26" s="477">
        <f t="shared" si="9"/>
        <v>31429.059018532316</v>
      </c>
      <c r="I26" s="620">
        <f t="shared" si="10"/>
        <v>33168.319025397861</v>
      </c>
      <c r="J26" s="480">
        <f t="shared" si="11"/>
        <v>35158.418166921736</v>
      </c>
      <c r="K26" s="480">
        <f t="shared" si="12"/>
        <v>37267.923256937043</v>
      </c>
      <c r="L26" s="480">
        <f t="shared" si="13"/>
        <v>31207.390545623402</v>
      </c>
      <c r="M26" s="187"/>
      <c r="N26" s="187"/>
      <c r="O26" s="187"/>
      <c r="P26" s="187"/>
    </row>
    <row r="27" spans="1:47" ht="66" customHeight="1" x14ac:dyDescent="0.25">
      <c r="A27" s="476" t="str">
        <f t="shared" si="5"/>
        <v>Запасные части, комлектующие, обслуживание оборудования</v>
      </c>
      <c r="B27" s="477">
        <f t="shared" si="6"/>
        <v>0</v>
      </c>
      <c r="C27" s="477">
        <f>SUM(F4:I4)</f>
        <v>1232</v>
      </c>
      <c r="D27" s="477">
        <f t="shared" si="7"/>
        <v>1232</v>
      </c>
      <c r="E27" s="477">
        <f>SUM(N4:Q4)</f>
        <v>1232</v>
      </c>
      <c r="F27" s="477">
        <f>SUM(R4:U4)</f>
        <v>1232</v>
      </c>
      <c r="G27" s="477">
        <f t="shared" si="8"/>
        <v>1232</v>
      </c>
      <c r="H27" s="477">
        <f t="shared" si="9"/>
        <v>1232</v>
      </c>
      <c r="I27" s="480">
        <f t="shared" si="10"/>
        <v>1232</v>
      </c>
      <c r="J27" s="480">
        <f t="shared" si="11"/>
        <v>1232</v>
      </c>
      <c r="K27" s="480">
        <f t="shared" si="12"/>
        <v>1232</v>
      </c>
      <c r="L27" s="480">
        <f t="shared" si="13"/>
        <v>1232</v>
      </c>
      <c r="M27" s="187"/>
      <c r="N27" s="187"/>
      <c r="O27" s="187"/>
      <c r="P27" s="187"/>
      <c r="AC27" s="160"/>
      <c r="AD27" s="160"/>
      <c r="AE27" s="160"/>
      <c r="AF27" s="160"/>
      <c r="AG27" s="160"/>
      <c r="AH27" s="160"/>
      <c r="AI27" s="160"/>
    </row>
    <row r="28" spans="1:47" ht="45" x14ac:dyDescent="0.25">
      <c r="A28" s="476" t="str">
        <f t="shared" si="5"/>
        <v>Расходы на спецодежду, средства защиты</v>
      </c>
      <c r="B28" s="477">
        <f t="shared" si="6"/>
        <v>973.67399999999998</v>
      </c>
      <c r="C28" s="477">
        <f t="shared" ref="C28:C35" si="14">F5+G5+H5+I5</f>
        <v>1458.0511919999999</v>
      </c>
      <c r="D28" s="477">
        <f t="shared" si="7"/>
        <v>1518.8548075200001</v>
      </c>
      <c r="E28" s="477">
        <f t="shared" ref="E28:E35" si="15">N5+O5+P5+Q5</f>
        <v>1583.3066399712002</v>
      </c>
      <c r="F28" s="477">
        <f t="shared" ref="F28:F35" si="16">R5+S5+T5+U5</f>
        <v>1678.305038369472</v>
      </c>
      <c r="G28" s="477">
        <f t="shared" si="8"/>
        <v>1779.0033406716407</v>
      </c>
      <c r="H28" s="477">
        <f t="shared" si="9"/>
        <v>1885.7435411119391</v>
      </c>
      <c r="I28" s="480">
        <f t="shared" si="10"/>
        <v>1990.0991415238714</v>
      </c>
      <c r="J28" s="480">
        <f t="shared" si="11"/>
        <v>2109.5050900153042</v>
      </c>
      <c r="K28" s="480">
        <f t="shared" si="12"/>
        <v>2236.0753954162224</v>
      </c>
      <c r="L28" s="480">
        <f t="shared" si="13"/>
        <v>1872.443432737404</v>
      </c>
      <c r="M28" s="187"/>
      <c r="N28" s="187"/>
      <c r="O28" s="187"/>
      <c r="P28" s="187"/>
      <c r="AC28" s="160"/>
      <c r="AD28" s="160"/>
      <c r="AE28" s="160"/>
      <c r="AF28" s="160"/>
      <c r="AG28" s="160"/>
      <c r="AH28" s="160"/>
      <c r="AI28" s="160"/>
    </row>
    <row r="29" spans="1:47" ht="60" x14ac:dyDescent="0.25">
      <c r="A29" s="476" t="str">
        <f t="shared" si="5"/>
        <v>Расходы на товарооборот (закуп картофеля (август-октябрь))</v>
      </c>
      <c r="B29" s="477">
        <f t="shared" si="6"/>
        <v>28560</v>
      </c>
      <c r="C29" s="477">
        <f t="shared" si="14"/>
        <v>30273.600000000002</v>
      </c>
      <c r="D29" s="477">
        <f t="shared" si="7"/>
        <v>32090.016000000003</v>
      </c>
      <c r="E29" s="477">
        <f t="shared" si="15"/>
        <v>34015.41696000001</v>
      </c>
      <c r="F29" s="477">
        <f t="shared" si="16"/>
        <v>36056.341977600008</v>
      </c>
      <c r="G29" s="477">
        <f t="shared" si="8"/>
        <v>38219.722496256007</v>
      </c>
      <c r="H29" s="477">
        <f t="shared" si="9"/>
        <v>40512.905846031375</v>
      </c>
      <c r="I29" s="480">
        <f t="shared" si="10"/>
        <v>42943.680196793262</v>
      </c>
      <c r="J29" s="480">
        <f t="shared" si="11"/>
        <v>45520.301008600865</v>
      </c>
      <c r="K29" s="480">
        <f t="shared" si="12"/>
        <v>48251.519069116919</v>
      </c>
      <c r="L29" s="480">
        <f t="shared" si="13"/>
        <v>51146.610213263935</v>
      </c>
      <c r="M29" s="187"/>
      <c r="N29" s="187"/>
      <c r="O29" s="187"/>
      <c r="P29" s="187"/>
      <c r="AC29" s="160"/>
      <c r="AD29" s="160"/>
      <c r="AE29" s="160"/>
      <c r="AF29" s="160"/>
      <c r="AG29" s="160"/>
      <c r="AH29" s="160"/>
      <c r="AI29" s="160"/>
    </row>
    <row r="30" spans="1:47" x14ac:dyDescent="0.25">
      <c r="A30" s="476" t="str">
        <f t="shared" si="5"/>
        <v xml:space="preserve">Расходы на ДТ </v>
      </c>
      <c r="B30" s="477">
        <f t="shared" si="6"/>
        <v>483.11333333333334</v>
      </c>
      <c r="C30" s="477">
        <f t="shared" si="14"/>
        <v>2247.6865600000001</v>
      </c>
      <c r="D30" s="477">
        <f t="shared" si="7"/>
        <v>2360.5565535999999</v>
      </c>
      <c r="E30" s="477">
        <f t="shared" si="15"/>
        <v>2502.1899468160004</v>
      </c>
      <c r="F30" s="477">
        <f t="shared" si="16"/>
        <v>2652.3213436249598</v>
      </c>
      <c r="G30" s="477">
        <f t="shared" si="8"/>
        <v>2811.4606242424575</v>
      </c>
      <c r="H30" s="477">
        <f t="shared" si="9"/>
        <v>2980.1482616970061</v>
      </c>
      <c r="I30" s="480">
        <f t="shared" si="10"/>
        <v>3158.9571573988264</v>
      </c>
      <c r="J30" s="480">
        <f t="shared" si="11"/>
        <v>3348.4945868427558</v>
      </c>
      <c r="K30" s="480">
        <f t="shared" si="12"/>
        <v>3654.5561573831901</v>
      </c>
      <c r="L30" s="480">
        <f t="shared" si="13"/>
        <v>3797.4191495531436</v>
      </c>
      <c r="M30" s="187"/>
      <c r="N30" s="187"/>
      <c r="O30" s="187"/>
      <c r="P30" s="187"/>
      <c r="AC30" s="160"/>
      <c r="AD30" s="160"/>
      <c r="AE30" s="160"/>
      <c r="AF30" s="160"/>
      <c r="AG30" s="160"/>
      <c r="AH30" s="160"/>
      <c r="AI30" s="160"/>
    </row>
    <row r="31" spans="1:47" ht="30" x14ac:dyDescent="0.25">
      <c r="A31" s="476" t="str">
        <f t="shared" si="5"/>
        <v>Расходы на эл. Энергию</v>
      </c>
      <c r="B31" s="477">
        <f t="shared" si="6"/>
        <v>4900.9645</v>
      </c>
      <c r="C31" s="477">
        <f t="shared" si="14"/>
        <v>8331.639650000001</v>
      </c>
      <c r="D31" s="477">
        <f t="shared" si="7"/>
        <v>8331.639650000001</v>
      </c>
      <c r="E31" s="477">
        <f t="shared" si="15"/>
        <v>8331.639650000001</v>
      </c>
      <c r="F31" s="477">
        <f t="shared" si="16"/>
        <v>8331.639650000001</v>
      </c>
      <c r="G31" s="477">
        <f t="shared" si="8"/>
        <v>8331.639650000001</v>
      </c>
      <c r="H31" s="477">
        <f t="shared" si="9"/>
        <v>8331.639650000001</v>
      </c>
      <c r="I31" s="480">
        <f t="shared" si="10"/>
        <v>8331.639650000001</v>
      </c>
      <c r="J31" s="480">
        <f t="shared" si="11"/>
        <v>8331.639650000001</v>
      </c>
      <c r="K31" s="480">
        <f t="shared" si="12"/>
        <v>8331.639650000001</v>
      </c>
      <c r="L31" s="480">
        <f t="shared" si="13"/>
        <v>8331.639650000001</v>
      </c>
      <c r="M31" s="189"/>
      <c r="N31" s="189"/>
      <c r="O31" s="189"/>
      <c r="P31" s="189"/>
      <c r="AC31" s="160"/>
      <c r="AD31" s="160"/>
      <c r="AE31" s="160"/>
      <c r="AF31" s="160"/>
      <c r="AG31" s="160"/>
      <c r="AH31" s="160"/>
      <c r="AI31" s="160"/>
    </row>
    <row r="32" spans="1:47" ht="30" x14ac:dyDescent="0.25">
      <c r="A32" s="476" t="str">
        <f t="shared" si="5"/>
        <v>Коммунальные (в/с, в/о)</v>
      </c>
      <c r="B32" s="477">
        <f t="shared" si="6"/>
        <v>76.2684</v>
      </c>
      <c r="C32" s="477">
        <f t="shared" si="14"/>
        <v>445.8768</v>
      </c>
      <c r="D32" s="477">
        <f t="shared" si="7"/>
        <v>445.8768</v>
      </c>
      <c r="E32" s="477">
        <f t="shared" si="15"/>
        <v>445.8768</v>
      </c>
      <c r="F32" s="477">
        <f t="shared" si="16"/>
        <v>445.8768</v>
      </c>
      <c r="G32" s="477">
        <f t="shared" si="8"/>
        <v>445.8768</v>
      </c>
      <c r="H32" s="477">
        <f t="shared" si="9"/>
        <v>445.8768</v>
      </c>
      <c r="I32" s="480">
        <f t="shared" si="10"/>
        <v>445.8768</v>
      </c>
      <c r="J32" s="480">
        <f t="shared" si="11"/>
        <v>445.8768</v>
      </c>
      <c r="K32" s="480">
        <f t="shared" si="12"/>
        <v>445.8768</v>
      </c>
      <c r="L32" s="480">
        <f t="shared" si="13"/>
        <v>445.8768</v>
      </c>
      <c r="M32" s="187"/>
      <c r="N32" s="187"/>
      <c r="O32" s="187"/>
      <c r="P32" s="187"/>
      <c r="AC32" s="160"/>
      <c r="AD32" s="160"/>
      <c r="AE32" s="160"/>
      <c r="AF32" s="160"/>
      <c r="AG32" s="160"/>
      <c r="AH32" s="160"/>
      <c r="AI32" s="160"/>
    </row>
    <row r="33" spans="1:35" ht="30" x14ac:dyDescent="0.25">
      <c r="A33" s="476" t="str">
        <f t="shared" si="5"/>
        <v>Расходы на маркетинг</v>
      </c>
      <c r="B33" s="477">
        <f t="shared" si="6"/>
        <v>70</v>
      </c>
      <c r="C33" s="477">
        <f t="shared" si="14"/>
        <v>140</v>
      </c>
      <c r="D33" s="477">
        <f t="shared" si="7"/>
        <v>140</v>
      </c>
      <c r="E33" s="477">
        <f t="shared" si="15"/>
        <v>140</v>
      </c>
      <c r="F33" s="477">
        <f t="shared" si="16"/>
        <v>140</v>
      </c>
      <c r="G33" s="477">
        <f t="shared" si="8"/>
        <v>140</v>
      </c>
      <c r="H33" s="477">
        <f t="shared" si="9"/>
        <v>140</v>
      </c>
      <c r="I33" s="480">
        <f t="shared" si="10"/>
        <v>140</v>
      </c>
      <c r="J33" s="480">
        <f t="shared" si="11"/>
        <v>140</v>
      </c>
      <c r="K33" s="480">
        <f t="shared" si="12"/>
        <v>140</v>
      </c>
      <c r="L33" s="480">
        <f t="shared" si="13"/>
        <v>140</v>
      </c>
      <c r="M33" s="187"/>
      <c r="N33" s="682"/>
      <c r="O33" s="187"/>
      <c r="P33" s="187"/>
      <c r="AC33" s="160"/>
      <c r="AD33" s="160"/>
      <c r="AE33" s="160"/>
      <c r="AF33" s="160"/>
      <c r="AG33" s="160"/>
      <c r="AH33" s="160"/>
      <c r="AI33" s="160"/>
    </row>
    <row r="34" spans="1:35" ht="30" x14ac:dyDescent="0.25">
      <c r="A34" s="476" t="str">
        <f t="shared" si="5"/>
        <v>Расходы на тару, упаковку</v>
      </c>
      <c r="B34" s="477">
        <f t="shared" si="6"/>
        <v>309.36666666666667</v>
      </c>
      <c r="C34" s="477">
        <f t="shared" si="14"/>
        <v>1605.4904000000001</v>
      </c>
      <c r="D34" s="477">
        <f t="shared" si="7"/>
        <v>1686.1118240000001</v>
      </c>
      <c r="E34" s="477">
        <f t="shared" si="15"/>
        <v>1787.27853344</v>
      </c>
      <c r="F34" s="477">
        <f t="shared" si="16"/>
        <v>1894.5152454463998</v>
      </c>
      <c r="G34" s="477">
        <f t="shared" si="8"/>
        <v>2008.1861601731844</v>
      </c>
      <c r="H34" s="477">
        <f t="shared" si="9"/>
        <v>2128.6773297835757</v>
      </c>
      <c r="I34" s="480">
        <f t="shared" si="10"/>
        <v>2256.3979695705902</v>
      </c>
      <c r="J34" s="480">
        <f t="shared" si="11"/>
        <v>2391.7818477448254</v>
      </c>
      <c r="K34" s="480">
        <f t="shared" si="12"/>
        <v>2610.3972552737068</v>
      </c>
      <c r="L34" s="480">
        <f t="shared" si="13"/>
        <v>2712.442249680817</v>
      </c>
      <c r="M34" s="187"/>
      <c r="N34" s="187"/>
      <c r="O34" s="187"/>
      <c r="P34" s="187"/>
      <c r="AC34" s="160"/>
      <c r="AD34" s="160"/>
      <c r="AE34" s="160"/>
      <c r="AF34" s="160"/>
      <c r="AG34" s="160"/>
      <c r="AH34" s="160"/>
      <c r="AI34" s="160"/>
    </row>
    <row r="35" spans="1:35" x14ac:dyDescent="0.25">
      <c r="A35" s="476" t="str">
        <f t="shared" si="5"/>
        <v>Амортизация</v>
      </c>
      <c r="B35" s="477">
        <f t="shared" si="6"/>
        <v>1214.090909090909</v>
      </c>
      <c r="C35" s="477">
        <f t="shared" si="14"/>
        <v>4288.181818181818</v>
      </c>
      <c r="D35" s="477">
        <f t="shared" si="7"/>
        <v>4288.181818181818</v>
      </c>
      <c r="E35" s="477">
        <f t="shared" si="15"/>
        <v>4288.181818181818</v>
      </c>
      <c r="F35" s="477">
        <f t="shared" si="16"/>
        <v>4288.181818181818</v>
      </c>
      <c r="G35" s="477">
        <f t="shared" si="8"/>
        <v>4288.181818181818</v>
      </c>
      <c r="H35" s="477">
        <f t="shared" si="9"/>
        <v>4288.181818181818</v>
      </c>
      <c r="I35" s="480">
        <f t="shared" si="10"/>
        <v>4288.181818181818</v>
      </c>
      <c r="J35" s="480">
        <f t="shared" si="11"/>
        <v>4288.181818181818</v>
      </c>
      <c r="K35" s="480">
        <f t="shared" si="12"/>
        <v>4288.181818181818</v>
      </c>
      <c r="L35" s="480">
        <f t="shared" si="13"/>
        <v>4288.181818181818</v>
      </c>
      <c r="M35" s="187"/>
      <c r="N35" s="187"/>
      <c r="O35" s="187"/>
      <c r="P35" s="187"/>
      <c r="AC35" s="160"/>
      <c r="AD35" s="160"/>
      <c r="AE35" s="160"/>
      <c r="AF35" s="160"/>
      <c r="AG35" s="160"/>
      <c r="AH35" s="160"/>
      <c r="AI35" s="160"/>
    </row>
    <row r="36" spans="1:35" x14ac:dyDescent="0.25">
      <c r="A36" s="665" t="str">
        <f t="shared" si="5"/>
        <v xml:space="preserve"> Налоги</v>
      </c>
      <c r="B36" s="666">
        <f t="shared" si="6"/>
        <v>0</v>
      </c>
      <c r="C36" s="666">
        <f t="shared" ref="C36:L36" si="17">C38+C39</f>
        <v>0</v>
      </c>
      <c r="D36" s="666">
        <f t="shared" si="17"/>
        <v>0</v>
      </c>
      <c r="E36" s="666">
        <f t="shared" si="17"/>
        <v>0</v>
      </c>
      <c r="F36" s="666">
        <f t="shared" si="17"/>
        <v>0</v>
      </c>
      <c r="G36" s="666">
        <f t="shared" si="17"/>
        <v>299.80500000000001</v>
      </c>
      <c r="H36" s="666">
        <f t="shared" si="17"/>
        <v>1161.27</v>
      </c>
      <c r="I36" s="666">
        <f t="shared" si="17"/>
        <v>1100.55</v>
      </c>
      <c r="J36" s="666">
        <f>J38+J39</f>
        <v>1039.83</v>
      </c>
      <c r="K36" s="666">
        <f t="shared" si="17"/>
        <v>979.1099999999999</v>
      </c>
      <c r="L36" s="666">
        <f t="shared" si="17"/>
        <v>918.38999999999987</v>
      </c>
      <c r="M36" s="190"/>
      <c r="N36" s="187"/>
      <c r="O36" s="187"/>
      <c r="P36" s="187"/>
      <c r="AC36" s="160"/>
      <c r="AD36" s="160"/>
      <c r="AE36" s="160"/>
      <c r="AF36" s="160"/>
      <c r="AG36" s="160"/>
      <c r="AH36" s="160"/>
      <c r="AI36" s="160"/>
    </row>
    <row r="37" spans="1:35" x14ac:dyDescent="0.25">
      <c r="A37" s="665" t="str">
        <f>A14</f>
        <v>НДС к уплате</v>
      </c>
      <c r="B37" s="666">
        <f>SUM(B14:E14)</f>
        <v>-19290.010713333337</v>
      </c>
      <c r="C37" s="666">
        <f>SUM(F14:I14)</f>
        <v>22990.939079600008</v>
      </c>
      <c r="D37" s="666">
        <f>SUM(J14:M14)</f>
        <v>24189.225352976002</v>
      </c>
      <c r="E37" s="666">
        <f>SUM(N14:Q14)</f>
        <v>25766.028962754561</v>
      </c>
      <c r="F37" s="666">
        <f>SUM(R14:U14)</f>
        <v>27432.104897919839</v>
      </c>
      <c r="G37" s="666">
        <f>SUM(V14:Y14)</f>
        <v>29198.14538919503</v>
      </c>
      <c r="H37" s="666">
        <f>SUM(Z14:AC14)</f>
        <v>31070.148309946733</v>
      </c>
      <c r="I37" s="666">
        <f>SUM(AD14:AG14)</f>
        <v>33056.229208354503</v>
      </c>
      <c r="J37" s="666">
        <f>SUM(AH14:AK14)</f>
        <v>35159.717158255764</v>
      </c>
      <c r="K37" s="666">
        <f>SUM(AL14:AO14)</f>
        <v>38855.53224003614</v>
      </c>
      <c r="L37" s="666">
        <f>SUM(AP14:AS14)</f>
        <v>40341.158694569283</v>
      </c>
      <c r="M37" s="190"/>
      <c r="N37" s="187"/>
      <c r="O37" s="187"/>
      <c r="P37" s="187"/>
      <c r="AC37" s="160"/>
      <c r="AD37" s="160"/>
      <c r="AE37" s="160"/>
      <c r="AF37" s="160"/>
      <c r="AG37" s="160"/>
      <c r="AH37" s="160"/>
      <c r="AI37" s="160"/>
    </row>
    <row r="38" spans="1:35" ht="30" x14ac:dyDescent="0.25">
      <c r="A38" s="476" t="str">
        <f>A15</f>
        <v>Налог на имущество</v>
      </c>
      <c r="B38" s="477">
        <f>SUM(B15:E15)</f>
        <v>0</v>
      </c>
      <c r="C38" s="477">
        <f>F15+G15+H15+I15</f>
        <v>0</v>
      </c>
      <c r="D38" s="477">
        <f>J15+K15+L15+M15</f>
        <v>0</v>
      </c>
      <c r="E38" s="477">
        <f>N15+O15+P15+Q15</f>
        <v>0</v>
      </c>
      <c r="F38" s="477">
        <f>R15+S15+T15+U15</f>
        <v>0</v>
      </c>
      <c r="G38" s="477">
        <f>V15+W15+X15+Y15</f>
        <v>299.80500000000001</v>
      </c>
      <c r="H38" s="477">
        <f>Z15+AA15+AB15+AC15</f>
        <v>1161.27</v>
      </c>
      <c r="I38" s="480">
        <f>AD15+AE15+AF15+AG15</f>
        <v>1100.55</v>
      </c>
      <c r="J38" s="480">
        <f>AH15+AI15+AJ15+AK15</f>
        <v>1039.83</v>
      </c>
      <c r="K38" s="480">
        <f>AL15+AM15+AN15+AO15</f>
        <v>979.1099999999999</v>
      </c>
      <c r="L38" s="480">
        <f>AP15+AQ15+AR15+AS15</f>
        <v>918.38999999999987</v>
      </c>
      <c r="M38" s="187"/>
      <c r="N38" s="187"/>
      <c r="O38" s="187"/>
      <c r="P38" s="187"/>
      <c r="AC38" s="160"/>
      <c r="AD38" s="160"/>
      <c r="AE38" s="160"/>
      <c r="AF38" s="160"/>
      <c r="AG38" s="160"/>
      <c r="AH38" s="160"/>
      <c r="AI38" s="160"/>
    </row>
    <row r="39" spans="1:35" x14ac:dyDescent="0.25">
      <c r="A39" s="476" t="str">
        <f>A16</f>
        <v>Земельный налог</v>
      </c>
      <c r="B39" s="477">
        <f>SUM(B16:E16)</f>
        <v>0</v>
      </c>
      <c r="C39" s="477">
        <f>F16+G16+H16+I16</f>
        <v>0</v>
      </c>
      <c r="D39" s="477">
        <f>J16+K16+L16+M16</f>
        <v>0</v>
      </c>
      <c r="E39" s="477">
        <f>N16+O16+P16+Q16</f>
        <v>0</v>
      </c>
      <c r="F39" s="477">
        <f>R16+S16+T16+U16</f>
        <v>0</v>
      </c>
      <c r="G39" s="477">
        <f>V16+W16+X16+Y16</f>
        <v>0</v>
      </c>
      <c r="H39" s="477">
        <f>Z16+AA16+AB16+AC16</f>
        <v>0</v>
      </c>
      <c r="I39" s="480">
        <f>AD16+AE16+AF16+AG16</f>
        <v>0</v>
      </c>
      <c r="J39" s="480">
        <f>AH16+AI16+AJ16+AK16</f>
        <v>0</v>
      </c>
      <c r="K39" s="480">
        <f>AL16+AM16+AN16+AO16</f>
        <v>0</v>
      </c>
      <c r="L39" s="480">
        <f>AP16+AQ16+AR16+AS16</f>
        <v>0</v>
      </c>
      <c r="M39" s="189"/>
      <c r="N39" s="189"/>
      <c r="O39" s="189"/>
      <c r="P39" s="189"/>
      <c r="Q39" s="160"/>
      <c r="R39" s="160"/>
      <c r="S39" s="160"/>
      <c r="T39" s="160"/>
      <c r="U39" s="160"/>
      <c r="V39" s="160"/>
      <c r="W39" s="160"/>
      <c r="X39" s="160"/>
      <c r="Y39" s="160"/>
      <c r="Z39" s="160"/>
      <c r="AA39" s="160"/>
      <c r="AC39" s="160"/>
      <c r="AD39" s="160"/>
      <c r="AE39" s="160"/>
      <c r="AF39" s="160"/>
      <c r="AG39" s="160"/>
      <c r="AH39" s="160"/>
      <c r="AI39" s="160"/>
    </row>
    <row r="40" spans="1:35" ht="45" x14ac:dyDescent="0.25">
      <c r="A40" s="476" t="str">
        <f>A17</f>
        <v>Обновление основных средств, МБП</v>
      </c>
      <c r="B40" s="477">
        <f>SUM(B17:E17)</f>
        <v>0</v>
      </c>
      <c r="C40" s="477">
        <f>F17+G17+H17+I17</f>
        <v>0</v>
      </c>
      <c r="D40" s="477">
        <f>J17+K17+L17+M17</f>
        <v>246.25</v>
      </c>
      <c r="E40" s="477">
        <f>N17+O17+P17+Q17</f>
        <v>246.25</v>
      </c>
      <c r="F40" s="477">
        <f>R17+S17+T17+U17</f>
        <v>246.25</v>
      </c>
      <c r="G40" s="477">
        <f>V17+W17+X17+Y17</f>
        <v>246.25</v>
      </c>
      <c r="H40" s="477">
        <f>Z17+AA17+AB17+AC17</f>
        <v>246.25</v>
      </c>
      <c r="I40" s="480">
        <f>AD17+AE17+AF17+AG17</f>
        <v>246.25</v>
      </c>
      <c r="J40" s="480">
        <f>AH17+AI17+AJ17+AK17</f>
        <v>246.25</v>
      </c>
      <c r="K40" s="480">
        <f>AL17+AM17+AN17+AO17</f>
        <v>246.25</v>
      </c>
      <c r="L40" s="480">
        <f>AP17+AQ17+AR17+AS17</f>
        <v>246.25</v>
      </c>
      <c r="M40" s="160"/>
      <c r="N40" s="682">
        <f>L40/L41</f>
        <v>1.6682591377005639E-3</v>
      </c>
      <c r="O40" s="189"/>
      <c r="P40" s="189"/>
      <c r="Q40" s="160"/>
      <c r="R40" s="160"/>
      <c r="S40" s="160"/>
      <c r="T40" s="160"/>
      <c r="U40" s="160"/>
      <c r="V40" s="160"/>
      <c r="W40" s="160"/>
      <c r="X40" s="160"/>
      <c r="Y40" s="160"/>
      <c r="Z40" s="160"/>
      <c r="AA40" s="160"/>
      <c r="AC40" s="160"/>
      <c r="AD40" s="160"/>
      <c r="AE40" s="160"/>
      <c r="AF40" s="160"/>
      <c r="AG40" s="160"/>
      <c r="AH40" s="160"/>
      <c r="AI40" s="160"/>
    </row>
    <row r="41" spans="1:35" x14ac:dyDescent="0.25">
      <c r="A41" s="481" t="str">
        <f>A18</f>
        <v>Итого расходов</v>
      </c>
      <c r="B41" s="621">
        <f>SUM(B18:E18)</f>
        <v>34561.056744157569</v>
      </c>
      <c r="C41" s="621">
        <f t="shared" ref="C41:L41" si="18">SUM(C25:C40)</f>
        <v>97325.088348181831</v>
      </c>
      <c r="D41" s="621">
        <f t="shared" si="18"/>
        <v>101853.72924667785</v>
      </c>
      <c r="E41" s="621">
        <f t="shared" si="18"/>
        <v>106737.38295908358</v>
      </c>
      <c r="F41" s="621">
        <f t="shared" si="18"/>
        <v>112380.0570590337</v>
      </c>
      <c r="G41" s="621">
        <f t="shared" si="18"/>
        <v>118960.90160498081</v>
      </c>
      <c r="H41" s="621">
        <f t="shared" si="18"/>
        <v>127023.94022368477</v>
      </c>
      <c r="I41" s="621">
        <f t="shared" si="18"/>
        <v>133469.50061562069</v>
      </c>
      <c r="J41" s="621">
        <f t="shared" si="18"/>
        <v>140462.59577496306</v>
      </c>
      <c r="K41" s="621">
        <f t="shared" si="18"/>
        <v>149528.94129074502</v>
      </c>
      <c r="L41" s="621">
        <f t="shared" si="18"/>
        <v>147608.9622020098</v>
      </c>
      <c r="M41" s="160"/>
      <c r="N41" s="160"/>
      <c r="O41" s="160"/>
      <c r="P41" s="160"/>
      <c r="Q41" s="160"/>
      <c r="AC41" s="160"/>
      <c r="AD41" s="160"/>
      <c r="AE41" s="160"/>
      <c r="AF41" s="160"/>
      <c r="AG41" s="160"/>
      <c r="AH41" s="160"/>
      <c r="AI41" s="160"/>
    </row>
    <row r="42" spans="1:35" x14ac:dyDescent="0.25">
      <c r="A42" s="476" t="s">
        <v>243</v>
      </c>
      <c r="B42" s="479">
        <f>'выручка по кв и годам'!D21</f>
        <v>30936.666666666668</v>
      </c>
      <c r="C42" s="479">
        <f>'выручка по кв и годам'!E21</f>
        <v>134369.04</v>
      </c>
      <c r="D42" s="479">
        <f>'выручка по кв и годам'!F21</f>
        <v>142431.18239999999</v>
      </c>
      <c r="E42" s="479">
        <f>'выручка по кв и годам'!G21</f>
        <v>150977.05334400001</v>
      </c>
      <c r="F42" s="479">
        <f>'выручка по кв и годам'!H21</f>
        <v>160035.67654464001</v>
      </c>
      <c r="G42" s="479">
        <f>'выручка по кв и годам'!I21</f>
        <v>169637.8171373184</v>
      </c>
      <c r="H42" s="479">
        <f>'выручка по кв и годам'!J21</f>
        <v>179816.08616555756</v>
      </c>
      <c r="I42" s="479">
        <f>'выручка по кв и годам'!K21</f>
        <v>190605.05133549101</v>
      </c>
      <c r="J42" s="479">
        <f>'выручка по кв и годам'!L21</f>
        <v>202041.35441562047</v>
      </c>
      <c r="K42" s="479">
        <f>'выручка по кв и годам'!M21</f>
        <v>261039.7255273707</v>
      </c>
      <c r="L42" s="479">
        <f>'выручка по кв и годам'!N21</f>
        <v>227013.66582139119</v>
      </c>
      <c r="M42" s="160"/>
      <c r="N42" s="191"/>
      <c r="O42" s="191"/>
      <c r="P42" s="192"/>
      <c r="AC42" s="160"/>
      <c r="AD42" s="160"/>
      <c r="AE42" s="160"/>
      <c r="AF42" s="160"/>
      <c r="AG42" s="160"/>
      <c r="AH42" s="160"/>
      <c r="AI42" s="160"/>
    </row>
    <row r="43" spans="1:35" x14ac:dyDescent="0.25">
      <c r="A43" s="476" t="s">
        <v>180</v>
      </c>
      <c r="B43" s="479"/>
      <c r="C43" s="479">
        <f>'Расходы на ЗП ОТ'!C69-'Расходы на ЗП ТОР'!C70</f>
        <v>0</v>
      </c>
      <c r="D43" s="479">
        <f>'Расходы на ЗП ОТ'!D69-'Расходы на ЗП ТОР'!D70</f>
        <v>0</v>
      </c>
      <c r="E43" s="479">
        <f>'Расходы на ЗП ОТ'!E69-'Расходы на ЗП ТОР'!E70</f>
        <v>0</v>
      </c>
      <c r="F43" s="479">
        <f>'Расходы на ЗП ОТ'!F69-'Расходы на ЗП ТОР'!F70</f>
        <v>0</v>
      </c>
      <c r="G43" s="479">
        <f>'Расходы на ЗП ОТ'!G69-'Расходы на ЗП ТОР'!G70</f>
        <v>0</v>
      </c>
      <c r="H43" s="479">
        <f>'Расходы на ЗП ОТ'!H69-'Расходы на ЗП ТОР'!H70</f>
        <v>0</v>
      </c>
      <c r="I43" s="479">
        <f>'Расходы на ЗП ОТ'!I69-'Расходы на ЗП ТОР'!I70</f>
        <v>0</v>
      </c>
      <c r="J43" s="479">
        <f>'Расходы на ЗП ОТ'!J69-'Расходы на ЗП ТОР'!J70</f>
        <v>0</v>
      </c>
      <c r="K43" s="479">
        <f>'Расходы на ЗП ОТ'!K69-'Расходы на ЗП ТОР'!K70</f>
        <v>0</v>
      </c>
      <c r="L43" s="479">
        <f>'Расходы на ЗП ОТ'!L69-'Расходы на ЗП ТОР'!L70</f>
        <v>510.51949667037115</v>
      </c>
      <c r="M43" s="191"/>
      <c r="N43" s="191"/>
      <c r="O43" s="191"/>
      <c r="AC43" s="160"/>
      <c r="AD43" s="160"/>
      <c r="AE43" s="160"/>
      <c r="AF43" s="160"/>
      <c r="AG43" s="160"/>
      <c r="AH43" s="160"/>
      <c r="AI43" s="160"/>
    </row>
    <row r="44" spans="1:35" ht="45" x14ac:dyDescent="0.25">
      <c r="A44" s="622" t="s">
        <v>494</v>
      </c>
      <c r="B44" s="623">
        <v>0.12</v>
      </c>
      <c r="C44" s="479">
        <f>0*(C42-C41)</f>
        <v>0</v>
      </c>
      <c r="D44" s="479">
        <f t="shared" ref="D44:F44" si="19">0*(D42-D41)</f>
        <v>0</v>
      </c>
      <c r="E44" s="479">
        <f t="shared" si="19"/>
        <v>0</v>
      </c>
      <c r="F44" s="479">
        <f t="shared" si="19"/>
        <v>0</v>
      </c>
      <c r="G44" s="479">
        <f>$B$44*(G42-G41)</f>
        <v>6081.2298638805105</v>
      </c>
      <c r="H44" s="479">
        <f>$B$44*(H42-H41)</f>
        <v>6335.0575130247344</v>
      </c>
      <c r="I44" s="479">
        <f t="shared" ref="I44:L44" si="20">$B$44*(I42-I41)</f>
        <v>6856.2660863844376</v>
      </c>
      <c r="J44" s="479">
        <f t="shared" si="20"/>
        <v>7389.4510368788888</v>
      </c>
      <c r="K44" s="479">
        <f t="shared" si="20"/>
        <v>13381.294108395081</v>
      </c>
      <c r="L44" s="479">
        <f t="shared" si="20"/>
        <v>9528.5644343257663</v>
      </c>
      <c r="M44" s="191"/>
      <c r="N44" s="191"/>
      <c r="O44" s="191"/>
    </row>
    <row r="45" spans="1:35" x14ac:dyDescent="0.25">
      <c r="A45" s="476" t="s">
        <v>244</v>
      </c>
      <c r="B45" s="479"/>
      <c r="C45" s="479">
        <f>C42-C41-C44</f>
        <v>37043.951651818177</v>
      </c>
      <c r="D45" s="479">
        <f t="shared" ref="D45:L45" si="21">D42-D41-D44</f>
        <v>40577.453153322145</v>
      </c>
      <c r="E45" s="479">
        <f t="shared" si="21"/>
        <v>44239.670384916433</v>
      </c>
      <c r="F45" s="479">
        <f t="shared" si="21"/>
        <v>47655.619485606308</v>
      </c>
      <c r="G45" s="479">
        <f t="shared" si="21"/>
        <v>44595.685668457081</v>
      </c>
      <c r="H45" s="479">
        <f>H42-H41-H44</f>
        <v>46457.088428848059</v>
      </c>
      <c r="I45" s="479">
        <f t="shared" si="21"/>
        <v>50279.284633485877</v>
      </c>
      <c r="J45" s="479">
        <f t="shared" si="21"/>
        <v>54189.307603778521</v>
      </c>
      <c r="K45" s="479">
        <f t="shared" si="21"/>
        <v>98129.490128230595</v>
      </c>
      <c r="L45" s="479">
        <f t="shared" si="21"/>
        <v>69876.139185055625</v>
      </c>
      <c r="M45" s="191"/>
      <c r="N45" s="191"/>
      <c r="O45" s="191"/>
    </row>
    <row r="46" spans="1:35" x14ac:dyDescent="0.25">
      <c r="B46" s="624"/>
      <c r="C46" s="624"/>
      <c r="D46" s="624"/>
      <c r="E46" s="624"/>
      <c r="F46" s="624"/>
      <c r="G46" s="624"/>
      <c r="H46" s="624"/>
      <c r="I46" s="195"/>
      <c r="J46" s="195"/>
      <c r="K46" s="195"/>
      <c r="L46" s="195"/>
      <c r="O46" s="161"/>
    </row>
    <row r="47" spans="1:35" x14ac:dyDescent="0.25">
      <c r="A47" s="622" t="s">
        <v>245</v>
      </c>
      <c r="B47" s="616"/>
      <c r="C47" s="616">
        <f>C42-C41-C43-C49-C48</f>
        <v>28170.291321454544</v>
      </c>
      <c r="D47" s="616">
        <f t="shared" ref="D47:L47" si="22">D42-D41-D43-D49-D48</f>
        <v>31057.812522657714</v>
      </c>
      <c r="E47" s="616">
        <f t="shared" si="22"/>
        <v>34048.306307933148</v>
      </c>
      <c r="F47" s="616">
        <f t="shared" si="22"/>
        <v>36841.785588485051</v>
      </c>
      <c r="G47" s="616">
        <f t="shared" si="22"/>
        <v>39619.347425870073</v>
      </c>
      <c r="H47" s="616">
        <f t="shared" si="22"/>
        <v>42233.716753498229</v>
      </c>
      <c r="I47" s="616">
        <f t="shared" si="22"/>
        <v>45708.440575896253</v>
      </c>
      <c r="J47" s="616">
        <f t="shared" si="22"/>
        <v>49263.006912525932</v>
      </c>
      <c r="K47" s="616">
        <f t="shared" si="22"/>
        <v>89208.627389300542</v>
      </c>
      <c r="L47" s="616">
        <f t="shared" si="22"/>
        <v>63013.243398834733</v>
      </c>
      <c r="M47" s="191"/>
      <c r="N47" s="191"/>
      <c r="O47" s="191"/>
    </row>
    <row r="48" spans="1:35" ht="30" x14ac:dyDescent="0.25">
      <c r="A48" s="622" t="s">
        <v>246</v>
      </c>
      <c r="B48" s="616"/>
      <c r="C48" s="479">
        <f>'Расходы на П, строит-во, ввод'!C39-C38</f>
        <v>1464.87</v>
      </c>
      <c r="D48" s="479">
        <f>'Расходы на П, строит-во, ввод'!D39-D38</f>
        <v>1404.1499999999999</v>
      </c>
      <c r="E48" s="479">
        <f>'Расходы на П, строит-во, ввод'!E39-E38</f>
        <v>1343.4299999999998</v>
      </c>
      <c r="F48" s="479">
        <f>'Расходы на П, строит-во, ввод'!F39-F38</f>
        <v>1282.7099999999998</v>
      </c>
      <c r="G48" s="479">
        <f>'Расходы на П, строит-во, ввод'!G39-G38</f>
        <v>922.18499999999995</v>
      </c>
      <c r="H48" s="479">
        <f>'Расходы на П, строит-во, ввод'!H39-H38</f>
        <v>0</v>
      </c>
      <c r="I48" s="479">
        <f>'Расходы на П, строит-во, ввод'!I39-I38</f>
        <v>0</v>
      </c>
      <c r="J48" s="479">
        <f>'Расходы на П, строит-во, ввод'!J39-J38</f>
        <v>0</v>
      </c>
      <c r="K48" s="479">
        <f>'Расходы на П, строит-во, ввод'!K39-K38</f>
        <v>0</v>
      </c>
      <c r="L48" s="479">
        <f>'Расходы на П, строит-во, ввод'!L39-L38</f>
        <v>0</v>
      </c>
      <c r="M48" s="191"/>
      <c r="N48" s="191"/>
      <c r="O48" s="191"/>
    </row>
    <row r="49" spans="1:15" ht="30" x14ac:dyDescent="0.25">
      <c r="A49" s="622" t="s">
        <v>247</v>
      </c>
      <c r="B49" s="617">
        <v>0.2</v>
      </c>
      <c r="C49" s="479">
        <f>IF(B49*(C42-C41)&lt;0,0,B49*(C42-C41))</f>
        <v>7408.7903303636358</v>
      </c>
      <c r="D49" s="479">
        <f>IF((D42-D41)&lt;0, 0, $B$49*(D42-D41))</f>
        <v>8115.4906306644298</v>
      </c>
      <c r="E49" s="479">
        <f>IF((E42-E41)&lt;0, 0, $B$49*(E42-E41))</f>
        <v>8847.934076983287</v>
      </c>
      <c r="F49" s="479">
        <f t="shared" ref="F49:L49" si="23">$B$49*(F42-F41)</f>
        <v>9531.1238971212624</v>
      </c>
      <c r="G49" s="479">
        <f t="shared" si="23"/>
        <v>10135.383106467518</v>
      </c>
      <c r="H49" s="479">
        <f t="shared" si="23"/>
        <v>10558.429188374559</v>
      </c>
      <c r="I49" s="479">
        <f t="shared" si="23"/>
        <v>11427.110143974063</v>
      </c>
      <c r="J49" s="479">
        <f t="shared" si="23"/>
        <v>12315.751728131483</v>
      </c>
      <c r="K49" s="479">
        <f t="shared" si="23"/>
        <v>22302.156847325139</v>
      </c>
      <c r="L49" s="479">
        <f t="shared" si="23"/>
        <v>15880.940723876278</v>
      </c>
      <c r="M49" s="191"/>
      <c r="N49" s="191"/>
      <c r="O49" s="191"/>
    </row>
    <row r="50" spans="1:15" ht="30" x14ac:dyDescent="0.25">
      <c r="A50" s="622" t="s">
        <v>358</v>
      </c>
      <c r="B50" s="616"/>
      <c r="C50" s="479">
        <f>C49-C44</f>
        <v>7408.7903303636358</v>
      </c>
      <c r="D50" s="479">
        <f t="shared" ref="D50:L50" si="24">D49-D44</f>
        <v>8115.4906306644298</v>
      </c>
      <c r="E50" s="479">
        <f t="shared" si="24"/>
        <v>8847.934076983287</v>
      </c>
      <c r="F50" s="479">
        <f t="shared" si="24"/>
        <v>9531.1238971212624</v>
      </c>
      <c r="G50" s="479">
        <f t="shared" si="24"/>
        <v>4054.1532425870073</v>
      </c>
      <c r="H50" s="479">
        <f t="shared" si="24"/>
        <v>4223.3716753498247</v>
      </c>
      <c r="I50" s="479">
        <f t="shared" si="24"/>
        <v>4570.8440575896257</v>
      </c>
      <c r="J50" s="479">
        <f t="shared" si="24"/>
        <v>4926.3006912525943</v>
      </c>
      <c r="K50" s="479">
        <f t="shared" si="24"/>
        <v>8920.8627389300582</v>
      </c>
      <c r="L50" s="479">
        <f t="shared" si="24"/>
        <v>6352.3762895505115</v>
      </c>
      <c r="O50" s="161"/>
    </row>
    <row r="51" spans="1:15" ht="45" x14ac:dyDescent="0.25">
      <c r="A51" s="622" t="s">
        <v>248</v>
      </c>
      <c r="B51" s="616"/>
      <c r="C51" s="479">
        <f>C45-C47</f>
        <v>8873.660330363633</v>
      </c>
      <c r="D51" s="479">
        <f t="shared" ref="D51:L51" si="25">D45-D47</f>
        <v>9519.6406306644312</v>
      </c>
      <c r="E51" s="479">
        <f t="shared" si="25"/>
        <v>10191.364076983285</v>
      </c>
      <c r="F51" s="479">
        <f t="shared" si="25"/>
        <v>10813.833897121258</v>
      </c>
      <c r="G51" s="479">
        <f t="shared" si="25"/>
        <v>4976.3382425870077</v>
      </c>
      <c r="H51" s="479">
        <f t="shared" si="25"/>
        <v>4223.3716753498302</v>
      </c>
      <c r="I51" s="479">
        <f t="shared" si="25"/>
        <v>4570.8440575896238</v>
      </c>
      <c r="J51" s="479">
        <f t="shared" si="25"/>
        <v>4926.3006912525889</v>
      </c>
      <c r="K51" s="479">
        <f t="shared" si="25"/>
        <v>8920.8627389300527</v>
      </c>
      <c r="L51" s="479">
        <f t="shared" si="25"/>
        <v>6862.8957862208918</v>
      </c>
      <c r="M51" s="191"/>
    </row>
    <row r="53" spans="1:15" x14ac:dyDescent="0.25">
      <c r="K53" s="622" t="s">
        <v>249</v>
      </c>
      <c r="L53" s="193">
        <f>SUM(C51:L51)</f>
        <v>73879.112127062603</v>
      </c>
    </row>
    <row r="54" spans="1:15" ht="30" x14ac:dyDescent="0.25">
      <c r="K54" s="622" t="s">
        <v>250</v>
      </c>
      <c r="L54" s="479">
        <f>AVERAGE(C51:L51)</f>
        <v>7387.9112127062599</v>
      </c>
    </row>
  </sheetData>
  <pageMargins left="0.7" right="0.7" top="0.75" bottom="0.75" header="0.3" footer="0.3"/>
  <pageSetup paperSize="9" firstPageNumber="2147483648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theme="0"/>
    <pageSetUpPr fitToPage="1"/>
  </sheetPr>
  <dimension ref="A1:AS63"/>
  <sheetViews>
    <sheetView zoomScale="90" zoomScaleNormal="90" workbookViewId="0">
      <pane xSplit="1" ySplit="2" topLeftCell="B15" activePane="bottomRight" state="frozen"/>
      <selection activeCell="A25" sqref="A25"/>
      <selection pane="topRight"/>
      <selection pane="bottomLeft"/>
      <selection pane="bottomRight" activeCell="B26" sqref="B26:L26"/>
    </sheetView>
  </sheetViews>
  <sheetFormatPr defaultColWidth="9.140625" defaultRowHeight="15" x14ac:dyDescent="0.25"/>
  <cols>
    <col min="1" max="1" width="21" style="152" customWidth="1"/>
    <col min="2" max="2" width="12" style="151" bestFit="1" customWidth="1"/>
    <col min="3" max="3" width="15" style="151" customWidth="1"/>
    <col min="4" max="4" width="20.85546875" style="151" customWidth="1"/>
    <col min="5" max="5" width="18.140625" style="151" customWidth="1"/>
    <col min="6" max="6" width="15.7109375" style="151" customWidth="1"/>
    <col min="7" max="7" width="15.42578125" style="151" customWidth="1"/>
    <col min="8" max="8" width="17.140625" style="151" customWidth="1"/>
    <col min="9" max="9" width="14" style="151" customWidth="1"/>
    <col min="10" max="10" width="17.28515625" style="151" customWidth="1"/>
    <col min="11" max="11" width="13.42578125" style="151" customWidth="1"/>
    <col min="12" max="12" width="14.42578125" style="151" customWidth="1"/>
    <col min="13" max="13" width="16.28515625" style="151" customWidth="1"/>
    <col min="14" max="14" width="17.7109375" style="151" customWidth="1"/>
    <col min="15" max="15" width="15.7109375" style="151" customWidth="1"/>
    <col min="16" max="16" width="14.5703125" style="151" customWidth="1"/>
    <col min="17" max="17" width="16" style="151" customWidth="1"/>
    <col min="18" max="18" width="14" style="151" customWidth="1"/>
    <col min="19" max="19" width="21.42578125" style="151" customWidth="1"/>
    <col min="20" max="20" width="13.85546875" style="151" customWidth="1"/>
    <col min="21" max="21" width="13.7109375" style="151" customWidth="1"/>
    <col min="22" max="29" width="15" style="151" customWidth="1"/>
    <col min="30" max="30" width="14" style="151" customWidth="1"/>
    <col min="31" max="31" width="16.42578125" style="151" customWidth="1"/>
    <col min="32" max="32" width="15.42578125" style="151" customWidth="1"/>
    <col min="33" max="33" width="14.140625" style="151" customWidth="1"/>
    <col min="34" max="34" width="12.7109375" style="151" customWidth="1"/>
    <col min="35" max="35" width="13.85546875" style="151" customWidth="1"/>
    <col min="36" max="36" width="13.140625" style="151" customWidth="1"/>
    <col min="37" max="37" width="15" style="151" customWidth="1"/>
    <col min="38" max="39" width="14" style="151" customWidth="1"/>
    <col min="40" max="40" width="12.85546875" style="151" customWidth="1"/>
    <col min="41" max="41" width="13.140625" style="151" customWidth="1"/>
    <col min="42" max="42" width="14" style="151" customWidth="1"/>
    <col min="43" max="43" width="12.85546875" style="151" customWidth="1"/>
    <col min="44" max="44" width="13.140625" style="151" customWidth="1"/>
    <col min="45" max="45" width="14.85546875" style="151" customWidth="1"/>
    <col min="46" max="16384" width="9.140625" style="151"/>
  </cols>
  <sheetData>
    <row r="1" spans="1:45" ht="26.25" x14ac:dyDescent="0.25">
      <c r="A1" s="764"/>
      <c r="B1" s="764"/>
      <c r="C1" s="764"/>
      <c r="D1" s="764"/>
      <c r="E1" s="764"/>
      <c r="F1" s="764"/>
      <c r="G1" s="764"/>
      <c r="H1" s="764"/>
      <c r="I1" s="764"/>
      <c r="J1" s="764"/>
      <c r="K1" s="764"/>
      <c r="L1" s="764"/>
      <c r="M1" s="764"/>
      <c r="N1" s="764"/>
      <c r="O1" s="764"/>
      <c r="P1" s="764"/>
      <c r="Q1" s="764"/>
      <c r="R1" s="764"/>
      <c r="S1" s="764"/>
      <c r="T1" s="764"/>
      <c r="U1" s="764"/>
      <c r="V1" s="764"/>
      <c r="W1" s="764"/>
      <c r="X1" s="764"/>
      <c r="Y1" s="764"/>
      <c r="Z1" s="764"/>
      <c r="AA1" s="764"/>
      <c r="AB1" s="764"/>
      <c r="AC1" s="764"/>
    </row>
    <row r="2" spans="1:45" s="383" customFormat="1" x14ac:dyDescent="0.25">
      <c r="A2" s="627"/>
      <c r="B2" s="628" t="str">
        <f>'Расходы на ЗП ТОР'!D1</f>
        <v>I кв. 1 г.</v>
      </c>
      <c r="C2" s="628" t="str">
        <f>'Расходы на ЗП ТОР'!E1</f>
        <v>II кв. 1 г.</v>
      </c>
      <c r="D2" s="628" t="str">
        <f>'Расходы на ЗП ТОР'!F1</f>
        <v>III кв. 1 г.</v>
      </c>
      <c r="E2" s="628" t="str">
        <f>'Расходы на ЗП ТОР'!G1</f>
        <v>IV кв. 1 г.</v>
      </c>
      <c r="F2" s="628" t="str">
        <f>'Расходы на ЗП ТОР'!H1</f>
        <v>I кв. 2 г.</v>
      </c>
      <c r="G2" s="628" t="str">
        <f>'Расходы на ЗП ТОР'!I1</f>
        <v>II кв. 2 г.</v>
      </c>
      <c r="H2" s="628" t="str">
        <f>'Расходы на ЗП ТОР'!J1</f>
        <v>III кв. 2 г.</v>
      </c>
      <c r="I2" s="628" t="str">
        <f>'Расходы на ЗП ТОР'!K1</f>
        <v>IV кв. 2 г.</v>
      </c>
      <c r="J2" s="628" t="str">
        <f>'Расходы на ЗП ТОР'!L1</f>
        <v>I кв. 3 г.</v>
      </c>
      <c r="K2" s="628" t="str">
        <f>'Расходы на ЗП ТОР'!M1</f>
        <v>II кв. 3 г.</v>
      </c>
      <c r="L2" s="628" t="str">
        <f>'Расходы на ЗП ТОР'!N1</f>
        <v>III кв. 3 г.</v>
      </c>
      <c r="M2" s="628" t="str">
        <f>'Расходы на ЗП ТОР'!O1</f>
        <v>IV кв. 3 г.</v>
      </c>
      <c r="N2" s="628" t="str">
        <f>'Расходы на ЗП ТОР'!P1</f>
        <v>I кв. 4 г.</v>
      </c>
      <c r="O2" s="628" t="str">
        <f>'Расходы на ЗП ТОР'!Q1</f>
        <v>II кв. 4 г.</v>
      </c>
      <c r="P2" s="628" t="str">
        <f>'Расходы на ЗП ТОР'!R1</f>
        <v>III кв. 4 г.</v>
      </c>
      <c r="Q2" s="628" t="str">
        <f>'Расходы на ЗП ТОР'!S1</f>
        <v>IV кв. 4 г.</v>
      </c>
      <c r="R2" s="628" t="str">
        <f>'Расходы на ЗП ТОР'!T1</f>
        <v>I кв. 5 г.</v>
      </c>
      <c r="S2" s="628" t="str">
        <f>'Расходы на ЗП ТОР'!U1</f>
        <v>II кв. 5 г.</v>
      </c>
      <c r="T2" s="628" t="str">
        <f>'Расходы на ЗП ТОР'!V1</f>
        <v>III кв. 5 г.</v>
      </c>
      <c r="U2" s="628" t="str">
        <f>'Расходы на ЗП ТОР'!W1</f>
        <v>IV кв. 5 г.</v>
      </c>
      <c r="V2" s="628" t="str">
        <f>'Расходы на ЗП ТОР'!X1</f>
        <v>I кв. 6 г.</v>
      </c>
      <c r="W2" s="628" t="str">
        <f>'Расходы на ЗП ТОР'!Y1</f>
        <v>II кв. 6 г.</v>
      </c>
      <c r="X2" s="628" t="str">
        <f>'Расходы на ЗП ТОР'!Z1</f>
        <v>III кв. 6 г.</v>
      </c>
      <c r="Y2" s="628" t="str">
        <f>'Расходы на ЗП ТОР'!AA1</f>
        <v>IV кв. 6 г.</v>
      </c>
      <c r="Z2" s="628" t="str">
        <f>'Расходы на ЗП ТОР'!AB1</f>
        <v>I кв. 7 г.</v>
      </c>
      <c r="AA2" s="628" t="str">
        <f>'Расходы на ЗП ТОР'!AC1</f>
        <v>II кв. 7 г.</v>
      </c>
      <c r="AB2" s="628" t="str">
        <f>'Расходы на ЗП ТОР'!AD1</f>
        <v>III кв. 7 г.</v>
      </c>
      <c r="AC2" s="628" t="str">
        <f>'Расходы на ЗП ТОР'!AE1</f>
        <v>IV кв. 7 г.</v>
      </c>
      <c r="AD2" s="628" t="str">
        <f>'Расходы на ЗП ТОР'!AF1</f>
        <v>I кв. 8 г.</v>
      </c>
      <c r="AE2" s="628" t="str">
        <f>'Расходы на ЗП ТОР'!AG1</f>
        <v>II кв. 8 г.</v>
      </c>
      <c r="AF2" s="628" t="str">
        <f>'Расходы на ЗП ТОР'!AH1</f>
        <v>III кв. 8 г.</v>
      </c>
      <c r="AG2" s="628" t="str">
        <f>'Расходы на ЗП ТОР'!AI1</f>
        <v>IV кв. 8 г.</v>
      </c>
      <c r="AH2" s="628" t="str">
        <f>'Расходы на ЗП ТОР'!AJ1</f>
        <v>I кв. 9 г.</v>
      </c>
      <c r="AI2" s="628" t="str">
        <f>'Расходы на ЗП ТОР'!AK1</f>
        <v>II кв. 9 г.</v>
      </c>
      <c r="AJ2" s="628" t="str">
        <f>'Расходы на ЗП ТОР'!AL1</f>
        <v>III кв. 9 г.</v>
      </c>
      <c r="AK2" s="628" t="str">
        <f>'Расходы на ЗП ТОР'!AM1</f>
        <v>IV кв. 9 г.</v>
      </c>
      <c r="AL2" s="628" t="str">
        <f>'Расходы на ЗП ТОР'!AN1</f>
        <v>I кв. 10 г.</v>
      </c>
      <c r="AM2" s="628" t="str">
        <f>'Расходы на ЗП ТОР'!AO1</f>
        <v>II кв. 10 г.</v>
      </c>
      <c r="AN2" s="628" t="str">
        <f>'Расходы на ЗП ТОР'!AP1</f>
        <v>III кв. 10 г.</v>
      </c>
      <c r="AO2" s="628" t="str">
        <f>'Расходы на ЗП ТОР'!AQ1</f>
        <v>IV кв. 10 г.</v>
      </c>
      <c r="AP2" s="628" t="str">
        <f>'выручка по кв и годам'!AR1</f>
        <v>I кв. 11 г.</v>
      </c>
      <c r="AQ2" s="628" t="str">
        <f>'выручка по кв и годам'!AS1</f>
        <v>II кв. 11 г.</v>
      </c>
      <c r="AR2" s="628" t="str">
        <f>'выручка по кв и годам'!AT1</f>
        <v>III кв. 11 г.</v>
      </c>
      <c r="AS2" s="628" t="str">
        <f>'выручка по кв и годам'!AU1</f>
        <v>IV кв. 11 г.</v>
      </c>
    </row>
    <row r="3" spans="1:45" s="389" customFormat="1" x14ac:dyDescent="0.25">
      <c r="A3" s="629" t="s">
        <v>251</v>
      </c>
      <c r="B3" s="630">
        <f>'выручка по кв и годам'!D6</f>
        <v>0</v>
      </c>
      <c r="C3" s="630">
        <f>'выручка по кв и годам'!E6</f>
        <v>0</v>
      </c>
      <c r="D3" s="630">
        <f>'выручка по кв и годам'!F6</f>
        <v>6375</v>
      </c>
      <c r="E3" s="630">
        <f>'выручка по кв и годам'!G6</f>
        <v>24561.666666666668</v>
      </c>
      <c r="F3" s="630">
        <f>'выручка по кв и годам'!H6</f>
        <v>40137.260000000009</v>
      </c>
      <c r="G3" s="630">
        <f>'выручка по кв и годам'!I6</f>
        <v>40137.26</v>
      </c>
      <c r="H3" s="630">
        <f>'выручка по кв и годам'!J6</f>
        <v>40137.26</v>
      </c>
      <c r="I3" s="630">
        <f>'выручка по кв и годам'!K6</f>
        <v>40137.26</v>
      </c>
      <c r="J3" s="630">
        <f>'выручка по кв и годам'!L6</f>
        <v>40974.695599999999</v>
      </c>
      <c r="K3" s="630">
        <f>'выручка по кв и годам'!M6</f>
        <v>42545.495600000002</v>
      </c>
      <c r="L3" s="630">
        <f>'выручка по кв и годам'!N6</f>
        <v>42545.495600000002</v>
      </c>
      <c r="M3" s="630">
        <f>'выручка по кв и годам'!O6</f>
        <v>42545.495600000002</v>
      </c>
      <c r="N3" s="630">
        <f>'выручка по кв и годам'!P6</f>
        <v>43433.177336000001</v>
      </c>
      <c r="O3" s="630">
        <f>'выручка по кв и годам'!Q6</f>
        <v>45098.225336000003</v>
      </c>
      <c r="P3" s="630">
        <f>'выручка по кв и годам'!R6</f>
        <v>45098.225336000003</v>
      </c>
      <c r="Q3" s="630">
        <f>'выручка по кв и годам'!S6</f>
        <v>45098.225336000003</v>
      </c>
      <c r="R3" s="630">
        <f>'выручка по кв и годам'!T6</f>
        <v>46039.167976160003</v>
      </c>
      <c r="S3" s="630">
        <f>'выручка по кв и годам'!U6</f>
        <v>47804.118856159999</v>
      </c>
      <c r="T3" s="630">
        <f>'выручка по кв и годам'!V6</f>
        <v>47804.118856159999</v>
      </c>
      <c r="U3" s="630">
        <f>'выручка по кв и годам'!W6</f>
        <v>47804.118856159999</v>
      </c>
      <c r="V3" s="630">
        <f>'выручка по кв и годам'!X6</f>
        <v>48801.518054729597</v>
      </c>
      <c r="W3" s="630">
        <f>'выручка по кв и годам'!Y6</f>
        <v>50672.365987529607</v>
      </c>
      <c r="X3" s="630">
        <f>'выручка по кв и годам'!Z6</f>
        <v>50672.365987529607</v>
      </c>
      <c r="Y3" s="630">
        <f>'выручка по кв и годам'!AA6</f>
        <v>50672.365987529607</v>
      </c>
      <c r="Z3" s="630">
        <f>'выручка по кв и годам'!AB6</f>
        <v>51729.609138013388</v>
      </c>
      <c r="AA3" s="630">
        <f>'выручка по кв и годам'!AC6</f>
        <v>53712.707946781389</v>
      </c>
      <c r="AB3" s="630">
        <f>'выручка по кв и годам'!AD6</f>
        <v>53712.707946781389</v>
      </c>
      <c r="AC3" s="630">
        <f>'выручка по кв и годам'!AE6</f>
        <v>53712.707946781389</v>
      </c>
      <c r="AD3" s="630">
        <f>'выручка по кв и годам'!AF6</f>
        <v>54833.385686294198</v>
      </c>
      <c r="AE3" s="630">
        <f>'выручка по кв и годам'!AG6</f>
        <v>56935.470423588275</v>
      </c>
      <c r="AF3" s="630">
        <f>'выручка по кв и годам'!AH6</f>
        <v>56935.470423588275</v>
      </c>
      <c r="AG3" s="630">
        <f>'выручка по кв и годам'!AI6</f>
        <v>56935.470423588275</v>
      </c>
      <c r="AH3" s="630">
        <f>'выручка по кв и годам'!AJ6</f>
        <v>58123.388827471841</v>
      </c>
      <c r="AI3" s="630">
        <f>'выручка по кв и годам'!AK6</f>
        <v>60351.598649003572</v>
      </c>
      <c r="AJ3" s="630">
        <f>'выручка по кв и годам'!AL6</f>
        <v>60351.598649003572</v>
      </c>
      <c r="AK3" s="630">
        <f>'выручка по кв и годам'!AM6</f>
        <v>60351.598649003572</v>
      </c>
      <c r="AL3" s="630">
        <f>'выручка по кв и годам'!AN6</f>
        <v>61610.792157120159</v>
      </c>
      <c r="AM3" s="630">
        <f>'выручка по кв и годам'!AO6</f>
        <v>66476.311123416846</v>
      </c>
      <c r="AN3" s="630">
        <f>'выручка по кв и годам'!AP6</f>
        <v>66476.311123416846</v>
      </c>
      <c r="AO3" s="630">
        <f>'выручка по кв и годам'!AQ6</f>
        <v>66476.311123416846</v>
      </c>
      <c r="AP3" s="630">
        <f>'выручка по кв и годам'!AR6</f>
        <v>67811.056242020422</v>
      </c>
      <c r="AQ3" s="630">
        <f>'выручка по кв и годам'!AS6</f>
        <v>67811.056242020422</v>
      </c>
      <c r="AR3" s="630">
        <f>'выручка по кв и годам'!AT6</f>
        <v>67811.056242020422</v>
      </c>
      <c r="AS3" s="630">
        <f>'выручка по кв и годам'!AU6</f>
        <v>67811.056242020422</v>
      </c>
    </row>
    <row r="4" spans="1:45" s="389" customFormat="1" ht="30" x14ac:dyDescent="0.25">
      <c r="A4" s="629" t="s">
        <v>252</v>
      </c>
      <c r="B4" s="630">
        <f>'Расходы ТОР'!B18</f>
        <v>1027.6124121</v>
      </c>
      <c r="C4" s="630">
        <f>'Расходы ТОР'!C18</f>
        <v>3137.0791921000005</v>
      </c>
      <c r="D4" s="630">
        <f>'Расходы ТОР'!D18</f>
        <v>34943.235646645451</v>
      </c>
      <c r="E4" s="630">
        <f>'Расходы ТОР'!E18</f>
        <v>-4546.8705066878792</v>
      </c>
      <c r="F4" s="630">
        <f>'Расходы ТОР'!F18</f>
        <v>17574.367218645457</v>
      </c>
      <c r="G4" s="630">
        <f>'Расходы ТОР'!G18</f>
        <v>16986.251478645456</v>
      </c>
      <c r="H4" s="630">
        <f>'Расходы ТОР'!H18</f>
        <v>45190.102432245461</v>
      </c>
      <c r="I4" s="630">
        <f>'Расходы ТОР'!I18</f>
        <v>17574.367218645457</v>
      </c>
      <c r="J4" s="630">
        <f>'Расходы ТОР'!J18</f>
        <v>18025.230158965456</v>
      </c>
      <c r="K4" s="630">
        <f>'Расходы ТОР'!K18</f>
        <v>17781.433778965453</v>
      </c>
      <c r="L4" s="630">
        <f>'Расходы ТОР'!L18</f>
        <v>47677.515789781457</v>
      </c>
      <c r="M4" s="630">
        <f>'Расходы ТОР'!M18</f>
        <v>18369.549518965454</v>
      </c>
      <c r="N4" s="630">
        <f>'Расходы ТОР'!N18</f>
        <v>18782.207985704656</v>
      </c>
      <c r="O4" s="630">
        <f>'Расходы ТОР'!O18</f>
        <v>18559.070767304656</v>
      </c>
      <c r="P4" s="630">
        <f>'Расходы ТОР'!P18</f>
        <v>50248.917698769619</v>
      </c>
      <c r="Q4" s="630">
        <f>'Расходы ТОР'!Q18</f>
        <v>19147.186507304654</v>
      </c>
      <c r="R4" s="630">
        <f>'Расходы ТОР'!R18</f>
        <v>19701.104773248207</v>
      </c>
      <c r="S4" s="630">
        <f>'Расходы ТОР'!S18</f>
        <v>19499.866266144207</v>
      </c>
      <c r="T4" s="630">
        <f>'Расходы ТОР'!T18</f>
        <v>53091.104013497068</v>
      </c>
      <c r="U4" s="630">
        <f>'Расходы ТОР'!U18</f>
        <v>20087.982006144208</v>
      </c>
      <c r="V4" s="630">
        <f>'Расходы ТОР'!V18</f>
        <v>20675.135368044372</v>
      </c>
      <c r="W4" s="630">
        <f>'Расходы ТОР'!W18</f>
        <v>20497.109494914133</v>
      </c>
      <c r="X4" s="630">
        <f>'Расходы ТОР'!X18</f>
        <v>56103.821507108165</v>
      </c>
      <c r="Y4" s="630">
        <f>'Расходы ТОР'!Y18</f>
        <v>21385.030234914135</v>
      </c>
      <c r="Z4" s="630">
        <f>'Расходы ТОР'!Z18</f>
        <v>22003.61779852831</v>
      </c>
      <c r="AA4" s="630">
        <f>'Расходы ТОР'!AA18</f>
        <v>21846.402317410259</v>
      </c>
      <c r="AB4" s="630">
        <f>'Расходы ТОР'!AB18</f>
        <v>59585.722050335935</v>
      </c>
      <c r="AC4" s="630">
        <f>'Расходы ТОР'!AC18</f>
        <v>22426.928057410259</v>
      </c>
      <c r="AD4" s="630">
        <f>'Расходы ТОР'!AD18</f>
        <v>23044.479888868733</v>
      </c>
      <c r="AE4" s="630">
        <f>'Расходы ТОР'!AE18</f>
        <v>22913.346123283587</v>
      </c>
      <c r="AF4" s="630">
        <f>'Расходы ТОР'!AF18</f>
        <v>62917.252740184813</v>
      </c>
      <c r="AG4" s="630">
        <f>'Расходы ТОР'!AG18</f>
        <v>23493.871863283588</v>
      </c>
      <c r="AH4" s="630">
        <f>'Расходы ТОР'!AH18</f>
        <v>24187.083190602123</v>
      </c>
      <c r="AI4" s="630">
        <f>'Расходы ТОР'!AI18</f>
        <v>24083.596043481877</v>
      </c>
      <c r="AJ4" s="630">
        <f>'Расходы ТОР'!AJ18</f>
        <v>66487.964757397174</v>
      </c>
      <c r="AK4" s="630">
        <f>'Расходы ТОР'!AK18</f>
        <v>24664.121783481874</v>
      </c>
      <c r="AL4" s="630">
        <f>'Расходы ТОР'!AL18</f>
        <v>25399.153490439523</v>
      </c>
      <c r="AM4" s="630">
        <f>'Расходы ТОР'!AM18</f>
        <v>25873.764507851756</v>
      </c>
      <c r="AN4" s="630">
        <f>'Расходы ТОР'!AN18</f>
        <v>70822.623044602005</v>
      </c>
      <c r="AO4" s="630">
        <f>'Расходы ТОР'!AO18</f>
        <v>26454.290247851757</v>
      </c>
      <c r="AP4" s="630">
        <f>'Расходы ТОР'!AP18</f>
        <v>26743.071377849661</v>
      </c>
      <c r="AQ4" s="630">
        <f>'Расходы ТОР'!AQ18</f>
        <v>26151.160637849662</v>
      </c>
      <c r="AR4" s="630">
        <f>'Расходы ТОР'!AR18</f>
        <v>67064.653808460804</v>
      </c>
      <c r="AS4" s="630">
        <f>'Расходы ТОР'!AS18</f>
        <v>26731.686377849659</v>
      </c>
    </row>
    <row r="5" spans="1:45" s="389" customFormat="1" ht="30" x14ac:dyDescent="0.25">
      <c r="A5" s="629" t="s">
        <v>253</v>
      </c>
      <c r="B5" s="631">
        <f>'Расходы на П, строит-во, ввод'!B12</f>
        <v>0</v>
      </c>
      <c r="C5" s="631">
        <f>'Расходы на П, строит-во, ввод'!C12</f>
        <v>74125</v>
      </c>
      <c r="D5" s="631">
        <f>'Расходы на П, строит-во, ввод'!D12</f>
        <v>39375</v>
      </c>
      <c r="E5" s="631">
        <f>'Расходы на П, строит-во, ввод'!E12</f>
        <v>0</v>
      </c>
      <c r="F5" s="631">
        <f>'Расходы на П, строит-во, ввод'!F12</f>
        <v>0</v>
      </c>
      <c r="G5" s="631">
        <f>'Расходы на П, строит-во, ввод'!G12</f>
        <v>0</v>
      </c>
      <c r="H5" s="631">
        <f>'Расходы на П, строит-во, ввод'!H12</f>
        <v>0</v>
      </c>
      <c r="I5" s="631">
        <f>'Расходы на П, строит-во, ввод'!I12</f>
        <v>0</v>
      </c>
      <c r="J5" s="631">
        <f>'Расходы на П, строит-во, ввод'!J12</f>
        <v>0</v>
      </c>
      <c r="K5" s="631">
        <f>'Расходы на П, строит-во, ввод'!K12</f>
        <v>0</v>
      </c>
      <c r="L5" s="631">
        <f>'Расходы на П, строит-во, ввод'!L12</f>
        <v>0</v>
      </c>
      <c r="M5" s="631">
        <f>'Расходы на П, строит-во, ввод'!M12</f>
        <v>0</v>
      </c>
      <c r="N5" s="631">
        <f>'Расходы на П, строит-во, ввод'!N12</f>
        <v>0</v>
      </c>
      <c r="O5" s="631">
        <f>'Расходы на П, строит-во, ввод'!O12</f>
        <v>0</v>
      </c>
      <c r="P5" s="631">
        <f>'Расходы на П, строит-во, ввод'!P12</f>
        <v>0</v>
      </c>
      <c r="Q5" s="631">
        <f>'Расходы на П, строит-во, ввод'!Q12</f>
        <v>0</v>
      </c>
      <c r="R5" s="631"/>
      <c r="S5" s="632"/>
      <c r="T5" s="632"/>
      <c r="U5" s="632"/>
      <c r="V5" s="632"/>
      <c r="W5" s="632"/>
      <c r="X5" s="632"/>
      <c r="Y5" s="632"/>
      <c r="Z5" s="632"/>
      <c r="AA5" s="632"/>
      <c r="AB5" s="632"/>
      <c r="AC5" s="632"/>
      <c r="AD5" s="632"/>
      <c r="AE5" s="632"/>
      <c r="AF5" s="632"/>
      <c r="AG5" s="632"/>
      <c r="AH5" s="632"/>
      <c r="AI5" s="632"/>
      <c r="AJ5" s="632"/>
      <c r="AK5" s="632"/>
      <c r="AL5" s="632"/>
      <c r="AM5" s="632"/>
      <c r="AN5" s="632"/>
      <c r="AO5" s="632"/>
      <c r="AP5" s="632"/>
      <c r="AQ5" s="632"/>
      <c r="AR5" s="632"/>
      <c r="AS5" s="632"/>
    </row>
    <row r="6" spans="1:45" s="389" customFormat="1" ht="30" x14ac:dyDescent="0.25">
      <c r="A6" s="629" t="s">
        <v>254</v>
      </c>
      <c r="B6" s="633">
        <f>B3-B4</f>
        <v>-1027.6124121</v>
      </c>
      <c r="C6" s="633">
        <f t="shared" ref="C6:AS6" si="0">C3-C4</f>
        <v>-3137.0791921000005</v>
      </c>
      <c r="D6" s="633">
        <f t="shared" si="0"/>
        <v>-28568.235646645451</v>
      </c>
      <c r="E6" s="633">
        <f t="shared" si="0"/>
        <v>29108.537173354547</v>
      </c>
      <c r="F6" s="633">
        <f t="shared" si="0"/>
        <v>22562.892781354552</v>
      </c>
      <c r="G6" s="633">
        <f t="shared" si="0"/>
        <v>23151.008521354546</v>
      </c>
      <c r="H6" s="633">
        <f t="shared" si="0"/>
        <v>-5052.8424322454593</v>
      </c>
      <c r="I6" s="633">
        <f t="shared" si="0"/>
        <v>22562.892781354545</v>
      </c>
      <c r="J6" s="633">
        <f t="shared" si="0"/>
        <v>22949.465441034543</v>
      </c>
      <c r="K6" s="633">
        <f t="shared" si="0"/>
        <v>24764.061821034549</v>
      </c>
      <c r="L6" s="633">
        <f t="shared" si="0"/>
        <v>-5132.020189781455</v>
      </c>
      <c r="M6" s="633">
        <f t="shared" si="0"/>
        <v>24175.946081034548</v>
      </c>
      <c r="N6" s="633">
        <f t="shared" si="0"/>
        <v>24650.969350295345</v>
      </c>
      <c r="O6" s="633">
        <f t="shared" si="0"/>
        <v>26539.154568695347</v>
      </c>
      <c r="P6" s="633">
        <f>P3-P4</f>
        <v>-5150.692362769616</v>
      </c>
      <c r="Q6" s="633">
        <f t="shared" si="0"/>
        <v>25951.038828695349</v>
      </c>
      <c r="R6" s="633">
        <f t="shared" si="0"/>
        <v>26338.063202911795</v>
      </c>
      <c r="S6" s="633">
        <f t="shared" si="0"/>
        <v>28304.252590015793</v>
      </c>
      <c r="T6" s="633">
        <f t="shared" si="0"/>
        <v>-5286.9851573370688</v>
      </c>
      <c r="U6" s="633">
        <f t="shared" si="0"/>
        <v>27716.136850015791</v>
      </c>
      <c r="V6" s="633">
        <f t="shared" si="0"/>
        <v>28126.382686685225</v>
      </c>
      <c r="W6" s="633">
        <f t="shared" si="0"/>
        <v>30175.256492615474</v>
      </c>
      <c r="X6" s="633">
        <f t="shared" si="0"/>
        <v>-5431.4555195785579</v>
      </c>
      <c r="Y6" s="633">
        <f t="shared" si="0"/>
        <v>29287.335752615472</v>
      </c>
      <c r="Z6" s="633">
        <f t="shared" si="0"/>
        <v>29725.991339485077</v>
      </c>
      <c r="AA6" s="633">
        <f t="shared" si="0"/>
        <v>31866.305629371131</v>
      </c>
      <c r="AB6" s="633">
        <f t="shared" si="0"/>
        <v>-5873.0141035545457</v>
      </c>
      <c r="AC6" s="633">
        <f t="shared" si="0"/>
        <v>31285.77988937113</v>
      </c>
      <c r="AD6" s="633">
        <f t="shared" si="0"/>
        <v>31788.905797425465</v>
      </c>
      <c r="AE6" s="633">
        <f t="shared" si="0"/>
        <v>34022.124300304684</v>
      </c>
      <c r="AF6" s="633">
        <f t="shared" si="0"/>
        <v>-5981.7823165965383</v>
      </c>
      <c r="AG6" s="633">
        <f t="shared" si="0"/>
        <v>33441.598560304687</v>
      </c>
      <c r="AH6" s="633">
        <f t="shared" si="0"/>
        <v>33936.305636869714</v>
      </c>
      <c r="AI6" s="633">
        <f t="shared" si="0"/>
        <v>36268.002605521695</v>
      </c>
      <c r="AJ6" s="633">
        <f t="shared" si="0"/>
        <v>-6136.3661083936022</v>
      </c>
      <c r="AK6" s="633">
        <f t="shared" si="0"/>
        <v>35687.476865521698</v>
      </c>
      <c r="AL6" s="633">
        <f t="shared" si="0"/>
        <v>36211.638666680636</v>
      </c>
      <c r="AM6" s="633">
        <f t="shared" si="0"/>
        <v>40602.546615565094</v>
      </c>
      <c r="AN6" s="633">
        <f t="shared" si="0"/>
        <v>-4346.311921185159</v>
      </c>
      <c r="AO6" s="633">
        <f t="shared" si="0"/>
        <v>40022.020875565089</v>
      </c>
      <c r="AP6" s="633">
        <f t="shared" si="0"/>
        <v>41067.984864170765</v>
      </c>
      <c r="AQ6" s="633">
        <f t="shared" si="0"/>
        <v>41659.895604170757</v>
      </c>
      <c r="AR6" s="633">
        <f t="shared" si="0"/>
        <v>746.40243355961866</v>
      </c>
      <c r="AS6" s="633">
        <f t="shared" si="0"/>
        <v>41079.36986417076</v>
      </c>
    </row>
    <row r="7" spans="1:45" s="194" customFormat="1" ht="54" customHeight="1" x14ac:dyDescent="0.25">
      <c r="A7" s="629" t="s">
        <v>255</v>
      </c>
      <c r="B7" s="633">
        <f>'Расходы по займу'!B4</f>
        <v>499.99999999999994</v>
      </c>
      <c r="C7" s="633">
        <f>'Расходы по займу'!C4</f>
        <v>1458.4635355598123</v>
      </c>
      <c r="D7" s="633">
        <f>'Расходы по займу'!D4</f>
        <v>1395.245486534222</v>
      </c>
      <c r="E7" s="633">
        <f>'Расходы по займу'!E4</f>
        <v>1330.8346752901875</v>
      </c>
      <c r="F7" s="633">
        <f>'Расходы по займу'!F4</f>
        <v>1265.208597468089</v>
      </c>
      <c r="G7" s="633">
        <f>'Расходы по займу'!G4</f>
        <v>1198.3443241088401</v>
      </c>
      <c r="H7" s="633">
        <f>'Расходы по займу'!H4</f>
        <v>1130.2184936427852</v>
      </c>
      <c r="I7" s="633">
        <f>'Расходы по займу'!I4</f>
        <v>1060.8073037274512</v>
      </c>
      <c r="J7" s="633">
        <f>'Расходы по займу'!J4</f>
        <v>990.08650293129517</v>
      </c>
      <c r="K7" s="633">
        <f>'Расходы по займу'!K4</f>
        <v>918.03138226054739</v>
      </c>
      <c r="L7" s="633">
        <f>'Расходы по займу'!L4</f>
        <v>844.61676652618735</v>
      </c>
      <c r="M7" s="633">
        <f>'Расходы по займу'!M4</f>
        <v>769.8170055480366</v>
      </c>
      <c r="N7" s="633">
        <f>'Расходы по займу'!N4</f>
        <v>693.60596519289538</v>
      </c>
      <c r="O7" s="633">
        <f>'Расходы по займу'!O4</f>
        <v>615.95701824359264</v>
      </c>
      <c r="P7" s="633">
        <f>'Расходы по займу'!P4</f>
        <v>536.84303509575739</v>
      </c>
      <c r="Q7" s="633">
        <f>'Расходы по займу'!Q4</f>
        <v>456.23637427906294</v>
      </c>
      <c r="R7" s="633">
        <f>'Расходы по займу'!R4</f>
        <v>374.10887279963038</v>
      </c>
      <c r="S7" s="633">
        <f>'Расходы по займу'!S4</f>
        <v>290.43183630021929</v>
      </c>
      <c r="T7" s="633">
        <f>'Расходы по займу'!T4</f>
        <v>205.17602903476555</v>
      </c>
      <c r="U7" s="633">
        <f>'Расходы по займу'!U4</f>
        <v>118.3116636537645</v>
      </c>
      <c r="V7" s="633">
        <f>'Расходы по займу'!V4</f>
        <v>29.80839079693115</v>
      </c>
      <c r="W7" s="633">
        <f>'Расходы по займу'!W4</f>
        <v>0</v>
      </c>
      <c r="X7" s="633">
        <f>'Расходы по займу'!X4</f>
        <v>0</v>
      </c>
      <c r="Y7" s="633">
        <f>'Расходы по займу'!Y4</f>
        <v>0</v>
      </c>
      <c r="Z7" s="633">
        <f>'Расходы по займу'!Z4</f>
        <v>0</v>
      </c>
      <c r="AA7" s="633">
        <f>'Расходы по займу'!AA4</f>
        <v>0</v>
      </c>
      <c r="AB7" s="634">
        <f>'Расходы по займу'!AB4</f>
        <v>0</v>
      </c>
      <c r="AC7" s="634">
        <f>'Расходы по займу'!AC4</f>
        <v>0</v>
      </c>
      <c r="AD7" s="634">
        <f>'Расходы по займу'!AD4</f>
        <v>0</v>
      </c>
      <c r="AE7" s="634">
        <f>'Расходы по займу'!AE4</f>
        <v>0</v>
      </c>
      <c r="AF7" s="634">
        <f>'Расходы по займу'!AF4</f>
        <v>0</v>
      </c>
      <c r="AG7" s="634">
        <f>'Расходы по займу'!AG4</f>
        <v>0</v>
      </c>
      <c r="AH7" s="634">
        <f>'Расходы по займу'!AH4</f>
        <v>0</v>
      </c>
      <c r="AI7" s="634">
        <f>'Расходы по займу'!AI4</f>
        <v>0</v>
      </c>
      <c r="AJ7" s="634">
        <f>'Расходы по займу'!AJ4</f>
        <v>0</v>
      </c>
      <c r="AK7" s="634">
        <f>'Расходы по займу'!AK4</f>
        <v>0</v>
      </c>
      <c r="AL7" s="634">
        <f>'Расходы по займу'!AL4</f>
        <v>0</v>
      </c>
      <c r="AM7" s="634">
        <f>'Расходы по займу'!AM4</f>
        <v>0</v>
      </c>
      <c r="AN7" s="634">
        <f>'Расходы по займу'!AN4</f>
        <v>0</v>
      </c>
      <c r="AO7" s="634">
        <f>'Расходы по займу'!AO4</f>
        <v>0</v>
      </c>
      <c r="AP7" s="634">
        <f>'Расходы по займу'!AP4</f>
        <v>0</v>
      </c>
      <c r="AQ7" s="634">
        <f>'Расходы по займу'!AQ4</f>
        <v>0</v>
      </c>
      <c r="AR7" s="634">
        <f>'Расходы по займу'!AR4</f>
        <v>0</v>
      </c>
      <c r="AS7" s="634">
        <f>'Расходы по займу'!AS4</f>
        <v>0</v>
      </c>
    </row>
    <row r="8" spans="1:45" s="180" customFormat="1" ht="63.75" customHeight="1" x14ac:dyDescent="0.25">
      <c r="A8" s="635" t="s">
        <v>256</v>
      </c>
      <c r="B8" s="636">
        <f>B6-B7</f>
        <v>-1527.6124121</v>
      </c>
      <c r="C8" s="636">
        <f t="shared" ref="C8" si="1">C6-C7</f>
        <v>-4595.542727659813</v>
      </c>
      <c r="D8" s="636">
        <f>D6-D7</f>
        <v>-29963.481133179674</v>
      </c>
      <c r="E8" s="636">
        <f>E6-E7</f>
        <v>27777.702498064358</v>
      </c>
      <c r="F8" s="637">
        <f>F6-F7</f>
        <v>21297.684183886464</v>
      </c>
      <c r="G8" s="638">
        <f t="shared" ref="G8:AS8" si="2">G6-G7</f>
        <v>21952.664197245707</v>
      </c>
      <c r="H8" s="639">
        <f t="shared" ref="H8:AN8" si="3">H6-H7</f>
        <v>-6183.060925888245</v>
      </c>
      <c r="I8" s="639">
        <f t="shared" si="3"/>
        <v>21502.085477627093</v>
      </c>
      <c r="J8" s="640">
        <f t="shared" si="3"/>
        <v>21959.378938103247</v>
      </c>
      <c r="K8" s="640">
        <f t="shared" si="3"/>
        <v>23846.030438774003</v>
      </c>
      <c r="L8" s="640">
        <f t="shared" si="3"/>
        <v>-5976.6369563076423</v>
      </c>
      <c r="M8" s="640">
        <f t="shared" si="3"/>
        <v>23406.129075486511</v>
      </c>
      <c r="N8" s="640">
        <f t="shared" si="3"/>
        <v>23957.36338510245</v>
      </c>
      <c r="O8" s="640">
        <f t="shared" si="3"/>
        <v>25923.197550451754</v>
      </c>
      <c r="P8" s="640">
        <f>P6-P7</f>
        <v>-5687.5353978653729</v>
      </c>
      <c r="Q8" s="640">
        <f t="shared" si="3"/>
        <v>25494.802454416287</v>
      </c>
      <c r="R8" s="640">
        <f t="shared" si="3"/>
        <v>25963.954330112163</v>
      </c>
      <c r="S8" s="640">
        <f t="shared" si="3"/>
        <v>28013.820753715572</v>
      </c>
      <c r="T8" s="640">
        <f t="shared" si="3"/>
        <v>-5492.1611863718344</v>
      </c>
      <c r="U8" s="640">
        <f t="shared" si="3"/>
        <v>27597.825186362028</v>
      </c>
      <c r="V8" s="640">
        <f t="shared" si="3"/>
        <v>28096.574295888295</v>
      </c>
      <c r="W8" s="640">
        <f t="shared" si="3"/>
        <v>30175.256492615474</v>
      </c>
      <c r="X8" s="640">
        <f t="shared" si="3"/>
        <v>-5431.4555195785579</v>
      </c>
      <c r="Y8" s="640">
        <f t="shared" si="3"/>
        <v>29287.335752615472</v>
      </c>
      <c r="Z8" s="640">
        <f t="shared" si="3"/>
        <v>29725.991339485077</v>
      </c>
      <c r="AA8" s="640">
        <f t="shared" si="3"/>
        <v>31866.305629371131</v>
      </c>
      <c r="AB8" s="640">
        <f t="shared" si="3"/>
        <v>-5873.0141035545457</v>
      </c>
      <c r="AC8" s="640">
        <f t="shared" si="3"/>
        <v>31285.77988937113</v>
      </c>
      <c r="AD8" s="640">
        <f t="shared" si="3"/>
        <v>31788.905797425465</v>
      </c>
      <c r="AE8" s="640">
        <f t="shared" si="3"/>
        <v>34022.124300304684</v>
      </c>
      <c r="AF8" s="640">
        <f>AF6-AF7</f>
        <v>-5981.7823165965383</v>
      </c>
      <c r="AG8" s="640">
        <f t="shared" si="3"/>
        <v>33441.598560304687</v>
      </c>
      <c r="AH8" s="640">
        <f t="shared" si="3"/>
        <v>33936.305636869714</v>
      </c>
      <c r="AI8" s="640">
        <f t="shared" si="3"/>
        <v>36268.002605521695</v>
      </c>
      <c r="AJ8" s="640">
        <f t="shared" si="3"/>
        <v>-6136.3661083936022</v>
      </c>
      <c r="AK8" s="640">
        <f t="shared" si="3"/>
        <v>35687.476865521698</v>
      </c>
      <c r="AL8" s="640">
        <f t="shared" si="3"/>
        <v>36211.638666680636</v>
      </c>
      <c r="AM8" s="640">
        <f t="shared" si="3"/>
        <v>40602.546615565094</v>
      </c>
      <c r="AN8" s="640">
        <f t="shared" si="3"/>
        <v>-4346.311921185159</v>
      </c>
      <c r="AO8" s="640">
        <f t="shared" si="2"/>
        <v>40022.020875565089</v>
      </c>
      <c r="AP8" s="640">
        <f>AP6-AP7</f>
        <v>41067.984864170765</v>
      </c>
      <c r="AQ8" s="640">
        <f t="shared" si="2"/>
        <v>41659.895604170757</v>
      </c>
      <c r="AR8" s="640">
        <f t="shared" si="2"/>
        <v>746.40243355961866</v>
      </c>
      <c r="AS8" s="640">
        <f t="shared" si="2"/>
        <v>41079.36986417076</v>
      </c>
    </row>
    <row r="9" spans="1:45" s="180" customFormat="1" ht="61.5" customHeight="1" x14ac:dyDescent="0.25">
      <c r="A9" s="635" t="s">
        <v>257</v>
      </c>
      <c r="B9" s="641">
        <f>IF(B8&lt;0,0,B8*0)</f>
        <v>0</v>
      </c>
      <c r="C9" s="641">
        <f>IF(C8&lt;0,0,C8*0)</f>
        <v>0</v>
      </c>
      <c r="D9" s="641">
        <f>IF(D8&lt;0,0,D8*0)</f>
        <v>0</v>
      </c>
      <c r="E9" s="641">
        <f t="shared" ref="E9:U9" si="4">IF(E8&lt;0,0,E8*0)</f>
        <v>0</v>
      </c>
      <c r="F9" s="641">
        <f t="shared" si="4"/>
        <v>0</v>
      </c>
      <c r="G9" s="641">
        <f t="shared" si="4"/>
        <v>0</v>
      </c>
      <c r="H9" s="641">
        <f t="shared" si="4"/>
        <v>0</v>
      </c>
      <c r="I9" s="641">
        <f t="shared" si="4"/>
        <v>0</v>
      </c>
      <c r="J9" s="641">
        <f t="shared" si="4"/>
        <v>0</v>
      </c>
      <c r="K9" s="641">
        <f t="shared" si="4"/>
        <v>0</v>
      </c>
      <c r="L9" s="641">
        <f t="shared" si="4"/>
        <v>0</v>
      </c>
      <c r="M9" s="641">
        <f t="shared" si="4"/>
        <v>0</v>
      </c>
      <c r="N9" s="641">
        <f t="shared" si="4"/>
        <v>0</v>
      </c>
      <c r="O9" s="641">
        <f t="shared" si="4"/>
        <v>0</v>
      </c>
      <c r="P9" s="641">
        <f t="shared" si="4"/>
        <v>0</v>
      </c>
      <c r="Q9" s="641">
        <f t="shared" si="4"/>
        <v>0</v>
      </c>
      <c r="R9" s="641">
        <f t="shared" si="4"/>
        <v>0</v>
      </c>
      <c r="S9" s="641">
        <f t="shared" si="4"/>
        <v>0</v>
      </c>
      <c r="T9" s="641">
        <f t="shared" si="4"/>
        <v>0</v>
      </c>
      <c r="U9" s="641">
        <f t="shared" si="4"/>
        <v>0</v>
      </c>
      <c r="V9" s="653">
        <f>IF(V8&lt;0,0,V8*0.12)</f>
        <v>3371.5889155065952</v>
      </c>
      <c r="W9" s="641">
        <f t="shared" ref="W9:AO9" si="5">IF(W8&lt;0,0,W8*0.12)</f>
        <v>3621.0307791138566</v>
      </c>
      <c r="X9" s="641">
        <f t="shared" si="5"/>
        <v>0</v>
      </c>
      <c r="Y9" s="641">
        <f t="shared" si="5"/>
        <v>3514.4802903138566</v>
      </c>
      <c r="Z9" s="641">
        <f t="shared" si="5"/>
        <v>3567.1189607382094</v>
      </c>
      <c r="AA9" s="641">
        <f t="shared" si="5"/>
        <v>3823.9566755245355</v>
      </c>
      <c r="AB9" s="641">
        <f t="shared" si="5"/>
        <v>0</v>
      </c>
      <c r="AC9" s="641">
        <f t="shared" si="5"/>
        <v>3754.2935867245355</v>
      </c>
      <c r="AD9" s="641">
        <f t="shared" si="5"/>
        <v>3814.6686956910557</v>
      </c>
      <c r="AE9" s="641">
        <f t="shared" si="5"/>
        <v>4082.6549160365621</v>
      </c>
      <c r="AF9" s="641">
        <f t="shared" si="5"/>
        <v>0</v>
      </c>
      <c r="AG9" s="641">
        <f t="shared" si="5"/>
        <v>4012.9918272365621</v>
      </c>
      <c r="AH9" s="641">
        <f t="shared" si="5"/>
        <v>4072.3566764243656</v>
      </c>
      <c r="AI9" s="641">
        <f t="shared" si="5"/>
        <v>4352.1603126626032</v>
      </c>
      <c r="AJ9" s="641">
        <f t="shared" si="5"/>
        <v>0</v>
      </c>
      <c r="AK9" s="641">
        <f t="shared" si="5"/>
        <v>4282.4972238626033</v>
      </c>
      <c r="AL9" s="641">
        <f t="shared" si="5"/>
        <v>4345.3966400016761</v>
      </c>
      <c r="AM9" s="641">
        <f t="shared" si="5"/>
        <v>4872.3055938678108</v>
      </c>
      <c r="AN9" s="641">
        <f t="shared" si="5"/>
        <v>0</v>
      </c>
      <c r="AO9" s="641">
        <f t="shared" si="5"/>
        <v>4802.6425050678108</v>
      </c>
      <c r="AP9" s="653">
        <f>IF(AP8&lt;0,0,AP8*0.2)</f>
        <v>8213.5969728341533</v>
      </c>
      <c r="AQ9" s="653">
        <f t="shared" ref="AQ9:AS9" si="6">IF(AQ8&lt;0,0,AQ8*0.2)</f>
        <v>8331.9791208341521</v>
      </c>
      <c r="AR9" s="653">
        <f t="shared" si="6"/>
        <v>149.28048671192374</v>
      </c>
      <c r="AS9" s="653">
        <f t="shared" si="6"/>
        <v>8215.8739728341516</v>
      </c>
    </row>
    <row r="10" spans="1:45" s="390" customFormat="1" ht="60" customHeight="1" x14ac:dyDescent="0.25">
      <c r="A10" s="642" t="s">
        <v>258</v>
      </c>
      <c r="B10" s="643">
        <f t="shared" ref="B10:E10" si="7">B8-B9</f>
        <v>-1527.6124121</v>
      </c>
      <c r="C10" s="643">
        <f t="shared" si="7"/>
        <v>-4595.542727659813</v>
      </c>
      <c r="D10" s="644">
        <f t="shared" si="7"/>
        <v>-29963.481133179674</v>
      </c>
      <c r="E10" s="644">
        <f t="shared" si="7"/>
        <v>27777.702498064358</v>
      </c>
      <c r="F10" s="644">
        <f t="shared" ref="F10:AS10" si="8">F8-F9</f>
        <v>21297.684183886464</v>
      </c>
      <c r="G10" s="645">
        <f t="shared" si="8"/>
        <v>21952.664197245707</v>
      </c>
      <c r="H10" s="645">
        <f>H8-H9</f>
        <v>-6183.060925888245</v>
      </c>
      <c r="I10" s="645">
        <f t="shared" si="8"/>
        <v>21502.085477627093</v>
      </c>
      <c r="J10" s="645">
        <f t="shared" si="8"/>
        <v>21959.378938103247</v>
      </c>
      <c r="K10" s="645">
        <f t="shared" si="8"/>
        <v>23846.030438774003</v>
      </c>
      <c r="L10" s="645">
        <f t="shared" si="8"/>
        <v>-5976.6369563076423</v>
      </c>
      <c r="M10" s="645">
        <f t="shared" si="8"/>
        <v>23406.129075486511</v>
      </c>
      <c r="N10" s="645">
        <f t="shared" si="8"/>
        <v>23957.36338510245</v>
      </c>
      <c r="O10" s="645">
        <f t="shared" si="8"/>
        <v>25923.197550451754</v>
      </c>
      <c r="P10" s="645">
        <f>P8-P9</f>
        <v>-5687.5353978653729</v>
      </c>
      <c r="Q10" s="645">
        <f>Q8-Q9</f>
        <v>25494.802454416287</v>
      </c>
      <c r="R10" s="645">
        <f t="shared" si="8"/>
        <v>25963.954330112163</v>
      </c>
      <c r="S10" s="645">
        <f t="shared" si="8"/>
        <v>28013.820753715572</v>
      </c>
      <c r="T10" s="645">
        <f t="shared" si="8"/>
        <v>-5492.1611863718344</v>
      </c>
      <c r="U10" s="645">
        <f t="shared" si="8"/>
        <v>27597.825186362028</v>
      </c>
      <c r="V10" s="645">
        <f t="shared" si="8"/>
        <v>24724.985380381699</v>
      </c>
      <c r="W10" s="645">
        <f t="shared" si="8"/>
        <v>26554.225713501619</v>
      </c>
      <c r="X10" s="645">
        <f t="shared" si="8"/>
        <v>-5431.4555195785579</v>
      </c>
      <c r="Y10" s="645">
        <f t="shared" si="8"/>
        <v>25772.855462301617</v>
      </c>
      <c r="Z10" s="645">
        <f t="shared" si="8"/>
        <v>26158.87237874687</v>
      </c>
      <c r="AA10" s="645">
        <f t="shared" si="8"/>
        <v>28042.348953846595</v>
      </c>
      <c r="AB10" s="645">
        <f t="shared" si="8"/>
        <v>-5873.0141035545457</v>
      </c>
      <c r="AC10" s="645">
        <f t="shared" si="8"/>
        <v>27531.486302646594</v>
      </c>
      <c r="AD10" s="645">
        <f t="shared" si="8"/>
        <v>27974.237101734408</v>
      </c>
      <c r="AE10" s="645">
        <f t="shared" si="8"/>
        <v>29939.469384268123</v>
      </c>
      <c r="AF10" s="645">
        <f t="shared" si="8"/>
        <v>-5981.7823165965383</v>
      </c>
      <c r="AG10" s="645">
        <f t="shared" si="8"/>
        <v>29428.606733068125</v>
      </c>
      <c r="AH10" s="645">
        <f t="shared" si="8"/>
        <v>29863.948960445348</v>
      </c>
      <c r="AI10" s="645">
        <f t="shared" si="8"/>
        <v>31915.842292859092</v>
      </c>
      <c r="AJ10" s="645">
        <f t="shared" si="8"/>
        <v>-6136.3661083936022</v>
      </c>
      <c r="AK10" s="645">
        <f t="shared" si="8"/>
        <v>31404.979641659094</v>
      </c>
      <c r="AL10" s="645">
        <f t="shared" si="8"/>
        <v>31866.24202667896</v>
      </c>
      <c r="AM10" s="645">
        <f t="shared" si="8"/>
        <v>35730.241021697286</v>
      </c>
      <c r="AN10" s="645">
        <f t="shared" si="8"/>
        <v>-4346.311921185159</v>
      </c>
      <c r="AO10" s="645">
        <f t="shared" si="8"/>
        <v>35219.378370497281</v>
      </c>
      <c r="AP10" s="645">
        <f t="shared" si="8"/>
        <v>32854.387891336613</v>
      </c>
      <c r="AQ10" s="645">
        <f t="shared" si="8"/>
        <v>33327.916483336609</v>
      </c>
      <c r="AR10" s="645">
        <f t="shared" si="8"/>
        <v>597.12194684769497</v>
      </c>
      <c r="AS10" s="645">
        <f t="shared" si="8"/>
        <v>32863.495891336606</v>
      </c>
    </row>
    <row r="11" spans="1:45" s="194" customFormat="1" ht="48.75" customHeight="1" x14ac:dyDescent="0.25">
      <c r="A11" s="635" t="s">
        <v>259</v>
      </c>
      <c r="B11" s="637">
        <f>'Расходы по займу'!B5</f>
        <v>1103.035887649901</v>
      </c>
      <c r="C11" s="637">
        <f>'Расходы по займу'!C5</f>
        <v>3350.6441273898904</v>
      </c>
      <c r="D11" s="637">
        <f>'Расходы по займу'!D5</f>
        <v>3413.8621764154814</v>
      </c>
      <c r="E11" s="637">
        <f>'Расходы по займу'!E5</f>
        <v>3478.2729876595158</v>
      </c>
      <c r="F11" s="637">
        <f>'Расходы по займу'!F5</f>
        <v>3543.8990654816139</v>
      </c>
      <c r="G11" s="637">
        <f>'Расходы по займу'!G5</f>
        <v>3610.7633388408631</v>
      </c>
      <c r="H11" s="637">
        <f>'Расходы по займу'!H5</f>
        <v>3678.8891693069181</v>
      </c>
      <c r="I11" s="637">
        <f>'Расходы по займу'!I5</f>
        <v>3748.3003592222522</v>
      </c>
      <c r="J11" s="637">
        <f>'Расходы по займу'!J5</f>
        <v>3819.0211600184075</v>
      </c>
      <c r="K11" s="637">
        <f>'Расходы по займу'!K5</f>
        <v>3891.0762806891562</v>
      </c>
      <c r="L11" s="637">
        <f>'Расходы по займу'!L5</f>
        <v>3964.490896423516</v>
      </c>
      <c r="M11" s="637">
        <f>'Расходы по займу'!M5</f>
        <v>4039.2906574016665</v>
      </c>
      <c r="N11" s="637">
        <f>'Расходы по займу'!N5</f>
        <v>4115.5016977568075</v>
      </c>
      <c r="O11" s="637">
        <f>'Расходы по займу'!O5</f>
        <v>4193.1506447061111</v>
      </c>
      <c r="P11" s="637">
        <f>'Расходы по займу'!P5</f>
        <v>4272.2646278539451</v>
      </c>
      <c r="Q11" s="637">
        <f>'Расходы по займу'!Q5</f>
        <v>4352.8712886706398</v>
      </c>
      <c r="R11" s="637">
        <f>'Расходы по займу'!R5</f>
        <v>4434.9987901500726</v>
      </c>
      <c r="S11" s="637">
        <f>'Расходы по займу'!S5</f>
        <v>4518.6758266494835</v>
      </c>
      <c r="T11" s="637">
        <f>'Расходы по займу'!T5</f>
        <v>4603.9316339149382</v>
      </c>
      <c r="U11" s="637">
        <f>'Расходы по займу'!U5</f>
        <v>4690.7959992959386</v>
      </c>
      <c r="V11" s="637">
        <f>'Расходы по займу'!V5</f>
        <v>3176.2633845028713</v>
      </c>
      <c r="W11" s="637">
        <f>'Расходы по займу'!W5</f>
        <v>0</v>
      </c>
      <c r="X11" s="637">
        <f>'Расходы по займу'!X5</f>
        <v>0</v>
      </c>
      <c r="Y11" s="637">
        <f>'Расходы по займу'!Y5</f>
        <v>0</v>
      </c>
      <c r="Z11" s="637">
        <f>'Расходы по займу'!Z5</f>
        <v>0</v>
      </c>
      <c r="AA11" s="637">
        <f>'Расходы по займу'!AA5</f>
        <v>0</v>
      </c>
      <c r="AB11" s="637">
        <f>'Расходы по займу'!AB5</f>
        <v>0</v>
      </c>
      <c r="AC11" s="637">
        <f>'Расходы по займу'!AC5</f>
        <v>0</v>
      </c>
      <c r="AD11" s="637">
        <f>'Расходы по займу'!AD5</f>
        <v>0</v>
      </c>
      <c r="AE11" s="637">
        <f>'Расходы по займу'!AE5</f>
        <v>0</v>
      </c>
      <c r="AF11" s="637">
        <f>'Расходы по займу'!AF5</f>
        <v>0</v>
      </c>
      <c r="AG11" s="637">
        <f>'Расходы по займу'!AG5</f>
        <v>0</v>
      </c>
      <c r="AH11" s="637">
        <f>'Расходы по займу'!AH5</f>
        <v>0</v>
      </c>
      <c r="AI11" s="637">
        <f>'Расходы по займу'!AI5</f>
        <v>0</v>
      </c>
      <c r="AJ11" s="637">
        <f>'Расходы по займу'!AJ5</f>
        <v>0</v>
      </c>
      <c r="AK11" s="637">
        <f>'Расходы по займу'!AK5</f>
        <v>0</v>
      </c>
      <c r="AL11" s="637">
        <f>'Расходы по займу'!AL5</f>
        <v>0</v>
      </c>
      <c r="AM11" s="637">
        <f>'Расходы по займу'!AM5</f>
        <v>0</v>
      </c>
      <c r="AN11" s="637">
        <f>'Расходы по займу'!AN5</f>
        <v>0</v>
      </c>
      <c r="AO11" s="637">
        <f>'Расходы по займу'!AO5</f>
        <v>0</v>
      </c>
      <c r="AP11" s="637">
        <f>'Расходы по займу'!AP5</f>
        <v>0</v>
      </c>
      <c r="AQ11" s="637">
        <f>'Расходы по займу'!AQ5</f>
        <v>0</v>
      </c>
      <c r="AR11" s="637">
        <f>'Расходы по займу'!AR5</f>
        <v>0</v>
      </c>
      <c r="AS11" s="637">
        <f>'Расходы по займу'!AS5</f>
        <v>0</v>
      </c>
    </row>
    <row r="12" spans="1:45" s="180" customFormat="1" ht="54.75" customHeight="1" x14ac:dyDescent="0.25">
      <c r="A12" s="635" t="s">
        <v>260</v>
      </c>
      <c r="B12" s="646">
        <f>B10-B11</f>
        <v>-2630.6482997499011</v>
      </c>
      <c r="C12" s="646">
        <f t="shared" ref="C12" si="9">C10-C11</f>
        <v>-7946.1868550497038</v>
      </c>
      <c r="D12" s="640">
        <f>D10-D11</f>
        <v>-33377.343309595155</v>
      </c>
      <c r="E12" s="640">
        <f t="shared" ref="E12:AS12" si="10">E10-E11</f>
        <v>24299.429510404843</v>
      </c>
      <c r="F12" s="640">
        <f t="shared" si="10"/>
        <v>17753.785118404849</v>
      </c>
      <c r="G12" s="640">
        <f t="shared" si="10"/>
        <v>18341.900858404842</v>
      </c>
      <c r="H12" s="640">
        <f t="shared" si="10"/>
        <v>-9861.9500951951632</v>
      </c>
      <c r="I12" s="640">
        <f t="shared" si="10"/>
        <v>17753.785118404841</v>
      </c>
      <c r="J12" s="640">
        <f t="shared" si="10"/>
        <v>18140.357778084839</v>
      </c>
      <c r="K12" s="640">
        <f t="shared" si="10"/>
        <v>19954.954158084845</v>
      </c>
      <c r="L12" s="640">
        <f t="shared" si="10"/>
        <v>-9941.1278527311588</v>
      </c>
      <c r="M12" s="640">
        <f t="shared" si="10"/>
        <v>19366.838418084844</v>
      </c>
      <c r="N12" s="640">
        <f t="shared" si="10"/>
        <v>19841.861687345641</v>
      </c>
      <c r="O12" s="640">
        <f t="shared" si="10"/>
        <v>21730.046905745643</v>
      </c>
      <c r="P12" s="640">
        <f t="shared" si="10"/>
        <v>-9959.800025719318</v>
      </c>
      <c r="Q12" s="640">
        <f t="shared" si="10"/>
        <v>21141.931165745649</v>
      </c>
      <c r="R12" s="640">
        <f t="shared" si="10"/>
        <v>21528.955539962091</v>
      </c>
      <c r="S12" s="640">
        <f t="shared" si="10"/>
        <v>23495.144927066089</v>
      </c>
      <c r="T12" s="640">
        <f t="shared" si="10"/>
        <v>-10096.092820286773</v>
      </c>
      <c r="U12" s="640">
        <f t="shared" si="10"/>
        <v>22907.029187066088</v>
      </c>
      <c r="V12" s="640">
        <f t="shared" si="10"/>
        <v>21548.721995878826</v>
      </c>
      <c r="W12" s="640">
        <f t="shared" si="10"/>
        <v>26554.225713501619</v>
      </c>
      <c r="X12" s="640">
        <f t="shared" si="10"/>
        <v>-5431.4555195785579</v>
      </c>
      <c r="Y12" s="640">
        <f t="shared" si="10"/>
        <v>25772.855462301617</v>
      </c>
      <c r="Z12" s="640">
        <f t="shared" si="10"/>
        <v>26158.87237874687</v>
      </c>
      <c r="AA12" s="640">
        <f t="shared" si="10"/>
        <v>28042.348953846595</v>
      </c>
      <c r="AB12" s="640">
        <f t="shared" si="10"/>
        <v>-5873.0141035545457</v>
      </c>
      <c r="AC12" s="640">
        <f t="shared" si="10"/>
        <v>27531.486302646594</v>
      </c>
      <c r="AD12" s="640">
        <f t="shared" si="10"/>
        <v>27974.237101734408</v>
      </c>
      <c r="AE12" s="640">
        <f t="shared" si="10"/>
        <v>29939.469384268123</v>
      </c>
      <c r="AF12" s="640">
        <f t="shared" si="10"/>
        <v>-5981.7823165965383</v>
      </c>
      <c r="AG12" s="640">
        <f t="shared" si="10"/>
        <v>29428.606733068125</v>
      </c>
      <c r="AH12" s="640">
        <f t="shared" si="10"/>
        <v>29863.948960445348</v>
      </c>
      <c r="AI12" s="640">
        <f t="shared" si="10"/>
        <v>31915.842292859092</v>
      </c>
      <c r="AJ12" s="640">
        <f t="shared" si="10"/>
        <v>-6136.3661083936022</v>
      </c>
      <c r="AK12" s="640">
        <f t="shared" si="10"/>
        <v>31404.979641659094</v>
      </c>
      <c r="AL12" s="640">
        <f t="shared" si="10"/>
        <v>31866.24202667896</v>
      </c>
      <c r="AM12" s="640">
        <f t="shared" si="10"/>
        <v>35730.241021697286</v>
      </c>
      <c r="AN12" s="640">
        <f t="shared" si="10"/>
        <v>-4346.311921185159</v>
      </c>
      <c r="AO12" s="640">
        <f t="shared" si="10"/>
        <v>35219.378370497281</v>
      </c>
      <c r="AP12" s="640">
        <f t="shared" si="10"/>
        <v>32854.387891336613</v>
      </c>
      <c r="AQ12" s="640">
        <f t="shared" si="10"/>
        <v>33327.916483336609</v>
      </c>
      <c r="AR12" s="640">
        <f t="shared" si="10"/>
        <v>597.12194684769497</v>
      </c>
      <c r="AS12" s="640">
        <f t="shared" si="10"/>
        <v>32863.495891336606</v>
      </c>
    </row>
    <row r="13" spans="1:45" ht="45" x14ac:dyDescent="0.25">
      <c r="A13" s="614" t="s">
        <v>261</v>
      </c>
      <c r="B13" s="647">
        <f>B11</f>
        <v>1103.035887649901</v>
      </c>
      <c r="C13" s="647">
        <f t="shared" ref="C13:E13" si="11">C11</f>
        <v>3350.6441273898904</v>
      </c>
      <c r="D13" s="647">
        <f t="shared" si="11"/>
        <v>3413.8621764154814</v>
      </c>
      <c r="E13" s="647">
        <f t="shared" si="11"/>
        <v>3478.2729876595158</v>
      </c>
      <c r="F13" s="648">
        <f>F11</f>
        <v>3543.8990654816139</v>
      </c>
      <c r="G13" s="649">
        <f>F13+G11</f>
        <v>7154.6624043224765</v>
      </c>
      <c r="H13" s="649">
        <f t="shared" ref="H13:X13" si="12">G13+H11</f>
        <v>10833.551573629395</v>
      </c>
      <c r="I13" s="649">
        <f t="shared" si="12"/>
        <v>14581.851932851647</v>
      </c>
      <c r="J13" s="649">
        <f t="shared" si="12"/>
        <v>18400.873092870053</v>
      </c>
      <c r="K13" s="649">
        <f t="shared" si="12"/>
        <v>22291.949373559211</v>
      </c>
      <c r="L13" s="649">
        <f t="shared" si="12"/>
        <v>26256.440269982726</v>
      </c>
      <c r="M13" s="649">
        <f t="shared" si="12"/>
        <v>30295.730927384393</v>
      </c>
      <c r="N13" s="649">
        <f t="shared" si="12"/>
        <v>34411.232625141201</v>
      </c>
      <c r="O13" s="649">
        <f t="shared" si="12"/>
        <v>38604.383269847312</v>
      </c>
      <c r="P13" s="649">
        <f t="shared" si="12"/>
        <v>42876.647897701259</v>
      </c>
      <c r="Q13" s="649">
        <f t="shared" si="12"/>
        <v>47229.519186371901</v>
      </c>
      <c r="R13" s="649">
        <f t="shared" si="12"/>
        <v>51664.517976521973</v>
      </c>
      <c r="S13" s="649">
        <f t="shared" si="12"/>
        <v>56183.193803171453</v>
      </c>
      <c r="T13" s="649">
        <f t="shared" si="12"/>
        <v>60787.12543708639</v>
      </c>
      <c r="U13" s="649">
        <f t="shared" si="12"/>
        <v>65477.921436382327</v>
      </c>
      <c r="V13" s="649">
        <f t="shared" si="12"/>
        <v>68654.184820885202</v>
      </c>
      <c r="W13" s="649">
        <f t="shared" si="12"/>
        <v>68654.184820885202</v>
      </c>
      <c r="X13" s="649">
        <f t="shared" si="12"/>
        <v>68654.184820885202</v>
      </c>
      <c r="Y13" s="649"/>
      <c r="Z13" s="649"/>
      <c r="AA13" s="649"/>
      <c r="AB13" s="649"/>
      <c r="AC13" s="649"/>
      <c r="AD13" s="649"/>
      <c r="AE13" s="649"/>
      <c r="AF13" s="649"/>
      <c r="AG13" s="649"/>
      <c r="AH13" s="649"/>
      <c r="AI13" s="649"/>
      <c r="AJ13" s="649"/>
      <c r="AK13" s="649"/>
      <c r="AL13" s="649"/>
      <c r="AM13" s="649"/>
      <c r="AN13" s="649"/>
      <c r="AO13" s="649"/>
      <c r="AP13" s="649"/>
      <c r="AQ13" s="649"/>
      <c r="AR13" s="649"/>
      <c r="AS13" s="649"/>
    </row>
    <row r="14" spans="1:45" x14ac:dyDescent="0.25">
      <c r="A14" s="614" t="s">
        <v>262</v>
      </c>
      <c r="B14" s="650">
        <f t="shared" ref="B14:E14" si="13">B7+B11</f>
        <v>1603.035887649901</v>
      </c>
      <c r="C14" s="650">
        <f t="shared" si="13"/>
        <v>4809.1076629497029</v>
      </c>
      <c r="D14" s="651">
        <f t="shared" si="13"/>
        <v>4809.1076629497038</v>
      </c>
      <c r="E14" s="651">
        <f t="shared" si="13"/>
        <v>4809.1076629497038</v>
      </c>
      <c r="F14" s="652">
        <f t="shared" ref="F14:AS14" si="14">F7+F11</f>
        <v>4809.1076629497029</v>
      </c>
      <c r="G14" s="651">
        <f t="shared" si="14"/>
        <v>4809.1076629497029</v>
      </c>
      <c r="H14" s="651">
        <f t="shared" ref="H14:AN14" si="15">H7+H11</f>
        <v>4809.1076629497038</v>
      </c>
      <c r="I14" s="651">
        <f t="shared" si="15"/>
        <v>4809.1076629497038</v>
      </c>
      <c r="J14" s="651">
        <f t="shared" si="15"/>
        <v>4809.1076629497029</v>
      </c>
      <c r="K14" s="651">
        <f t="shared" si="15"/>
        <v>4809.1076629497038</v>
      </c>
      <c r="L14" s="651">
        <f t="shared" si="15"/>
        <v>4809.1076629497038</v>
      </c>
      <c r="M14" s="651">
        <f t="shared" si="15"/>
        <v>4809.1076629497029</v>
      </c>
      <c r="N14" s="651">
        <f t="shared" si="15"/>
        <v>4809.1076629497029</v>
      </c>
      <c r="O14" s="651">
        <f t="shared" si="15"/>
        <v>4809.1076629497038</v>
      </c>
      <c r="P14" s="651">
        <f t="shared" si="15"/>
        <v>4809.107662949702</v>
      </c>
      <c r="Q14" s="651">
        <f t="shared" si="15"/>
        <v>4809.1076629497029</v>
      </c>
      <c r="R14" s="651">
        <f t="shared" si="15"/>
        <v>4809.1076629497029</v>
      </c>
      <c r="S14" s="651">
        <f t="shared" si="15"/>
        <v>4809.1076629497029</v>
      </c>
      <c r="T14" s="651">
        <f t="shared" si="15"/>
        <v>4809.1076629497038</v>
      </c>
      <c r="U14" s="651">
        <f t="shared" si="15"/>
        <v>4809.1076629497029</v>
      </c>
      <c r="V14" s="651">
        <f t="shared" si="15"/>
        <v>3206.0717752998025</v>
      </c>
      <c r="W14" s="651">
        <f t="shared" si="15"/>
        <v>0</v>
      </c>
      <c r="X14" s="651">
        <f t="shared" si="15"/>
        <v>0</v>
      </c>
      <c r="Y14" s="651">
        <f t="shared" si="15"/>
        <v>0</v>
      </c>
      <c r="Z14" s="651">
        <f t="shared" si="15"/>
        <v>0</v>
      </c>
      <c r="AA14" s="651">
        <f t="shared" si="15"/>
        <v>0</v>
      </c>
      <c r="AB14" s="651">
        <f t="shared" si="15"/>
        <v>0</v>
      </c>
      <c r="AC14" s="651">
        <f t="shared" si="15"/>
        <v>0</v>
      </c>
      <c r="AD14" s="651">
        <f t="shared" si="15"/>
        <v>0</v>
      </c>
      <c r="AE14" s="651">
        <f t="shared" si="15"/>
        <v>0</v>
      </c>
      <c r="AF14" s="651">
        <f t="shared" si="15"/>
        <v>0</v>
      </c>
      <c r="AG14" s="651">
        <f t="shared" si="15"/>
        <v>0</v>
      </c>
      <c r="AH14" s="651">
        <f t="shared" si="15"/>
        <v>0</v>
      </c>
      <c r="AI14" s="651">
        <f t="shared" si="15"/>
        <v>0</v>
      </c>
      <c r="AJ14" s="651">
        <f t="shared" si="15"/>
        <v>0</v>
      </c>
      <c r="AK14" s="651">
        <f t="shared" si="15"/>
        <v>0</v>
      </c>
      <c r="AL14" s="651">
        <f t="shared" si="15"/>
        <v>0</v>
      </c>
      <c r="AM14" s="651">
        <f t="shared" si="15"/>
        <v>0</v>
      </c>
      <c r="AN14" s="651">
        <f t="shared" si="15"/>
        <v>0</v>
      </c>
      <c r="AO14" s="651">
        <f t="shared" si="14"/>
        <v>0</v>
      </c>
      <c r="AP14" s="651">
        <f t="shared" si="14"/>
        <v>0</v>
      </c>
      <c r="AQ14" s="651">
        <f t="shared" si="14"/>
        <v>0</v>
      </c>
      <c r="AR14" s="651">
        <f t="shared" si="14"/>
        <v>0</v>
      </c>
      <c r="AS14" s="651">
        <f t="shared" si="14"/>
        <v>0</v>
      </c>
    </row>
    <row r="15" spans="1:45" ht="72.75" customHeight="1" x14ac:dyDescent="0.25">
      <c r="A15" s="614" t="s">
        <v>263</v>
      </c>
      <c r="B15" s="647">
        <f>B14</f>
        <v>1603.035887649901</v>
      </c>
      <c r="C15" s="647">
        <f t="shared" ref="C15:E15" si="16">C14</f>
        <v>4809.1076629497029</v>
      </c>
      <c r="D15" s="647">
        <f t="shared" si="16"/>
        <v>4809.1076629497038</v>
      </c>
      <c r="E15" s="647">
        <f t="shared" si="16"/>
        <v>4809.1076629497038</v>
      </c>
      <c r="F15" s="648">
        <f>F14</f>
        <v>4809.1076629497029</v>
      </c>
      <c r="G15" s="649">
        <f t="shared" ref="G15:X15" si="17">F15+G14</f>
        <v>9618.2153258994058</v>
      </c>
      <c r="H15" s="649">
        <f t="shared" si="17"/>
        <v>14427.32298884911</v>
      </c>
      <c r="I15" s="649">
        <f t="shared" si="17"/>
        <v>19236.430651798815</v>
      </c>
      <c r="J15" s="649">
        <f>I15+J14</f>
        <v>24045.538314748519</v>
      </c>
      <c r="K15" s="649">
        <f t="shared" si="17"/>
        <v>28854.645977698223</v>
      </c>
      <c r="L15" s="649">
        <f>K15+L14</f>
        <v>33663.753640647927</v>
      </c>
      <c r="M15" s="649">
        <f t="shared" si="17"/>
        <v>38472.86130359763</v>
      </c>
      <c r="N15" s="649">
        <f t="shared" si="17"/>
        <v>43281.968966547334</v>
      </c>
      <c r="O15" s="649">
        <f t="shared" si="17"/>
        <v>48091.076629497038</v>
      </c>
      <c r="P15" s="649">
        <f t="shared" si="17"/>
        <v>52900.184292446742</v>
      </c>
      <c r="Q15" s="649">
        <f t="shared" si="17"/>
        <v>57709.291955396446</v>
      </c>
      <c r="R15" s="649">
        <f t="shared" si="17"/>
        <v>62518.39961834615</v>
      </c>
      <c r="S15" s="649">
        <f t="shared" si="17"/>
        <v>67327.507281295853</v>
      </c>
      <c r="T15" s="649">
        <f t="shared" si="17"/>
        <v>72136.61494424555</v>
      </c>
      <c r="U15" s="649">
        <f t="shared" si="17"/>
        <v>76945.722607195246</v>
      </c>
      <c r="V15" s="649">
        <f t="shared" si="17"/>
        <v>80151.794382495049</v>
      </c>
      <c r="W15" s="649">
        <f t="shared" si="17"/>
        <v>80151.794382495049</v>
      </c>
      <c r="X15" s="649">
        <f t="shared" si="17"/>
        <v>80151.794382495049</v>
      </c>
      <c r="Y15" s="649"/>
      <c r="Z15" s="649"/>
      <c r="AA15" s="649"/>
      <c r="AB15" s="649"/>
      <c r="AC15" s="649"/>
      <c r="AD15" s="649"/>
      <c r="AE15" s="649"/>
      <c r="AF15" s="649"/>
      <c r="AG15" s="649"/>
      <c r="AH15" s="649"/>
      <c r="AI15" s="649"/>
      <c r="AJ15" s="649"/>
      <c r="AK15" s="649"/>
      <c r="AL15" s="649"/>
      <c r="AM15" s="649"/>
      <c r="AN15" s="649"/>
      <c r="AO15" s="649"/>
      <c r="AP15" s="649"/>
      <c r="AQ15" s="649"/>
      <c r="AR15" s="649"/>
      <c r="AS15" s="649"/>
    </row>
    <row r="16" spans="1:45" x14ac:dyDescent="0.25">
      <c r="F16" s="195"/>
      <c r="G16" s="195"/>
      <c r="H16" s="195"/>
      <c r="I16" s="195"/>
      <c r="J16" s="195"/>
      <c r="K16" s="195"/>
      <c r="L16" s="195"/>
      <c r="M16" s="195"/>
      <c r="N16" s="195"/>
      <c r="O16" s="195"/>
      <c r="P16" s="195"/>
      <c r="Q16" s="195"/>
      <c r="R16" s="195"/>
      <c r="S16" s="195"/>
      <c r="T16" s="195"/>
      <c r="U16" s="195"/>
      <c r="V16" s="195"/>
      <c r="W16" s="195"/>
      <c r="X16" s="195"/>
      <c r="Y16" s="195"/>
      <c r="Z16" s="195"/>
      <c r="AA16" s="195"/>
      <c r="AB16" s="195"/>
      <c r="AC16" s="195"/>
      <c r="AD16" s="195"/>
      <c r="AE16" s="195"/>
      <c r="AF16" s="195"/>
      <c r="AG16" s="195"/>
      <c r="AH16" s="195"/>
      <c r="AI16" s="195"/>
      <c r="AJ16" s="195"/>
      <c r="AK16" s="195"/>
      <c r="AL16" s="195"/>
      <c r="AM16" s="195"/>
      <c r="AN16" s="195"/>
      <c r="AO16" s="195"/>
      <c r="AP16" s="195"/>
      <c r="AQ16" s="195"/>
      <c r="AR16" s="195"/>
      <c r="AS16" s="195"/>
    </row>
    <row r="17" spans="1:45" x14ac:dyDescent="0.25">
      <c r="B17" s="195"/>
      <c r="C17" s="195"/>
      <c r="D17" s="195"/>
      <c r="E17" s="195"/>
      <c r="F17" s="195"/>
      <c r="G17" s="195"/>
      <c r="H17" s="195"/>
      <c r="I17" s="195"/>
      <c r="J17" s="195"/>
      <c r="K17" s="195"/>
      <c r="L17" s="195"/>
      <c r="M17" s="195"/>
      <c r="N17" s="195"/>
      <c r="O17" s="195"/>
      <c r="P17" s="195"/>
      <c r="Q17" s="195"/>
      <c r="R17" s="195"/>
      <c r="S17" s="195"/>
      <c r="T17" s="195"/>
      <c r="U17" s="195"/>
      <c r="V17" s="195"/>
      <c r="W17" s="195"/>
      <c r="X17" s="195"/>
      <c r="Y17" s="195"/>
      <c r="Z17" s="195"/>
      <c r="AA17" s="195"/>
      <c r="AB17" s="195"/>
      <c r="AC17" s="195"/>
      <c r="AD17" s="195"/>
      <c r="AE17" s="195"/>
      <c r="AF17" s="195"/>
      <c r="AG17" s="195"/>
      <c r="AH17" s="195"/>
      <c r="AI17" s="195"/>
      <c r="AJ17" s="195"/>
      <c r="AK17" s="195"/>
      <c r="AL17" s="195"/>
      <c r="AM17" s="195"/>
      <c r="AN17" s="195"/>
      <c r="AO17" s="195"/>
      <c r="AP17" s="195"/>
      <c r="AQ17" s="195"/>
      <c r="AR17" s="195"/>
      <c r="AS17" s="195"/>
    </row>
    <row r="18" spans="1:45" x14ac:dyDescent="0.25">
      <c r="A18" s="482" t="s">
        <v>206</v>
      </c>
      <c r="B18" s="483" t="str">
        <f>'Расходы ТОР'!B24</f>
        <v>1 год</v>
      </c>
      <c r="C18" s="483" t="str">
        <f>'Расходы ТОР'!C24</f>
        <v>2 год</v>
      </c>
      <c r="D18" s="483" t="str">
        <f>'Расходы ТОР'!D24</f>
        <v>3 год</v>
      </c>
      <c r="E18" s="483" t="str">
        <f>'Расходы ТОР'!E24</f>
        <v>4 год</v>
      </c>
      <c r="F18" s="483" t="str">
        <f>'Расходы ТОР'!F24</f>
        <v>5 год</v>
      </c>
      <c r="G18" s="483" t="str">
        <f>'Расходы ТОР'!G24</f>
        <v>6 год</v>
      </c>
      <c r="H18" s="483" t="str">
        <f>'Расходы ТОР'!H24</f>
        <v>7 год</v>
      </c>
      <c r="I18" s="483" t="str">
        <f>'Расходы ТОР'!I24</f>
        <v>8 год</v>
      </c>
      <c r="J18" s="483" t="str">
        <f>'Расходы ТОР'!J24</f>
        <v>9 год</v>
      </c>
      <c r="K18" s="483" t="str">
        <f>'Расходы ТОР'!K24</f>
        <v>10 год</v>
      </c>
      <c r="L18" s="483" t="str">
        <f>'Расходы ТОР'!L24</f>
        <v>11 год</v>
      </c>
      <c r="M18" s="195"/>
      <c r="N18" s="195"/>
      <c r="O18" s="195"/>
      <c r="P18" s="195"/>
      <c r="Q18" s="195"/>
      <c r="R18" s="195"/>
      <c r="S18" s="195"/>
      <c r="T18" s="195"/>
      <c r="U18" s="195"/>
      <c r="V18" s="195"/>
      <c r="W18" s="195"/>
      <c r="X18" s="195"/>
      <c r="Y18" s="195"/>
      <c r="Z18" s="195"/>
      <c r="AA18" s="195"/>
      <c r="AB18" s="195"/>
      <c r="AC18" s="195"/>
      <c r="AD18" s="195"/>
      <c r="AE18" s="196"/>
      <c r="AF18" s="195"/>
      <c r="AG18" s="195"/>
      <c r="AH18" s="195"/>
      <c r="AI18" s="195"/>
      <c r="AJ18" s="195"/>
      <c r="AK18" s="195"/>
      <c r="AL18" s="195"/>
      <c r="AM18" s="195"/>
      <c r="AN18" s="195"/>
      <c r="AO18" s="195"/>
      <c r="AP18" s="195"/>
      <c r="AQ18" s="195"/>
      <c r="AR18" s="195"/>
      <c r="AS18" s="195"/>
    </row>
    <row r="19" spans="1:45" x14ac:dyDescent="0.25">
      <c r="A19" s="484" t="s">
        <v>251</v>
      </c>
      <c r="B19" s="485">
        <f>SUM(B3:E3)</f>
        <v>30936.666666666668</v>
      </c>
      <c r="C19" s="486">
        <f>F3+G3+H3+I3</f>
        <v>160549.04000000004</v>
      </c>
      <c r="D19" s="487">
        <f>J3+K3+L3+M3</f>
        <v>168611.18239999999</v>
      </c>
      <c r="E19" s="487">
        <f>N3+O3+P3+Q3</f>
        <v>178727.853344</v>
      </c>
      <c r="F19" s="478">
        <f>R3+S3+T3+U3</f>
        <v>189451.52454464001</v>
      </c>
      <c r="G19" s="478">
        <f>V3+W3+X3+Y3</f>
        <v>200818.61601731842</v>
      </c>
      <c r="H19" s="478">
        <f>Z3+AA3+AB3+AC3</f>
        <v>212867.73297835756</v>
      </c>
      <c r="I19" s="478">
        <f>AD3+AE3+AF3+AG3</f>
        <v>225639.79695705901</v>
      </c>
      <c r="J19" s="478">
        <f>AH3+AI3+AJ3+AK3</f>
        <v>239178.18477448256</v>
      </c>
      <c r="K19" s="478">
        <f>AL3+AM3+AN3+AO3</f>
        <v>261039.7255273707</v>
      </c>
      <c r="L19" s="478">
        <f t="shared" ref="L19:L31" si="18">AP3+AQ3+AR3+AS3</f>
        <v>271244.22496808169</v>
      </c>
      <c r="M19" s="195"/>
      <c r="N19" s="195"/>
      <c r="O19" s="195"/>
      <c r="P19" s="195"/>
      <c r="Q19" s="195"/>
      <c r="R19" s="195"/>
      <c r="S19" s="195"/>
      <c r="T19" s="195"/>
      <c r="U19" s="195"/>
      <c r="V19" s="195"/>
      <c r="W19" s="195"/>
      <c r="X19" s="195"/>
      <c r="Y19" s="195"/>
      <c r="Z19" s="195"/>
      <c r="AA19" s="195"/>
      <c r="AB19" s="195"/>
      <c r="AC19" s="195"/>
      <c r="AD19" s="195"/>
      <c r="AE19" s="195"/>
      <c r="AF19" s="195"/>
      <c r="AG19" s="195"/>
      <c r="AH19" s="195"/>
      <c r="AI19" s="195"/>
      <c r="AJ19" s="195"/>
      <c r="AK19" s="195"/>
      <c r="AL19" s="195"/>
      <c r="AM19" s="195"/>
      <c r="AN19" s="195"/>
      <c r="AO19" s="195"/>
      <c r="AP19" s="195"/>
      <c r="AQ19" s="195"/>
      <c r="AR19" s="195"/>
      <c r="AS19" s="195"/>
    </row>
    <row r="20" spans="1:45" ht="30" x14ac:dyDescent="0.25">
      <c r="A20" s="484" t="s">
        <v>252</v>
      </c>
      <c r="B20" s="485">
        <f t="shared" ref="B20:B31" si="19">SUM(B4:E4)</f>
        <v>34561.056744157569</v>
      </c>
      <c r="C20" s="486">
        <f t="shared" ref="C20:C31" si="20">F4+G4+H4+I4</f>
        <v>97325.088348181831</v>
      </c>
      <c r="D20" s="487">
        <f t="shared" ref="D20:D31" si="21">J4+K4+L4+M4</f>
        <v>101853.7292466778</v>
      </c>
      <c r="E20" s="487">
        <f t="shared" ref="E20:E31" si="22">N4+O4+P4+Q4</f>
        <v>106737.38295908358</v>
      </c>
      <c r="F20" s="478">
        <f t="shared" ref="F20:F31" si="23">R4+S4+T4+U4</f>
        <v>112380.05705903369</v>
      </c>
      <c r="G20" s="478">
        <f t="shared" ref="G20:G31" si="24">V4+W4+X4+Y4</f>
        <v>118661.09660498079</v>
      </c>
      <c r="H20" s="478">
        <f t="shared" ref="H20:H31" si="25">Z4+AA4+AB4+AC4</f>
        <v>125862.67022368476</v>
      </c>
      <c r="I20" s="478">
        <f t="shared" ref="I20:I31" si="26">AD4+AE4+AF4+AG4</f>
        <v>132368.95061562074</v>
      </c>
      <c r="J20" s="478">
        <f t="shared" ref="J20:J31" si="27">AH4+AI4+AJ4+AK4</f>
        <v>139422.76577496305</v>
      </c>
      <c r="K20" s="478">
        <f t="shared" ref="K20:K31" si="28">AL4+AM4+AN4+AO4</f>
        <v>148549.83129074503</v>
      </c>
      <c r="L20" s="478">
        <f t="shared" si="18"/>
        <v>146690.57220200979</v>
      </c>
      <c r="M20" s="195"/>
      <c r="N20" s="195"/>
      <c r="O20" s="195"/>
      <c r="P20" s="195"/>
      <c r="Q20" s="195"/>
      <c r="R20" s="195"/>
      <c r="S20" s="195"/>
      <c r="T20" s="195"/>
      <c r="U20" s="195"/>
      <c r="V20" s="195"/>
      <c r="W20" s="195"/>
      <c r="X20" s="195"/>
      <c r="Y20" s="195"/>
      <c r="Z20" s="195"/>
      <c r="AA20" s="195"/>
      <c r="AB20" s="195"/>
      <c r="AC20" s="195"/>
      <c r="AD20" s="195"/>
      <c r="AE20" s="195"/>
      <c r="AF20" s="195"/>
      <c r="AG20" s="195"/>
      <c r="AH20" s="195"/>
      <c r="AI20" s="195"/>
      <c r="AJ20" s="195"/>
      <c r="AK20" s="195"/>
      <c r="AL20" s="195"/>
      <c r="AM20" s="195"/>
      <c r="AN20" s="195"/>
      <c r="AO20" s="195"/>
      <c r="AP20" s="195"/>
      <c r="AQ20" s="195"/>
      <c r="AR20" s="195"/>
      <c r="AS20" s="195"/>
    </row>
    <row r="21" spans="1:45" ht="30" x14ac:dyDescent="0.25">
      <c r="A21" s="484" t="s">
        <v>253</v>
      </c>
      <c r="B21" s="485">
        <f t="shared" si="19"/>
        <v>113500</v>
      </c>
      <c r="C21" s="486">
        <f t="shared" si="20"/>
        <v>0</v>
      </c>
      <c r="D21" s="487">
        <f t="shared" si="21"/>
        <v>0</v>
      </c>
      <c r="E21" s="487">
        <f t="shared" si="22"/>
        <v>0</v>
      </c>
      <c r="F21" s="478">
        <f t="shared" si="23"/>
        <v>0</v>
      </c>
      <c r="G21" s="478">
        <f t="shared" si="24"/>
        <v>0</v>
      </c>
      <c r="H21" s="478">
        <f t="shared" si="25"/>
        <v>0</v>
      </c>
      <c r="I21" s="478">
        <f t="shared" si="26"/>
        <v>0</v>
      </c>
      <c r="J21" s="478">
        <f t="shared" si="27"/>
        <v>0</v>
      </c>
      <c r="K21" s="478">
        <f t="shared" si="28"/>
        <v>0</v>
      </c>
      <c r="L21" s="478">
        <f t="shared" si="18"/>
        <v>0</v>
      </c>
      <c r="M21" s="195"/>
      <c r="N21" s="195"/>
      <c r="O21" s="195"/>
      <c r="P21" s="195"/>
      <c r="Q21" s="195"/>
      <c r="R21" s="195"/>
      <c r="S21" s="195"/>
      <c r="T21" s="195"/>
      <c r="U21" s="195"/>
      <c r="V21" s="195"/>
      <c r="W21" s="195"/>
      <c r="X21" s="195"/>
      <c r="Y21" s="195"/>
      <c r="Z21" s="195"/>
      <c r="AA21" s="195"/>
      <c r="AB21" s="195"/>
      <c r="AC21" s="195"/>
      <c r="AD21" s="195"/>
      <c r="AE21" s="195"/>
      <c r="AF21" s="195"/>
      <c r="AG21" s="195"/>
      <c r="AH21" s="195"/>
      <c r="AI21" s="195"/>
      <c r="AJ21" s="195"/>
      <c r="AK21" s="195"/>
      <c r="AL21" s="195"/>
      <c r="AM21" s="195"/>
      <c r="AN21" s="195"/>
      <c r="AO21" s="195"/>
      <c r="AP21" s="195"/>
      <c r="AQ21" s="195"/>
      <c r="AR21" s="195"/>
      <c r="AS21" s="195"/>
    </row>
    <row r="22" spans="1:45" ht="30" x14ac:dyDescent="0.25">
      <c r="A22" s="484" t="s">
        <v>254</v>
      </c>
      <c r="B22" s="485">
        <f t="shared" si="19"/>
        <v>-3624.3900774909052</v>
      </c>
      <c r="C22" s="486">
        <f t="shared" si="20"/>
        <v>63223.951651818184</v>
      </c>
      <c r="D22" s="487">
        <f t="shared" si="21"/>
        <v>66757.453153322189</v>
      </c>
      <c r="E22" s="487">
        <f t="shared" si="22"/>
        <v>71990.470384916422</v>
      </c>
      <c r="F22" s="478">
        <f t="shared" si="23"/>
        <v>77071.467485606321</v>
      </c>
      <c r="G22" s="478">
        <f t="shared" si="24"/>
        <v>82157.519412337613</v>
      </c>
      <c r="H22" s="478">
        <f t="shared" si="25"/>
        <v>87005.062754672792</v>
      </c>
      <c r="I22" s="478">
        <f t="shared" si="26"/>
        <v>93270.8463414383</v>
      </c>
      <c r="J22" s="478">
        <f t="shared" si="27"/>
        <v>99755.418999519519</v>
      </c>
      <c r="K22" s="478">
        <f t="shared" si="28"/>
        <v>112489.89423662567</v>
      </c>
      <c r="L22" s="478">
        <f t="shared" si="18"/>
        <v>124553.6527660719</v>
      </c>
      <c r="M22" s="195"/>
      <c r="N22" s="195"/>
      <c r="O22" s="195"/>
      <c r="P22" s="195"/>
      <c r="Q22" s="195"/>
      <c r="R22" s="195"/>
      <c r="S22" s="195"/>
      <c r="T22" s="195"/>
      <c r="U22" s="195"/>
      <c r="V22" s="195"/>
      <c r="W22" s="195"/>
      <c r="X22" s="195"/>
      <c r="Y22" s="195"/>
      <c r="Z22" s="195"/>
      <c r="AA22" s="195"/>
      <c r="AB22" s="195"/>
      <c r="AC22" s="195"/>
      <c r="AD22" s="195"/>
      <c r="AE22" s="195"/>
      <c r="AF22" s="195"/>
      <c r="AG22" s="195"/>
      <c r="AH22" s="195"/>
      <c r="AI22" s="195"/>
      <c r="AJ22" s="195"/>
      <c r="AK22" s="195"/>
      <c r="AL22" s="195"/>
      <c r="AM22" s="195"/>
      <c r="AN22" s="195"/>
      <c r="AO22" s="195"/>
      <c r="AP22" s="195"/>
      <c r="AQ22" s="195"/>
      <c r="AR22" s="195"/>
      <c r="AS22" s="195"/>
    </row>
    <row r="23" spans="1:45" s="186" customFormat="1" x14ac:dyDescent="0.25">
      <c r="A23" s="484" t="s">
        <v>255</v>
      </c>
      <c r="B23" s="485">
        <f t="shared" si="19"/>
        <v>4684.5436973842225</v>
      </c>
      <c r="C23" s="486">
        <f t="shared" si="20"/>
        <v>4654.5787189471657</v>
      </c>
      <c r="D23" s="487">
        <f t="shared" si="21"/>
        <v>3522.5516572660663</v>
      </c>
      <c r="E23" s="487">
        <f t="shared" si="22"/>
        <v>2302.6423928113086</v>
      </c>
      <c r="F23" s="478">
        <f t="shared" si="23"/>
        <v>988.02840178837971</v>
      </c>
      <c r="G23" s="478">
        <f t="shared" si="24"/>
        <v>29.80839079693115</v>
      </c>
      <c r="H23" s="478">
        <f t="shared" si="25"/>
        <v>0</v>
      </c>
      <c r="I23" s="478">
        <f t="shared" si="26"/>
        <v>0</v>
      </c>
      <c r="J23" s="478">
        <f t="shared" si="27"/>
        <v>0</v>
      </c>
      <c r="K23" s="478">
        <f t="shared" si="28"/>
        <v>0</v>
      </c>
      <c r="L23" s="478">
        <f t="shared" si="18"/>
        <v>0</v>
      </c>
      <c r="M23" s="195"/>
      <c r="N23" s="195"/>
      <c r="O23" s="195"/>
      <c r="P23" s="195"/>
      <c r="Q23" s="195"/>
      <c r="R23" s="195"/>
      <c r="S23" s="197"/>
      <c r="T23" s="197"/>
      <c r="U23" s="197"/>
      <c r="V23" s="197"/>
      <c r="W23" s="197"/>
      <c r="X23" s="197"/>
      <c r="Y23" s="197"/>
      <c r="Z23" s="197"/>
      <c r="AA23" s="197"/>
      <c r="AB23" s="197"/>
      <c r="AC23" s="197"/>
      <c r="AD23" s="197"/>
      <c r="AE23" s="197"/>
      <c r="AF23" s="197"/>
      <c r="AG23" s="197"/>
      <c r="AH23" s="197"/>
      <c r="AI23" s="197"/>
      <c r="AJ23" s="197"/>
      <c r="AK23" s="197"/>
      <c r="AL23" s="197"/>
      <c r="AM23" s="197"/>
      <c r="AN23" s="197"/>
      <c r="AO23" s="197"/>
      <c r="AP23" s="197"/>
      <c r="AQ23" s="197"/>
      <c r="AR23" s="197"/>
      <c r="AS23" s="197"/>
    </row>
    <row r="24" spans="1:45" ht="30" x14ac:dyDescent="0.25">
      <c r="A24" s="484" t="s">
        <v>256</v>
      </c>
      <c r="B24" s="485">
        <f t="shared" si="19"/>
        <v>-8308.9337748751313</v>
      </c>
      <c r="C24" s="486">
        <f t="shared" si="20"/>
        <v>58569.372932871018</v>
      </c>
      <c r="D24" s="487">
        <f t="shared" si="21"/>
        <v>63234.901496056118</v>
      </c>
      <c r="E24" s="487">
        <f t="shared" si="22"/>
        <v>69687.827992105114</v>
      </c>
      <c r="F24" s="478">
        <f t="shared" si="23"/>
        <v>76083.439083817924</v>
      </c>
      <c r="G24" s="478">
        <f t="shared" si="24"/>
        <v>82127.711021540686</v>
      </c>
      <c r="H24" s="478">
        <f t="shared" si="25"/>
        <v>87005.062754672792</v>
      </c>
      <c r="I24" s="478">
        <f t="shared" si="26"/>
        <v>93270.8463414383</v>
      </c>
      <c r="J24" s="478">
        <f t="shared" si="27"/>
        <v>99755.418999519519</v>
      </c>
      <c r="K24" s="478">
        <f t="shared" si="28"/>
        <v>112489.89423662567</v>
      </c>
      <c r="L24" s="478">
        <f t="shared" si="18"/>
        <v>124553.6527660719</v>
      </c>
      <c r="M24" s="195"/>
      <c r="N24" s="195"/>
      <c r="O24" s="195"/>
      <c r="P24" s="195"/>
      <c r="Q24" s="195"/>
      <c r="R24" s="195"/>
      <c r="S24" s="195"/>
      <c r="T24" s="195"/>
      <c r="U24" s="195"/>
      <c r="V24" s="195"/>
      <c r="W24" s="195"/>
      <c r="X24" s="195"/>
      <c r="Y24" s="195"/>
      <c r="Z24" s="195"/>
      <c r="AA24" s="195"/>
      <c r="AB24" s="195"/>
      <c r="AC24" s="195"/>
      <c r="AD24" s="195"/>
      <c r="AE24" s="195"/>
      <c r="AF24" s="195"/>
      <c r="AG24" s="195"/>
      <c r="AH24" s="195"/>
      <c r="AI24" s="195"/>
      <c r="AJ24" s="195"/>
      <c r="AK24" s="195"/>
      <c r="AL24" s="195"/>
      <c r="AM24" s="195"/>
      <c r="AN24" s="195"/>
      <c r="AO24" s="195"/>
      <c r="AP24" s="195"/>
      <c r="AQ24" s="195"/>
      <c r="AR24" s="195"/>
      <c r="AS24" s="195"/>
    </row>
    <row r="25" spans="1:45" ht="36" customHeight="1" x14ac:dyDescent="0.25">
      <c r="A25" s="484" t="s">
        <v>257</v>
      </c>
      <c r="B25" s="485">
        <v>0</v>
      </c>
      <c r="C25" s="486">
        <f>'Расходы ТОР'!C44</f>
        <v>0</v>
      </c>
      <c r="D25" s="486">
        <f>'Расходы ТОР'!D44</f>
        <v>0</v>
      </c>
      <c r="E25" s="486">
        <f>'Расходы ТОР'!E44</f>
        <v>0</v>
      </c>
      <c r="F25" s="486">
        <f>'Расходы ТОР'!F44</f>
        <v>0</v>
      </c>
      <c r="G25" s="486">
        <f>'Расходы ТОР'!G44</f>
        <v>6081.2298638805105</v>
      </c>
      <c r="H25" s="486">
        <f>'Расходы ТОР'!H44</f>
        <v>6335.0575130247344</v>
      </c>
      <c r="I25" s="486">
        <f>'Расходы ТОР'!I44</f>
        <v>6856.2660863844376</v>
      </c>
      <c r="J25" s="486">
        <f>'Расходы ТОР'!J44</f>
        <v>7389.4510368788888</v>
      </c>
      <c r="K25" s="486">
        <f>'Расходы ТОР'!K44</f>
        <v>13381.294108395081</v>
      </c>
      <c r="L25" s="486">
        <f>'Расходы ТОР'!L44</f>
        <v>9528.5644343257663</v>
      </c>
      <c r="M25" s="195"/>
      <c r="N25" s="195"/>
      <c r="O25" s="195"/>
      <c r="P25" s="195"/>
      <c r="Q25" s="195"/>
      <c r="R25" s="195"/>
      <c r="S25" s="195"/>
      <c r="T25" s="195"/>
      <c r="U25" s="195"/>
      <c r="V25" s="195"/>
      <c r="W25" s="195"/>
      <c r="X25" s="195"/>
      <c r="Y25" s="195"/>
      <c r="Z25" s="195"/>
      <c r="AA25" s="195"/>
      <c r="AB25" s="195"/>
      <c r="AC25" s="195"/>
      <c r="AD25" s="195"/>
      <c r="AE25" s="195"/>
      <c r="AF25" s="195"/>
      <c r="AG25" s="195"/>
      <c r="AH25" s="195"/>
      <c r="AI25" s="195"/>
      <c r="AJ25" s="195"/>
      <c r="AK25" s="195"/>
      <c r="AL25" s="195"/>
      <c r="AM25" s="195"/>
      <c r="AN25" s="195"/>
      <c r="AO25" s="195"/>
      <c r="AP25" s="195"/>
      <c r="AQ25" s="195"/>
      <c r="AR25" s="195"/>
      <c r="AS25" s="195"/>
    </row>
    <row r="26" spans="1:45" ht="30" x14ac:dyDescent="0.25">
      <c r="A26" s="488" t="s">
        <v>258</v>
      </c>
      <c r="B26" s="489">
        <f>B24-B25</f>
        <v>-8308.9337748751313</v>
      </c>
      <c r="C26" s="489">
        <f t="shared" ref="C26:L26" si="29">C24-C25</f>
        <v>58569.372932871018</v>
      </c>
      <c r="D26" s="489">
        <f t="shared" si="29"/>
        <v>63234.901496056118</v>
      </c>
      <c r="E26" s="489">
        <f t="shared" si="29"/>
        <v>69687.827992105114</v>
      </c>
      <c r="F26" s="489">
        <f t="shared" si="29"/>
        <v>76083.439083817924</v>
      </c>
      <c r="G26" s="489">
        <f t="shared" si="29"/>
        <v>76046.481157660179</v>
      </c>
      <c r="H26" s="489">
        <f t="shared" si="29"/>
        <v>80670.005241648061</v>
      </c>
      <c r="I26" s="489">
        <f t="shared" si="29"/>
        <v>86414.580255053865</v>
      </c>
      <c r="J26" s="489">
        <f t="shared" si="29"/>
        <v>92365.967962640629</v>
      </c>
      <c r="K26" s="489">
        <f t="shared" si="29"/>
        <v>99108.600128230581</v>
      </c>
      <c r="L26" s="489">
        <f t="shared" si="29"/>
        <v>115025.08833174614</v>
      </c>
      <c r="M26" s="195"/>
      <c r="N26" s="195"/>
      <c r="O26" s="195"/>
      <c r="P26" s="195"/>
      <c r="Q26" s="195"/>
      <c r="R26" s="195"/>
      <c r="S26" s="198"/>
      <c r="T26" s="195"/>
      <c r="U26" s="195"/>
      <c r="V26" s="195"/>
      <c r="W26" s="195"/>
      <c r="X26" s="195"/>
      <c r="Y26" s="195"/>
      <c r="Z26" s="195"/>
      <c r="AA26" s="195"/>
      <c r="AB26" s="195"/>
      <c r="AC26" s="195"/>
      <c r="AD26" s="195"/>
      <c r="AE26" s="195"/>
      <c r="AF26" s="195"/>
      <c r="AG26" s="195"/>
      <c r="AH26" s="195"/>
      <c r="AI26" s="195"/>
      <c r="AJ26" s="195"/>
      <c r="AK26" s="195"/>
      <c r="AL26" s="195"/>
      <c r="AM26" s="195"/>
      <c r="AN26" s="195"/>
      <c r="AO26" s="195"/>
      <c r="AP26" s="195"/>
      <c r="AQ26" s="195"/>
      <c r="AR26" s="195"/>
      <c r="AS26" s="195"/>
    </row>
    <row r="27" spans="1:45" s="186" customFormat="1" ht="30" x14ac:dyDescent="0.25">
      <c r="A27" s="484" t="s">
        <v>259</v>
      </c>
      <c r="B27" s="485">
        <f t="shared" si="19"/>
        <v>11345.815179114788</v>
      </c>
      <c r="C27" s="486">
        <f t="shared" si="20"/>
        <v>14581.851932851647</v>
      </c>
      <c r="D27" s="487">
        <f t="shared" si="21"/>
        <v>15713.878994532746</v>
      </c>
      <c r="E27" s="487">
        <f t="shared" si="22"/>
        <v>16933.788258987504</v>
      </c>
      <c r="F27" s="478">
        <f t="shared" si="23"/>
        <v>18248.402250010433</v>
      </c>
      <c r="G27" s="478">
        <f t="shared" si="24"/>
        <v>3176.2633845028713</v>
      </c>
      <c r="H27" s="478">
        <f t="shared" si="25"/>
        <v>0</v>
      </c>
      <c r="I27" s="478">
        <f t="shared" si="26"/>
        <v>0</v>
      </c>
      <c r="J27" s="478">
        <f t="shared" si="27"/>
        <v>0</v>
      </c>
      <c r="K27" s="478">
        <f t="shared" si="28"/>
        <v>0</v>
      </c>
      <c r="L27" s="478">
        <f t="shared" si="18"/>
        <v>0</v>
      </c>
      <c r="M27" s="195"/>
      <c r="N27" s="195"/>
      <c r="O27" s="195"/>
      <c r="P27" s="195"/>
      <c r="Q27" s="195"/>
      <c r="R27" s="195"/>
      <c r="S27" s="197"/>
      <c r="T27" s="195"/>
      <c r="U27" s="195"/>
      <c r="V27" s="195"/>
      <c r="W27" s="195"/>
      <c r="X27" s="195"/>
      <c r="Y27" s="195"/>
      <c r="Z27" s="195"/>
      <c r="AA27" s="195"/>
      <c r="AB27" s="195"/>
      <c r="AC27" s="195"/>
      <c r="AD27" s="195"/>
      <c r="AE27" s="195"/>
      <c r="AF27" s="195"/>
      <c r="AG27" s="195"/>
      <c r="AH27" s="197"/>
      <c r="AI27" s="197"/>
      <c r="AJ27" s="197"/>
      <c r="AK27" s="197"/>
      <c r="AL27" s="197"/>
      <c r="AM27" s="197"/>
      <c r="AN27" s="197"/>
      <c r="AO27" s="197"/>
      <c r="AP27" s="197"/>
      <c r="AQ27" s="197"/>
      <c r="AR27" s="197"/>
      <c r="AS27" s="197"/>
    </row>
    <row r="28" spans="1:45" ht="45" x14ac:dyDescent="0.25">
      <c r="A28" s="484" t="s">
        <v>260</v>
      </c>
      <c r="B28" s="485">
        <f t="shared" si="19"/>
        <v>-19654.748953989918</v>
      </c>
      <c r="C28" s="486">
        <f t="shared" si="20"/>
        <v>43987.521000019369</v>
      </c>
      <c r="D28" s="487">
        <f t="shared" si="21"/>
        <v>47521.022501523374</v>
      </c>
      <c r="E28" s="487">
        <f t="shared" si="22"/>
        <v>52754.039733117614</v>
      </c>
      <c r="F28" s="478">
        <f t="shared" si="23"/>
        <v>57835.036833807499</v>
      </c>
      <c r="G28" s="478">
        <f t="shared" si="24"/>
        <v>68444.347652103505</v>
      </c>
      <c r="H28" s="478">
        <f t="shared" si="25"/>
        <v>75859.693531685509</v>
      </c>
      <c r="I28" s="478">
        <f t="shared" si="26"/>
        <v>81360.530902474115</v>
      </c>
      <c r="J28" s="478">
        <f t="shared" si="27"/>
        <v>87048.404786569939</v>
      </c>
      <c r="K28" s="478">
        <f t="shared" si="28"/>
        <v>98469.549497688364</v>
      </c>
      <c r="L28" s="478">
        <f t="shared" si="18"/>
        <v>99642.92221285752</v>
      </c>
      <c r="M28" s="195"/>
      <c r="N28" s="195"/>
      <c r="O28" s="195"/>
      <c r="P28" s="195"/>
      <c r="Q28" s="195"/>
      <c r="R28" s="195"/>
      <c r="S28" s="195"/>
      <c r="T28" s="195"/>
      <c r="U28" s="195"/>
      <c r="V28" s="195"/>
      <c r="W28" s="195"/>
      <c r="X28" s="195"/>
      <c r="Y28" s="195"/>
      <c r="Z28" s="195"/>
      <c r="AA28" s="195"/>
      <c r="AB28" s="195"/>
      <c r="AC28" s="195"/>
      <c r="AD28" s="195"/>
      <c r="AE28" s="195"/>
      <c r="AF28" s="195"/>
      <c r="AG28" s="195"/>
      <c r="AH28" s="195"/>
      <c r="AI28" s="195"/>
      <c r="AJ28" s="195"/>
      <c r="AK28" s="195"/>
      <c r="AL28" s="195"/>
      <c r="AM28" s="195"/>
      <c r="AN28" s="195"/>
      <c r="AO28" s="195"/>
      <c r="AP28" s="195"/>
      <c r="AQ28" s="195"/>
      <c r="AR28" s="195"/>
      <c r="AS28" s="195"/>
    </row>
    <row r="29" spans="1:45" ht="45" x14ac:dyDescent="0.25">
      <c r="A29" s="484" t="s">
        <v>261</v>
      </c>
      <c r="B29" s="485">
        <f t="shared" si="19"/>
        <v>11345.815179114788</v>
      </c>
      <c r="C29" s="486">
        <f t="shared" si="20"/>
        <v>36113.964976285133</v>
      </c>
      <c r="D29" s="487">
        <f t="shared" si="21"/>
        <v>97244.993663796398</v>
      </c>
      <c r="E29" s="487">
        <f t="shared" si="22"/>
        <v>163121.78297906168</v>
      </c>
      <c r="F29" s="478">
        <f t="shared" si="23"/>
        <v>234112.75865316216</v>
      </c>
      <c r="G29" s="478">
        <f t="shared" si="24"/>
        <v>205962.55446265562</v>
      </c>
      <c r="H29" s="478">
        <f t="shared" si="25"/>
        <v>0</v>
      </c>
      <c r="I29" s="478">
        <f t="shared" si="26"/>
        <v>0</v>
      </c>
      <c r="J29" s="478">
        <f t="shared" si="27"/>
        <v>0</v>
      </c>
      <c r="K29" s="478">
        <f t="shared" si="28"/>
        <v>0</v>
      </c>
      <c r="L29" s="478">
        <f t="shared" si="18"/>
        <v>0</v>
      </c>
      <c r="M29" s="195"/>
      <c r="N29" s="195"/>
      <c r="O29" s="195"/>
      <c r="P29" s="195"/>
      <c r="Q29" s="195"/>
      <c r="R29" s="195"/>
      <c r="S29" s="195"/>
      <c r="T29" s="195"/>
      <c r="U29" s="195"/>
      <c r="V29" s="195"/>
      <c r="W29" s="195"/>
      <c r="X29" s="195"/>
      <c r="Y29" s="195"/>
      <c r="Z29" s="195"/>
      <c r="AA29" s="195"/>
      <c r="AB29" s="195"/>
      <c r="AC29" s="195"/>
      <c r="AD29" s="195"/>
      <c r="AE29" s="195"/>
      <c r="AF29" s="195"/>
      <c r="AG29" s="195"/>
      <c r="AH29" s="195"/>
      <c r="AI29" s="195"/>
      <c r="AJ29" s="195"/>
      <c r="AK29" s="195"/>
      <c r="AL29" s="195"/>
      <c r="AM29" s="195"/>
      <c r="AN29" s="195"/>
      <c r="AO29" s="195"/>
      <c r="AP29" s="195"/>
      <c r="AQ29" s="195"/>
      <c r="AR29" s="195"/>
      <c r="AS29" s="195"/>
    </row>
    <row r="30" spans="1:45" x14ac:dyDescent="0.25">
      <c r="A30" s="484" t="s">
        <v>262</v>
      </c>
      <c r="B30" s="485">
        <f t="shared" si="19"/>
        <v>16030.358876499013</v>
      </c>
      <c r="C30" s="486">
        <f t="shared" si="20"/>
        <v>19236.430651798815</v>
      </c>
      <c r="D30" s="487">
        <f t="shared" si="21"/>
        <v>19236.430651798815</v>
      </c>
      <c r="E30" s="487">
        <f t="shared" si="22"/>
        <v>19236.430651798812</v>
      </c>
      <c r="F30" s="478">
        <f t="shared" si="23"/>
        <v>19236.430651798812</v>
      </c>
      <c r="G30" s="478">
        <f t="shared" si="24"/>
        <v>3206.0717752998025</v>
      </c>
      <c r="H30" s="478">
        <f t="shared" si="25"/>
        <v>0</v>
      </c>
      <c r="I30" s="478">
        <f t="shared" si="26"/>
        <v>0</v>
      </c>
      <c r="J30" s="478">
        <f t="shared" si="27"/>
        <v>0</v>
      </c>
      <c r="K30" s="478">
        <f t="shared" si="28"/>
        <v>0</v>
      </c>
      <c r="L30" s="478">
        <f t="shared" si="18"/>
        <v>0</v>
      </c>
      <c r="M30" s="195"/>
      <c r="N30" s="195"/>
      <c r="O30" s="195"/>
      <c r="P30" s="195"/>
      <c r="Q30" s="195"/>
      <c r="R30" s="195"/>
      <c r="S30" s="195"/>
      <c r="T30" s="195"/>
      <c r="U30" s="195"/>
      <c r="V30" s="195"/>
      <c r="W30" s="195"/>
      <c r="X30" s="195"/>
      <c r="Y30" s="195"/>
      <c r="Z30" s="195"/>
      <c r="AA30" s="195"/>
      <c r="AB30" s="195"/>
      <c r="AC30" s="195"/>
      <c r="AD30" s="195"/>
      <c r="AE30" s="195"/>
      <c r="AF30" s="195"/>
      <c r="AG30" s="195"/>
      <c r="AH30" s="195"/>
      <c r="AI30" s="195"/>
      <c r="AJ30" s="195"/>
      <c r="AK30" s="195"/>
      <c r="AL30" s="195"/>
      <c r="AM30" s="195"/>
      <c r="AN30" s="195"/>
      <c r="AO30" s="195"/>
      <c r="AP30" s="195"/>
      <c r="AQ30" s="195"/>
      <c r="AR30" s="195"/>
      <c r="AS30" s="195"/>
    </row>
    <row r="31" spans="1:45" ht="45" x14ac:dyDescent="0.25">
      <c r="A31" s="484" t="s">
        <v>263</v>
      </c>
      <c r="B31" s="485">
        <f t="shared" si="19"/>
        <v>16030.358876499013</v>
      </c>
      <c r="C31" s="486">
        <f t="shared" si="20"/>
        <v>48091.076629497031</v>
      </c>
      <c r="D31" s="487">
        <f t="shared" si="21"/>
        <v>125036.7992366923</v>
      </c>
      <c r="E31" s="487">
        <f t="shared" si="22"/>
        <v>201982.52184388755</v>
      </c>
      <c r="F31" s="478">
        <f t="shared" si="23"/>
        <v>278928.24445108278</v>
      </c>
      <c r="G31" s="478">
        <f t="shared" si="24"/>
        <v>240455.38314748515</v>
      </c>
      <c r="H31" s="478">
        <f t="shared" si="25"/>
        <v>0</v>
      </c>
      <c r="I31" s="478">
        <f t="shared" si="26"/>
        <v>0</v>
      </c>
      <c r="J31" s="478">
        <f t="shared" si="27"/>
        <v>0</v>
      </c>
      <c r="K31" s="478">
        <f t="shared" si="28"/>
        <v>0</v>
      </c>
      <c r="L31" s="478">
        <f t="shared" si="18"/>
        <v>0</v>
      </c>
      <c r="M31" s="195"/>
      <c r="N31" s="195"/>
      <c r="O31" s="195"/>
      <c r="P31" s="195"/>
      <c r="Q31" s="195"/>
      <c r="R31" s="195"/>
      <c r="S31" s="195"/>
      <c r="T31" s="195"/>
      <c r="U31" s="195"/>
      <c r="V31" s="195"/>
      <c r="W31" s="195"/>
      <c r="X31" s="195"/>
      <c r="Y31" s="195"/>
      <c r="Z31" s="195"/>
      <c r="AA31" s="195"/>
      <c r="AB31" s="195"/>
      <c r="AC31" s="195"/>
      <c r="AD31" s="195"/>
      <c r="AE31" s="195"/>
      <c r="AF31" s="195"/>
      <c r="AG31" s="195"/>
      <c r="AH31" s="195"/>
      <c r="AI31" s="195"/>
      <c r="AJ31" s="195"/>
      <c r="AK31" s="195"/>
      <c r="AL31" s="195"/>
      <c r="AM31" s="195"/>
      <c r="AN31" s="195"/>
      <c r="AO31" s="195"/>
      <c r="AP31" s="195"/>
      <c r="AQ31" s="195"/>
      <c r="AR31" s="195"/>
      <c r="AS31" s="195"/>
    </row>
    <row r="32" spans="1:45" x14ac:dyDescent="0.25">
      <c r="A32" s="199"/>
      <c r="B32" s="199"/>
      <c r="C32" s="200"/>
      <c r="D32" s="200"/>
      <c r="E32" s="200"/>
      <c r="F32" s="195"/>
      <c r="G32" s="195"/>
      <c r="H32" s="195"/>
      <c r="I32" s="195"/>
      <c r="J32" s="195"/>
      <c r="K32" s="195"/>
      <c r="L32" s="195"/>
      <c r="M32" s="195"/>
      <c r="N32" s="195"/>
      <c r="O32" s="195"/>
      <c r="P32" s="195"/>
      <c r="Q32" s="195"/>
      <c r="R32" s="195"/>
      <c r="S32" s="195"/>
      <c r="T32" s="195"/>
      <c r="U32" s="195"/>
      <c r="V32" s="195"/>
      <c r="W32" s="195"/>
      <c r="X32" s="195"/>
      <c r="Y32" s="195"/>
      <c r="Z32" s="195"/>
      <c r="AA32" s="195"/>
      <c r="AB32" s="195"/>
      <c r="AC32" s="195"/>
      <c r="AD32" s="195"/>
      <c r="AE32" s="195"/>
      <c r="AF32" s="195"/>
      <c r="AG32" s="195"/>
      <c r="AH32" s="195"/>
      <c r="AI32" s="195"/>
      <c r="AJ32" s="195"/>
      <c r="AK32" s="195"/>
      <c r="AL32" s="195"/>
      <c r="AM32" s="195"/>
      <c r="AN32" s="195"/>
      <c r="AO32" s="195"/>
      <c r="AP32" s="195"/>
      <c r="AQ32" s="195"/>
      <c r="AR32" s="195"/>
      <c r="AS32" s="195"/>
    </row>
    <row r="33" spans="1:45" x14ac:dyDescent="0.25">
      <c r="A33" s="199"/>
      <c r="B33" s="161"/>
      <c r="C33" s="161"/>
      <c r="D33" s="161"/>
      <c r="E33" s="161"/>
      <c r="F33" s="161"/>
      <c r="G33" s="161"/>
      <c r="H33" s="161"/>
      <c r="I33" s="161"/>
      <c r="J33" s="161"/>
      <c r="K33" s="161"/>
      <c r="L33" s="161"/>
      <c r="M33" s="195"/>
      <c r="N33" s="195"/>
      <c r="O33" s="195"/>
      <c r="P33" s="195"/>
      <c r="Q33" s="195"/>
      <c r="R33" s="195"/>
      <c r="S33" s="195"/>
      <c r="T33" s="195"/>
      <c r="U33" s="195"/>
      <c r="V33" s="195"/>
      <c r="W33" s="195"/>
      <c r="X33" s="195"/>
      <c r="Y33" s="195"/>
      <c r="Z33" s="195"/>
      <c r="AA33" s="195"/>
      <c r="AB33" s="195"/>
      <c r="AC33" s="195"/>
      <c r="AD33" s="195"/>
      <c r="AE33" s="195"/>
      <c r="AF33" s="195"/>
      <c r="AG33" s="195"/>
      <c r="AH33" s="195"/>
      <c r="AI33" s="195"/>
      <c r="AJ33" s="195"/>
      <c r="AK33" s="195"/>
      <c r="AL33" s="195"/>
      <c r="AM33" s="195"/>
      <c r="AN33" s="195"/>
      <c r="AO33" s="195"/>
      <c r="AP33" s="195"/>
      <c r="AQ33" s="195"/>
      <c r="AR33" s="195"/>
      <c r="AS33" s="195"/>
    </row>
    <row r="34" spans="1:45" x14ac:dyDescent="0.25">
      <c r="B34" s="161"/>
      <c r="C34" s="161"/>
      <c r="D34" s="161"/>
      <c r="E34" s="161"/>
      <c r="F34" s="195"/>
      <c r="G34" s="195"/>
      <c r="H34" s="195"/>
      <c r="I34" s="195"/>
      <c r="J34" s="195"/>
      <c r="K34" s="195"/>
      <c r="L34" s="195"/>
      <c r="M34" s="195"/>
      <c r="N34" s="195"/>
      <c r="O34" s="195"/>
      <c r="P34" s="195"/>
      <c r="Q34" s="195"/>
      <c r="R34" s="195"/>
      <c r="S34" s="195"/>
      <c r="T34" s="195"/>
      <c r="U34" s="195"/>
      <c r="V34" s="195"/>
      <c r="W34" s="195"/>
      <c r="X34" s="195"/>
      <c r="Y34" s="195"/>
      <c r="Z34" s="195"/>
      <c r="AA34" s="195"/>
      <c r="AB34" s="195"/>
      <c r="AC34" s="195"/>
      <c r="AD34" s="195"/>
      <c r="AE34" s="195"/>
      <c r="AF34" s="195"/>
      <c r="AG34" s="195"/>
      <c r="AH34" s="195"/>
      <c r="AI34" s="195"/>
      <c r="AJ34" s="195"/>
      <c r="AK34" s="195"/>
      <c r="AL34" s="195"/>
      <c r="AM34" s="195"/>
      <c r="AN34" s="195"/>
      <c r="AO34" s="195"/>
      <c r="AP34" s="195"/>
      <c r="AQ34" s="195"/>
      <c r="AR34" s="195"/>
      <c r="AS34" s="195"/>
    </row>
    <row r="35" spans="1:45" x14ac:dyDescent="0.25">
      <c r="B35" s="160"/>
      <c r="C35" s="160"/>
      <c r="D35" s="160"/>
      <c r="E35" s="160"/>
      <c r="F35" s="195"/>
      <c r="G35" s="195"/>
      <c r="H35" s="195"/>
      <c r="I35" s="195"/>
      <c r="J35" s="195"/>
      <c r="K35" s="195"/>
      <c r="L35" s="195"/>
      <c r="M35" s="195"/>
      <c r="N35" s="195"/>
      <c r="O35" s="195"/>
      <c r="P35" s="195"/>
      <c r="Q35" s="195"/>
      <c r="R35" s="195"/>
      <c r="S35" s="195"/>
      <c r="T35" s="195"/>
      <c r="U35" s="195"/>
      <c r="V35" s="195"/>
      <c r="W35" s="195"/>
      <c r="X35" s="195"/>
      <c r="Y35" s="195"/>
      <c r="Z35" s="195"/>
      <c r="AA35" s="195"/>
      <c r="AB35" s="195"/>
      <c r="AC35" s="195"/>
      <c r="AD35" s="195"/>
      <c r="AE35" s="195"/>
      <c r="AF35" s="195"/>
      <c r="AG35" s="195"/>
      <c r="AH35" s="195"/>
      <c r="AI35" s="195"/>
      <c r="AJ35" s="195"/>
      <c r="AK35" s="195"/>
      <c r="AL35" s="195"/>
      <c r="AM35" s="195"/>
      <c r="AN35" s="195"/>
      <c r="AO35" s="195"/>
      <c r="AP35" s="195"/>
      <c r="AQ35" s="195"/>
      <c r="AR35" s="195"/>
      <c r="AS35" s="195"/>
    </row>
    <row r="36" spans="1:45" x14ac:dyDescent="0.25">
      <c r="C36" s="160"/>
      <c r="D36" s="160"/>
      <c r="E36" s="160"/>
      <c r="F36" s="160"/>
      <c r="G36" s="160"/>
      <c r="H36" s="160"/>
      <c r="I36" s="160"/>
      <c r="J36" s="160"/>
      <c r="K36" s="160"/>
      <c r="L36" s="160"/>
      <c r="M36" s="160"/>
      <c r="N36" s="160"/>
      <c r="O36" s="160"/>
      <c r="P36" s="160"/>
      <c r="Q36" s="160"/>
      <c r="R36" s="195"/>
      <c r="S36" s="195"/>
      <c r="T36" s="195"/>
      <c r="U36" s="195"/>
      <c r="V36" s="195"/>
      <c r="W36" s="195"/>
      <c r="X36" s="195"/>
      <c r="Y36" s="195"/>
      <c r="Z36" s="195"/>
      <c r="AA36" s="195"/>
      <c r="AB36" s="195"/>
      <c r="AC36" s="195"/>
      <c r="AD36" s="195"/>
      <c r="AE36" s="195"/>
      <c r="AF36" s="195"/>
      <c r="AG36" s="195"/>
      <c r="AH36" s="195"/>
      <c r="AI36" s="195"/>
      <c r="AJ36" s="195"/>
      <c r="AK36" s="195"/>
      <c r="AL36" s="195"/>
      <c r="AM36" s="195"/>
      <c r="AN36" s="195"/>
      <c r="AO36" s="195"/>
      <c r="AP36" s="195"/>
      <c r="AQ36" s="195"/>
      <c r="AR36" s="195"/>
      <c r="AS36" s="195"/>
    </row>
    <row r="37" spans="1:45" x14ac:dyDescent="0.25">
      <c r="B37" s="160"/>
      <c r="C37" s="160"/>
      <c r="D37" s="160"/>
      <c r="E37" s="160"/>
      <c r="F37" s="160"/>
      <c r="G37" s="160"/>
      <c r="H37" s="160"/>
      <c r="I37" s="160"/>
      <c r="J37" s="160"/>
      <c r="K37" s="160"/>
      <c r="L37" s="160"/>
      <c r="M37" s="160"/>
      <c r="N37" s="160"/>
      <c r="O37" s="160"/>
      <c r="P37" s="160"/>
      <c r="Q37" s="160"/>
      <c r="R37" s="160"/>
      <c r="S37" s="160"/>
      <c r="T37" s="195"/>
      <c r="U37" s="195"/>
      <c r="V37" s="195"/>
      <c r="W37" s="195"/>
      <c r="X37" s="195"/>
      <c r="Y37" s="195"/>
      <c r="Z37" s="195"/>
      <c r="AA37" s="195"/>
      <c r="AB37" s="195"/>
      <c r="AC37" s="195"/>
      <c r="AD37" s="195"/>
      <c r="AE37" s="195"/>
      <c r="AF37" s="195"/>
      <c r="AG37" s="195"/>
      <c r="AH37" s="195"/>
      <c r="AI37" s="195"/>
      <c r="AJ37" s="195"/>
      <c r="AK37" s="195"/>
      <c r="AL37" s="195"/>
      <c r="AM37" s="195"/>
      <c r="AN37" s="195"/>
      <c r="AO37" s="195"/>
      <c r="AP37" s="195"/>
      <c r="AQ37" s="195"/>
      <c r="AR37" s="195"/>
      <c r="AS37" s="195"/>
    </row>
    <row r="38" spans="1:45" x14ac:dyDescent="0.25">
      <c r="C38" s="190"/>
      <c r="D38" s="190"/>
      <c r="E38" s="195"/>
      <c r="F38" s="195"/>
      <c r="G38" s="195"/>
      <c r="H38" s="195"/>
      <c r="I38" s="195"/>
      <c r="J38" s="195"/>
      <c r="K38" s="195"/>
      <c r="L38" s="195"/>
      <c r="M38" s="195"/>
      <c r="N38" s="195"/>
      <c r="O38" s="195"/>
      <c r="P38" s="190"/>
      <c r="Q38" s="190"/>
      <c r="R38" s="190"/>
      <c r="S38" s="190"/>
      <c r="T38" s="195"/>
      <c r="U38" s="195"/>
      <c r="V38" s="195"/>
      <c r="W38" s="195"/>
      <c r="X38" s="195"/>
      <c r="Y38" s="195"/>
      <c r="Z38" s="195"/>
      <c r="AA38" s="195"/>
      <c r="AB38" s="195"/>
      <c r="AC38" s="195"/>
      <c r="AD38" s="195"/>
      <c r="AE38" s="195"/>
      <c r="AF38" s="195"/>
      <c r="AG38" s="195"/>
      <c r="AH38" s="195"/>
      <c r="AI38" s="195"/>
      <c r="AJ38" s="195"/>
      <c r="AK38" s="195"/>
      <c r="AL38" s="195"/>
      <c r="AM38" s="195"/>
      <c r="AN38" s="195"/>
      <c r="AO38" s="195"/>
      <c r="AP38" s="195"/>
      <c r="AQ38" s="195"/>
      <c r="AR38" s="195"/>
      <c r="AS38" s="195"/>
    </row>
    <row r="39" spans="1:45" ht="11.25" customHeight="1" x14ac:dyDescent="0.25">
      <c r="F39" s="195"/>
      <c r="G39" s="195"/>
      <c r="H39" s="195"/>
      <c r="I39" s="195"/>
      <c r="J39" s="195"/>
      <c r="K39" s="195"/>
      <c r="L39" s="195"/>
      <c r="M39" s="195"/>
      <c r="N39" s="195"/>
      <c r="O39" s="195"/>
      <c r="P39" s="195"/>
      <c r="Q39" s="195"/>
      <c r="R39" s="195"/>
      <c r="S39" s="195"/>
      <c r="T39" s="195"/>
      <c r="U39" s="195"/>
      <c r="V39" s="195"/>
      <c r="W39" s="195"/>
      <c r="X39" s="195"/>
      <c r="Y39" s="195"/>
      <c r="Z39" s="195"/>
      <c r="AA39" s="195"/>
      <c r="AB39" s="195"/>
      <c r="AC39" s="195"/>
      <c r="AD39" s="195"/>
      <c r="AE39" s="195"/>
      <c r="AF39" s="195"/>
      <c r="AG39" s="195"/>
      <c r="AH39" s="195"/>
      <c r="AI39" s="195"/>
      <c r="AJ39" s="195"/>
      <c r="AK39" s="195"/>
      <c r="AL39" s="195"/>
      <c r="AM39" s="195"/>
      <c r="AN39" s="195"/>
      <c r="AO39" s="195"/>
      <c r="AP39" s="195"/>
      <c r="AQ39" s="195"/>
      <c r="AR39" s="195"/>
      <c r="AS39" s="195"/>
    </row>
    <row r="40" spans="1:45" x14ac:dyDescent="0.25">
      <c r="B40" s="160"/>
      <c r="C40" s="160"/>
      <c r="D40" s="160"/>
      <c r="E40" s="160"/>
      <c r="F40" s="160"/>
      <c r="G40" s="160"/>
      <c r="H40" s="160"/>
      <c r="I40" s="160"/>
      <c r="J40" s="160"/>
      <c r="K40" s="160"/>
      <c r="L40" s="160"/>
      <c r="M40" s="160"/>
      <c r="N40" s="160"/>
      <c r="O40" s="160"/>
      <c r="P40" s="160"/>
      <c r="Q40" s="195"/>
      <c r="R40" s="195"/>
      <c r="S40" s="195"/>
      <c r="T40" s="195"/>
      <c r="U40" s="195"/>
      <c r="V40" s="195"/>
      <c r="W40" s="195"/>
      <c r="X40" s="195"/>
      <c r="Y40" s="195"/>
      <c r="Z40" s="195"/>
      <c r="AA40" s="195"/>
      <c r="AB40" s="195"/>
      <c r="AC40" s="195"/>
      <c r="AD40" s="195"/>
      <c r="AE40" s="195"/>
      <c r="AF40" s="195"/>
      <c r="AG40" s="195"/>
      <c r="AH40" s="195"/>
      <c r="AI40" s="195"/>
      <c r="AJ40" s="195"/>
      <c r="AK40" s="195"/>
      <c r="AL40" s="195"/>
      <c r="AM40" s="195"/>
      <c r="AN40" s="195"/>
      <c r="AO40" s="195"/>
      <c r="AP40" s="195"/>
      <c r="AQ40" s="195"/>
      <c r="AR40" s="195"/>
      <c r="AS40" s="195"/>
    </row>
    <row r="41" spans="1:45" x14ac:dyDescent="0.25">
      <c r="F41" s="195"/>
      <c r="G41" s="195"/>
      <c r="H41" s="195"/>
      <c r="I41" s="195"/>
      <c r="J41" s="195"/>
      <c r="K41" s="195"/>
      <c r="L41" s="195"/>
      <c r="M41" s="195"/>
      <c r="N41" s="195"/>
      <c r="O41" s="195"/>
      <c r="P41" s="195"/>
      <c r="Q41" s="195"/>
      <c r="R41" s="195"/>
      <c r="S41" s="195"/>
      <c r="T41" s="195"/>
      <c r="U41" s="195"/>
      <c r="V41" s="195"/>
      <c r="W41" s="195"/>
      <c r="X41" s="195"/>
      <c r="Y41" s="195"/>
      <c r="Z41" s="195"/>
      <c r="AA41" s="195"/>
      <c r="AB41" s="195"/>
      <c r="AC41" s="195"/>
      <c r="AD41" s="195"/>
      <c r="AE41" s="195"/>
      <c r="AF41" s="195"/>
      <c r="AG41" s="195"/>
      <c r="AH41" s="195"/>
      <c r="AI41" s="195"/>
      <c r="AJ41" s="195"/>
      <c r="AK41" s="195"/>
      <c r="AL41" s="195"/>
      <c r="AM41" s="195"/>
      <c r="AN41" s="195"/>
      <c r="AO41" s="195"/>
      <c r="AP41" s="195"/>
      <c r="AQ41" s="195"/>
      <c r="AR41" s="195"/>
      <c r="AS41" s="195"/>
    </row>
    <row r="42" spans="1:45" x14ac:dyDescent="0.25">
      <c r="E42" s="160"/>
      <c r="F42" s="195"/>
      <c r="G42" s="195"/>
      <c r="H42" s="195"/>
      <c r="I42" s="195"/>
      <c r="J42" s="195"/>
      <c r="K42" s="195"/>
      <c r="L42" s="195"/>
      <c r="M42" s="195"/>
      <c r="N42" s="195"/>
      <c r="O42" s="195"/>
      <c r="P42" s="195"/>
      <c r="Q42" s="195"/>
      <c r="R42" s="195"/>
      <c r="S42" s="195"/>
      <c r="T42" s="195"/>
      <c r="U42" s="195"/>
      <c r="V42" s="195"/>
      <c r="W42" s="195"/>
      <c r="X42" s="195"/>
      <c r="Y42" s="195"/>
      <c r="Z42" s="195"/>
      <c r="AA42" s="195"/>
      <c r="AB42" s="195"/>
      <c r="AC42" s="195"/>
      <c r="AD42" s="195"/>
      <c r="AE42" s="195"/>
      <c r="AF42" s="195"/>
      <c r="AG42" s="195"/>
      <c r="AH42" s="195"/>
      <c r="AI42" s="195"/>
      <c r="AJ42" s="195"/>
      <c r="AK42" s="195"/>
      <c r="AL42" s="195"/>
      <c r="AM42" s="195"/>
      <c r="AN42" s="195"/>
      <c r="AO42" s="195"/>
      <c r="AP42" s="195"/>
      <c r="AQ42" s="195"/>
      <c r="AR42" s="195"/>
      <c r="AS42" s="195"/>
    </row>
    <row r="43" spans="1:45" x14ac:dyDescent="0.25">
      <c r="F43" s="195"/>
      <c r="G43" s="195"/>
      <c r="H43" s="195"/>
      <c r="I43" s="195"/>
      <c r="J43" s="195"/>
      <c r="K43" s="195"/>
      <c r="L43" s="195"/>
      <c r="M43" s="195"/>
      <c r="N43" s="195"/>
      <c r="O43" s="195"/>
      <c r="P43" s="195"/>
      <c r="Q43" s="195"/>
      <c r="R43" s="195"/>
      <c r="S43" s="195"/>
      <c r="T43" s="195"/>
      <c r="U43" s="195"/>
      <c r="V43" s="195"/>
      <c r="W43" s="195"/>
      <c r="X43" s="195"/>
      <c r="Y43" s="195"/>
      <c r="Z43" s="195"/>
      <c r="AA43" s="195"/>
      <c r="AB43" s="195"/>
      <c r="AC43" s="195"/>
      <c r="AD43" s="195"/>
      <c r="AE43" s="195"/>
      <c r="AF43" s="195"/>
      <c r="AG43" s="195"/>
      <c r="AH43" s="195"/>
      <c r="AI43" s="195"/>
      <c r="AJ43" s="195"/>
      <c r="AK43" s="195"/>
      <c r="AL43" s="195"/>
      <c r="AM43" s="195"/>
      <c r="AN43" s="195"/>
      <c r="AO43" s="195"/>
      <c r="AP43" s="195"/>
      <c r="AQ43" s="195"/>
      <c r="AR43" s="195"/>
      <c r="AS43" s="195"/>
    </row>
    <row r="44" spans="1:45" x14ac:dyDescent="0.25">
      <c r="F44" s="195"/>
      <c r="G44" s="195"/>
      <c r="H44" s="195"/>
      <c r="I44" s="195"/>
      <c r="J44" s="195"/>
      <c r="K44" s="195"/>
      <c r="L44" s="195"/>
      <c r="M44" s="195"/>
      <c r="N44" s="195"/>
      <c r="O44" s="195"/>
      <c r="P44" s="195"/>
      <c r="Q44" s="195"/>
      <c r="R44" s="195"/>
      <c r="S44" s="195"/>
      <c r="T44" s="195"/>
      <c r="U44" s="195"/>
      <c r="V44" s="195"/>
      <c r="W44" s="195"/>
      <c r="X44" s="195"/>
      <c r="Y44" s="195"/>
      <c r="Z44" s="195"/>
      <c r="AA44" s="195"/>
      <c r="AB44" s="195"/>
      <c r="AC44" s="195"/>
      <c r="AD44" s="195"/>
      <c r="AE44" s="195"/>
      <c r="AF44" s="195"/>
      <c r="AG44" s="195"/>
      <c r="AH44" s="195"/>
      <c r="AI44" s="195"/>
      <c r="AJ44" s="195"/>
      <c r="AK44" s="195"/>
      <c r="AL44" s="195"/>
      <c r="AM44" s="195"/>
      <c r="AN44" s="195"/>
      <c r="AO44" s="195"/>
      <c r="AP44" s="195"/>
      <c r="AQ44" s="195"/>
      <c r="AR44" s="195"/>
      <c r="AS44" s="195"/>
    </row>
    <row r="45" spans="1:45" x14ac:dyDescent="0.25">
      <c r="F45" s="195"/>
      <c r="G45" s="195"/>
      <c r="H45" s="195"/>
      <c r="I45" s="195"/>
      <c r="J45" s="195"/>
      <c r="K45" s="195"/>
      <c r="L45" s="195"/>
      <c r="M45" s="195"/>
      <c r="N45" s="195"/>
      <c r="O45" s="195"/>
      <c r="P45" s="195"/>
      <c r="Q45" s="195"/>
      <c r="R45" s="195"/>
      <c r="S45" s="195"/>
      <c r="T45" s="195"/>
      <c r="U45" s="195"/>
      <c r="V45" s="195"/>
      <c r="W45" s="195"/>
      <c r="X45" s="195"/>
      <c r="Y45" s="195"/>
      <c r="Z45" s="195"/>
      <c r="AA45" s="195"/>
      <c r="AB45" s="195"/>
      <c r="AC45" s="195"/>
      <c r="AD45" s="195"/>
      <c r="AE45" s="195"/>
      <c r="AF45" s="195"/>
      <c r="AG45" s="195"/>
      <c r="AH45" s="195"/>
      <c r="AI45" s="195"/>
      <c r="AJ45" s="195"/>
      <c r="AK45" s="195"/>
      <c r="AL45" s="195"/>
      <c r="AM45" s="195"/>
      <c r="AN45" s="195"/>
      <c r="AO45" s="195"/>
      <c r="AP45" s="195"/>
      <c r="AQ45" s="195"/>
      <c r="AR45" s="195"/>
      <c r="AS45" s="195"/>
    </row>
    <row r="46" spans="1:45" x14ac:dyDescent="0.25">
      <c r="B46" s="160"/>
      <c r="F46" s="195"/>
      <c r="G46" s="195"/>
      <c r="H46" s="195"/>
      <c r="I46" s="195"/>
      <c r="J46" s="195"/>
      <c r="K46" s="195"/>
      <c r="L46" s="195"/>
      <c r="M46" s="195"/>
      <c r="N46" s="195"/>
      <c r="O46" s="195"/>
      <c r="P46" s="195"/>
      <c r="Q46" s="195"/>
      <c r="R46" s="195"/>
      <c r="S46" s="195"/>
      <c r="T46" s="195"/>
      <c r="U46" s="195"/>
      <c r="V46" s="195"/>
      <c r="W46" s="195"/>
      <c r="X46" s="195"/>
      <c r="Y46" s="195"/>
      <c r="Z46" s="195"/>
      <c r="AA46" s="195"/>
      <c r="AB46" s="195"/>
      <c r="AC46" s="195"/>
      <c r="AD46" s="195"/>
      <c r="AE46" s="195"/>
      <c r="AF46" s="195"/>
      <c r="AG46" s="195"/>
      <c r="AH46" s="195"/>
      <c r="AI46" s="195"/>
      <c r="AJ46" s="195"/>
      <c r="AK46" s="195"/>
      <c r="AL46" s="195"/>
      <c r="AM46" s="195"/>
      <c r="AN46" s="195"/>
      <c r="AO46" s="195"/>
      <c r="AP46" s="195"/>
      <c r="AQ46" s="195"/>
      <c r="AR46" s="195"/>
      <c r="AS46" s="195"/>
    </row>
    <row r="47" spans="1:45" x14ac:dyDescent="0.25">
      <c r="A47" s="195"/>
      <c r="B47" s="195"/>
      <c r="C47" s="195"/>
      <c r="D47" s="195"/>
      <c r="E47" s="195"/>
      <c r="F47" s="195"/>
      <c r="G47" s="195"/>
      <c r="H47" s="195"/>
      <c r="I47" s="195"/>
      <c r="J47" s="195"/>
      <c r="K47" s="195"/>
      <c r="L47" s="195"/>
      <c r="M47" s="195"/>
      <c r="N47" s="195"/>
      <c r="O47" s="195"/>
      <c r="P47" s="195"/>
      <c r="Q47" s="195"/>
      <c r="R47" s="195"/>
      <c r="S47" s="195"/>
      <c r="T47" s="195"/>
      <c r="U47" s="195"/>
      <c r="V47" s="195"/>
      <c r="W47" s="195"/>
      <c r="X47" s="195"/>
      <c r="Y47" s="195"/>
      <c r="Z47" s="195"/>
      <c r="AA47" s="195"/>
      <c r="AB47" s="195"/>
      <c r="AC47" s="195"/>
      <c r="AD47" s="195"/>
      <c r="AE47" s="195"/>
      <c r="AF47" s="195"/>
      <c r="AG47" s="195"/>
      <c r="AH47" s="195"/>
      <c r="AI47" s="195"/>
      <c r="AJ47" s="195"/>
      <c r="AK47" s="195"/>
      <c r="AL47" s="195"/>
      <c r="AM47" s="195"/>
      <c r="AN47" s="195"/>
      <c r="AO47" s="195"/>
      <c r="AP47" s="195"/>
      <c r="AQ47" s="195"/>
      <c r="AR47" s="195"/>
      <c r="AS47" s="195"/>
    </row>
    <row r="48" spans="1:45" x14ac:dyDescent="0.25">
      <c r="B48" s="201"/>
      <c r="F48" s="195"/>
      <c r="G48" s="195"/>
      <c r="H48" s="195"/>
      <c r="I48" s="195"/>
      <c r="J48" s="195"/>
      <c r="K48" s="195"/>
      <c r="L48" s="195"/>
      <c r="M48" s="195"/>
      <c r="N48" s="195"/>
      <c r="O48" s="195"/>
      <c r="P48" s="195"/>
      <c r="Q48" s="195"/>
      <c r="R48" s="195"/>
      <c r="S48" s="195"/>
      <c r="T48" s="195"/>
      <c r="U48" s="195"/>
      <c r="V48" s="195"/>
      <c r="W48" s="195"/>
      <c r="X48" s="195"/>
      <c r="Y48" s="195"/>
      <c r="Z48" s="195"/>
      <c r="AA48" s="195"/>
      <c r="AB48" s="195"/>
      <c r="AC48" s="195"/>
      <c r="AD48" s="195"/>
      <c r="AE48" s="195"/>
      <c r="AF48" s="195"/>
      <c r="AG48" s="195"/>
      <c r="AH48" s="195"/>
      <c r="AI48" s="195"/>
      <c r="AJ48" s="195"/>
      <c r="AK48" s="195"/>
      <c r="AL48" s="195"/>
      <c r="AM48" s="195"/>
      <c r="AN48" s="195"/>
      <c r="AO48" s="195"/>
      <c r="AP48" s="195"/>
      <c r="AQ48" s="195"/>
      <c r="AR48" s="195"/>
      <c r="AS48" s="195"/>
    </row>
    <row r="49" spans="2:45" x14ac:dyDescent="0.25">
      <c r="B49" s="160"/>
      <c r="F49" s="195"/>
      <c r="G49" s="195"/>
      <c r="H49" s="195"/>
      <c r="I49" s="195"/>
      <c r="J49" s="195"/>
      <c r="K49" s="195"/>
      <c r="L49" s="195"/>
      <c r="M49" s="195"/>
      <c r="N49" s="195"/>
      <c r="O49" s="195"/>
      <c r="P49" s="195"/>
      <c r="Q49" s="195"/>
      <c r="R49" s="195"/>
      <c r="S49" s="195"/>
      <c r="T49" s="195"/>
      <c r="U49" s="195"/>
      <c r="V49" s="195"/>
      <c r="W49" s="195"/>
      <c r="X49" s="195"/>
      <c r="Y49" s="195"/>
      <c r="Z49" s="195"/>
      <c r="AA49" s="195"/>
      <c r="AB49" s="195"/>
      <c r="AC49" s="195"/>
      <c r="AD49" s="195"/>
      <c r="AE49" s="195"/>
      <c r="AF49" s="195"/>
      <c r="AG49" s="195"/>
      <c r="AH49" s="195"/>
      <c r="AI49" s="195"/>
      <c r="AJ49" s="195"/>
      <c r="AK49" s="195"/>
      <c r="AL49" s="195"/>
      <c r="AM49" s="195"/>
      <c r="AN49" s="195"/>
      <c r="AO49" s="195"/>
      <c r="AP49" s="195"/>
      <c r="AQ49" s="195"/>
      <c r="AR49" s="195"/>
      <c r="AS49" s="195"/>
    </row>
    <row r="50" spans="2:45" x14ac:dyDescent="0.25">
      <c r="B50" s="202"/>
      <c r="F50" s="195"/>
      <c r="G50" s="195"/>
      <c r="H50" s="195"/>
      <c r="I50" s="195"/>
      <c r="J50" s="195"/>
      <c r="K50" s="195"/>
      <c r="L50" s="195"/>
      <c r="M50" s="195"/>
      <c r="N50" s="195"/>
      <c r="O50" s="195"/>
      <c r="P50" s="195"/>
      <c r="Q50" s="195"/>
      <c r="R50" s="195"/>
      <c r="S50" s="195"/>
      <c r="T50" s="195"/>
      <c r="U50" s="195"/>
      <c r="V50" s="195"/>
      <c r="W50" s="195"/>
      <c r="X50" s="195"/>
      <c r="Y50" s="195"/>
      <c r="Z50" s="195"/>
      <c r="AA50" s="195"/>
      <c r="AB50" s="195"/>
      <c r="AC50" s="195"/>
      <c r="AD50" s="195"/>
      <c r="AE50" s="195"/>
      <c r="AF50" s="195"/>
      <c r="AG50" s="195"/>
      <c r="AH50" s="195"/>
      <c r="AI50" s="195"/>
      <c r="AJ50" s="195"/>
      <c r="AK50" s="195"/>
      <c r="AL50" s="195"/>
      <c r="AM50" s="195"/>
      <c r="AN50" s="195"/>
      <c r="AO50" s="195"/>
      <c r="AP50" s="195"/>
      <c r="AQ50" s="195"/>
      <c r="AR50" s="195"/>
      <c r="AS50" s="195"/>
    </row>
    <row r="51" spans="2:45" x14ac:dyDescent="0.25">
      <c r="B51" s="202"/>
      <c r="C51" s="160"/>
      <c r="D51" s="160"/>
      <c r="E51" s="160"/>
      <c r="F51" s="195"/>
      <c r="G51" s="195"/>
      <c r="H51" s="195"/>
      <c r="I51" s="195"/>
      <c r="J51" s="195"/>
      <c r="K51" s="195"/>
      <c r="L51" s="195"/>
      <c r="M51" s="195"/>
      <c r="N51" s="195"/>
      <c r="O51" s="195"/>
      <c r="P51" s="195"/>
      <c r="Q51" s="195"/>
      <c r="R51" s="195"/>
      <c r="S51" s="195"/>
      <c r="T51" s="195"/>
      <c r="U51" s="195"/>
      <c r="V51" s="195"/>
      <c r="W51" s="195"/>
      <c r="X51" s="195"/>
      <c r="Y51" s="195"/>
      <c r="Z51" s="195"/>
      <c r="AA51" s="195"/>
      <c r="AB51" s="195"/>
      <c r="AC51" s="195"/>
      <c r="AD51" s="195"/>
      <c r="AE51" s="195"/>
      <c r="AF51" s="195"/>
      <c r="AG51" s="195"/>
      <c r="AH51" s="195"/>
      <c r="AI51" s="195"/>
      <c r="AJ51" s="195"/>
      <c r="AK51" s="195"/>
      <c r="AL51" s="195"/>
      <c r="AM51" s="195"/>
      <c r="AN51" s="195"/>
      <c r="AO51" s="195"/>
      <c r="AP51" s="195"/>
      <c r="AQ51" s="195"/>
      <c r="AR51" s="195"/>
      <c r="AS51" s="195"/>
    </row>
    <row r="52" spans="2:45" x14ac:dyDescent="0.25">
      <c r="B52" s="203"/>
      <c r="F52" s="195"/>
      <c r="G52" s="195"/>
      <c r="H52" s="195"/>
      <c r="I52" s="195"/>
      <c r="J52" s="195"/>
      <c r="K52" s="195"/>
      <c r="L52" s="195"/>
      <c r="M52" s="195"/>
      <c r="N52" s="195"/>
      <c r="O52" s="195"/>
      <c r="P52" s="195"/>
      <c r="Q52" s="195"/>
      <c r="R52" s="195"/>
      <c r="S52" s="195"/>
      <c r="T52" s="195"/>
      <c r="U52" s="195"/>
      <c r="V52" s="195"/>
      <c r="W52" s="195"/>
      <c r="X52" s="195"/>
      <c r="Y52" s="195"/>
      <c r="Z52" s="195"/>
      <c r="AA52" s="195"/>
      <c r="AB52" s="195"/>
      <c r="AC52" s="195"/>
      <c r="AD52" s="195"/>
      <c r="AE52" s="195"/>
      <c r="AF52" s="195"/>
      <c r="AG52" s="195"/>
      <c r="AH52" s="195"/>
      <c r="AI52" s="195"/>
      <c r="AJ52" s="195"/>
      <c r="AK52" s="195"/>
      <c r="AL52" s="195"/>
      <c r="AM52" s="195"/>
      <c r="AN52" s="195"/>
      <c r="AO52" s="195"/>
      <c r="AP52" s="195"/>
      <c r="AQ52" s="195"/>
      <c r="AR52" s="195"/>
      <c r="AS52" s="195"/>
    </row>
    <row r="53" spans="2:45" x14ac:dyDescent="0.25">
      <c r="B53" s="202"/>
      <c r="C53" s="202"/>
      <c r="D53" s="202"/>
      <c r="F53" s="195"/>
      <c r="G53" s="195"/>
      <c r="H53" s="195"/>
      <c r="I53" s="195"/>
      <c r="J53" s="195"/>
      <c r="K53" s="195"/>
      <c r="L53" s="195"/>
      <c r="M53" s="195"/>
      <c r="N53" s="195"/>
      <c r="O53" s="195"/>
      <c r="P53" s="195"/>
      <c r="Q53" s="195"/>
      <c r="R53" s="195"/>
      <c r="S53" s="195"/>
      <c r="T53" s="195"/>
      <c r="U53" s="195"/>
      <c r="V53" s="195"/>
      <c r="W53" s="195"/>
      <c r="X53" s="195"/>
      <c r="Y53" s="195"/>
      <c r="Z53" s="195"/>
      <c r="AA53" s="195"/>
      <c r="AB53" s="195"/>
      <c r="AC53" s="195"/>
      <c r="AD53" s="195"/>
      <c r="AE53" s="195"/>
      <c r="AF53" s="195"/>
      <c r="AG53" s="195"/>
      <c r="AH53" s="195"/>
      <c r="AI53" s="195"/>
      <c r="AJ53" s="195"/>
      <c r="AK53" s="195"/>
      <c r="AL53" s="195"/>
      <c r="AM53" s="195"/>
      <c r="AN53" s="195"/>
      <c r="AO53" s="195"/>
      <c r="AP53" s="195"/>
      <c r="AQ53" s="195"/>
      <c r="AR53" s="195"/>
      <c r="AS53" s="195"/>
    </row>
    <row r="54" spans="2:45" x14ac:dyDescent="0.25">
      <c r="F54" s="195"/>
      <c r="G54" s="195"/>
      <c r="H54" s="195"/>
      <c r="I54" s="195"/>
      <c r="J54" s="195"/>
      <c r="K54" s="195"/>
      <c r="L54" s="195"/>
      <c r="M54" s="195"/>
      <c r="N54" s="195"/>
      <c r="O54" s="195"/>
      <c r="P54" s="195"/>
      <c r="Q54" s="195"/>
      <c r="R54" s="195"/>
      <c r="S54" s="195"/>
      <c r="T54" s="195"/>
      <c r="U54" s="195"/>
      <c r="V54" s="195"/>
      <c r="W54" s="195"/>
      <c r="X54" s="195"/>
      <c r="Y54" s="195"/>
      <c r="Z54" s="195"/>
      <c r="AA54" s="195"/>
      <c r="AB54" s="195"/>
      <c r="AC54" s="195"/>
      <c r="AD54" s="195"/>
      <c r="AE54" s="195"/>
      <c r="AF54" s="195"/>
      <c r="AG54" s="195"/>
      <c r="AH54" s="195"/>
      <c r="AI54" s="195"/>
      <c r="AJ54" s="195"/>
      <c r="AK54" s="195"/>
      <c r="AL54" s="195"/>
      <c r="AM54" s="195"/>
      <c r="AN54" s="195"/>
      <c r="AO54" s="195"/>
      <c r="AP54" s="195"/>
      <c r="AQ54" s="195"/>
      <c r="AR54" s="195"/>
      <c r="AS54" s="195"/>
    </row>
    <row r="55" spans="2:45" x14ac:dyDescent="0.25">
      <c r="F55" s="195"/>
      <c r="G55" s="195"/>
      <c r="H55" s="195"/>
      <c r="I55" s="195"/>
      <c r="J55" s="195"/>
      <c r="K55" s="195"/>
      <c r="L55" s="195"/>
      <c r="M55" s="195"/>
      <c r="N55" s="195"/>
      <c r="O55" s="195"/>
      <c r="P55" s="195"/>
      <c r="Q55" s="195"/>
      <c r="R55" s="195"/>
      <c r="S55" s="195"/>
      <c r="T55" s="195"/>
      <c r="U55" s="195"/>
      <c r="V55" s="195"/>
      <c r="W55" s="195"/>
      <c r="X55" s="195"/>
      <c r="Y55" s="195"/>
      <c r="Z55" s="195"/>
      <c r="AA55" s="195"/>
      <c r="AB55" s="195"/>
      <c r="AC55" s="195"/>
      <c r="AD55" s="195"/>
      <c r="AE55" s="195"/>
      <c r="AF55" s="195"/>
      <c r="AG55" s="195"/>
      <c r="AH55" s="195"/>
      <c r="AI55" s="195"/>
      <c r="AJ55" s="195"/>
      <c r="AK55" s="195"/>
      <c r="AL55" s="195"/>
      <c r="AM55" s="195"/>
      <c r="AN55" s="195"/>
      <c r="AO55" s="195"/>
      <c r="AP55" s="195"/>
      <c r="AQ55" s="195"/>
      <c r="AR55" s="195"/>
      <c r="AS55" s="195"/>
    </row>
    <row r="56" spans="2:45" x14ac:dyDescent="0.2">
      <c r="D56" s="204"/>
      <c r="F56" s="195"/>
      <c r="G56" s="195"/>
      <c r="H56" s="195"/>
      <c r="I56" s="195"/>
      <c r="J56" s="195"/>
      <c r="K56" s="195"/>
      <c r="L56" s="195"/>
      <c r="M56" s="195"/>
      <c r="N56" s="195"/>
      <c r="O56" s="195"/>
      <c r="P56" s="195"/>
      <c r="Q56" s="195"/>
      <c r="R56" s="195"/>
      <c r="S56" s="195"/>
      <c r="T56" s="195"/>
      <c r="U56" s="195"/>
      <c r="V56" s="195"/>
      <c r="W56" s="195"/>
      <c r="X56" s="195"/>
      <c r="Y56" s="195"/>
      <c r="Z56" s="195"/>
      <c r="AA56" s="195"/>
      <c r="AB56" s="195"/>
      <c r="AC56" s="195"/>
      <c r="AD56" s="195"/>
      <c r="AE56" s="195"/>
      <c r="AF56" s="195"/>
      <c r="AG56" s="195"/>
      <c r="AH56" s="195"/>
      <c r="AI56" s="195"/>
      <c r="AJ56" s="195"/>
      <c r="AK56" s="195"/>
      <c r="AL56" s="195"/>
      <c r="AM56" s="195"/>
      <c r="AN56" s="195"/>
      <c r="AO56" s="195"/>
      <c r="AP56" s="195"/>
      <c r="AQ56" s="195"/>
      <c r="AR56" s="195"/>
      <c r="AS56" s="195"/>
    </row>
    <row r="57" spans="2:45" ht="18.75" x14ac:dyDescent="0.3">
      <c r="D57" s="205"/>
      <c r="F57" s="195"/>
      <c r="G57" s="195"/>
      <c r="H57" s="195"/>
      <c r="I57" s="195"/>
      <c r="J57" s="195"/>
      <c r="K57" s="195"/>
      <c r="L57" s="195"/>
      <c r="M57" s="195"/>
      <c r="N57" s="195"/>
      <c r="O57" s="195"/>
      <c r="P57" s="195"/>
      <c r="Q57" s="195"/>
      <c r="R57" s="195"/>
      <c r="S57" s="195"/>
      <c r="T57" s="195"/>
      <c r="U57" s="195"/>
      <c r="V57" s="195"/>
      <c r="W57" s="195"/>
      <c r="X57" s="195"/>
      <c r="Y57" s="195"/>
      <c r="Z57" s="195"/>
      <c r="AA57" s="195"/>
      <c r="AB57" s="195"/>
      <c r="AC57" s="195"/>
      <c r="AD57" s="195"/>
      <c r="AE57" s="195"/>
      <c r="AF57" s="195"/>
      <c r="AG57" s="195"/>
      <c r="AH57" s="195"/>
      <c r="AI57" s="195"/>
      <c r="AJ57" s="195"/>
      <c r="AK57" s="195"/>
      <c r="AL57" s="195"/>
      <c r="AM57" s="195"/>
      <c r="AN57" s="195"/>
      <c r="AO57" s="195"/>
      <c r="AP57" s="195"/>
      <c r="AQ57" s="195"/>
      <c r="AR57" s="195"/>
      <c r="AS57" s="195"/>
    </row>
    <row r="58" spans="2:45" ht="18.75" x14ac:dyDescent="0.3">
      <c r="B58" s="765"/>
      <c r="C58" s="765"/>
      <c r="D58" s="765"/>
      <c r="E58" s="765"/>
      <c r="F58" s="195"/>
      <c r="G58" s="195"/>
      <c r="H58" s="195"/>
      <c r="I58" s="195"/>
      <c r="J58" s="195"/>
      <c r="K58" s="195"/>
      <c r="L58" s="195"/>
      <c r="M58" s="195"/>
      <c r="N58" s="195"/>
      <c r="O58" s="195"/>
      <c r="P58" s="195"/>
      <c r="Q58" s="195"/>
      <c r="R58" s="195"/>
      <c r="S58" s="195"/>
      <c r="T58" s="195"/>
      <c r="U58" s="195"/>
      <c r="V58" s="195"/>
      <c r="W58" s="195"/>
      <c r="X58" s="195"/>
      <c r="Y58" s="195"/>
      <c r="Z58" s="195"/>
      <c r="AA58" s="195"/>
      <c r="AB58" s="195"/>
      <c r="AC58" s="195"/>
      <c r="AD58" s="195"/>
      <c r="AE58" s="195"/>
      <c r="AF58" s="195"/>
      <c r="AG58" s="195"/>
      <c r="AH58" s="195"/>
      <c r="AI58" s="195"/>
      <c r="AJ58" s="195"/>
      <c r="AK58" s="195"/>
      <c r="AL58" s="195"/>
      <c r="AM58" s="195"/>
      <c r="AN58" s="195"/>
      <c r="AO58" s="195"/>
      <c r="AP58" s="195"/>
      <c r="AQ58" s="195"/>
      <c r="AR58" s="195"/>
      <c r="AS58" s="195"/>
    </row>
    <row r="59" spans="2:45" ht="27" customHeight="1" x14ac:dyDescent="0.25">
      <c r="F59" s="195"/>
      <c r="G59" s="195"/>
      <c r="H59" s="195"/>
      <c r="I59" s="195"/>
      <c r="J59" s="195"/>
      <c r="K59" s="195"/>
      <c r="L59" s="195"/>
      <c r="M59" s="195"/>
      <c r="N59" s="195"/>
      <c r="O59" s="195"/>
      <c r="P59" s="195"/>
      <c r="Q59" s="195"/>
      <c r="R59" s="195"/>
      <c r="S59" s="195"/>
      <c r="T59" s="195"/>
      <c r="U59" s="195"/>
      <c r="V59" s="195"/>
      <c r="W59" s="195"/>
      <c r="X59" s="195"/>
      <c r="Y59" s="195"/>
      <c r="Z59" s="195"/>
      <c r="AA59" s="195"/>
      <c r="AB59" s="195"/>
      <c r="AC59" s="195"/>
      <c r="AD59" s="195"/>
      <c r="AE59" s="195"/>
      <c r="AF59" s="195"/>
      <c r="AG59" s="195"/>
      <c r="AH59" s="195"/>
      <c r="AI59" s="195"/>
      <c r="AJ59" s="195"/>
      <c r="AK59" s="195"/>
      <c r="AL59" s="195"/>
      <c r="AM59" s="195"/>
      <c r="AN59" s="195"/>
      <c r="AO59" s="195"/>
      <c r="AP59" s="195"/>
      <c r="AQ59" s="195"/>
      <c r="AR59" s="195"/>
      <c r="AS59" s="195"/>
    </row>
    <row r="60" spans="2:45" ht="18.75" x14ac:dyDescent="0.3">
      <c r="B60" s="765"/>
      <c r="C60" s="765"/>
      <c r="D60" s="765"/>
      <c r="E60" s="765"/>
      <c r="F60" s="195"/>
      <c r="G60" s="195"/>
      <c r="H60" s="195"/>
      <c r="I60" s="195"/>
      <c r="J60" s="195"/>
      <c r="K60" s="195"/>
      <c r="L60" s="195"/>
      <c r="M60" s="195"/>
      <c r="N60" s="195"/>
      <c r="O60" s="195"/>
      <c r="P60" s="195"/>
      <c r="Q60" s="195"/>
      <c r="R60" s="195"/>
      <c r="S60" s="195"/>
      <c r="T60" s="195"/>
      <c r="U60" s="195"/>
      <c r="V60" s="195"/>
      <c r="W60" s="195"/>
      <c r="X60" s="195"/>
      <c r="Y60" s="195"/>
      <c r="Z60" s="195"/>
      <c r="AA60" s="195"/>
      <c r="AB60" s="195"/>
      <c r="AC60" s="195"/>
      <c r="AD60" s="195"/>
      <c r="AE60" s="195"/>
      <c r="AF60" s="195"/>
      <c r="AG60" s="195"/>
      <c r="AH60" s="195"/>
      <c r="AI60" s="195"/>
      <c r="AJ60" s="195"/>
      <c r="AK60" s="195"/>
      <c r="AL60" s="195"/>
      <c r="AM60" s="195"/>
      <c r="AN60" s="195"/>
      <c r="AO60" s="195"/>
      <c r="AP60" s="195"/>
      <c r="AQ60" s="195"/>
      <c r="AR60" s="195"/>
      <c r="AS60" s="195"/>
    </row>
    <row r="61" spans="2:45" x14ac:dyDescent="0.25">
      <c r="F61" s="195"/>
      <c r="G61" s="195"/>
      <c r="H61" s="195"/>
      <c r="I61" s="195"/>
      <c r="J61" s="195"/>
      <c r="K61" s="195"/>
      <c r="L61" s="195"/>
      <c r="M61" s="195"/>
      <c r="N61" s="195"/>
      <c r="O61" s="195"/>
      <c r="P61" s="195"/>
      <c r="Q61" s="195"/>
      <c r="R61" s="195"/>
      <c r="S61" s="195"/>
      <c r="T61" s="195"/>
      <c r="U61" s="195"/>
      <c r="V61" s="195"/>
      <c r="W61" s="195"/>
      <c r="X61" s="195"/>
      <c r="Y61" s="195"/>
      <c r="Z61" s="195"/>
      <c r="AA61" s="195"/>
      <c r="AB61" s="195"/>
      <c r="AC61" s="195"/>
      <c r="AD61" s="195"/>
      <c r="AE61" s="195"/>
      <c r="AF61" s="195"/>
      <c r="AG61" s="195"/>
      <c r="AH61" s="195"/>
      <c r="AI61" s="195"/>
      <c r="AJ61" s="195"/>
      <c r="AK61" s="195"/>
      <c r="AL61" s="195"/>
      <c r="AM61" s="195"/>
      <c r="AN61" s="195"/>
      <c r="AO61" s="195"/>
      <c r="AP61" s="195"/>
      <c r="AQ61" s="195"/>
      <c r="AR61" s="195"/>
      <c r="AS61" s="195"/>
    </row>
    <row r="62" spans="2:45" x14ac:dyDescent="0.25">
      <c r="F62" s="195"/>
      <c r="G62" s="195"/>
      <c r="H62" s="195"/>
      <c r="I62" s="195"/>
      <c r="J62" s="195"/>
      <c r="K62" s="195"/>
      <c r="L62" s="195"/>
      <c r="M62" s="195"/>
      <c r="N62" s="195"/>
      <c r="O62" s="195"/>
      <c r="P62" s="195"/>
      <c r="Q62" s="195"/>
      <c r="R62" s="195"/>
      <c r="S62" s="195"/>
      <c r="T62" s="195"/>
      <c r="U62" s="195"/>
      <c r="V62" s="195"/>
      <c r="W62" s="195"/>
      <c r="X62" s="195"/>
      <c r="Y62" s="195"/>
      <c r="Z62" s="195"/>
      <c r="AA62" s="195"/>
      <c r="AB62" s="195"/>
      <c r="AC62" s="195"/>
      <c r="AD62" s="195"/>
      <c r="AE62" s="195"/>
      <c r="AF62" s="195"/>
      <c r="AG62" s="195"/>
      <c r="AH62" s="195"/>
      <c r="AI62" s="195"/>
      <c r="AJ62" s="195"/>
      <c r="AK62" s="195"/>
      <c r="AL62" s="195"/>
      <c r="AM62" s="195"/>
      <c r="AN62" s="195"/>
      <c r="AO62" s="195"/>
      <c r="AP62" s="195"/>
      <c r="AQ62" s="195"/>
      <c r="AR62" s="195"/>
      <c r="AS62" s="195"/>
    </row>
    <row r="63" spans="2:45" x14ac:dyDescent="0.25">
      <c r="F63" s="195"/>
      <c r="G63" s="195"/>
      <c r="H63" s="195"/>
      <c r="I63" s="195"/>
      <c r="J63" s="195"/>
      <c r="K63" s="195"/>
      <c r="L63" s="195"/>
      <c r="M63" s="195"/>
      <c r="N63" s="195"/>
      <c r="O63" s="195"/>
      <c r="P63" s="195"/>
      <c r="Q63" s="195"/>
      <c r="R63" s="195"/>
      <c r="S63" s="195"/>
      <c r="T63" s="195"/>
      <c r="U63" s="195"/>
      <c r="V63" s="195"/>
      <c r="W63" s="195"/>
      <c r="X63" s="195"/>
      <c r="Y63" s="195"/>
      <c r="Z63" s="195"/>
      <c r="AA63" s="195"/>
      <c r="AB63" s="195"/>
      <c r="AC63" s="195"/>
      <c r="AD63" s="195"/>
      <c r="AE63" s="195"/>
      <c r="AF63" s="195"/>
      <c r="AG63" s="195"/>
      <c r="AH63" s="195"/>
      <c r="AI63" s="195"/>
      <c r="AJ63" s="195"/>
      <c r="AK63" s="195"/>
      <c r="AL63" s="195"/>
      <c r="AM63" s="195"/>
      <c r="AN63" s="195"/>
      <c r="AO63" s="195"/>
      <c r="AP63" s="195"/>
      <c r="AQ63" s="195"/>
      <c r="AR63" s="195"/>
      <c r="AS63" s="195"/>
    </row>
  </sheetData>
  <mergeCells count="3">
    <mergeCell ref="A1:AC1"/>
    <mergeCell ref="B58:E58"/>
    <mergeCell ref="B60:E60"/>
  </mergeCells>
  <pageMargins left="0.7" right="0.7" top="0.75" bottom="0.75" header="0.3" footer="0.3"/>
  <pageSetup paperSize="8" scale="63" firstPageNumber="2147483648" orientation="landscape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theme="0"/>
  </sheetPr>
  <dimension ref="A1:AS12"/>
  <sheetViews>
    <sheetView zoomScale="80" zoomScaleNormal="80" workbookViewId="0">
      <selection activeCell="X20" sqref="X20"/>
    </sheetView>
  </sheetViews>
  <sheetFormatPr defaultColWidth="9.140625" defaultRowHeight="15" x14ac:dyDescent="0.25"/>
  <cols>
    <col min="1" max="1" width="18.28515625" style="152" customWidth="1"/>
    <col min="2" max="2" width="12.85546875" style="151" customWidth="1"/>
    <col min="3" max="3" width="12.42578125" style="151" customWidth="1"/>
    <col min="4" max="4" width="13.85546875" style="151" customWidth="1"/>
    <col min="5" max="5" width="13.5703125" style="151" customWidth="1"/>
    <col min="6" max="6" width="13.28515625" style="151" customWidth="1"/>
    <col min="7" max="7" width="13.140625" style="151" customWidth="1"/>
    <col min="8" max="8" width="14" style="151" customWidth="1"/>
    <col min="9" max="9" width="13.85546875" style="151" customWidth="1"/>
    <col min="10" max="10" width="13.42578125" style="151" customWidth="1"/>
    <col min="11" max="11" width="15.7109375" style="151" customWidth="1"/>
    <col min="12" max="12" width="14.7109375" style="151" customWidth="1"/>
    <col min="13" max="13" width="13.85546875" style="151" customWidth="1"/>
    <col min="14" max="14" width="13.5703125" style="151" customWidth="1"/>
    <col min="15" max="15" width="13.28515625" style="151" customWidth="1"/>
    <col min="16" max="16" width="13.42578125" style="151" customWidth="1"/>
    <col min="17" max="17" width="12.5703125" style="151" customWidth="1"/>
    <col min="18" max="18" width="12.7109375" style="151" customWidth="1"/>
    <col min="19" max="19" width="13.140625" style="151" customWidth="1"/>
    <col min="20" max="20" width="16.42578125" style="151" customWidth="1"/>
    <col min="21" max="21" width="13.5703125" style="151" customWidth="1"/>
    <col min="22" max="22" width="14.7109375" style="151" customWidth="1"/>
    <col min="23" max="23" width="13.28515625" style="151" customWidth="1"/>
    <col min="24" max="24" width="12.85546875" style="151" customWidth="1"/>
    <col min="25" max="25" width="13.140625" style="151" customWidth="1"/>
    <col min="26" max="26" width="14.28515625" style="151" customWidth="1"/>
    <col min="27" max="27" width="13.5703125" style="151" customWidth="1"/>
    <col min="28" max="29" width="14.140625" style="151" customWidth="1"/>
    <col min="30" max="30" width="14.28515625" style="151" customWidth="1"/>
    <col min="31" max="31" width="15.42578125" style="151" customWidth="1"/>
    <col min="32" max="32" width="14.5703125" style="151" customWidth="1"/>
    <col min="33" max="33" width="13.5703125" style="151" customWidth="1"/>
    <col min="34" max="34" width="15.140625" style="151" customWidth="1"/>
    <col min="35" max="35" width="15.7109375" style="151" customWidth="1"/>
    <col min="36" max="36" width="13.85546875" style="151" customWidth="1"/>
    <col min="37" max="37" width="14.5703125" style="151" customWidth="1"/>
    <col min="38" max="38" width="12.5703125" style="151" customWidth="1"/>
    <col min="39" max="39" width="14.140625" style="151" customWidth="1"/>
    <col min="40" max="40" width="13" style="151" customWidth="1"/>
    <col min="41" max="41" width="13.85546875" style="151" customWidth="1"/>
    <col min="42" max="42" width="13.140625" style="151" customWidth="1"/>
    <col min="43" max="43" width="13.85546875" style="151" customWidth="1"/>
    <col min="44" max="45" width="15.28515625" style="151" customWidth="1"/>
    <col min="46" max="16384" width="9.140625" style="151"/>
  </cols>
  <sheetData>
    <row r="1" spans="1:45" s="383" customFormat="1" x14ac:dyDescent="0.25">
      <c r="A1" s="282" t="s">
        <v>206</v>
      </c>
      <c r="B1" s="281" t="str">
        <f>'выручка по кв и годам'!D1</f>
        <v>I кв. 1 г.</v>
      </c>
      <c r="C1" s="281" t="str">
        <f>'выручка по кв и годам'!E1</f>
        <v>II кв. 1 г.</v>
      </c>
      <c r="D1" s="281" t="str">
        <f>'выручка по кв и годам'!F1</f>
        <v>III кв. 1 г.</v>
      </c>
      <c r="E1" s="281" t="str">
        <f>'выручка по кв и годам'!G1</f>
        <v>IV кв. 1 г.</v>
      </c>
      <c r="F1" s="281" t="str">
        <f>'выручка по кв и годам'!H1</f>
        <v>I кв. 2 г.</v>
      </c>
      <c r="G1" s="281" t="str">
        <f>'выручка по кв и годам'!I1</f>
        <v>II кв. 2 г.</v>
      </c>
      <c r="H1" s="281" t="str">
        <f>'выручка по кв и годам'!J1</f>
        <v>III кв. 2 г.</v>
      </c>
      <c r="I1" s="281" t="str">
        <f>'выручка по кв и годам'!K1</f>
        <v>IV кв. 2 г.</v>
      </c>
      <c r="J1" s="281" t="str">
        <f>'выручка по кв и годам'!L1</f>
        <v>I кв. 3 г.</v>
      </c>
      <c r="K1" s="281" t="str">
        <f>'выручка по кв и годам'!M1</f>
        <v>II кв. 3 г.</v>
      </c>
      <c r="L1" s="281" t="str">
        <f>'выручка по кв и годам'!N1</f>
        <v>III кв. 3 г.</v>
      </c>
      <c r="M1" s="281" t="str">
        <f>'выручка по кв и годам'!O1</f>
        <v>IV кв. 3 г.</v>
      </c>
      <c r="N1" s="281" t="str">
        <f>'выручка по кв и годам'!P1</f>
        <v>I кв. 4 г.</v>
      </c>
      <c r="O1" s="281" t="str">
        <f>'выручка по кв и годам'!Q1</f>
        <v>II кв. 4 г.</v>
      </c>
      <c r="P1" s="281" t="str">
        <f>'выручка по кв и годам'!R1</f>
        <v>III кв. 4 г.</v>
      </c>
      <c r="Q1" s="281" t="str">
        <f>'выручка по кв и годам'!S1</f>
        <v>IV кв. 4 г.</v>
      </c>
      <c r="R1" s="281" t="str">
        <f>'выручка по кв и годам'!T1</f>
        <v>I кв. 5 г.</v>
      </c>
      <c r="S1" s="281" t="str">
        <f>'выручка по кв и годам'!U1</f>
        <v>II кв. 5 г.</v>
      </c>
      <c r="T1" s="281" t="str">
        <f>'выручка по кв и годам'!V1</f>
        <v>III кв. 5 г.</v>
      </c>
      <c r="U1" s="281" t="str">
        <f>'выручка по кв и годам'!W1</f>
        <v>IV кв. 5 г.</v>
      </c>
      <c r="V1" s="281" t="str">
        <f>'выручка по кв и годам'!X1</f>
        <v>I кв. 6 г.</v>
      </c>
      <c r="W1" s="281" t="str">
        <f>'выручка по кв и годам'!Y1</f>
        <v>II кв. 6 г.</v>
      </c>
      <c r="X1" s="281" t="str">
        <f>'выручка по кв и годам'!Z1</f>
        <v>III кв. 6 г.</v>
      </c>
      <c r="Y1" s="281" t="str">
        <f>'выручка по кв и годам'!AA1</f>
        <v>IV кв. 6 г.</v>
      </c>
      <c r="Z1" s="281" t="str">
        <f>'выручка по кв и годам'!AB1</f>
        <v>I кв. 7 г.</v>
      </c>
      <c r="AA1" s="281" t="str">
        <f>'выручка по кв и годам'!AC1</f>
        <v>II кв. 7 г.</v>
      </c>
      <c r="AB1" s="281" t="str">
        <f>'выручка по кв и годам'!AD1</f>
        <v>III кв. 7 г.</v>
      </c>
      <c r="AC1" s="281" t="str">
        <f>'выручка по кв и годам'!AE1</f>
        <v>IV кв. 7 г.</v>
      </c>
      <c r="AD1" s="281" t="str">
        <f>'выручка по кв и годам'!AF1</f>
        <v>I кв. 8 г.</v>
      </c>
      <c r="AE1" s="281" t="str">
        <f>'выручка по кв и годам'!AG1</f>
        <v>II кв. 8 г.</v>
      </c>
      <c r="AF1" s="281" t="str">
        <f>'выручка по кв и годам'!AH1</f>
        <v>III кв. 8 г.</v>
      </c>
      <c r="AG1" s="281" t="str">
        <f>'выручка по кв и годам'!AI1</f>
        <v>IV кв. 8 г.</v>
      </c>
      <c r="AH1" s="281" t="str">
        <f>'выручка по кв и годам'!AJ1</f>
        <v>I кв. 9 г.</v>
      </c>
      <c r="AI1" s="281" t="str">
        <f>'выручка по кв и годам'!AK1</f>
        <v>II кв. 9 г.</v>
      </c>
      <c r="AJ1" s="281" t="str">
        <f>'выручка по кв и годам'!AL1</f>
        <v>III кв. 9 г.</v>
      </c>
      <c r="AK1" s="281" t="str">
        <f>'выручка по кв и годам'!AM1</f>
        <v>IV кв. 9 г.</v>
      </c>
      <c r="AL1" s="281" t="str">
        <f>'выручка по кв и годам'!AN1</f>
        <v>I кв. 10 г.</v>
      </c>
      <c r="AM1" s="281" t="str">
        <f>'выручка по кв и годам'!AO1</f>
        <v>II кв. 10 г.</v>
      </c>
      <c r="AN1" s="281" t="str">
        <f>'выручка по кв и годам'!AP1</f>
        <v>III кв. 10 г.</v>
      </c>
      <c r="AO1" s="281" t="str">
        <f>'выручка по кв и годам'!AQ1</f>
        <v>IV кв. 10 г.</v>
      </c>
      <c r="AP1" s="281" t="str">
        <f>'выручка по кв и годам'!AR1</f>
        <v>I кв. 11 г.</v>
      </c>
      <c r="AQ1" s="281" t="str">
        <f>'выручка по кв и годам'!AS1</f>
        <v>II кв. 11 г.</v>
      </c>
      <c r="AR1" s="281" t="str">
        <f>'выручка по кв и годам'!AT1</f>
        <v>III кв. 11 г.</v>
      </c>
      <c r="AS1" s="281" t="str">
        <f>'выручка по кв и годам'!AU1</f>
        <v>IV кв. 11 г.</v>
      </c>
    </row>
    <row r="2" spans="1:45" ht="45.75" customHeight="1" x14ac:dyDescent="0.25">
      <c r="A2" s="153" t="s">
        <v>214</v>
      </c>
      <c r="B2" s="471">
        <f>займ!B2</f>
        <v>80000</v>
      </c>
      <c r="E2" s="154"/>
      <c r="F2" s="154"/>
      <c r="G2" s="154"/>
      <c r="H2" s="154"/>
      <c r="I2" s="154"/>
      <c r="J2" s="154"/>
      <c r="K2" s="154"/>
      <c r="L2" s="154"/>
      <c r="M2" s="154"/>
      <c r="N2" s="154"/>
      <c r="O2" s="154"/>
      <c r="Q2" s="154"/>
      <c r="R2" s="154"/>
      <c r="S2" s="154"/>
      <c r="T2" s="154"/>
      <c r="U2" s="154"/>
      <c r="V2" s="154"/>
      <c r="W2" s="154"/>
      <c r="X2" s="154"/>
      <c r="Y2" s="154"/>
      <c r="Z2" s="154"/>
      <c r="AA2" s="154"/>
      <c r="AB2" s="154"/>
      <c r="AC2" s="154"/>
      <c r="AD2" s="154"/>
      <c r="AE2" s="154"/>
      <c r="AF2" s="154"/>
      <c r="AG2" s="154"/>
      <c r="AH2" s="154"/>
      <c r="AI2" s="154"/>
      <c r="AJ2" s="154"/>
      <c r="AK2" s="154"/>
      <c r="AL2" s="154"/>
      <c r="AM2" s="154"/>
      <c r="AN2" s="154"/>
      <c r="AO2" s="154"/>
      <c r="AP2" s="154"/>
      <c r="AQ2" s="154"/>
      <c r="AR2" s="154"/>
      <c r="AS2" s="154"/>
    </row>
    <row r="3" spans="1:45" ht="21" customHeight="1" x14ac:dyDescent="0.25">
      <c r="A3" s="153" t="s">
        <v>215</v>
      </c>
      <c r="B3" s="157">
        <f>займ!B3</f>
        <v>7.4999999999999997E-2</v>
      </c>
      <c r="C3" s="157">
        <f>займ!B3</f>
        <v>7.4999999999999997E-2</v>
      </c>
      <c r="D3" s="157">
        <f>займ!B3</f>
        <v>7.4999999999999997E-2</v>
      </c>
      <c r="E3" s="157">
        <f>D3</f>
        <v>7.4999999999999997E-2</v>
      </c>
      <c r="F3" s="157">
        <f t="shared" ref="F3:O3" si="0">E3</f>
        <v>7.4999999999999997E-2</v>
      </c>
      <c r="G3" s="157">
        <f t="shared" si="0"/>
        <v>7.4999999999999997E-2</v>
      </c>
      <c r="H3" s="157">
        <f t="shared" si="0"/>
        <v>7.4999999999999997E-2</v>
      </c>
      <c r="I3" s="157">
        <f t="shared" si="0"/>
        <v>7.4999999999999997E-2</v>
      </c>
      <c r="J3" s="157">
        <f t="shared" si="0"/>
        <v>7.4999999999999997E-2</v>
      </c>
      <c r="K3" s="157">
        <f t="shared" si="0"/>
        <v>7.4999999999999997E-2</v>
      </c>
      <c r="L3" s="157">
        <f t="shared" si="0"/>
        <v>7.4999999999999997E-2</v>
      </c>
      <c r="M3" s="157">
        <f t="shared" si="0"/>
        <v>7.4999999999999997E-2</v>
      </c>
      <c r="N3" s="157">
        <f t="shared" si="0"/>
        <v>7.4999999999999997E-2</v>
      </c>
      <c r="O3" s="157">
        <f t="shared" si="0"/>
        <v>7.4999999999999997E-2</v>
      </c>
      <c r="P3" s="157">
        <f>займ!B3</f>
        <v>7.4999999999999997E-2</v>
      </c>
      <c r="Q3" s="157">
        <f t="shared" ref="Q3:AL3" si="1">P3</f>
        <v>7.4999999999999997E-2</v>
      </c>
      <c r="R3" s="157">
        <f t="shared" si="1"/>
        <v>7.4999999999999997E-2</v>
      </c>
      <c r="S3" s="157">
        <f t="shared" si="1"/>
        <v>7.4999999999999997E-2</v>
      </c>
      <c r="T3" s="157">
        <f t="shared" si="1"/>
        <v>7.4999999999999997E-2</v>
      </c>
      <c r="U3" s="157">
        <f t="shared" si="1"/>
        <v>7.4999999999999997E-2</v>
      </c>
      <c r="V3" s="157">
        <f t="shared" si="1"/>
        <v>7.4999999999999997E-2</v>
      </c>
      <c r="W3" s="157">
        <f t="shared" si="1"/>
        <v>7.4999999999999997E-2</v>
      </c>
      <c r="X3" s="157">
        <f t="shared" si="1"/>
        <v>7.4999999999999997E-2</v>
      </c>
      <c r="Y3" s="157">
        <f t="shared" si="1"/>
        <v>7.4999999999999997E-2</v>
      </c>
      <c r="Z3" s="157">
        <f t="shared" si="1"/>
        <v>7.4999999999999997E-2</v>
      </c>
      <c r="AA3" s="157">
        <f t="shared" si="1"/>
        <v>7.4999999999999997E-2</v>
      </c>
      <c r="AB3" s="157">
        <f t="shared" si="1"/>
        <v>7.4999999999999997E-2</v>
      </c>
      <c r="AC3" s="157">
        <f t="shared" si="1"/>
        <v>7.4999999999999997E-2</v>
      </c>
      <c r="AD3" s="157">
        <f t="shared" si="1"/>
        <v>7.4999999999999997E-2</v>
      </c>
      <c r="AE3" s="157">
        <f t="shared" si="1"/>
        <v>7.4999999999999997E-2</v>
      </c>
      <c r="AF3" s="157">
        <f t="shared" si="1"/>
        <v>7.4999999999999997E-2</v>
      </c>
      <c r="AG3" s="157">
        <f t="shared" si="1"/>
        <v>7.4999999999999997E-2</v>
      </c>
      <c r="AH3" s="157">
        <f t="shared" si="1"/>
        <v>7.4999999999999997E-2</v>
      </c>
      <c r="AI3" s="157">
        <f t="shared" si="1"/>
        <v>7.4999999999999997E-2</v>
      </c>
      <c r="AJ3" s="157">
        <f t="shared" si="1"/>
        <v>7.4999999999999997E-2</v>
      </c>
      <c r="AK3" s="157">
        <f t="shared" si="1"/>
        <v>7.4999999999999997E-2</v>
      </c>
      <c r="AL3" s="157">
        <f t="shared" si="1"/>
        <v>7.4999999999999997E-2</v>
      </c>
      <c r="AM3" s="157">
        <f t="shared" ref="AM3:AS3" si="2">AL3</f>
        <v>7.4999999999999997E-2</v>
      </c>
      <c r="AN3" s="157">
        <f t="shared" si="2"/>
        <v>7.4999999999999997E-2</v>
      </c>
      <c r="AO3" s="157">
        <f t="shared" si="2"/>
        <v>7.4999999999999997E-2</v>
      </c>
      <c r="AP3" s="157">
        <f t="shared" si="2"/>
        <v>7.4999999999999997E-2</v>
      </c>
      <c r="AQ3" s="157">
        <f t="shared" si="2"/>
        <v>7.4999999999999997E-2</v>
      </c>
      <c r="AR3" s="157">
        <f t="shared" si="2"/>
        <v>7.4999999999999997E-2</v>
      </c>
      <c r="AS3" s="157">
        <f t="shared" si="2"/>
        <v>7.4999999999999997E-2</v>
      </c>
    </row>
    <row r="4" spans="1:45" ht="50.25" customHeight="1" x14ac:dyDescent="0.25">
      <c r="A4" s="153" t="s">
        <v>216</v>
      </c>
      <c r="B4" s="156">
        <f>займ!J9</f>
        <v>499.99999999999994</v>
      </c>
      <c r="C4" s="156">
        <f>займ!J10</f>
        <v>1458.4635355598123</v>
      </c>
      <c r="D4" s="156">
        <f>займ!J13</f>
        <v>1395.245486534222</v>
      </c>
      <c r="E4" s="156">
        <f>займ!J16</f>
        <v>1330.8346752901875</v>
      </c>
      <c r="F4" s="156">
        <f>займ!J19</f>
        <v>1265.208597468089</v>
      </c>
      <c r="G4" s="156">
        <f>займ!J22</f>
        <v>1198.3443241088401</v>
      </c>
      <c r="H4" s="156">
        <f>займ!J25</f>
        <v>1130.2184936427852</v>
      </c>
      <c r="I4" s="156">
        <f>займ!J28</f>
        <v>1060.8073037274512</v>
      </c>
      <c r="J4" s="156">
        <f>займ!J31</f>
        <v>990.08650293129517</v>
      </c>
      <c r="K4" s="156">
        <f>займ!J34</f>
        <v>918.03138226054739</v>
      </c>
      <c r="L4" s="156">
        <f>займ!J37</f>
        <v>844.61676652618735</v>
      </c>
      <c r="M4" s="156">
        <f>займ!J40</f>
        <v>769.8170055480366</v>
      </c>
      <c r="N4" s="156">
        <f>займ!J43</f>
        <v>693.60596519289538</v>
      </c>
      <c r="O4" s="156">
        <f>займ!J46</f>
        <v>615.95701824359264</v>
      </c>
      <c r="P4" s="156">
        <f>займ!J49</f>
        <v>536.84303509575739</v>
      </c>
      <c r="Q4" s="156">
        <f>займ!J52</f>
        <v>456.23637427906294</v>
      </c>
      <c r="R4" s="156">
        <f>займ!J55</f>
        <v>374.10887279963038</v>
      </c>
      <c r="S4" s="156">
        <f>займ!J58</f>
        <v>290.43183630021929</v>
      </c>
      <c r="T4" s="156">
        <f>займ!J61</f>
        <v>205.17602903476555</v>
      </c>
      <c r="U4" s="156">
        <f>займ!J64</f>
        <v>118.3116636537645</v>
      </c>
      <c r="V4" s="156">
        <f>займ!J67</f>
        <v>29.80839079693115</v>
      </c>
      <c r="W4" s="156"/>
      <c r="X4" s="156"/>
      <c r="Y4" s="156"/>
      <c r="Z4" s="156"/>
      <c r="AA4" s="156"/>
      <c r="AB4" s="156"/>
      <c r="AC4" s="156"/>
      <c r="AD4" s="156"/>
      <c r="AE4" s="156"/>
      <c r="AF4" s="156"/>
      <c r="AG4" s="156"/>
      <c r="AH4" s="156"/>
      <c r="AI4" s="156"/>
      <c r="AJ4" s="156"/>
      <c r="AK4" s="156"/>
      <c r="AL4" s="156"/>
      <c r="AM4" s="156"/>
      <c r="AN4" s="156"/>
      <c r="AO4" s="156"/>
      <c r="AP4" s="156"/>
      <c r="AQ4" s="156"/>
      <c r="AR4" s="156"/>
      <c r="AS4" s="156"/>
    </row>
    <row r="5" spans="1:45" ht="40.5" customHeight="1" x14ac:dyDescent="0.25">
      <c r="A5" s="153" t="s">
        <v>217</v>
      </c>
      <c r="B5" s="155">
        <f>займ!K9</f>
        <v>1103.035887649901</v>
      </c>
      <c r="C5" s="155">
        <f>займ!K10</f>
        <v>3350.6441273898904</v>
      </c>
      <c r="D5" s="155">
        <f>займ!K13</f>
        <v>3413.8621764154814</v>
      </c>
      <c r="E5" s="155">
        <f>займ!K16</f>
        <v>3478.2729876595158</v>
      </c>
      <c r="F5" s="155">
        <f>займ!K19</f>
        <v>3543.8990654816139</v>
      </c>
      <c r="G5" s="155">
        <f>займ!K22</f>
        <v>3610.7633388408631</v>
      </c>
      <c r="H5" s="155">
        <f>займ!K25</f>
        <v>3678.8891693069181</v>
      </c>
      <c r="I5" s="155">
        <f>займ!K28</f>
        <v>3748.3003592222522</v>
      </c>
      <c r="J5" s="155">
        <f>займ!K31</f>
        <v>3819.0211600184075</v>
      </c>
      <c r="K5" s="155">
        <f>займ!K34</f>
        <v>3891.0762806891562</v>
      </c>
      <c r="L5" s="155">
        <f>займ!K37</f>
        <v>3964.490896423516</v>
      </c>
      <c r="M5" s="155">
        <f>займ!K40</f>
        <v>4039.2906574016665</v>
      </c>
      <c r="N5" s="155">
        <f>займ!K43</f>
        <v>4115.5016977568075</v>
      </c>
      <c r="O5" s="155">
        <f>займ!K46</f>
        <v>4193.1506447061111</v>
      </c>
      <c r="P5" s="155">
        <f>займ!K49</f>
        <v>4272.2646278539451</v>
      </c>
      <c r="Q5" s="155">
        <f>займ!K52</f>
        <v>4352.8712886706398</v>
      </c>
      <c r="R5" s="155">
        <f>займ!K55</f>
        <v>4434.9987901500726</v>
      </c>
      <c r="S5" s="155">
        <f>займ!K58</f>
        <v>4518.6758266494835</v>
      </c>
      <c r="T5" s="155">
        <f>займ!K61</f>
        <v>4603.9316339149382</v>
      </c>
      <c r="U5" s="158">
        <f>займ!K64</f>
        <v>4690.7959992959386</v>
      </c>
      <c r="V5" s="158">
        <f>займ!K67</f>
        <v>3176.2633845028713</v>
      </c>
      <c r="W5" s="156"/>
      <c r="X5" s="156"/>
      <c r="Y5" s="158"/>
      <c r="Z5" s="156"/>
      <c r="AA5" s="158"/>
      <c r="AB5" s="158"/>
      <c r="AC5" s="158"/>
      <c r="AD5" s="158"/>
      <c r="AE5" s="158"/>
      <c r="AF5" s="158"/>
      <c r="AG5" s="158"/>
      <c r="AH5" s="158"/>
      <c r="AI5" s="158"/>
      <c r="AJ5" s="158"/>
      <c r="AK5" s="159"/>
      <c r="AL5" s="156"/>
      <c r="AM5" s="159"/>
      <c r="AN5" s="159"/>
      <c r="AO5" s="159"/>
      <c r="AP5" s="159"/>
      <c r="AQ5" s="159"/>
      <c r="AR5" s="159"/>
      <c r="AS5" s="159"/>
    </row>
    <row r="6" spans="1:45" s="382" customFormat="1" ht="30" x14ac:dyDescent="0.25">
      <c r="A6" s="379" t="s">
        <v>218</v>
      </c>
      <c r="B6" s="380">
        <f>B4+B5</f>
        <v>1603.035887649901</v>
      </c>
      <c r="C6" s="380">
        <f t="shared" ref="C6:X6" si="3">C4+C5</f>
        <v>4809.1076629497029</v>
      </c>
      <c r="D6" s="380">
        <f t="shared" si="3"/>
        <v>4809.1076629497038</v>
      </c>
      <c r="E6" s="380">
        <f t="shared" si="3"/>
        <v>4809.1076629497038</v>
      </c>
      <c r="F6" s="380">
        <f t="shared" si="3"/>
        <v>4809.1076629497029</v>
      </c>
      <c r="G6" s="380">
        <f t="shared" si="3"/>
        <v>4809.1076629497029</v>
      </c>
      <c r="H6" s="380">
        <f t="shared" si="3"/>
        <v>4809.1076629497038</v>
      </c>
      <c r="I6" s="380">
        <f t="shared" si="3"/>
        <v>4809.1076629497038</v>
      </c>
      <c r="J6" s="380">
        <f t="shared" si="3"/>
        <v>4809.1076629497029</v>
      </c>
      <c r="K6" s="380">
        <f t="shared" si="3"/>
        <v>4809.1076629497038</v>
      </c>
      <c r="L6" s="380">
        <f t="shared" si="3"/>
        <v>4809.1076629497038</v>
      </c>
      <c r="M6" s="380">
        <f t="shared" si="3"/>
        <v>4809.1076629497029</v>
      </c>
      <c r="N6" s="380">
        <f t="shared" si="3"/>
        <v>4809.1076629497029</v>
      </c>
      <c r="O6" s="380">
        <f t="shared" si="3"/>
        <v>4809.1076629497038</v>
      </c>
      <c r="P6" s="380">
        <f t="shared" si="3"/>
        <v>4809.107662949702</v>
      </c>
      <c r="Q6" s="380">
        <f t="shared" si="3"/>
        <v>4809.1076629497029</v>
      </c>
      <c r="R6" s="380">
        <f t="shared" si="3"/>
        <v>4809.1076629497029</v>
      </c>
      <c r="S6" s="380">
        <f t="shared" si="3"/>
        <v>4809.1076629497029</v>
      </c>
      <c r="T6" s="380">
        <f t="shared" si="3"/>
        <v>4809.1076629497038</v>
      </c>
      <c r="U6" s="380">
        <f t="shared" si="3"/>
        <v>4809.1076629497029</v>
      </c>
      <c r="V6" s="380">
        <f t="shared" si="3"/>
        <v>3206.0717752998025</v>
      </c>
      <c r="W6" s="380">
        <f t="shared" si="3"/>
        <v>0</v>
      </c>
      <c r="X6" s="380">
        <f t="shared" si="3"/>
        <v>0</v>
      </c>
      <c r="Y6" s="380">
        <f t="shared" ref="Y6" si="4">Y4+Y5</f>
        <v>0</v>
      </c>
      <c r="Z6" s="380">
        <f t="shared" ref="Z6:AJ6" si="5">Z4+Z5</f>
        <v>0</v>
      </c>
      <c r="AA6" s="380">
        <f t="shared" si="5"/>
        <v>0</v>
      </c>
      <c r="AB6" s="380">
        <f t="shared" si="5"/>
        <v>0</v>
      </c>
      <c r="AC6" s="380">
        <f t="shared" si="5"/>
        <v>0</v>
      </c>
      <c r="AD6" s="380">
        <f t="shared" si="5"/>
        <v>0</v>
      </c>
      <c r="AE6" s="380">
        <f t="shared" si="5"/>
        <v>0</v>
      </c>
      <c r="AF6" s="380">
        <f t="shared" si="5"/>
        <v>0</v>
      </c>
      <c r="AG6" s="380">
        <f t="shared" si="5"/>
        <v>0</v>
      </c>
      <c r="AH6" s="380">
        <f t="shared" si="5"/>
        <v>0</v>
      </c>
      <c r="AI6" s="380">
        <f t="shared" si="5"/>
        <v>0</v>
      </c>
      <c r="AJ6" s="380">
        <f t="shared" si="5"/>
        <v>0</v>
      </c>
      <c r="AK6" s="381"/>
      <c r="AL6" s="381"/>
      <c r="AM6" s="381"/>
      <c r="AN6" s="381"/>
      <c r="AO6" s="381"/>
      <c r="AP6" s="381"/>
      <c r="AQ6" s="381"/>
      <c r="AR6" s="381"/>
      <c r="AS6" s="381"/>
    </row>
    <row r="7" spans="1:45" ht="30" x14ac:dyDescent="0.25">
      <c r="A7" s="153" t="s">
        <v>219</v>
      </c>
      <c r="B7" s="156">
        <f>B2-B5</f>
        <v>78896.964112350106</v>
      </c>
      <c r="C7" s="156">
        <f>B7-C5</f>
        <v>75546.31998496021</v>
      </c>
      <c r="D7" s="156">
        <f t="shared" ref="D7:V7" si="6">C7-D5</f>
        <v>72132.457808544728</v>
      </c>
      <c r="E7" s="156">
        <f t="shared" si="6"/>
        <v>68654.184820885217</v>
      </c>
      <c r="F7" s="156">
        <f t="shared" si="6"/>
        <v>65110.285755403602</v>
      </c>
      <c r="G7" s="156">
        <f t="shared" si="6"/>
        <v>61499.522416562737</v>
      </c>
      <c r="H7" s="156">
        <f t="shared" si="6"/>
        <v>57820.633247255821</v>
      </c>
      <c r="I7" s="156">
        <f t="shared" si="6"/>
        <v>54072.332888033568</v>
      </c>
      <c r="J7" s="156">
        <f t="shared" si="6"/>
        <v>50253.311728015164</v>
      </c>
      <c r="K7" s="156">
        <f t="shared" si="6"/>
        <v>46362.235447326006</v>
      </c>
      <c r="L7" s="156">
        <f t="shared" si="6"/>
        <v>42397.744550902491</v>
      </c>
      <c r="M7" s="156">
        <f t="shared" si="6"/>
        <v>38358.453893500824</v>
      </c>
      <c r="N7" s="156">
        <f t="shared" si="6"/>
        <v>34242.952195744016</v>
      </c>
      <c r="O7" s="156">
        <f t="shared" si="6"/>
        <v>30049.801551037905</v>
      </c>
      <c r="P7" s="156">
        <f t="shared" si="6"/>
        <v>25777.536923183958</v>
      </c>
      <c r="Q7" s="156">
        <f t="shared" si="6"/>
        <v>21424.665634513316</v>
      </c>
      <c r="R7" s="156">
        <f t="shared" si="6"/>
        <v>16989.666844363244</v>
      </c>
      <c r="S7" s="156">
        <f t="shared" si="6"/>
        <v>12470.991017713761</v>
      </c>
      <c r="T7" s="156">
        <f t="shared" si="6"/>
        <v>7867.0593837988226</v>
      </c>
      <c r="U7" s="156">
        <f t="shared" si="6"/>
        <v>3176.263384502884</v>
      </c>
      <c r="V7" s="156">
        <f t="shared" si="6"/>
        <v>1.2732925824820995E-11</v>
      </c>
      <c r="W7" s="156"/>
      <c r="X7" s="156"/>
      <c r="Y7" s="156"/>
      <c r="Z7" s="156"/>
      <c r="AA7" s="156"/>
      <c r="AB7" s="156"/>
      <c r="AC7" s="156"/>
      <c r="AD7" s="156"/>
      <c r="AE7" s="156"/>
      <c r="AF7" s="156"/>
      <c r="AG7" s="156"/>
      <c r="AH7" s="156"/>
      <c r="AI7" s="156"/>
      <c r="AJ7" s="156"/>
      <c r="AK7" s="156"/>
      <c r="AL7" s="156"/>
      <c r="AM7" s="156"/>
      <c r="AN7" s="156"/>
      <c r="AO7" s="156"/>
      <c r="AP7" s="156"/>
      <c r="AQ7" s="156"/>
      <c r="AR7" s="156"/>
      <c r="AS7" s="156"/>
    </row>
    <row r="10" spans="1:45" x14ac:dyDescent="0.25">
      <c r="D10" s="160"/>
      <c r="E10" s="160"/>
      <c r="F10" s="160"/>
      <c r="G10" s="160"/>
      <c r="H10" s="160"/>
      <c r="I10" s="160"/>
      <c r="J10" s="160"/>
      <c r="K10" s="160"/>
      <c r="L10" s="160"/>
      <c r="M10" s="160"/>
      <c r="N10" s="160"/>
      <c r="O10" s="160"/>
      <c r="P10" s="160"/>
      <c r="Q10" s="160"/>
      <c r="R10" s="160"/>
      <c r="S10" s="160"/>
      <c r="T10" s="160"/>
      <c r="U10" s="160"/>
      <c r="V10" s="160"/>
      <c r="W10" s="160"/>
      <c r="X10" s="160"/>
      <c r="Y10" s="160"/>
      <c r="Z10" s="160"/>
      <c r="AA10" s="160"/>
      <c r="AB10" s="160"/>
      <c r="AC10" s="160"/>
      <c r="AD10" s="160"/>
      <c r="AE10" s="160"/>
      <c r="AF10" s="160"/>
      <c r="AG10" s="160"/>
      <c r="AH10" s="160"/>
      <c r="AI10" s="160"/>
      <c r="AJ10" s="160"/>
      <c r="AK10" s="160"/>
      <c r="AL10" s="160"/>
      <c r="AM10" s="160"/>
    </row>
    <row r="12" spans="1:45" x14ac:dyDescent="0.25">
      <c r="B12" s="161"/>
      <c r="C12" s="161"/>
      <c r="D12" s="161"/>
      <c r="E12" s="161"/>
      <c r="F12" s="161"/>
      <c r="G12" s="161"/>
      <c r="H12" s="161"/>
      <c r="I12" s="161"/>
      <c r="J12" s="161"/>
      <c r="K12" s="161"/>
      <c r="L12" s="161"/>
      <c r="M12" s="161"/>
      <c r="N12" s="161"/>
      <c r="O12" s="161"/>
      <c r="P12" s="161"/>
      <c r="Q12" s="161"/>
      <c r="R12" s="161"/>
      <c r="S12" s="161"/>
      <c r="T12" s="161"/>
      <c r="U12" s="161"/>
      <c r="V12" s="161"/>
      <c r="W12" s="161"/>
      <c r="X12" s="161"/>
      <c r="Y12" s="161"/>
      <c r="Z12" s="161"/>
      <c r="AA12" s="161"/>
      <c r="AB12" s="161"/>
      <c r="AC12" s="161"/>
      <c r="AD12" s="161"/>
      <c r="AE12" s="161"/>
      <c r="AF12" s="161"/>
      <c r="AG12" s="161"/>
      <c r="AH12" s="161"/>
      <c r="AI12" s="161"/>
      <c r="AJ12" s="161"/>
      <c r="AK12" s="161"/>
      <c r="AL12" s="161"/>
      <c r="AM12" s="161"/>
      <c r="AN12" s="161"/>
      <c r="AO12" s="161"/>
    </row>
  </sheetData>
  <pageMargins left="0.7" right="0.7" top="0.75" bottom="0.75" header="0.3" footer="0.3"/>
  <pageSetup paperSize="9" firstPageNumber="2147483648" orientation="portrait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pageSetUpPr fitToPage="1"/>
  </sheetPr>
  <dimension ref="A1:AD71"/>
  <sheetViews>
    <sheetView zoomScale="70" workbookViewId="0">
      <pane xSplit="1" topLeftCell="B1" activePane="topRight" state="frozen"/>
      <selection activeCell="H66" sqref="H66"/>
      <selection pane="topRight" activeCell="B2" sqref="B2"/>
    </sheetView>
  </sheetViews>
  <sheetFormatPr defaultColWidth="9.140625" defaultRowHeight="15" x14ac:dyDescent="0.25"/>
  <cols>
    <col min="1" max="1" width="26.5703125" style="51" customWidth="1"/>
    <col min="2" max="2" width="19.5703125" style="52" customWidth="1"/>
    <col min="3" max="3" width="18.5703125" style="53" customWidth="1"/>
    <col min="4" max="4" width="30.140625" style="53" customWidth="1"/>
    <col min="5" max="5" width="21" style="53" customWidth="1"/>
    <col min="6" max="6" width="19.5703125" style="53" customWidth="1"/>
    <col min="7" max="7" width="26" style="53" customWidth="1"/>
    <col min="8" max="8" width="23.42578125" customWidth="1"/>
    <col min="9" max="9" width="24.85546875" style="162" customWidth="1"/>
    <col min="10" max="10" width="23.28515625" style="163" customWidth="1"/>
    <col min="11" max="11" width="25.5703125" style="164" customWidth="1"/>
    <col min="12" max="12" width="29.28515625" customWidth="1"/>
    <col min="13" max="13" width="12.85546875" customWidth="1"/>
    <col min="14" max="15" width="10.5703125" bestFit="1" customWidth="1"/>
    <col min="16" max="16" width="13.28515625" customWidth="1"/>
    <col min="17" max="22" width="10.5703125" bestFit="1" customWidth="1"/>
    <col min="23" max="23" width="11.5703125" customWidth="1"/>
    <col min="24" max="24" width="11.42578125" customWidth="1"/>
    <col min="26" max="30" width="13" style="53" customWidth="1"/>
    <col min="31" max="31" width="12.42578125" customWidth="1"/>
    <col min="32" max="32" width="10.7109375" customWidth="1"/>
  </cols>
  <sheetData>
    <row r="1" spans="1:12" ht="19.5" x14ac:dyDescent="0.25">
      <c r="A1" s="774" t="s">
        <v>220</v>
      </c>
      <c r="B1" s="775"/>
      <c r="C1" s="9"/>
      <c r="D1" s="9"/>
      <c r="E1" s="9"/>
      <c r="F1" s="9"/>
      <c r="G1" s="9"/>
      <c r="H1" s="9"/>
    </row>
    <row r="2" spans="1:12" ht="39" x14ac:dyDescent="0.25">
      <c r="A2" s="165" t="s">
        <v>221</v>
      </c>
      <c r="B2" s="166">
        <f>'Расходы на П, строит-во, ввод'!W17</f>
        <v>80000</v>
      </c>
      <c r="C2" s="9"/>
      <c r="D2" s="9"/>
      <c r="E2" s="9"/>
      <c r="F2" s="9"/>
      <c r="G2" s="9"/>
      <c r="H2" s="9"/>
    </row>
    <row r="3" spans="1:12" ht="19.5" x14ac:dyDescent="0.25">
      <c r="A3" s="165" t="s">
        <v>222</v>
      </c>
      <c r="B3" s="167">
        <v>7.4999999999999997E-2</v>
      </c>
      <c r="C3" s="9"/>
      <c r="D3" s="9"/>
      <c r="E3" s="9"/>
      <c r="F3" s="9"/>
      <c r="G3" s="9"/>
      <c r="H3" s="9"/>
    </row>
    <row r="4" spans="1:12" ht="19.5" x14ac:dyDescent="0.25">
      <c r="A4" s="165" t="s">
        <v>223</v>
      </c>
      <c r="B4" s="168">
        <v>60</v>
      </c>
      <c r="C4" s="9"/>
      <c r="D4" s="9"/>
      <c r="E4" s="9"/>
      <c r="F4" s="9"/>
      <c r="G4" s="9"/>
      <c r="H4" s="9"/>
    </row>
    <row r="5" spans="1:12" ht="19.5" x14ac:dyDescent="0.25">
      <c r="A5" s="165" t="s">
        <v>224</v>
      </c>
      <c r="B5" s="169">
        <f>E70-B2</f>
        <v>16182.153258993931</v>
      </c>
      <c r="C5" s="9"/>
      <c r="D5" s="9"/>
      <c r="E5" s="9"/>
      <c r="F5" s="9"/>
      <c r="G5" s="9"/>
      <c r="H5" s="9"/>
    </row>
    <row r="6" spans="1:12" x14ac:dyDescent="0.25">
      <c r="B6" s="10"/>
      <c r="C6" s="9"/>
      <c r="D6" s="9"/>
      <c r="E6" s="9"/>
      <c r="F6" s="9"/>
      <c r="G6" s="9"/>
      <c r="H6" s="9"/>
    </row>
    <row r="7" spans="1:12" x14ac:dyDescent="0.25">
      <c r="B7" s="10"/>
      <c r="C7" s="9"/>
      <c r="D7" s="9"/>
      <c r="E7" s="9"/>
      <c r="F7" s="9"/>
      <c r="G7" s="9"/>
      <c r="H7" s="9"/>
    </row>
    <row r="8" spans="1:12" ht="58.5" x14ac:dyDescent="0.25">
      <c r="A8" s="384" t="s">
        <v>225</v>
      </c>
      <c r="B8" s="384" t="s">
        <v>226</v>
      </c>
      <c r="C8" s="384" t="s">
        <v>227</v>
      </c>
      <c r="D8" s="384" t="s">
        <v>228</v>
      </c>
      <c r="E8" s="384" t="s">
        <v>229</v>
      </c>
      <c r="F8" s="384" t="s">
        <v>230</v>
      </c>
      <c r="G8" s="384" t="s">
        <v>231</v>
      </c>
      <c r="H8" s="384" t="s">
        <v>217</v>
      </c>
      <c r="I8" s="385" t="s">
        <v>232</v>
      </c>
      <c r="J8" s="386" t="str">
        <f t="shared" ref="J8:J9" si="0">C8</f>
        <v>Выплата процентов</v>
      </c>
      <c r="K8" s="387" t="str">
        <f t="shared" ref="K8:L9" si="1">D8</f>
        <v>Выплата осн.долга</v>
      </c>
      <c r="L8" s="388" t="str">
        <f t="shared" si="1"/>
        <v>Итоговый платеж</v>
      </c>
    </row>
    <row r="9" spans="1:12" ht="19.5" x14ac:dyDescent="0.25">
      <c r="A9" s="169">
        <v>1</v>
      </c>
      <c r="B9" s="170">
        <f>$B$2</f>
        <v>80000</v>
      </c>
      <c r="C9" s="170">
        <f>B9*($B$3/12)</f>
        <v>499.99999999999994</v>
      </c>
      <c r="D9" s="170">
        <f>E9-C9</f>
        <v>1103.035887649901</v>
      </c>
      <c r="E9" s="170">
        <f>-PMT(B3/12,B4,B2)</f>
        <v>1603.035887649901</v>
      </c>
      <c r="G9" s="170">
        <f>SUM(E9:E11)</f>
        <v>4809.1076629497029</v>
      </c>
      <c r="H9" s="170">
        <f>SUM(D9:D11)</f>
        <v>3329.8326731825</v>
      </c>
      <c r="I9" s="172">
        <v>3</v>
      </c>
      <c r="J9" s="173">
        <f t="shared" si="0"/>
        <v>499.99999999999994</v>
      </c>
      <c r="K9" s="173">
        <f t="shared" si="1"/>
        <v>1103.035887649901</v>
      </c>
      <c r="L9" s="171">
        <f>E9</f>
        <v>1603.035887649901</v>
      </c>
    </row>
    <row r="10" spans="1:12" ht="19.5" x14ac:dyDescent="0.25">
      <c r="A10" s="169">
        <f>A9+1</f>
        <v>2</v>
      </c>
      <c r="B10" s="170">
        <f>$B$2-D9</f>
        <v>78896.964112350106</v>
      </c>
      <c r="C10" s="170">
        <f t="shared" ref="C10:C69" si="2">B10*($B$3/12)</f>
        <v>493.10602570218811</v>
      </c>
      <c r="D10" s="170">
        <f t="shared" ref="D10:D70" si="3">E10-C10</f>
        <v>1109.9298619477129</v>
      </c>
      <c r="E10" s="170">
        <f>E9</f>
        <v>1603.035887649901</v>
      </c>
      <c r="F10" s="170"/>
      <c r="G10" s="170"/>
      <c r="H10" s="170"/>
      <c r="I10" s="172">
        <f>I9+1</f>
        <v>4</v>
      </c>
      <c r="J10" s="766">
        <f>SUM(C10:C12)</f>
        <v>1458.4635355598123</v>
      </c>
      <c r="K10" s="766">
        <f>SUM(D10:D12)</f>
        <v>3350.6441273898904</v>
      </c>
      <c r="L10" s="766">
        <f>SUM(E10:E12)</f>
        <v>4809.1076629497029</v>
      </c>
    </row>
    <row r="11" spans="1:12" ht="19.5" x14ac:dyDescent="0.25">
      <c r="A11" s="169">
        <f t="shared" ref="A11:A68" si="4">A10+1</f>
        <v>3</v>
      </c>
      <c r="B11" s="170">
        <f t="shared" ref="B11:B69" si="5">B10-D10</f>
        <v>77787.034250402387</v>
      </c>
      <c r="C11" s="170">
        <f t="shared" si="2"/>
        <v>486.16896406501485</v>
      </c>
      <c r="D11" s="170">
        <f t="shared" si="3"/>
        <v>1116.8669235848861</v>
      </c>
      <c r="E11" s="170">
        <f t="shared" ref="E11:E68" si="6">E10</f>
        <v>1603.035887649901</v>
      </c>
      <c r="F11" s="170"/>
      <c r="G11" s="170"/>
      <c r="H11" s="170"/>
      <c r="I11" s="172">
        <f t="shared" ref="I11:I68" si="7">I10+1</f>
        <v>5</v>
      </c>
      <c r="J11" s="767"/>
      <c r="K11" s="767"/>
      <c r="L11" s="767"/>
    </row>
    <row r="12" spans="1:12" ht="19.5" x14ac:dyDescent="0.25">
      <c r="A12" s="169">
        <f t="shared" si="4"/>
        <v>4</v>
      </c>
      <c r="B12" s="170">
        <f t="shared" si="5"/>
        <v>76670.167326817507</v>
      </c>
      <c r="C12" s="170">
        <f t="shared" si="2"/>
        <v>479.18854579260937</v>
      </c>
      <c r="D12" s="170">
        <f t="shared" si="3"/>
        <v>1123.8473418572917</v>
      </c>
      <c r="E12" s="170">
        <f t="shared" si="6"/>
        <v>1603.035887649901</v>
      </c>
      <c r="F12" s="170">
        <f>SUM(E9:E12)</f>
        <v>6412.1435505996042</v>
      </c>
      <c r="G12" s="170">
        <f t="shared" ref="G12:G66" si="8">SUM(E12:E14)</f>
        <v>4809.1076629497029</v>
      </c>
      <c r="H12" s="170">
        <f>SUM(D12:D14)</f>
        <v>3392.658063518491</v>
      </c>
      <c r="I12" s="172">
        <f t="shared" si="7"/>
        <v>6</v>
      </c>
      <c r="J12" s="768"/>
      <c r="K12" s="768"/>
      <c r="L12" s="768"/>
    </row>
    <row r="13" spans="1:12" ht="19.5" x14ac:dyDescent="0.25">
      <c r="A13" s="169">
        <f t="shared" si="4"/>
        <v>5</v>
      </c>
      <c r="B13" s="170">
        <f t="shared" si="5"/>
        <v>75546.31998496021</v>
      </c>
      <c r="C13" s="170">
        <f t="shared" si="2"/>
        <v>472.16449990600125</v>
      </c>
      <c r="D13" s="170">
        <f t="shared" si="3"/>
        <v>1130.8713877438997</v>
      </c>
      <c r="E13" s="170">
        <f t="shared" si="6"/>
        <v>1603.035887649901</v>
      </c>
      <c r="F13" s="170"/>
      <c r="G13" s="170"/>
      <c r="H13" s="170"/>
      <c r="I13" s="172">
        <f t="shared" si="7"/>
        <v>7</v>
      </c>
      <c r="J13" s="766">
        <f>SUM(C13:C15)</f>
        <v>1395.245486534222</v>
      </c>
      <c r="K13" s="766">
        <f>SUM(D13:D15)</f>
        <v>3413.8621764154814</v>
      </c>
      <c r="L13" s="766">
        <f>SUM(E13:E15)</f>
        <v>4809.1076629497029</v>
      </c>
    </row>
    <row r="14" spans="1:12" ht="23.25" customHeight="1" x14ac:dyDescent="0.25">
      <c r="A14" s="169">
        <f t="shared" si="4"/>
        <v>6</v>
      </c>
      <c r="B14" s="170">
        <f t="shared" si="5"/>
        <v>74415.448597216309</v>
      </c>
      <c r="C14" s="170">
        <f t="shared" si="2"/>
        <v>465.09655373260188</v>
      </c>
      <c r="D14" s="170">
        <f t="shared" si="3"/>
        <v>1137.9393339172991</v>
      </c>
      <c r="E14" s="170">
        <f t="shared" si="6"/>
        <v>1603.035887649901</v>
      </c>
      <c r="F14" s="170"/>
      <c r="G14" s="170"/>
      <c r="H14" s="170"/>
      <c r="I14" s="172">
        <f t="shared" si="7"/>
        <v>8</v>
      </c>
      <c r="J14" s="767"/>
      <c r="K14" s="767"/>
      <c r="L14" s="767"/>
    </row>
    <row r="15" spans="1:12" ht="19.5" x14ac:dyDescent="0.25">
      <c r="A15" s="169">
        <f t="shared" si="4"/>
        <v>7</v>
      </c>
      <c r="B15" s="170">
        <f t="shared" si="5"/>
        <v>73277.509263299013</v>
      </c>
      <c r="C15" s="170">
        <f t="shared" si="2"/>
        <v>457.9844328956188</v>
      </c>
      <c r="D15" s="170">
        <f t="shared" si="3"/>
        <v>1145.0514547542823</v>
      </c>
      <c r="E15" s="170">
        <f t="shared" si="6"/>
        <v>1603.035887649901</v>
      </c>
      <c r="F15" s="170"/>
      <c r="G15" s="170">
        <f t="shared" si="8"/>
        <v>4809.1076629497029</v>
      </c>
      <c r="H15" s="170">
        <f>SUM(D15:D17)</f>
        <v>3456.6688076119408</v>
      </c>
      <c r="I15" s="172">
        <f t="shared" si="7"/>
        <v>9</v>
      </c>
      <c r="J15" s="768"/>
      <c r="K15" s="768"/>
      <c r="L15" s="768"/>
    </row>
    <row r="16" spans="1:12" ht="19.5" x14ac:dyDescent="0.25">
      <c r="A16" s="169">
        <f t="shared" si="4"/>
        <v>8</v>
      </c>
      <c r="B16" s="170">
        <f t="shared" si="5"/>
        <v>72132.457808544728</v>
      </c>
      <c r="C16" s="170">
        <f t="shared" si="2"/>
        <v>450.82786130340452</v>
      </c>
      <c r="D16" s="170">
        <f t="shared" si="3"/>
        <v>1152.2080263464966</v>
      </c>
      <c r="E16" s="170">
        <f t="shared" si="6"/>
        <v>1603.035887649901</v>
      </c>
      <c r="F16" s="170"/>
      <c r="G16" s="170"/>
      <c r="H16" s="170"/>
      <c r="I16" s="172">
        <f t="shared" si="7"/>
        <v>10</v>
      </c>
      <c r="J16" s="766">
        <f>SUM(C16:C18)</f>
        <v>1330.8346752901875</v>
      </c>
      <c r="K16" s="766">
        <f>SUM(D16:D18)</f>
        <v>3478.2729876595158</v>
      </c>
      <c r="L16" s="766">
        <f>SUM(E16:E18)</f>
        <v>4809.1076629497029</v>
      </c>
    </row>
    <row r="17" spans="1:12" ht="19.5" x14ac:dyDescent="0.25">
      <c r="A17" s="169">
        <f t="shared" si="4"/>
        <v>9</v>
      </c>
      <c r="B17" s="170">
        <f t="shared" si="5"/>
        <v>70980.249782198225</v>
      </c>
      <c r="C17" s="170">
        <f t="shared" si="2"/>
        <v>443.62656113873885</v>
      </c>
      <c r="D17" s="170">
        <f t="shared" si="3"/>
        <v>1159.4093265111621</v>
      </c>
      <c r="E17" s="170">
        <f t="shared" si="6"/>
        <v>1603.035887649901</v>
      </c>
      <c r="F17" s="170"/>
      <c r="G17" s="170"/>
      <c r="H17" s="170"/>
      <c r="I17" s="172">
        <f t="shared" si="7"/>
        <v>11</v>
      </c>
      <c r="J17" s="767"/>
      <c r="K17" s="767"/>
      <c r="L17" s="767"/>
    </row>
    <row r="18" spans="1:12" ht="19.5" x14ac:dyDescent="0.25">
      <c r="A18" s="169">
        <f t="shared" si="4"/>
        <v>10</v>
      </c>
      <c r="B18" s="170">
        <f t="shared" si="5"/>
        <v>69820.840455687066</v>
      </c>
      <c r="C18" s="170">
        <f t="shared" si="2"/>
        <v>436.38025284804411</v>
      </c>
      <c r="D18" s="170">
        <f t="shared" si="3"/>
        <v>1166.6556348018569</v>
      </c>
      <c r="E18" s="170">
        <f t="shared" si="6"/>
        <v>1603.035887649901</v>
      </c>
      <c r="F18" s="170"/>
      <c r="G18" s="170">
        <f t="shared" si="8"/>
        <v>4809.1076629497029</v>
      </c>
      <c r="H18" s="170">
        <f>SUM(D18:D20)</f>
        <v>3521.8872700438401</v>
      </c>
      <c r="I18" s="172">
        <f t="shared" si="7"/>
        <v>12</v>
      </c>
      <c r="J18" s="767"/>
      <c r="K18" s="768"/>
      <c r="L18" s="768"/>
    </row>
    <row r="19" spans="1:12" ht="19.5" x14ac:dyDescent="0.25">
      <c r="A19" s="169">
        <f t="shared" si="4"/>
        <v>11</v>
      </c>
      <c r="B19" s="170">
        <f t="shared" si="5"/>
        <v>68654.184820885202</v>
      </c>
      <c r="C19" s="170">
        <f t="shared" si="2"/>
        <v>429.08865513053246</v>
      </c>
      <c r="D19" s="170">
        <f t="shared" si="3"/>
        <v>1173.9472325193685</v>
      </c>
      <c r="E19" s="170">
        <f t="shared" si="6"/>
        <v>1603.035887649901</v>
      </c>
      <c r="F19" s="170"/>
      <c r="G19" s="170"/>
      <c r="H19" s="170"/>
      <c r="I19" s="172">
        <v>1</v>
      </c>
      <c r="J19" s="766">
        <f>SUM(C19:C21)</f>
        <v>1265.208597468089</v>
      </c>
      <c r="K19" s="766">
        <f>SUM(D19:D21)</f>
        <v>3543.8990654816139</v>
      </c>
      <c r="L19" s="766">
        <f>SUM(E19:E21)</f>
        <v>4809.1076629497029</v>
      </c>
    </row>
    <row r="20" spans="1:12" ht="19.5" x14ac:dyDescent="0.25">
      <c r="A20" s="169">
        <f t="shared" si="4"/>
        <v>12</v>
      </c>
      <c r="B20" s="170">
        <f t="shared" si="5"/>
        <v>67480.237588365839</v>
      </c>
      <c r="C20" s="170">
        <f t="shared" si="2"/>
        <v>421.75148492728647</v>
      </c>
      <c r="D20" s="170">
        <f t="shared" si="3"/>
        <v>1181.2844027226147</v>
      </c>
      <c r="E20" s="170">
        <f t="shared" si="6"/>
        <v>1603.035887649901</v>
      </c>
      <c r="F20" s="68"/>
      <c r="G20" s="170"/>
      <c r="H20" s="170"/>
      <c r="I20" s="172">
        <f t="shared" si="7"/>
        <v>2</v>
      </c>
      <c r="J20" s="767"/>
      <c r="K20" s="767"/>
      <c r="L20" s="767"/>
    </row>
    <row r="21" spans="1:12" ht="19.5" x14ac:dyDescent="0.25">
      <c r="A21" s="169">
        <v>1</v>
      </c>
      <c r="B21" s="170">
        <f t="shared" si="5"/>
        <v>66298.95318564323</v>
      </c>
      <c r="C21" s="170">
        <f t="shared" si="2"/>
        <v>414.36845741027014</v>
      </c>
      <c r="D21" s="170">
        <f t="shared" si="3"/>
        <v>1188.6674302396309</v>
      </c>
      <c r="E21" s="170">
        <f t="shared" si="6"/>
        <v>1603.035887649901</v>
      </c>
      <c r="F21" s="68"/>
      <c r="G21" s="170">
        <f t="shared" si="8"/>
        <v>4809.1076629497029</v>
      </c>
      <c r="H21" s="170">
        <f t="shared" ref="H21:H66" si="9">SUM(D21:D23)</f>
        <v>3588.3362373573791</v>
      </c>
      <c r="I21" s="172">
        <f t="shared" si="7"/>
        <v>3</v>
      </c>
      <c r="J21" s="768"/>
      <c r="K21" s="768"/>
      <c r="L21" s="768"/>
    </row>
    <row r="22" spans="1:12" ht="19.5" x14ac:dyDescent="0.25">
      <c r="A22" s="169">
        <f t="shared" si="4"/>
        <v>2</v>
      </c>
      <c r="B22" s="170">
        <f t="shared" si="5"/>
        <v>65110.285755403602</v>
      </c>
      <c r="C22" s="170">
        <f t="shared" si="2"/>
        <v>406.93928597127245</v>
      </c>
      <c r="D22" s="170">
        <f t="shared" si="3"/>
        <v>1196.0966016786285</v>
      </c>
      <c r="E22" s="170">
        <f t="shared" si="6"/>
        <v>1603.035887649901</v>
      </c>
      <c r="F22" s="170"/>
      <c r="G22" s="170"/>
      <c r="H22" s="170"/>
      <c r="I22" s="172">
        <f t="shared" si="7"/>
        <v>4</v>
      </c>
      <c r="J22" s="766">
        <f>SUM(C22:C24)</f>
        <v>1198.3443241088401</v>
      </c>
      <c r="K22" s="766">
        <f>SUM(D22:D24)</f>
        <v>3610.7633388408631</v>
      </c>
      <c r="L22" s="766">
        <f>SUM(E22:E24)</f>
        <v>4809.1076629497029</v>
      </c>
    </row>
    <row r="23" spans="1:12" ht="19.5" x14ac:dyDescent="0.25">
      <c r="A23" s="169">
        <f t="shared" si="4"/>
        <v>3</v>
      </c>
      <c r="B23" s="170">
        <f t="shared" si="5"/>
        <v>63914.189153724976</v>
      </c>
      <c r="C23" s="170">
        <f t="shared" si="2"/>
        <v>399.46368221078109</v>
      </c>
      <c r="D23" s="170">
        <f t="shared" si="3"/>
        <v>1203.5722054391199</v>
      </c>
      <c r="E23" s="170">
        <f t="shared" si="6"/>
        <v>1603.035887649901</v>
      </c>
      <c r="F23" s="170"/>
      <c r="G23" s="170"/>
      <c r="H23" s="170"/>
      <c r="I23" s="172">
        <f t="shared" si="7"/>
        <v>5</v>
      </c>
      <c r="J23" s="767"/>
      <c r="K23" s="767"/>
      <c r="L23" s="767"/>
    </row>
    <row r="24" spans="1:12" ht="19.5" x14ac:dyDescent="0.25">
      <c r="A24" s="169">
        <f t="shared" si="4"/>
        <v>4</v>
      </c>
      <c r="B24" s="170">
        <f t="shared" si="5"/>
        <v>62710.616948285853</v>
      </c>
      <c r="C24" s="170">
        <f t="shared" si="2"/>
        <v>391.94135592678657</v>
      </c>
      <c r="D24" s="170">
        <f t="shared" si="3"/>
        <v>1211.0945317231144</v>
      </c>
      <c r="E24" s="170">
        <f t="shared" si="6"/>
        <v>1603.035887649901</v>
      </c>
      <c r="F24" s="170">
        <f>SUM(E13:E24)</f>
        <v>19236.430651798812</v>
      </c>
      <c r="G24" s="170">
        <f t="shared" si="8"/>
        <v>4809.1076629497029</v>
      </c>
      <c r="H24" s="170">
        <f t="shared" si="9"/>
        <v>3656.0389260192974</v>
      </c>
      <c r="I24" s="172">
        <f t="shared" si="7"/>
        <v>6</v>
      </c>
      <c r="J24" s="768"/>
      <c r="K24" s="768"/>
      <c r="L24" s="767"/>
    </row>
    <row r="25" spans="1:12" ht="19.5" x14ac:dyDescent="0.25">
      <c r="A25" s="169">
        <f t="shared" si="4"/>
        <v>5</v>
      </c>
      <c r="B25" s="170">
        <f t="shared" si="5"/>
        <v>61499.522416562737</v>
      </c>
      <c r="C25" s="170">
        <f t="shared" si="2"/>
        <v>384.37201510351707</v>
      </c>
      <c r="D25" s="170">
        <f t="shared" si="3"/>
        <v>1218.663872546384</v>
      </c>
      <c r="E25" s="170">
        <f t="shared" si="6"/>
        <v>1603.035887649901</v>
      </c>
      <c r="F25" s="170"/>
      <c r="G25" s="170"/>
      <c r="H25" s="170"/>
      <c r="I25" s="172">
        <f t="shared" si="7"/>
        <v>7</v>
      </c>
      <c r="J25" s="766">
        <f>SUM(C25:C27)</f>
        <v>1130.2184936427852</v>
      </c>
      <c r="K25" s="766">
        <f>SUM(D25:D27)</f>
        <v>3678.8891693069181</v>
      </c>
      <c r="L25" s="766">
        <f>SUM(E25:E27)</f>
        <v>4809.1076629497029</v>
      </c>
    </row>
    <row r="26" spans="1:12" ht="19.5" x14ac:dyDescent="0.25">
      <c r="A26" s="169">
        <f t="shared" si="4"/>
        <v>6</v>
      </c>
      <c r="B26" s="170">
        <f t="shared" si="5"/>
        <v>60280.858544016352</v>
      </c>
      <c r="C26" s="170">
        <f t="shared" si="2"/>
        <v>376.75536590010216</v>
      </c>
      <c r="D26" s="170">
        <f t="shared" si="3"/>
        <v>1226.2805217497989</v>
      </c>
      <c r="E26" s="170">
        <f t="shared" si="6"/>
        <v>1603.035887649901</v>
      </c>
      <c r="F26" s="170"/>
      <c r="G26" s="170"/>
      <c r="H26" s="170"/>
      <c r="I26" s="172">
        <f t="shared" si="7"/>
        <v>8</v>
      </c>
      <c r="J26" s="767"/>
      <c r="K26" s="767"/>
      <c r="L26" s="767"/>
    </row>
    <row r="27" spans="1:12" ht="19.5" x14ac:dyDescent="0.25">
      <c r="A27" s="169">
        <f t="shared" si="4"/>
        <v>7</v>
      </c>
      <c r="B27" s="170">
        <f t="shared" si="5"/>
        <v>59054.578022266549</v>
      </c>
      <c r="C27" s="170">
        <f t="shared" si="2"/>
        <v>369.09111263916589</v>
      </c>
      <c r="D27" s="170">
        <f t="shared" si="3"/>
        <v>1233.9447750107352</v>
      </c>
      <c r="E27" s="170">
        <f t="shared" si="6"/>
        <v>1603.035887649901</v>
      </c>
      <c r="F27" s="170"/>
      <c r="G27" s="170">
        <f t="shared" si="8"/>
        <v>4809.1076629497029</v>
      </c>
      <c r="H27" s="170">
        <f t="shared" si="9"/>
        <v>3725.018990531431</v>
      </c>
      <c r="I27" s="172">
        <f t="shared" si="7"/>
        <v>9</v>
      </c>
      <c r="J27" s="768"/>
      <c r="K27" s="768"/>
      <c r="L27" s="768"/>
    </row>
    <row r="28" spans="1:12" ht="19.5" x14ac:dyDescent="0.25">
      <c r="A28" s="169">
        <f t="shared" si="4"/>
        <v>8</v>
      </c>
      <c r="B28" s="170">
        <f t="shared" si="5"/>
        <v>57820.633247255813</v>
      </c>
      <c r="C28" s="170">
        <f t="shared" si="2"/>
        <v>361.37895779534881</v>
      </c>
      <c r="D28" s="170">
        <f t="shared" si="3"/>
        <v>1241.6569298545523</v>
      </c>
      <c r="E28" s="170">
        <f t="shared" si="6"/>
        <v>1603.035887649901</v>
      </c>
      <c r="F28" s="170"/>
      <c r="G28" s="170"/>
      <c r="H28" s="170"/>
      <c r="I28" s="172">
        <f t="shared" si="7"/>
        <v>10</v>
      </c>
      <c r="J28" s="766">
        <f>SUM(C28:C30)</f>
        <v>1060.8073037274512</v>
      </c>
      <c r="K28" s="766">
        <f>SUM(D28:D30)</f>
        <v>3748.3003592222522</v>
      </c>
      <c r="L28" s="766">
        <f>SUM(E28:E30)</f>
        <v>4809.1076629497029</v>
      </c>
    </row>
    <row r="29" spans="1:12" ht="19.5" x14ac:dyDescent="0.25">
      <c r="A29" s="169">
        <f t="shared" si="4"/>
        <v>9</v>
      </c>
      <c r="B29" s="170">
        <f t="shared" si="5"/>
        <v>56578.976317401262</v>
      </c>
      <c r="C29" s="170">
        <f t="shared" si="2"/>
        <v>353.61860198375786</v>
      </c>
      <c r="D29" s="170">
        <f t="shared" si="3"/>
        <v>1249.4172856661432</v>
      </c>
      <c r="E29" s="170">
        <f t="shared" si="6"/>
        <v>1603.035887649901</v>
      </c>
      <c r="F29" s="170"/>
      <c r="G29" s="170"/>
      <c r="H29" s="170"/>
      <c r="I29" s="172">
        <f t="shared" si="7"/>
        <v>11</v>
      </c>
      <c r="J29" s="767"/>
      <c r="K29" s="767"/>
      <c r="L29" s="767"/>
    </row>
    <row r="30" spans="1:12" ht="19.5" x14ac:dyDescent="0.25">
      <c r="A30" s="169">
        <f t="shared" si="4"/>
        <v>10</v>
      </c>
      <c r="B30" s="170">
        <f t="shared" si="5"/>
        <v>55329.559031735116</v>
      </c>
      <c r="C30" s="170">
        <f t="shared" si="2"/>
        <v>345.80974394834442</v>
      </c>
      <c r="D30" s="170">
        <f t="shared" si="3"/>
        <v>1257.2261437015566</v>
      </c>
      <c r="E30" s="170">
        <f t="shared" si="6"/>
        <v>1603.035887649901</v>
      </c>
      <c r="F30" s="170"/>
      <c r="G30" s="170">
        <f t="shared" si="8"/>
        <v>4809.1076629497029</v>
      </c>
      <c r="H30" s="170">
        <f t="shared" si="9"/>
        <v>3795.3005316953122</v>
      </c>
      <c r="I30" s="172">
        <f t="shared" si="7"/>
        <v>12</v>
      </c>
      <c r="J30" s="768"/>
      <c r="K30" s="768"/>
      <c r="L30" s="768"/>
    </row>
    <row r="31" spans="1:12" ht="19.5" x14ac:dyDescent="0.25">
      <c r="A31" s="169">
        <f t="shared" si="4"/>
        <v>11</v>
      </c>
      <c r="B31" s="170">
        <f t="shared" si="5"/>
        <v>54072.332888033561</v>
      </c>
      <c r="C31" s="170">
        <f t="shared" si="2"/>
        <v>337.95208055020976</v>
      </c>
      <c r="D31" s="170">
        <f t="shared" si="3"/>
        <v>1265.0838070996913</v>
      </c>
      <c r="E31" s="170">
        <f t="shared" si="6"/>
        <v>1603.035887649901</v>
      </c>
      <c r="F31" s="170"/>
      <c r="G31" s="170"/>
      <c r="H31" s="170"/>
      <c r="I31" s="172">
        <v>1</v>
      </c>
      <c r="J31" s="766">
        <f>SUM(C31:C33)</f>
        <v>990.08650293129517</v>
      </c>
      <c r="K31" s="766">
        <f>SUM(D31:D33)</f>
        <v>3819.0211600184075</v>
      </c>
      <c r="L31" s="766">
        <f>SUM(E31:E33)</f>
        <v>4809.1076629497029</v>
      </c>
    </row>
    <row r="32" spans="1:12" ht="19.5" x14ac:dyDescent="0.25">
      <c r="A32" s="169">
        <f t="shared" si="4"/>
        <v>12</v>
      </c>
      <c r="B32" s="170">
        <f t="shared" si="5"/>
        <v>52807.249080933871</v>
      </c>
      <c r="C32" s="170">
        <f t="shared" si="2"/>
        <v>330.04530675583669</v>
      </c>
      <c r="D32" s="170">
        <f t="shared" si="3"/>
        <v>1272.9905808940644</v>
      </c>
      <c r="E32" s="170">
        <f t="shared" si="6"/>
        <v>1603.035887649901</v>
      </c>
      <c r="F32" s="170"/>
      <c r="G32" s="170"/>
      <c r="H32" s="170"/>
      <c r="I32" s="172">
        <f t="shared" si="7"/>
        <v>2</v>
      </c>
      <c r="J32" s="767"/>
      <c r="K32" s="767"/>
      <c r="L32" s="767"/>
    </row>
    <row r="33" spans="1:12" ht="19.5" x14ac:dyDescent="0.25">
      <c r="A33" s="169">
        <v>1</v>
      </c>
      <c r="B33" s="170">
        <f t="shared" si="5"/>
        <v>51534.258500039803</v>
      </c>
      <c r="C33" s="170">
        <f t="shared" si="2"/>
        <v>322.08911562524872</v>
      </c>
      <c r="D33" s="170">
        <f t="shared" si="3"/>
        <v>1280.9467720246523</v>
      </c>
      <c r="E33" s="170">
        <f t="shared" si="6"/>
        <v>1603.035887649901</v>
      </c>
      <c r="G33" s="170">
        <f t="shared" si="8"/>
        <v>4809.1076629497029</v>
      </c>
      <c r="H33" s="170">
        <f t="shared" si="9"/>
        <v>3866.9081050327013</v>
      </c>
      <c r="I33" s="172">
        <f t="shared" si="7"/>
        <v>3</v>
      </c>
      <c r="J33" s="768"/>
      <c r="K33" s="767"/>
      <c r="L33" s="768"/>
    </row>
    <row r="34" spans="1:12" ht="19.5" x14ac:dyDescent="0.25">
      <c r="A34" s="169">
        <f t="shared" si="4"/>
        <v>2</v>
      </c>
      <c r="B34" s="170">
        <f t="shared" si="5"/>
        <v>50253.311728015149</v>
      </c>
      <c r="C34" s="170">
        <f t="shared" si="2"/>
        <v>314.08319830009464</v>
      </c>
      <c r="D34" s="170">
        <f t="shared" si="3"/>
        <v>1288.9526893498064</v>
      </c>
      <c r="E34" s="170">
        <f t="shared" si="6"/>
        <v>1603.035887649901</v>
      </c>
      <c r="F34" s="170"/>
      <c r="G34" s="170"/>
      <c r="H34" s="170"/>
      <c r="I34" s="172">
        <f t="shared" si="7"/>
        <v>4</v>
      </c>
      <c r="J34" s="766">
        <f>SUM(C34:C36)</f>
        <v>918.03138226054739</v>
      </c>
      <c r="K34" s="766">
        <f>SUM(D34:D36)</f>
        <v>3891.0762806891562</v>
      </c>
      <c r="L34" s="766">
        <f>SUM(E34:E36)</f>
        <v>4809.1076629497029</v>
      </c>
    </row>
    <row r="35" spans="1:12" ht="19.5" x14ac:dyDescent="0.25">
      <c r="A35" s="169">
        <f t="shared" si="4"/>
        <v>3</v>
      </c>
      <c r="B35" s="170">
        <f t="shared" si="5"/>
        <v>48964.359038665345</v>
      </c>
      <c r="C35" s="170">
        <f t="shared" si="2"/>
        <v>306.02724399165839</v>
      </c>
      <c r="D35" s="170">
        <f t="shared" si="3"/>
        <v>1297.0086436582426</v>
      </c>
      <c r="E35" s="170">
        <f t="shared" si="6"/>
        <v>1603.035887649901</v>
      </c>
      <c r="F35" s="170"/>
      <c r="G35" s="170"/>
      <c r="H35" s="170"/>
      <c r="I35" s="174">
        <f t="shared" si="7"/>
        <v>5</v>
      </c>
      <c r="J35" s="767"/>
      <c r="K35" s="767"/>
      <c r="L35" s="767"/>
    </row>
    <row r="36" spans="1:12" ht="19.5" x14ac:dyDescent="0.25">
      <c r="A36" s="169">
        <f t="shared" si="4"/>
        <v>4</v>
      </c>
      <c r="B36" s="170">
        <f t="shared" si="5"/>
        <v>47667.350395007103</v>
      </c>
      <c r="C36" s="170">
        <f t="shared" si="2"/>
        <v>297.92093996879436</v>
      </c>
      <c r="D36" s="170">
        <f t="shared" si="3"/>
        <v>1305.1149476811067</v>
      </c>
      <c r="E36" s="170">
        <f t="shared" si="6"/>
        <v>1603.035887649901</v>
      </c>
      <c r="F36" s="170">
        <f>SUM(E25:E36)</f>
        <v>19236.430651798812</v>
      </c>
      <c r="G36" s="170">
        <f t="shared" si="8"/>
        <v>4809.1076629497029</v>
      </c>
      <c r="H36" s="170">
        <f t="shared" si="9"/>
        <v>3939.8667293649842</v>
      </c>
      <c r="I36" s="174">
        <f t="shared" si="7"/>
        <v>6</v>
      </c>
      <c r="J36" s="768"/>
      <c r="K36" s="768"/>
      <c r="L36" s="768"/>
    </row>
    <row r="37" spans="1:12" ht="19.5" x14ac:dyDescent="0.25">
      <c r="A37" s="169">
        <f t="shared" si="4"/>
        <v>5</v>
      </c>
      <c r="B37" s="170">
        <f t="shared" si="5"/>
        <v>46362.235447325998</v>
      </c>
      <c r="C37" s="170">
        <f t="shared" si="2"/>
        <v>289.76397154578746</v>
      </c>
      <c r="D37" s="170">
        <f t="shared" si="3"/>
        <v>1313.2719161041136</v>
      </c>
      <c r="E37" s="170">
        <f t="shared" si="6"/>
        <v>1603.035887649901</v>
      </c>
      <c r="F37" s="170"/>
      <c r="G37" s="170"/>
      <c r="H37" s="170"/>
      <c r="I37" s="174">
        <f t="shared" si="7"/>
        <v>7</v>
      </c>
      <c r="J37" s="766">
        <f>SUM(C37:C39)</f>
        <v>844.61676652618735</v>
      </c>
      <c r="K37" s="769">
        <f>SUM(D37:D39)</f>
        <v>3964.490896423516</v>
      </c>
      <c r="L37" s="766">
        <f>SUM(E37:E39)</f>
        <v>4809.1076629497029</v>
      </c>
    </row>
    <row r="38" spans="1:12" ht="19.5" x14ac:dyDescent="0.25">
      <c r="A38" s="169">
        <f t="shared" si="4"/>
        <v>6</v>
      </c>
      <c r="B38" s="170">
        <f t="shared" si="5"/>
        <v>45048.963531221882</v>
      </c>
      <c r="C38" s="170">
        <f t="shared" si="2"/>
        <v>281.55602207013675</v>
      </c>
      <c r="D38" s="170">
        <f t="shared" si="3"/>
        <v>1321.4798655797642</v>
      </c>
      <c r="E38" s="170">
        <f t="shared" si="6"/>
        <v>1603.035887649901</v>
      </c>
      <c r="F38" s="170"/>
      <c r="G38" s="170"/>
      <c r="H38" s="170"/>
      <c r="I38" s="174">
        <f t="shared" si="7"/>
        <v>8</v>
      </c>
      <c r="J38" s="767"/>
      <c r="K38" s="770"/>
      <c r="L38" s="767"/>
    </row>
    <row r="39" spans="1:12" ht="19.5" x14ac:dyDescent="0.25">
      <c r="A39" s="169">
        <f t="shared" si="4"/>
        <v>7</v>
      </c>
      <c r="B39" s="170">
        <f t="shared" si="5"/>
        <v>43727.483665642118</v>
      </c>
      <c r="C39" s="170">
        <f t="shared" si="2"/>
        <v>273.2967729102632</v>
      </c>
      <c r="D39" s="170">
        <f t="shared" si="3"/>
        <v>1329.7391147396379</v>
      </c>
      <c r="E39" s="170">
        <f t="shared" si="6"/>
        <v>1603.035887649901</v>
      </c>
      <c r="F39" s="170"/>
      <c r="G39" s="170">
        <f t="shared" si="8"/>
        <v>4809.1076629497029</v>
      </c>
      <c r="H39" s="170">
        <f t="shared" si="9"/>
        <v>4014.2018955544513</v>
      </c>
      <c r="I39" s="174">
        <f t="shared" si="7"/>
        <v>9</v>
      </c>
      <c r="J39" s="768"/>
      <c r="K39" s="770"/>
      <c r="L39" s="768"/>
    </row>
    <row r="40" spans="1:12" ht="19.5" x14ac:dyDescent="0.25">
      <c r="A40" s="169">
        <f t="shared" si="4"/>
        <v>8</v>
      </c>
      <c r="B40" s="170">
        <f t="shared" si="5"/>
        <v>42397.744550902476</v>
      </c>
      <c r="C40" s="170">
        <f t="shared" si="2"/>
        <v>264.98590344314044</v>
      </c>
      <c r="D40" s="170">
        <f t="shared" si="3"/>
        <v>1338.0499842067607</v>
      </c>
      <c r="E40" s="170">
        <f t="shared" si="6"/>
        <v>1603.035887649901</v>
      </c>
      <c r="F40" s="170"/>
      <c r="G40" s="170"/>
      <c r="H40" s="170"/>
      <c r="I40" s="174">
        <f t="shared" si="7"/>
        <v>10</v>
      </c>
      <c r="J40" s="766">
        <f>SUM(C40:C42)</f>
        <v>769.8170055480366</v>
      </c>
      <c r="K40" s="769">
        <f>SUM(D40:D42)</f>
        <v>4039.2906574016665</v>
      </c>
      <c r="L40" s="766">
        <f>SUM(E40:E42)</f>
        <v>4809.1076629497029</v>
      </c>
    </row>
    <row r="41" spans="1:12" ht="19.5" x14ac:dyDescent="0.25">
      <c r="A41" s="169">
        <f t="shared" si="4"/>
        <v>9</v>
      </c>
      <c r="B41" s="170">
        <f t="shared" si="5"/>
        <v>41059.694566695718</v>
      </c>
      <c r="C41" s="170">
        <f t="shared" si="2"/>
        <v>256.62309104184823</v>
      </c>
      <c r="D41" s="170">
        <f t="shared" si="3"/>
        <v>1346.4127966080528</v>
      </c>
      <c r="E41" s="170">
        <f t="shared" si="6"/>
        <v>1603.035887649901</v>
      </c>
      <c r="F41" s="170"/>
      <c r="G41" s="170"/>
      <c r="H41" s="170"/>
      <c r="I41" s="174">
        <f t="shared" si="7"/>
        <v>11</v>
      </c>
      <c r="J41" s="767"/>
      <c r="K41" s="770"/>
      <c r="L41" s="767"/>
    </row>
    <row r="42" spans="1:12" ht="19.5" x14ac:dyDescent="0.25">
      <c r="A42" s="169">
        <f t="shared" si="4"/>
        <v>10</v>
      </c>
      <c r="B42" s="170">
        <f t="shared" si="5"/>
        <v>39713.281770087662</v>
      </c>
      <c r="C42" s="170">
        <f t="shared" si="2"/>
        <v>248.20801106304788</v>
      </c>
      <c r="D42" s="170">
        <f t="shared" si="3"/>
        <v>1354.8278765868531</v>
      </c>
      <c r="E42" s="170">
        <f t="shared" si="6"/>
        <v>1603.035887649901</v>
      </c>
      <c r="F42" s="170"/>
      <c r="G42" s="170">
        <f t="shared" si="8"/>
        <v>4809.1076629497029</v>
      </c>
      <c r="H42" s="170">
        <f t="shared" si="9"/>
        <v>4089.9395754104921</v>
      </c>
      <c r="I42" s="174">
        <f t="shared" si="7"/>
        <v>12</v>
      </c>
      <c r="J42" s="768"/>
      <c r="K42" s="771"/>
      <c r="L42" s="768"/>
    </row>
    <row r="43" spans="1:12" ht="19.5" x14ac:dyDescent="0.25">
      <c r="A43" s="169">
        <f t="shared" si="4"/>
        <v>11</v>
      </c>
      <c r="B43" s="170">
        <f t="shared" si="5"/>
        <v>38358.453893500809</v>
      </c>
      <c r="C43" s="170">
        <f t="shared" si="2"/>
        <v>239.74033683438003</v>
      </c>
      <c r="D43" s="170">
        <f t="shared" si="3"/>
        <v>1363.295550815521</v>
      </c>
      <c r="E43" s="170">
        <f t="shared" si="6"/>
        <v>1603.035887649901</v>
      </c>
      <c r="F43" s="170"/>
      <c r="G43" s="170"/>
      <c r="H43" s="170"/>
      <c r="I43" s="174">
        <v>1</v>
      </c>
      <c r="J43" s="766">
        <f>SUM(C43:C45)</f>
        <v>693.60596519289538</v>
      </c>
      <c r="K43" s="769">
        <f>SUM(D43:D45)</f>
        <v>4115.5016977568075</v>
      </c>
      <c r="L43" s="766">
        <f>SUM(E43:E45)</f>
        <v>4809.1076629497029</v>
      </c>
    </row>
    <row r="44" spans="1:12" ht="19.5" x14ac:dyDescent="0.25">
      <c r="A44" s="169">
        <f t="shared" si="4"/>
        <v>12</v>
      </c>
      <c r="B44" s="170">
        <f t="shared" si="5"/>
        <v>36995.158342685289</v>
      </c>
      <c r="C44" s="170">
        <f t="shared" si="2"/>
        <v>231.21973964178304</v>
      </c>
      <c r="D44" s="170">
        <f t="shared" si="3"/>
        <v>1371.816148008118</v>
      </c>
      <c r="E44" s="170">
        <f t="shared" si="6"/>
        <v>1603.035887649901</v>
      </c>
      <c r="F44" s="170"/>
      <c r="G44" s="170"/>
      <c r="H44" s="170"/>
      <c r="I44" s="174">
        <f t="shared" si="7"/>
        <v>2</v>
      </c>
      <c r="J44" s="767"/>
      <c r="K44" s="770"/>
      <c r="L44" s="767"/>
    </row>
    <row r="45" spans="1:12" ht="19.5" x14ac:dyDescent="0.25">
      <c r="A45" s="169">
        <v>1</v>
      </c>
      <c r="B45" s="170">
        <f t="shared" si="5"/>
        <v>35623.34219467717</v>
      </c>
      <c r="C45" s="170">
        <f t="shared" si="2"/>
        <v>222.64588871673229</v>
      </c>
      <c r="D45" s="170">
        <f t="shared" si="3"/>
        <v>1380.3899989331687</v>
      </c>
      <c r="E45" s="170">
        <f t="shared" si="6"/>
        <v>1603.035887649901</v>
      </c>
      <c r="G45" s="170">
        <f t="shared" si="8"/>
        <v>4809.1076629497029</v>
      </c>
      <c r="H45" s="170">
        <f t="shared" si="9"/>
        <v>4167.1062307638367</v>
      </c>
      <c r="I45" s="174">
        <f t="shared" si="7"/>
        <v>3</v>
      </c>
      <c r="J45" s="768"/>
      <c r="K45" s="771"/>
      <c r="L45" s="768"/>
    </row>
    <row r="46" spans="1:12" ht="19.5" x14ac:dyDescent="0.25">
      <c r="A46" s="169">
        <f t="shared" si="4"/>
        <v>2</v>
      </c>
      <c r="B46" s="170">
        <f t="shared" si="5"/>
        <v>34242.952195744001</v>
      </c>
      <c r="C46" s="170">
        <f t="shared" si="2"/>
        <v>214.01845122339998</v>
      </c>
      <c r="D46" s="170">
        <f t="shared" si="3"/>
        <v>1389.017436426501</v>
      </c>
      <c r="E46" s="170">
        <f t="shared" si="6"/>
        <v>1603.035887649901</v>
      </c>
      <c r="F46" s="170"/>
      <c r="G46" s="170"/>
      <c r="H46" s="170"/>
      <c r="I46" s="174">
        <f t="shared" si="7"/>
        <v>4</v>
      </c>
      <c r="J46" s="766">
        <f>SUM(C46:C48)</f>
        <v>615.95701824359264</v>
      </c>
      <c r="K46" s="769">
        <f>SUM(D46:D48)</f>
        <v>4193.1506447061111</v>
      </c>
      <c r="L46" s="766">
        <f>SUM(E46:E48)</f>
        <v>4809.1076629497029</v>
      </c>
    </row>
    <row r="47" spans="1:12" ht="19.5" x14ac:dyDescent="0.25">
      <c r="A47" s="169">
        <f t="shared" si="4"/>
        <v>3</v>
      </c>
      <c r="B47" s="170">
        <f t="shared" si="5"/>
        <v>32853.934759317497</v>
      </c>
      <c r="C47" s="170">
        <f t="shared" si="2"/>
        <v>205.33709224573434</v>
      </c>
      <c r="D47" s="170">
        <f t="shared" si="3"/>
        <v>1397.6987954041667</v>
      </c>
      <c r="E47" s="170">
        <f t="shared" si="6"/>
        <v>1603.035887649901</v>
      </c>
      <c r="F47" s="170"/>
      <c r="G47" s="170"/>
      <c r="H47" s="170"/>
      <c r="I47" s="174">
        <f t="shared" si="7"/>
        <v>5</v>
      </c>
      <c r="J47" s="767"/>
      <c r="K47" s="770"/>
      <c r="L47" s="767"/>
    </row>
    <row r="48" spans="1:12" ht="19.5" x14ac:dyDescent="0.25">
      <c r="A48" s="169">
        <f t="shared" si="4"/>
        <v>4</v>
      </c>
      <c r="B48" s="170">
        <f t="shared" si="5"/>
        <v>31456.235963913332</v>
      </c>
      <c r="C48" s="170">
        <f t="shared" si="2"/>
        <v>196.6014747744583</v>
      </c>
      <c r="D48" s="170">
        <f t="shared" si="3"/>
        <v>1406.4344128754428</v>
      </c>
      <c r="E48" s="170">
        <f t="shared" si="6"/>
        <v>1603.035887649901</v>
      </c>
      <c r="F48" s="170">
        <f>SUM(E37:E48)</f>
        <v>19236.430651798812</v>
      </c>
      <c r="G48" s="170">
        <f t="shared" si="8"/>
        <v>4809.1076629497029</v>
      </c>
      <c r="H48" s="170">
        <f t="shared" si="9"/>
        <v>4245.7288227119952</v>
      </c>
      <c r="I48" s="174">
        <f t="shared" si="7"/>
        <v>6</v>
      </c>
      <c r="J48" s="768"/>
      <c r="K48" s="771"/>
      <c r="L48" s="767"/>
    </row>
    <row r="49" spans="1:12" ht="19.5" x14ac:dyDescent="0.25">
      <c r="A49" s="169">
        <f t="shared" si="4"/>
        <v>5</v>
      </c>
      <c r="B49" s="170">
        <f t="shared" si="5"/>
        <v>30049.80155103789</v>
      </c>
      <c r="C49" s="170">
        <f t="shared" si="2"/>
        <v>187.81125969398678</v>
      </c>
      <c r="D49" s="170">
        <f t="shared" si="3"/>
        <v>1415.2246279559142</v>
      </c>
      <c r="E49" s="170">
        <f t="shared" si="6"/>
        <v>1603.035887649901</v>
      </c>
      <c r="F49" s="170"/>
      <c r="G49" s="170"/>
      <c r="H49" s="170"/>
      <c r="I49" s="174">
        <f t="shared" si="7"/>
        <v>7</v>
      </c>
      <c r="J49" s="766">
        <f>SUM(C49:C51)</f>
        <v>536.84303509575739</v>
      </c>
      <c r="K49" s="769">
        <f>SUM(D49:D51)</f>
        <v>4272.2646278539451</v>
      </c>
      <c r="L49" s="766">
        <f>SUM(E49:E51)</f>
        <v>4809.1076629497029</v>
      </c>
    </row>
    <row r="50" spans="1:12" ht="19.5" x14ac:dyDescent="0.25">
      <c r="A50" s="169">
        <f t="shared" si="4"/>
        <v>6</v>
      </c>
      <c r="B50" s="170">
        <f t="shared" si="5"/>
        <v>28634.576923081975</v>
      </c>
      <c r="C50" s="170">
        <f t="shared" si="2"/>
        <v>178.96610576926233</v>
      </c>
      <c r="D50" s="170">
        <f t="shared" si="3"/>
        <v>1424.0697818806386</v>
      </c>
      <c r="E50" s="170">
        <f t="shared" si="6"/>
        <v>1603.035887649901</v>
      </c>
      <c r="F50" s="170"/>
      <c r="G50" s="170"/>
      <c r="H50" s="170"/>
      <c r="I50" s="174">
        <f t="shared" si="7"/>
        <v>8</v>
      </c>
      <c r="J50" s="767"/>
      <c r="K50" s="770"/>
      <c r="L50" s="767"/>
    </row>
    <row r="51" spans="1:12" ht="19.5" x14ac:dyDescent="0.25">
      <c r="A51" s="169">
        <f t="shared" si="4"/>
        <v>7</v>
      </c>
      <c r="B51" s="170">
        <f t="shared" si="5"/>
        <v>27210.507141201335</v>
      </c>
      <c r="C51" s="170">
        <f t="shared" si="2"/>
        <v>170.06566963250833</v>
      </c>
      <c r="D51" s="170">
        <f t="shared" si="3"/>
        <v>1432.9702180173927</v>
      </c>
      <c r="E51" s="170">
        <f t="shared" si="6"/>
        <v>1603.035887649901</v>
      </c>
      <c r="F51" s="170"/>
      <c r="G51" s="170">
        <f t="shared" si="8"/>
        <v>4809.1076629497029</v>
      </c>
      <c r="H51" s="170">
        <f t="shared" si="9"/>
        <v>4325.8348210391459</v>
      </c>
      <c r="I51" s="174">
        <f t="shared" si="7"/>
        <v>9</v>
      </c>
      <c r="J51" s="768"/>
      <c r="K51" s="771"/>
      <c r="L51" s="768"/>
    </row>
    <row r="52" spans="1:12" ht="19.5" x14ac:dyDescent="0.25">
      <c r="A52" s="169">
        <f t="shared" si="4"/>
        <v>8</v>
      </c>
      <c r="B52" s="170">
        <f t="shared" si="5"/>
        <v>25777.536923183943</v>
      </c>
      <c r="C52" s="170">
        <f t="shared" si="2"/>
        <v>161.10960576989964</v>
      </c>
      <c r="D52" s="170">
        <f t="shared" si="3"/>
        <v>1441.9262818800014</v>
      </c>
      <c r="E52" s="170">
        <f t="shared" si="6"/>
        <v>1603.035887649901</v>
      </c>
      <c r="F52" s="170"/>
      <c r="G52" s="170"/>
      <c r="H52" s="170"/>
      <c r="I52" s="174">
        <f t="shared" si="7"/>
        <v>10</v>
      </c>
      <c r="J52" s="766">
        <f>SUM(C52:C54)</f>
        <v>456.23637427906294</v>
      </c>
      <c r="K52" s="769">
        <f>SUM(D52:D54)</f>
        <v>4352.8712886706398</v>
      </c>
      <c r="L52" s="766">
        <f>SUM(E52:E54)</f>
        <v>4809.1076629497029</v>
      </c>
    </row>
    <row r="53" spans="1:12" ht="19.5" x14ac:dyDescent="0.25">
      <c r="A53" s="169">
        <f t="shared" si="4"/>
        <v>9</v>
      </c>
      <c r="B53" s="170">
        <f t="shared" si="5"/>
        <v>24335.610641303942</v>
      </c>
      <c r="C53" s="170">
        <f t="shared" si="2"/>
        <v>152.09756650814961</v>
      </c>
      <c r="D53" s="170">
        <f t="shared" si="3"/>
        <v>1450.9383211417514</v>
      </c>
      <c r="E53" s="170">
        <f t="shared" si="6"/>
        <v>1603.035887649901</v>
      </c>
      <c r="F53" s="170"/>
      <c r="G53" s="170"/>
      <c r="H53" s="170"/>
      <c r="I53" s="174">
        <f t="shared" si="7"/>
        <v>11</v>
      </c>
      <c r="J53" s="767"/>
      <c r="K53" s="770"/>
      <c r="L53" s="767"/>
    </row>
    <row r="54" spans="1:12" ht="19.5" x14ac:dyDescent="0.25">
      <c r="A54" s="169">
        <f t="shared" si="4"/>
        <v>10</v>
      </c>
      <c r="B54" s="170">
        <f t="shared" si="5"/>
        <v>22884.67232016219</v>
      </c>
      <c r="C54" s="170">
        <f t="shared" si="2"/>
        <v>143.02920200101369</v>
      </c>
      <c r="D54" s="170">
        <f t="shared" si="3"/>
        <v>1460.0066856488875</v>
      </c>
      <c r="E54" s="170">
        <f t="shared" si="6"/>
        <v>1603.035887649901</v>
      </c>
      <c r="F54" s="170"/>
      <c r="G54" s="170">
        <f t="shared" si="8"/>
        <v>4809.1076629497029</v>
      </c>
      <c r="H54" s="170">
        <f t="shared" si="9"/>
        <v>4407.4522138137363</v>
      </c>
      <c r="I54" s="174">
        <f t="shared" si="7"/>
        <v>12</v>
      </c>
      <c r="J54" s="768"/>
      <c r="K54" s="771"/>
      <c r="L54" s="768"/>
    </row>
    <row r="55" spans="1:12" ht="19.5" x14ac:dyDescent="0.25">
      <c r="A55" s="169">
        <f t="shared" si="4"/>
        <v>11</v>
      </c>
      <c r="B55" s="170">
        <f t="shared" si="5"/>
        <v>21424.665634513301</v>
      </c>
      <c r="C55" s="170">
        <f t="shared" si="2"/>
        <v>133.90416021570812</v>
      </c>
      <c r="D55" s="170">
        <f t="shared" si="3"/>
        <v>1469.131727434193</v>
      </c>
      <c r="E55" s="170">
        <f t="shared" si="6"/>
        <v>1603.035887649901</v>
      </c>
      <c r="F55" s="170"/>
      <c r="G55" s="170"/>
      <c r="H55" s="170"/>
      <c r="I55" s="174">
        <v>1</v>
      </c>
      <c r="J55" s="766">
        <f>SUM(C55:C57)</f>
        <v>374.10887279963038</v>
      </c>
      <c r="K55" s="769">
        <f>SUM(D55:D57)</f>
        <v>4434.9987901500726</v>
      </c>
      <c r="L55" s="766">
        <f>SUM(E55:E57)</f>
        <v>4809.1076629497029</v>
      </c>
    </row>
    <row r="56" spans="1:12" ht="19.5" x14ac:dyDescent="0.25">
      <c r="A56" s="169">
        <f t="shared" si="4"/>
        <v>12</v>
      </c>
      <c r="B56" s="170">
        <f t="shared" si="5"/>
        <v>19955.533907079109</v>
      </c>
      <c r="C56" s="170">
        <f t="shared" si="2"/>
        <v>124.72208691924442</v>
      </c>
      <c r="D56" s="170">
        <f t="shared" si="3"/>
        <v>1478.3138007306566</v>
      </c>
      <c r="E56" s="170">
        <f t="shared" si="6"/>
        <v>1603.035887649901</v>
      </c>
      <c r="F56" s="170"/>
      <c r="G56" s="170"/>
      <c r="H56" s="170"/>
      <c r="I56" s="174">
        <f t="shared" si="7"/>
        <v>2</v>
      </c>
      <c r="J56" s="767"/>
      <c r="K56" s="770"/>
      <c r="L56" s="767"/>
    </row>
    <row r="57" spans="1:12" ht="19.5" x14ac:dyDescent="0.25">
      <c r="A57" s="169">
        <v>1</v>
      </c>
      <c r="B57" s="170">
        <f t="shared" si="5"/>
        <v>18477.220106348454</v>
      </c>
      <c r="C57" s="170">
        <f t="shared" si="2"/>
        <v>115.48262566467783</v>
      </c>
      <c r="D57" s="170">
        <f t="shared" si="3"/>
        <v>1487.5532619852231</v>
      </c>
      <c r="E57" s="170">
        <f t="shared" si="6"/>
        <v>1603.035887649901</v>
      </c>
      <c r="G57" s="170">
        <f t="shared" si="8"/>
        <v>4809.1076629497029</v>
      </c>
      <c r="H57" s="170">
        <f t="shared" si="9"/>
        <v>4490.6095171671886</v>
      </c>
      <c r="I57" s="174">
        <f t="shared" si="7"/>
        <v>3</v>
      </c>
      <c r="J57" s="768"/>
      <c r="K57" s="770"/>
      <c r="L57" s="768"/>
    </row>
    <row r="58" spans="1:12" ht="19.5" x14ac:dyDescent="0.25">
      <c r="A58" s="169">
        <f t="shared" si="4"/>
        <v>2</v>
      </c>
      <c r="B58" s="170">
        <f t="shared" si="5"/>
        <v>16989.66684436323</v>
      </c>
      <c r="C58" s="170">
        <f t="shared" si="2"/>
        <v>106.18541777727017</v>
      </c>
      <c r="D58" s="170">
        <f t="shared" si="3"/>
        <v>1496.8504698726308</v>
      </c>
      <c r="E58" s="170">
        <f t="shared" si="6"/>
        <v>1603.035887649901</v>
      </c>
      <c r="F58" s="170"/>
      <c r="G58" s="170"/>
      <c r="H58" s="170"/>
      <c r="I58" s="174">
        <f t="shared" si="7"/>
        <v>4</v>
      </c>
      <c r="J58" s="766">
        <f>SUM(C58:C60)</f>
        <v>290.43183630021929</v>
      </c>
      <c r="K58" s="769">
        <f>SUM(D58:D60)</f>
        <v>4518.6758266494835</v>
      </c>
      <c r="L58" s="766">
        <f>SUM(E58:E60)</f>
        <v>4809.1076629497029</v>
      </c>
    </row>
    <row r="59" spans="1:12" ht="19.5" x14ac:dyDescent="0.25">
      <c r="A59" s="169">
        <f t="shared" si="4"/>
        <v>3</v>
      </c>
      <c r="B59" s="170">
        <f t="shared" si="5"/>
        <v>15492.8163744906</v>
      </c>
      <c r="C59" s="170">
        <f t="shared" si="2"/>
        <v>96.830102340566242</v>
      </c>
      <c r="D59" s="170">
        <f t="shared" si="3"/>
        <v>1506.2057853093347</v>
      </c>
      <c r="E59" s="170">
        <f t="shared" si="6"/>
        <v>1603.035887649901</v>
      </c>
      <c r="F59" s="170"/>
      <c r="G59" s="170"/>
      <c r="H59" s="170"/>
      <c r="I59" s="174">
        <f t="shared" si="7"/>
        <v>5</v>
      </c>
      <c r="J59" s="767"/>
      <c r="K59" s="770"/>
      <c r="L59" s="767"/>
    </row>
    <row r="60" spans="1:12" ht="19.5" x14ac:dyDescent="0.25">
      <c r="A60" s="169">
        <f t="shared" si="4"/>
        <v>4</v>
      </c>
      <c r="B60" s="170">
        <f t="shared" si="5"/>
        <v>13986.610589181266</v>
      </c>
      <c r="C60" s="170">
        <f t="shared" si="2"/>
        <v>87.4163161823829</v>
      </c>
      <c r="D60" s="170">
        <f t="shared" si="3"/>
        <v>1515.6195714675182</v>
      </c>
      <c r="E60" s="170">
        <f t="shared" si="6"/>
        <v>1603.035887649901</v>
      </c>
      <c r="F60" s="170">
        <f>SUM(E49:E60)</f>
        <v>19236.430651798812</v>
      </c>
      <c r="G60" s="170">
        <f t="shared" si="8"/>
        <v>4809.1076629497029</v>
      </c>
      <c r="H60" s="170">
        <f t="shared" si="9"/>
        <v>4575.3357852570807</v>
      </c>
      <c r="I60" s="174">
        <f t="shared" si="7"/>
        <v>6</v>
      </c>
      <c r="J60" s="768"/>
      <c r="K60" s="771"/>
      <c r="L60" s="768"/>
    </row>
    <row r="61" spans="1:12" ht="19.5" x14ac:dyDescent="0.25">
      <c r="A61" s="169">
        <f t="shared" si="4"/>
        <v>5</v>
      </c>
      <c r="B61" s="170">
        <f t="shared" si="5"/>
        <v>12470.991017713748</v>
      </c>
      <c r="C61" s="170">
        <f t="shared" si="2"/>
        <v>77.943693860710923</v>
      </c>
      <c r="D61" s="170">
        <f t="shared" si="3"/>
        <v>1525.0921937891901</v>
      </c>
      <c r="E61" s="170">
        <f t="shared" si="6"/>
        <v>1603.035887649901</v>
      </c>
      <c r="F61" s="170"/>
      <c r="G61" s="170"/>
      <c r="H61" s="170"/>
      <c r="I61" s="174">
        <f t="shared" si="7"/>
        <v>7</v>
      </c>
      <c r="J61" s="766">
        <f>SUM(C61:C63)</f>
        <v>205.17602903476555</v>
      </c>
      <c r="K61" s="769">
        <f>SUM(D61:D63)</f>
        <v>4603.9316339149382</v>
      </c>
      <c r="L61" s="766">
        <f>SUM(E61:E63)</f>
        <v>4809.1076629497029</v>
      </c>
    </row>
    <row r="62" spans="1:12" ht="19.5" x14ac:dyDescent="0.25">
      <c r="A62" s="169">
        <f t="shared" si="4"/>
        <v>6</v>
      </c>
      <c r="B62" s="170">
        <f t="shared" si="5"/>
        <v>10945.898823924557</v>
      </c>
      <c r="C62" s="170">
        <f t="shared" si="2"/>
        <v>68.411867649528475</v>
      </c>
      <c r="D62" s="170">
        <f t="shared" si="3"/>
        <v>1534.6240200003726</v>
      </c>
      <c r="E62" s="170">
        <f t="shared" si="6"/>
        <v>1603.035887649901</v>
      </c>
      <c r="F62" s="170"/>
      <c r="G62" s="170"/>
      <c r="H62" s="170"/>
      <c r="I62" s="174">
        <f t="shared" si="7"/>
        <v>8</v>
      </c>
      <c r="J62" s="767"/>
      <c r="K62" s="770"/>
      <c r="L62" s="767"/>
    </row>
    <row r="63" spans="1:12" ht="19.5" x14ac:dyDescent="0.25">
      <c r="A63" s="169">
        <f t="shared" si="4"/>
        <v>7</v>
      </c>
      <c r="B63" s="170">
        <f t="shared" si="5"/>
        <v>9411.2748039241851</v>
      </c>
      <c r="C63" s="170">
        <f t="shared" si="2"/>
        <v>58.820467524526151</v>
      </c>
      <c r="D63" s="170">
        <f t="shared" si="3"/>
        <v>1544.215420125375</v>
      </c>
      <c r="E63" s="170">
        <f t="shared" si="6"/>
        <v>1603.035887649901</v>
      </c>
      <c r="F63" s="170"/>
      <c r="G63" s="170">
        <f t="shared" si="8"/>
        <v>4809.1076629497029</v>
      </c>
      <c r="H63" s="170">
        <f t="shared" si="9"/>
        <v>4661.6606204183245</v>
      </c>
      <c r="I63" s="174">
        <f t="shared" si="7"/>
        <v>9</v>
      </c>
      <c r="J63" s="768"/>
      <c r="K63" s="771"/>
      <c r="L63" s="768"/>
    </row>
    <row r="64" spans="1:12" ht="19.5" x14ac:dyDescent="0.25">
      <c r="A64" s="169">
        <f t="shared" si="4"/>
        <v>8</v>
      </c>
      <c r="B64" s="170">
        <f t="shared" si="5"/>
        <v>7867.0593837988099</v>
      </c>
      <c r="C64" s="170">
        <f t="shared" si="2"/>
        <v>49.169121148742555</v>
      </c>
      <c r="D64" s="170">
        <f t="shared" si="3"/>
        <v>1553.8667665011585</v>
      </c>
      <c r="E64" s="170">
        <f t="shared" si="6"/>
        <v>1603.035887649901</v>
      </c>
      <c r="F64" s="170"/>
      <c r="G64" s="170"/>
      <c r="H64" s="170"/>
      <c r="I64" s="174">
        <f t="shared" si="7"/>
        <v>10</v>
      </c>
      <c r="J64" s="766">
        <f>SUM(C64:C66)</f>
        <v>118.3116636537645</v>
      </c>
      <c r="K64" s="769">
        <f>SUM(D64:D66)</f>
        <v>4690.7959992959386</v>
      </c>
      <c r="L64" s="766">
        <f>SUM(E64:E66)</f>
        <v>4809.1076629497029</v>
      </c>
    </row>
    <row r="65" spans="1:12" ht="19.5" x14ac:dyDescent="0.25">
      <c r="A65" s="169">
        <f t="shared" si="4"/>
        <v>9</v>
      </c>
      <c r="B65" s="170">
        <f t="shared" si="5"/>
        <v>6313.1926172976509</v>
      </c>
      <c r="C65" s="170">
        <f t="shared" si="2"/>
        <v>39.457453858110313</v>
      </c>
      <c r="D65" s="170">
        <f t="shared" si="3"/>
        <v>1563.5784337917908</v>
      </c>
      <c r="E65" s="170">
        <f t="shared" si="6"/>
        <v>1603.035887649901</v>
      </c>
      <c r="F65" s="170"/>
      <c r="G65" s="170"/>
      <c r="H65" s="170"/>
      <c r="I65" s="174">
        <f t="shared" si="7"/>
        <v>11</v>
      </c>
      <c r="J65" s="767"/>
      <c r="K65" s="770"/>
      <c r="L65" s="767"/>
    </row>
    <row r="66" spans="1:12" ht="19.5" x14ac:dyDescent="0.25">
      <c r="A66" s="169">
        <f t="shared" si="4"/>
        <v>10</v>
      </c>
      <c r="B66" s="170">
        <f t="shared" si="5"/>
        <v>4749.6141835058606</v>
      </c>
      <c r="C66" s="170">
        <f t="shared" si="2"/>
        <v>29.685088646911627</v>
      </c>
      <c r="D66" s="170">
        <f t="shared" si="3"/>
        <v>1573.3507990029893</v>
      </c>
      <c r="E66" s="170">
        <f t="shared" si="6"/>
        <v>1603.035887649901</v>
      </c>
      <c r="F66" s="170"/>
      <c r="G66" s="170">
        <f t="shared" si="8"/>
        <v>4809.1076629497029</v>
      </c>
      <c r="H66" s="170">
        <f t="shared" si="9"/>
        <v>4749.6141835058606</v>
      </c>
      <c r="I66" s="174">
        <f t="shared" si="7"/>
        <v>12</v>
      </c>
      <c r="J66" s="768"/>
      <c r="K66" s="771"/>
      <c r="L66" s="768"/>
    </row>
    <row r="67" spans="1:12" ht="19.5" x14ac:dyDescent="0.25">
      <c r="A67" s="169">
        <f t="shared" si="4"/>
        <v>11</v>
      </c>
      <c r="B67" s="170">
        <f t="shared" si="5"/>
        <v>3176.2633845028713</v>
      </c>
      <c r="C67" s="170">
        <f t="shared" si="2"/>
        <v>19.851646153142944</v>
      </c>
      <c r="D67" s="170">
        <f t="shared" si="3"/>
        <v>1583.1842414967582</v>
      </c>
      <c r="E67" s="170">
        <f t="shared" si="6"/>
        <v>1603.035887649901</v>
      </c>
      <c r="F67" s="170"/>
      <c r="G67" s="170"/>
      <c r="H67" s="170"/>
      <c r="I67" s="174">
        <v>1</v>
      </c>
      <c r="J67" s="772">
        <f>SUM(C67:C68)</f>
        <v>29.80839079693115</v>
      </c>
      <c r="K67" s="769">
        <f>SUM(D67:D69)</f>
        <v>3176.2633845028713</v>
      </c>
      <c r="L67" s="766">
        <f>SUM(E67:E69)</f>
        <v>3206.0717752998021</v>
      </c>
    </row>
    <row r="68" spans="1:12" ht="19.5" x14ac:dyDescent="0.25">
      <c r="A68" s="169">
        <f t="shared" si="4"/>
        <v>12</v>
      </c>
      <c r="B68" s="170">
        <f t="shared" si="5"/>
        <v>1593.0791430061131</v>
      </c>
      <c r="C68" s="170">
        <f t="shared" si="2"/>
        <v>9.9567446437882055</v>
      </c>
      <c r="D68" s="170">
        <f t="shared" si="3"/>
        <v>1593.0791430061129</v>
      </c>
      <c r="E68" s="170">
        <f t="shared" si="6"/>
        <v>1603.035887649901</v>
      </c>
      <c r="F68" s="170">
        <f>SUM(E61:E68)</f>
        <v>12824.287101199208</v>
      </c>
      <c r="G68" s="170"/>
      <c r="H68" s="170"/>
      <c r="I68" s="174">
        <f t="shared" si="7"/>
        <v>2</v>
      </c>
      <c r="J68" s="773"/>
      <c r="K68" s="771"/>
      <c r="L68" s="768"/>
    </row>
    <row r="69" spans="1:12" ht="19.5" x14ac:dyDescent="0.25">
      <c r="A69" s="169"/>
      <c r="B69" s="170">
        <f t="shared" si="5"/>
        <v>0</v>
      </c>
      <c r="C69" s="170">
        <f t="shared" si="2"/>
        <v>0</v>
      </c>
      <c r="D69" s="170">
        <f t="shared" si="3"/>
        <v>0</v>
      </c>
      <c r="E69" s="170"/>
      <c r="F69" s="68"/>
      <c r="G69" s="170">
        <f>SUM(E69:E69)</f>
        <v>0</v>
      </c>
      <c r="H69" s="170">
        <f>SUM(D69:D69)</f>
        <v>0</v>
      </c>
      <c r="I69" s="174"/>
      <c r="J69" s="175">
        <f>SUM(J9:J68)</f>
        <v>16182.153258994071</v>
      </c>
      <c r="K69" s="175">
        <f t="shared" ref="K69:L69" si="10">SUM(K9:K68)</f>
        <v>79999.999999999985</v>
      </c>
      <c r="L69" s="175">
        <f t="shared" si="10"/>
        <v>96182.153258994033</v>
      </c>
    </row>
    <row r="70" spans="1:12" ht="19.5" x14ac:dyDescent="0.25">
      <c r="A70" s="169"/>
      <c r="B70" s="170"/>
      <c r="C70" s="170"/>
      <c r="D70" s="170">
        <f t="shared" si="3"/>
        <v>96182.153258993931</v>
      </c>
      <c r="E70" s="170">
        <f>SUM(E9:E69)</f>
        <v>96182.153258993931</v>
      </c>
      <c r="F70" s="170">
        <f t="shared" ref="F70:H70" si="11">SUM(F9:F69)</f>
        <v>96182.153258994062</v>
      </c>
      <c r="G70" s="170">
        <f t="shared" si="11"/>
        <v>96182.153258994018</v>
      </c>
      <c r="H70" s="170">
        <f t="shared" si="11"/>
        <v>79999.999999999985</v>
      </c>
      <c r="I70" s="176"/>
      <c r="J70" s="177"/>
      <c r="K70" s="178"/>
      <c r="L70" s="10"/>
    </row>
    <row r="71" spans="1:12" x14ac:dyDescent="0.25">
      <c r="L71" s="10"/>
    </row>
  </sheetData>
  <mergeCells count="61">
    <mergeCell ref="A1:B1"/>
    <mergeCell ref="J10:J12"/>
    <mergeCell ref="K10:K12"/>
    <mergeCell ref="L10:L12"/>
    <mergeCell ref="J13:J15"/>
    <mergeCell ref="K13:K15"/>
    <mergeCell ref="L13:L15"/>
    <mergeCell ref="J16:J18"/>
    <mergeCell ref="K16:K18"/>
    <mergeCell ref="L16:L18"/>
    <mergeCell ref="J19:J21"/>
    <mergeCell ref="K19:K21"/>
    <mergeCell ref="L19:L21"/>
    <mergeCell ref="J22:J24"/>
    <mergeCell ref="K22:K24"/>
    <mergeCell ref="L22:L24"/>
    <mergeCell ref="J25:J27"/>
    <mergeCell ref="K25:K27"/>
    <mergeCell ref="L25:L27"/>
    <mergeCell ref="J28:J30"/>
    <mergeCell ref="K28:K30"/>
    <mergeCell ref="L28:L30"/>
    <mergeCell ref="J31:J33"/>
    <mergeCell ref="K31:K33"/>
    <mergeCell ref="L31:L33"/>
    <mergeCell ref="J34:J36"/>
    <mergeCell ref="K34:K36"/>
    <mergeCell ref="L34:L36"/>
    <mergeCell ref="J37:J39"/>
    <mergeCell ref="K37:K39"/>
    <mergeCell ref="L37:L39"/>
    <mergeCell ref="J40:J42"/>
    <mergeCell ref="K40:K42"/>
    <mergeCell ref="L40:L42"/>
    <mergeCell ref="J43:J45"/>
    <mergeCell ref="K43:K45"/>
    <mergeCell ref="L43:L45"/>
    <mergeCell ref="J46:J48"/>
    <mergeCell ref="K46:K48"/>
    <mergeCell ref="L46:L48"/>
    <mergeCell ref="J49:J51"/>
    <mergeCell ref="K49:K51"/>
    <mergeCell ref="L49:L51"/>
    <mergeCell ref="J52:J54"/>
    <mergeCell ref="K52:K54"/>
    <mergeCell ref="L52:L54"/>
    <mergeCell ref="J55:J57"/>
    <mergeCell ref="K55:K57"/>
    <mergeCell ref="L55:L57"/>
    <mergeCell ref="J58:J60"/>
    <mergeCell ref="K58:K60"/>
    <mergeCell ref="L58:L60"/>
    <mergeCell ref="J61:J63"/>
    <mergeCell ref="K61:K63"/>
    <mergeCell ref="L61:L63"/>
    <mergeCell ref="J64:J66"/>
    <mergeCell ref="K64:K66"/>
    <mergeCell ref="L64:L66"/>
    <mergeCell ref="J67:J68"/>
    <mergeCell ref="K67:K68"/>
    <mergeCell ref="L67:L68"/>
  </mergeCells>
  <pageMargins left="0.7" right="0.7" top="0.75" bottom="0.75" header="0.3" footer="0.3"/>
  <pageSetup paperSize="8" scale="62" firstPageNumber="2147483648" orientation="portrait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theme="0"/>
    <pageSetUpPr fitToPage="1"/>
  </sheetPr>
  <dimension ref="A1:AD38"/>
  <sheetViews>
    <sheetView topLeftCell="A19" zoomScale="60" zoomScaleNormal="60" workbookViewId="0">
      <selection activeCell="B26" sqref="B26"/>
    </sheetView>
  </sheetViews>
  <sheetFormatPr defaultColWidth="9.140625" defaultRowHeight="15" x14ac:dyDescent="0.25"/>
  <cols>
    <col min="1" max="1" width="21.85546875" style="221" customWidth="1"/>
    <col min="2" max="2" width="19.85546875" style="221" customWidth="1"/>
    <col min="3" max="10" width="14.28515625" style="221" customWidth="1"/>
    <col min="11" max="11" width="17.42578125" style="221" customWidth="1"/>
    <col min="12" max="12" width="18.28515625" style="221" customWidth="1"/>
    <col min="13" max="14" width="24.28515625" style="221" customWidth="1"/>
    <col min="15" max="15" width="23.5703125" style="221" customWidth="1"/>
    <col min="16" max="16" width="16.85546875" style="221" customWidth="1"/>
    <col min="17" max="18" width="13.42578125" style="221" customWidth="1"/>
    <col min="19" max="19" width="14" style="221" customWidth="1"/>
    <col min="20" max="20" width="12.7109375" style="221" customWidth="1"/>
    <col min="21" max="21" width="13.85546875" style="221" customWidth="1"/>
    <col min="22" max="22" width="12.28515625" style="221" customWidth="1"/>
    <col min="23" max="23" width="13.42578125" style="221" customWidth="1"/>
    <col min="24" max="24" width="12.42578125" style="221" customWidth="1"/>
    <col min="25" max="25" width="14.140625" style="221" customWidth="1"/>
    <col min="26" max="26" width="12.42578125" style="221" customWidth="1"/>
    <col min="27" max="27" width="13.140625" style="221" customWidth="1"/>
    <col min="28" max="28" width="12.7109375" style="221" customWidth="1"/>
    <col min="29" max="16384" width="9.140625" style="221"/>
  </cols>
  <sheetData>
    <row r="1" spans="1:20" ht="26.25" x14ac:dyDescent="0.4">
      <c r="A1" s="776"/>
      <c r="B1" s="776"/>
      <c r="C1" s="776"/>
      <c r="D1" s="776"/>
      <c r="E1" s="776"/>
      <c r="F1" s="776"/>
      <c r="G1" s="776"/>
    </row>
    <row r="2" spans="1:20" x14ac:dyDescent="0.25">
      <c r="A2" s="396" t="s">
        <v>374</v>
      </c>
      <c r="B2" s="395">
        <f>допущения!C43</f>
        <v>0.16415094339622635</v>
      </c>
      <c r="C2" s="235"/>
      <c r="D2" s="236"/>
      <c r="E2" s="236"/>
      <c r="F2" s="236"/>
    </row>
    <row r="3" spans="1:20" ht="24.75" customHeight="1" x14ac:dyDescent="0.25">
      <c r="A3" s="267" t="s">
        <v>375</v>
      </c>
      <c r="B3" s="237">
        <v>0</v>
      </c>
      <c r="C3" s="237">
        <f>B3+1</f>
        <v>1</v>
      </c>
      <c r="D3" s="237">
        <f t="shared" ref="D3:L3" si="0">C3+1</f>
        <v>2</v>
      </c>
      <c r="E3" s="237">
        <f t="shared" si="0"/>
        <v>3</v>
      </c>
      <c r="F3" s="237">
        <f t="shared" si="0"/>
        <v>4</v>
      </c>
      <c r="G3" s="237">
        <f t="shared" si="0"/>
        <v>5</v>
      </c>
      <c r="H3" s="237">
        <f t="shared" si="0"/>
        <v>6</v>
      </c>
      <c r="I3" s="237">
        <f t="shared" si="0"/>
        <v>7</v>
      </c>
      <c r="J3" s="237">
        <f t="shared" si="0"/>
        <v>8</v>
      </c>
      <c r="K3" s="237">
        <f t="shared" si="0"/>
        <v>9</v>
      </c>
      <c r="L3" s="237">
        <f t="shared" si="0"/>
        <v>10</v>
      </c>
      <c r="M3" s="236" t="s">
        <v>264</v>
      </c>
      <c r="N3" s="236" t="s">
        <v>264</v>
      </c>
    </row>
    <row r="4" spans="1:20" x14ac:dyDescent="0.25">
      <c r="A4" s="391" t="s">
        <v>54</v>
      </c>
      <c r="B4" s="392" t="str">
        <f>'Расходы ТОР'!B24</f>
        <v>1 год</v>
      </c>
      <c r="C4" s="392" t="str">
        <f>'Фин результат ТОР'!C18</f>
        <v>2 год</v>
      </c>
      <c r="D4" s="392" t="str">
        <f>'Фин результат ТОР'!D18</f>
        <v>3 год</v>
      </c>
      <c r="E4" s="392" t="str">
        <f>'Фин результат ТОР'!E18</f>
        <v>4 год</v>
      </c>
      <c r="F4" s="392" t="str">
        <f>'Фин результат ТОР'!F18</f>
        <v>5 год</v>
      </c>
      <c r="G4" s="392" t="str">
        <f>'Фин результат ТОР'!G18</f>
        <v>6 год</v>
      </c>
      <c r="H4" s="392" t="str">
        <f>'Фин результат ТОР'!H18</f>
        <v>7 год</v>
      </c>
      <c r="I4" s="392" t="str">
        <f>'Фин результат ТОР'!I18</f>
        <v>8 год</v>
      </c>
      <c r="J4" s="392" t="str">
        <f>'Фин результат ТОР'!J18</f>
        <v>9 год</v>
      </c>
      <c r="K4" s="392" t="str">
        <f>'Фин результат ТОР'!K18</f>
        <v>10 год</v>
      </c>
      <c r="L4" s="392" t="str">
        <f>'Фин результат ТОР'!L18</f>
        <v>11 год</v>
      </c>
      <c r="M4" s="393" t="s">
        <v>21</v>
      </c>
      <c r="N4" s="394" t="s">
        <v>265</v>
      </c>
    </row>
    <row r="5" spans="1:20" x14ac:dyDescent="0.25">
      <c r="A5" s="234" t="str">
        <f>'Фин результат ТОР'!A19</f>
        <v>Выручка</v>
      </c>
      <c r="B5" s="238">
        <f>'Фин результат ТОР'!B19</f>
        <v>30936.666666666668</v>
      </c>
      <c r="C5" s="238">
        <f>'Фин результат ТОР'!C19</f>
        <v>160549.04000000004</v>
      </c>
      <c r="D5" s="238">
        <f>'Фин результат ТОР'!D19</f>
        <v>168611.18239999999</v>
      </c>
      <c r="E5" s="238">
        <f>'Фин результат ТОР'!E19</f>
        <v>178727.853344</v>
      </c>
      <c r="F5" s="238">
        <f>'Фин результат ТОР'!F19</f>
        <v>189451.52454464001</v>
      </c>
      <c r="G5" s="239">
        <f>'Фин результат ТОР'!G19</f>
        <v>200818.61601731842</v>
      </c>
      <c r="H5" s="238">
        <f>'Фин результат ТОР'!H19</f>
        <v>212867.73297835756</v>
      </c>
      <c r="I5" s="238">
        <f>'Фин результат ТОР'!I19</f>
        <v>225639.79695705901</v>
      </c>
      <c r="J5" s="238">
        <f>'Фин результат ТОР'!J19</f>
        <v>239178.18477448256</v>
      </c>
      <c r="K5" s="238">
        <f>'Фин результат ТОР'!K19</f>
        <v>261039.7255273707</v>
      </c>
      <c r="L5" s="239">
        <f>'Фин результат ТОР'!L19</f>
        <v>271244.22496808169</v>
      </c>
      <c r="M5" s="240">
        <f>SUM(B5:L5)</f>
        <v>2139064.5481779771</v>
      </c>
      <c r="N5" s="240">
        <f>AVERAGE(B5:K5)</f>
        <v>186782.03232098953</v>
      </c>
    </row>
    <row r="6" spans="1:20" ht="30" x14ac:dyDescent="0.25">
      <c r="A6" s="234" t="str">
        <f>'Фин результат ТОР'!A20</f>
        <v>Расходы основной деятельности</v>
      </c>
      <c r="B6" s="238">
        <f>'Фин результат ТОР'!B20</f>
        <v>34561.056744157569</v>
      </c>
      <c r="C6" s="238">
        <f>'Фин результат ТОР'!C20</f>
        <v>97325.088348181831</v>
      </c>
      <c r="D6" s="238">
        <f>'Фин результат ТОР'!D20</f>
        <v>101853.7292466778</v>
      </c>
      <c r="E6" s="238">
        <f>'Фин результат ТОР'!E20</f>
        <v>106737.38295908358</v>
      </c>
      <c r="F6" s="238">
        <f>'Фин результат ТОР'!F20</f>
        <v>112380.05705903369</v>
      </c>
      <c r="G6" s="239">
        <f>'Фин результат ТОР'!G20</f>
        <v>118661.09660498079</v>
      </c>
      <c r="H6" s="238">
        <f>'Фин результат ТОР'!H20</f>
        <v>125862.67022368476</v>
      </c>
      <c r="I6" s="238">
        <f>'Фин результат ТОР'!I20</f>
        <v>132368.95061562074</v>
      </c>
      <c r="J6" s="238">
        <f>'Фин результат ТОР'!J20</f>
        <v>139422.76577496305</v>
      </c>
      <c r="K6" s="238">
        <f>'Фин результат ТОР'!K20</f>
        <v>148549.83129074503</v>
      </c>
      <c r="L6" s="238">
        <f>'Фин результат ТОР'!L20</f>
        <v>146690.57220200979</v>
      </c>
      <c r="M6" s="240">
        <f t="shared" ref="M6:M12" si="1">SUM(B6:L6)</f>
        <v>1264413.2010691387</v>
      </c>
      <c r="N6" s="240">
        <f t="shared" ref="N6:N12" si="2">AVERAGE(B6:K6)</f>
        <v>111772.26288671288</v>
      </c>
    </row>
    <row r="7" spans="1:20" ht="30.75" customHeight="1" x14ac:dyDescent="0.25">
      <c r="A7" s="234" t="str">
        <f>'Фин результат ТОР'!A26</f>
        <v>Чистая прибыль (убыток)</v>
      </c>
      <c r="B7" s="238">
        <f>'Фин результат ТОР'!B26</f>
        <v>-8308.9337748751313</v>
      </c>
      <c r="C7" s="239">
        <f>'Фин результат ТОР'!C26</f>
        <v>58569.372932871018</v>
      </c>
      <c r="D7" s="239">
        <f>'Фин результат ТОР'!D26</f>
        <v>63234.901496056118</v>
      </c>
      <c r="E7" s="239">
        <f>'Фин результат ТОР'!E26</f>
        <v>69687.827992105114</v>
      </c>
      <c r="F7" s="238">
        <f>'Фин результат ТОР'!F26</f>
        <v>76083.439083817924</v>
      </c>
      <c r="G7" s="239">
        <f>'Фин результат ТОР'!G26</f>
        <v>76046.481157660179</v>
      </c>
      <c r="H7" s="238">
        <f>'Фин результат ТОР'!H26</f>
        <v>80670.005241648061</v>
      </c>
      <c r="I7" s="238">
        <f>'Фин результат ТОР'!I26</f>
        <v>86414.580255053865</v>
      </c>
      <c r="J7" s="238">
        <f>'Фин результат ТОР'!J26</f>
        <v>92365.967962640629</v>
      </c>
      <c r="K7" s="238">
        <f>'Фин результат ТОР'!K26</f>
        <v>99108.600128230581</v>
      </c>
      <c r="L7" s="238">
        <f>'Фин результат ТОР'!L26</f>
        <v>115025.08833174614</v>
      </c>
      <c r="M7" s="240">
        <f t="shared" si="1"/>
        <v>808897.33080695453</v>
      </c>
      <c r="N7" s="240">
        <f t="shared" si="2"/>
        <v>69387.224247520833</v>
      </c>
      <c r="T7" s="241"/>
    </row>
    <row r="8" spans="1:20" ht="33" customHeight="1" x14ac:dyDescent="0.25">
      <c r="A8" s="234" t="str">
        <f>'Фин результат ТОР'!A27</f>
        <v>На выплату основного долга</v>
      </c>
      <c r="B8" s="238">
        <f>'Фин результат ТОР'!B27</f>
        <v>11345.815179114788</v>
      </c>
      <c r="C8" s="238">
        <f>'Фин результат ТОР'!C27</f>
        <v>14581.851932851647</v>
      </c>
      <c r="D8" s="239">
        <f>'Фин результат ТОР'!D27</f>
        <v>15713.878994532746</v>
      </c>
      <c r="E8" s="239">
        <f>'Фин результат ТОР'!E27</f>
        <v>16933.788258987504</v>
      </c>
      <c r="F8" s="239">
        <f>'Фин результат ТОР'!F27</f>
        <v>18248.402250010433</v>
      </c>
      <c r="G8" s="239">
        <f>'Фин результат ТОР'!G27</f>
        <v>3176.2633845028713</v>
      </c>
      <c r="H8" s="238">
        <f>'Фин результат ТОР'!H27</f>
        <v>0</v>
      </c>
      <c r="I8" s="238">
        <f>'Фин результат ТОР'!I27</f>
        <v>0</v>
      </c>
      <c r="J8" s="238">
        <f>'Фин результат ТОР'!J27</f>
        <v>0</v>
      </c>
      <c r="K8" s="238">
        <f>'Фин результат ТОР'!K27</f>
        <v>0</v>
      </c>
      <c r="L8" s="238">
        <f>'Фин результат ТОР'!L27</f>
        <v>0</v>
      </c>
      <c r="M8" s="240">
        <f t="shared" si="1"/>
        <v>80000</v>
      </c>
      <c r="N8" s="240">
        <f t="shared" si="2"/>
        <v>8000</v>
      </c>
    </row>
    <row r="9" spans="1:20" ht="29.25" customHeight="1" x14ac:dyDescent="0.25">
      <c r="A9" s="234" t="str">
        <f>'Фин результат ТОР'!A21</f>
        <v>Расходование инвестиций</v>
      </c>
      <c r="B9" s="238">
        <f>'Расходы на П, строит-во, ввод'!AA12</f>
        <v>113500</v>
      </c>
      <c r="C9" s="238">
        <f>'Фин результат ТОР'!C21</f>
        <v>0</v>
      </c>
      <c r="D9" s="238">
        <f>'Фин результат ТОР'!D21</f>
        <v>0</v>
      </c>
      <c r="E9" s="238">
        <f>'Фин результат ТОР'!E21</f>
        <v>0</v>
      </c>
      <c r="F9" s="238">
        <f>'Фин результат ТОР'!F21</f>
        <v>0</v>
      </c>
      <c r="G9" s="239">
        <f>'Фин результат ТОР'!G21</f>
        <v>0</v>
      </c>
      <c r="H9" s="238">
        <f>'Фин результат ТОР'!H21</f>
        <v>0</v>
      </c>
      <c r="I9" s="238">
        <f>'Фин результат ТОР'!I21</f>
        <v>0</v>
      </c>
      <c r="J9" s="238">
        <f>'Фин результат ТОР'!J21</f>
        <v>0</v>
      </c>
      <c r="K9" s="238">
        <f>'Фин результат ТОР'!K21</f>
        <v>0</v>
      </c>
      <c r="L9" s="238">
        <f>'Фин результат ТОР'!L21</f>
        <v>0</v>
      </c>
      <c r="M9" s="240">
        <f t="shared" si="1"/>
        <v>113500</v>
      </c>
      <c r="N9" s="240">
        <f t="shared" si="2"/>
        <v>11350</v>
      </c>
      <c r="T9" s="241"/>
    </row>
    <row r="10" spans="1:20" ht="29.25" customHeight="1" x14ac:dyDescent="0.25">
      <c r="A10" s="399" t="s">
        <v>266</v>
      </c>
      <c r="B10" s="400"/>
      <c r="C10" s="400"/>
      <c r="D10" s="400"/>
      <c r="E10" s="400"/>
      <c r="F10" s="400"/>
      <c r="G10" s="401"/>
      <c r="H10" s="400"/>
      <c r="I10" s="400"/>
      <c r="J10" s="400"/>
      <c r="K10" s="400"/>
      <c r="L10" s="400"/>
      <c r="M10" s="240">
        <f t="shared" si="1"/>
        <v>0</v>
      </c>
      <c r="N10" s="240"/>
      <c r="T10" s="241"/>
    </row>
    <row r="11" spans="1:20" ht="29.25" customHeight="1" x14ac:dyDescent="0.25">
      <c r="A11" s="234" t="s">
        <v>267</v>
      </c>
      <c r="B11" s="238">
        <f>B9</f>
        <v>113500</v>
      </c>
      <c r="C11" s="238">
        <f>C9</f>
        <v>0</v>
      </c>
      <c r="D11" s="238">
        <f>D9/(1+$B$2)^C3</f>
        <v>0</v>
      </c>
      <c r="E11" s="238">
        <f t="shared" ref="E11:L11" si="3">E9/(1+$B$2)^D3</f>
        <v>0</v>
      </c>
      <c r="F11" s="238">
        <f t="shared" si="3"/>
        <v>0</v>
      </c>
      <c r="G11" s="239">
        <f t="shared" si="3"/>
        <v>0</v>
      </c>
      <c r="H11" s="238">
        <f t="shared" si="3"/>
        <v>0</v>
      </c>
      <c r="I11" s="238">
        <f t="shared" si="3"/>
        <v>0</v>
      </c>
      <c r="J11" s="238">
        <f t="shared" si="3"/>
        <v>0</v>
      </c>
      <c r="K11" s="238">
        <f t="shared" si="3"/>
        <v>0</v>
      </c>
      <c r="L11" s="238">
        <f t="shared" si="3"/>
        <v>0</v>
      </c>
      <c r="M11" s="240">
        <f t="shared" si="1"/>
        <v>113500</v>
      </c>
      <c r="N11" s="240">
        <f t="shared" si="2"/>
        <v>11350</v>
      </c>
    </row>
    <row r="12" spans="1:20" ht="42.75" customHeight="1" x14ac:dyDescent="0.25">
      <c r="A12" s="654" t="s">
        <v>268</v>
      </c>
      <c r="B12" s="549">
        <f>B7</f>
        <v>-8308.9337748751313</v>
      </c>
      <c r="C12" s="549">
        <f>C7/(1+$B$2)^C3</f>
        <v>50310.806571185807</v>
      </c>
      <c r="D12" s="549">
        <f t="shared" ref="D12:L12" si="4">D7/(1+$B$2)^D3</f>
        <v>46659.304130779106</v>
      </c>
      <c r="E12" s="549">
        <f t="shared" si="4"/>
        <v>44170.167429813388</v>
      </c>
      <c r="F12" s="549">
        <f t="shared" si="4"/>
        <v>41424.088162363805</v>
      </c>
      <c r="G12" s="549">
        <f t="shared" si="4"/>
        <v>35565.80564660301</v>
      </c>
      <c r="H12" s="549">
        <f t="shared" si="4"/>
        <v>32408.305086121807</v>
      </c>
      <c r="I12" s="549">
        <f t="shared" si="4"/>
        <v>29820.983589371161</v>
      </c>
      <c r="J12" s="549">
        <f t="shared" si="4"/>
        <v>27380.263943852937</v>
      </c>
      <c r="K12" s="549">
        <f t="shared" si="4"/>
        <v>25236.416830296454</v>
      </c>
      <c r="L12" s="549">
        <f t="shared" si="4"/>
        <v>25159.36241724683</v>
      </c>
      <c r="M12" s="240">
        <f t="shared" si="1"/>
        <v>349826.57003275916</v>
      </c>
      <c r="N12" s="240">
        <f t="shared" si="2"/>
        <v>32466.720761551231</v>
      </c>
    </row>
    <row r="13" spans="1:20" ht="29.25" customHeight="1" x14ac:dyDescent="0.25">
      <c r="A13" s="655" t="s">
        <v>493</v>
      </c>
      <c r="B13" s="551">
        <f>B7-B9</f>
        <v>-121808.93377487513</v>
      </c>
      <c r="C13" s="551">
        <f>C7-C9</f>
        <v>58569.372932871018</v>
      </c>
      <c r="D13" s="551">
        <f t="shared" ref="D13:L13" si="5">D7-D9</f>
        <v>63234.901496056118</v>
      </c>
      <c r="E13" s="551">
        <f t="shared" si="5"/>
        <v>69687.827992105114</v>
      </c>
      <c r="F13" s="551">
        <f t="shared" si="5"/>
        <v>76083.439083817924</v>
      </c>
      <c r="G13" s="551">
        <f t="shared" si="5"/>
        <v>76046.481157660179</v>
      </c>
      <c r="H13" s="551">
        <f t="shared" si="5"/>
        <v>80670.005241648061</v>
      </c>
      <c r="I13" s="551">
        <f t="shared" si="5"/>
        <v>86414.580255053865</v>
      </c>
      <c r="J13" s="551">
        <f t="shared" si="5"/>
        <v>92365.967962640629</v>
      </c>
      <c r="K13" s="551">
        <f t="shared" si="5"/>
        <v>99108.600128230581</v>
      </c>
      <c r="L13" s="551">
        <f t="shared" si="5"/>
        <v>115025.08833174614</v>
      </c>
      <c r="M13" s="548"/>
      <c r="N13" s="548"/>
    </row>
    <row r="14" spans="1:20" ht="29.25" customHeight="1" x14ac:dyDescent="0.25">
      <c r="A14" s="550" t="s">
        <v>492</v>
      </c>
      <c r="B14" s="551">
        <v>1</v>
      </c>
      <c r="C14" s="551">
        <f>B14/(1+$B$2)</f>
        <v>0.85899513776337122</v>
      </c>
      <c r="D14" s="551">
        <f>C14/(1+$B$2)</f>
        <v>0.73787264670111319</v>
      </c>
      <c r="E14" s="551">
        <f>D14/(1+$B$2)</f>
        <v>0.63382901580484607</v>
      </c>
      <c r="F14" s="551">
        <f t="shared" ref="F14:K14" si="6">E14/(1+$B$2)</f>
        <v>0.54445604274970583</v>
      </c>
      <c r="G14" s="551">
        <f t="shared" si="6"/>
        <v>0.4676850934478835</v>
      </c>
      <c r="H14" s="551">
        <f>G14/(1+$B$2)</f>
        <v>0.40173922127613987</v>
      </c>
      <c r="I14" s="551">
        <f t="shared" si="6"/>
        <v>0.34509203772504726</v>
      </c>
      <c r="J14" s="551">
        <f t="shared" si="6"/>
        <v>0.29643238248666948</v>
      </c>
      <c r="K14" s="551">
        <f t="shared" si="6"/>
        <v>0.25463397523166104</v>
      </c>
      <c r="L14" s="551">
        <f>K14/(1+$B$2)</f>
        <v>0.21872934663335553</v>
      </c>
      <c r="M14" s="548"/>
      <c r="N14" s="548"/>
    </row>
    <row r="15" spans="1:20" ht="54.75" customHeight="1" x14ac:dyDescent="0.25">
      <c r="A15" s="679" t="s">
        <v>497</v>
      </c>
      <c r="B15" s="551">
        <f>B13*B14</f>
        <v>-121808.93377487513</v>
      </c>
      <c r="C15" s="551">
        <f>C13*C14</f>
        <v>50310.806571185807</v>
      </c>
      <c r="D15" s="551">
        <f t="shared" ref="D15:L15" si="7">D13*D14</f>
        <v>46659.304130779106</v>
      </c>
      <c r="E15" s="551">
        <f t="shared" si="7"/>
        <v>44170.167429813388</v>
      </c>
      <c r="F15" s="551">
        <f t="shared" si="7"/>
        <v>41424.088162363812</v>
      </c>
      <c r="G15" s="551">
        <f t="shared" si="7"/>
        <v>35565.80564660301</v>
      </c>
      <c r="H15" s="551">
        <f t="shared" si="7"/>
        <v>32408.305086121814</v>
      </c>
      <c r="I15" s="551">
        <f t="shared" si="7"/>
        <v>29820.983589371172</v>
      </c>
      <c r="J15" s="551">
        <f t="shared" si="7"/>
        <v>27380.263943852944</v>
      </c>
      <c r="K15" s="551">
        <f t="shared" si="7"/>
        <v>25236.416830296464</v>
      </c>
      <c r="L15" s="551">
        <f t="shared" si="7"/>
        <v>25159.362417246841</v>
      </c>
      <c r="M15" s="548"/>
      <c r="N15" s="548"/>
    </row>
    <row r="16" spans="1:20" ht="43.5" customHeight="1" x14ac:dyDescent="0.25">
      <c r="A16" s="234" t="s">
        <v>269</v>
      </c>
      <c r="B16" s="238">
        <f>B12</f>
        <v>-8308.9337748751313</v>
      </c>
      <c r="C16" s="238">
        <f>C12</f>
        <v>50310.806571185807</v>
      </c>
      <c r="D16" s="238">
        <f>D12+C16</f>
        <v>96970.110701964906</v>
      </c>
      <c r="E16" s="238">
        <f t="shared" ref="E16:K16" si="8">E12+D16</f>
        <v>141140.27813177829</v>
      </c>
      <c r="F16" s="238">
        <f t="shared" si="8"/>
        <v>182564.36629414209</v>
      </c>
      <c r="G16" s="239">
        <f>G12+F16</f>
        <v>218130.17194074509</v>
      </c>
      <c r="H16" s="239">
        <f t="shared" si="8"/>
        <v>250538.47702686689</v>
      </c>
      <c r="I16" s="238">
        <f t="shared" si="8"/>
        <v>280359.46061623807</v>
      </c>
      <c r="J16" s="238">
        <f t="shared" si="8"/>
        <v>307739.72456009098</v>
      </c>
      <c r="K16" s="238">
        <f t="shared" si="8"/>
        <v>332976.14139038743</v>
      </c>
      <c r="L16" s="238">
        <f>L12+K16</f>
        <v>358135.50380763429</v>
      </c>
    </row>
    <row r="17" spans="1:30" ht="47.25" customHeight="1" x14ac:dyDescent="0.25">
      <c r="A17" s="658" t="s">
        <v>498</v>
      </c>
      <c r="B17" s="656">
        <f>B12-B11</f>
        <v>-121808.93377487513</v>
      </c>
      <c r="C17" s="656">
        <f>C12-C11</f>
        <v>50310.806571185807</v>
      </c>
      <c r="D17" s="656">
        <f t="shared" ref="D17:L17" si="9">D12-D11</f>
        <v>46659.304130779106</v>
      </c>
      <c r="E17" s="656">
        <f t="shared" si="9"/>
        <v>44170.167429813388</v>
      </c>
      <c r="F17" s="657">
        <f t="shared" si="9"/>
        <v>41424.088162363805</v>
      </c>
      <c r="G17" s="657">
        <f>G12-G11</f>
        <v>35565.80564660301</v>
      </c>
      <c r="H17" s="656">
        <f t="shared" si="9"/>
        <v>32408.305086121807</v>
      </c>
      <c r="I17" s="656">
        <f t="shared" si="9"/>
        <v>29820.983589371161</v>
      </c>
      <c r="J17" s="656">
        <f t="shared" si="9"/>
        <v>27380.263943852937</v>
      </c>
      <c r="K17" s="656">
        <f t="shared" si="9"/>
        <v>25236.416830296454</v>
      </c>
      <c r="L17" s="656">
        <f t="shared" si="9"/>
        <v>25159.36241724683</v>
      </c>
      <c r="P17" s="242"/>
      <c r="Q17" s="242"/>
      <c r="R17" s="242"/>
      <c r="S17" s="242"/>
      <c r="T17" s="242"/>
      <c r="U17" s="242"/>
      <c r="V17" s="242"/>
      <c r="W17" s="242"/>
      <c r="X17" s="242"/>
      <c r="Y17" s="242"/>
      <c r="Z17" s="242"/>
      <c r="AA17" s="242"/>
      <c r="AB17" s="242"/>
    </row>
    <row r="18" spans="1:30" ht="30" x14ac:dyDescent="0.25">
      <c r="A18" s="234" t="s">
        <v>270</v>
      </c>
      <c r="B18" s="238">
        <f>B7-B8-B9</f>
        <v>-133154.74895398991</v>
      </c>
      <c r="C18" s="238">
        <f>C7-C8-C9</f>
        <v>43987.521000019369</v>
      </c>
      <c r="D18" s="239">
        <f t="shared" ref="D18:L18" si="10">D7-D8-D9</f>
        <v>47521.022501523374</v>
      </c>
      <c r="E18" s="239">
        <f t="shared" si="10"/>
        <v>52754.039733117606</v>
      </c>
      <c r="F18" s="239">
        <f t="shared" si="10"/>
        <v>57835.036833807491</v>
      </c>
      <c r="G18" s="239">
        <f>G10+G7-G8-G9</f>
        <v>72870.217773157303</v>
      </c>
      <c r="H18" s="243">
        <f t="shared" si="10"/>
        <v>80670.005241648061</v>
      </c>
      <c r="I18" s="238">
        <f t="shared" si="10"/>
        <v>86414.580255053865</v>
      </c>
      <c r="J18" s="238">
        <f>J7-J8-J9</f>
        <v>92365.967962640629</v>
      </c>
      <c r="K18" s="238">
        <f t="shared" si="10"/>
        <v>99108.600128230581</v>
      </c>
      <c r="L18" s="238">
        <f t="shared" si="10"/>
        <v>115025.08833174614</v>
      </c>
      <c r="M18" s="241"/>
      <c r="P18" s="242"/>
      <c r="Q18" s="242"/>
      <c r="R18" s="242"/>
      <c r="S18" s="242"/>
      <c r="T18" s="242"/>
      <c r="U18" s="242"/>
      <c r="V18" s="242"/>
      <c r="W18" s="242"/>
      <c r="X18" s="242"/>
      <c r="Y18" s="242"/>
      <c r="Z18" s="242"/>
      <c r="AA18" s="242"/>
      <c r="AB18" s="242"/>
      <c r="AC18" s="241"/>
      <c r="AD18" s="241"/>
    </row>
    <row r="19" spans="1:30" ht="46.5" customHeight="1" x14ac:dyDescent="0.25">
      <c r="A19" s="234" t="s">
        <v>271</v>
      </c>
      <c r="B19" s="238">
        <f>B18</f>
        <v>-133154.74895398991</v>
      </c>
      <c r="C19" s="238">
        <f>C18+B19</f>
        <v>-89167.227953970549</v>
      </c>
      <c r="D19" s="238">
        <f t="shared" ref="D19:L19" si="11">C19+D18</f>
        <v>-41646.205452447175</v>
      </c>
      <c r="E19" s="678">
        <f t="shared" si="11"/>
        <v>11107.834280670431</v>
      </c>
      <c r="F19" s="243">
        <f t="shared" si="11"/>
        <v>68942.871114477923</v>
      </c>
      <c r="G19" s="243">
        <f t="shared" si="11"/>
        <v>141813.08888763521</v>
      </c>
      <c r="H19" s="243">
        <f t="shared" si="11"/>
        <v>222483.09412928327</v>
      </c>
      <c r="I19" s="243">
        <f t="shared" si="11"/>
        <v>308897.67438433715</v>
      </c>
      <c r="J19" s="239">
        <f t="shared" si="11"/>
        <v>401263.64234697778</v>
      </c>
      <c r="K19" s="239">
        <f t="shared" si="11"/>
        <v>500372.24247520836</v>
      </c>
      <c r="L19" s="239">
        <f t="shared" si="11"/>
        <v>615397.33080695453</v>
      </c>
    </row>
    <row r="20" spans="1:30" ht="45" x14ac:dyDescent="0.25">
      <c r="A20" s="234" t="s">
        <v>272</v>
      </c>
      <c r="B20" s="238">
        <f>B18</f>
        <v>-133154.74895398991</v>
      </c>
      <c r="C20" s="238">
        <f>C18</f>
        <v>43987.521000019369</v>
      </c>
      <c r="D20" s="238">
        <f t="shared" ref="D20:L20" si="12">D18/(1+$B$2)^C3</f>
        <v>40820.327270352333</v>
      </c>
      <c r="E20" s="238">
        <f t="shared" si="12"/>
        <v>38925.762922051174</v>
      </c>
      <c r="F20" s="238">
        <f t="shared" si="12"/>
        <v>36657.52447540922</v>
      </c>
      <c r="G20" s="239">
        <f t="shared" si="12"/>
        <v>39674.630403082498</v>
      </c>
      <c r="H20" s="238">
        <f t="shared" si="12"/>
        <v>37728.158939881425</v>
      </c>
      <c r="I20" s="239">
        <f t="shared" si="12"/>
        <v>34716.126178569823</v>
      </c>
      <c r="J20" s="238">
        <f t="shared" si="12"/>
        <v>31874.760100674073</v>
      </c>
      <c r="K20" s="239">
        <f t="shared" si="12"/>
        <v>29378.998460930019</v>
      </c>
      <c r="L20" s="239">
        <f t="shared" si="12"/>
        <v>29289.295493285459</v>
      </c>
    </row>
    <row r="21" spans="1:30" ht="51" customHeight="1" x14ac:dyDescent="0.25">
      <c r="A21" s="397" t="s">
        <v>499</v>
      </c>
      <c r="B21" s="659">
        <f>NPV(B2,C13:L13)+B13</f>
        <v>236326.57003275922</v>
      </c>
      <c r="C21" s="245" t="s">
        <v>273</v>
      </c>
      <c r="D21" s="246"/>
      <c r="E21" s="241"/>
      <c r="F21" s="248"/>
      <c r="G21" s="247"/>
      <c r="H21" s="247"/>
      <c r="I21" s="248"/>
      <c r="J21" s="247"/>
      <c r="K21" s="247"/>
      <c r="L21" s="247"/>
    </row>
    <row r="22" spans="1:30" ht="54" customHeight="1" x14ac:dyDescent="0.25">
      <c r="A22" s="397" t="s">
        <v>500</v>
      </c>
      <c r="B22" s="659">
        <f>SUM(B17:L17)</f>
        <v>236326.57003275919</v>
      </c>
      <c r="C22" s="250"/>
      <c r="D22" s="246"/>
      <c r="E22" s="241"/>
      <c r="F22" s="248"/>
      <c r="G22" s="247"/>
      <c r="H22" s="247"/>
      <c r="I22" s="248"/>
      <c r="J22" s="247"/>
      <c r="K22" s="247"/>
      <c r="L22" s="247"/>
    </row>
    <row r="23" spans="1:30" ht="30" x14ac:dyDescent="0.25">
      <c r="A23" s="244" t="s">
        <v>274</v>
      </c>
      <c r="B23" s="249">
        <f>M7/M5</f>
        <v>0.37815470855985206</v>
      </c>
      <c r="C23" s="250"/>
    </row>
    <row r="24" spans="1:30" ht="30" x14ac:dyDescent="0.25">
      <c r="A24" s="244" t="s">
        <v>275</v>
      </c>
      <c r="B24" s="249">
        <f>M7/M6</f>
        <v>0.63974128878358938</v>
      </c>
      <c r="C24" s="250"/>
    </row>
    <row r="25" spans="1:30" ht="36.75" customHeight="1" x14ac:dyDescent="0.25">
      <c r="A25" s="398" t="s">
        <v>276</v>
      </c>
      <c r="B25" s="251">
        <f>B21/M11</f>
        <v>2.0821724231961163</v>
      </c>
      <c r="C25" s="245" t="s">
        <v>277</v>
      </c>
    </row>
    <row r="26" spans="1:30" ht="34.5" customHeight="1" x14ac:dyDescent="0.25">
      <c r="A26" s="398" t="s">
        <v>278</v>
      </c>
      <c r="B26" s="252">
        <f>IRR(B18:L18,B2)</f>
        <v>0.41184438190553219</v>
      </c>
      <c r="C26" s="221" t="s">
        <v>279</v>
      </c>
    </row>
    <row r="27" spans="1:30" ht="45" customHeight="1" x14ac:dyDescent="0.25">
      <c r="A27" s="398" t="s">
        <v>514</v>
      </c>
      <c r="B27" s="253">
        <f>M9/N7+E3</f>
        <v>4.6357478084887553</v>
      </c>
    </row>
    <row r="28" spans="1:30" x14ac:dyDescent="0.25">
      <c r="A28" s="234"/>
      <c r="B28" s="254">
        <f>E3+(-F20+M11)/F19</f>
        <v>4.114581889068643</v>
      </c>
      <c r="D28" s="241"/>
      <c r="F28" s="241"/>
    </row>
    <row r="29" spans="1:30" ht="30" customHeight="1" x14ac:dyDescent="0.25">
      <c r="A29" s="244" t="s">
        <v>280</v>
      </c>
      <c r="B29" s="255">
        <f>SUM(C18:L18)</f>
        <v>748552.07976094447</v>
      </c>
    </row>
    <row r="30" spans="1:30" ht="45" x14ac:dyDescent="0.25">
      <c r="A30" s="244" t="s">
        <v>281</v>
      </c>
      <c r="B30" s="249">
        <f>N7/M9</f>
        <v>0.61134118279754035</v>
      </c>
    </row>
    <row r="31" spans="1:30" ht="31.5" customHeight="1" x14ac:dyDescent="0.25">
      <c r="A31" s="244" t="s">
        <v>282</v>
      </c>
      <c r="B31" s="249">
        <f>M7/M9</f>
        <v>7.1268487295766922</v>
      </c>
    </row>
    <row r="32" spans="1:30" ht="42.75" customHeight="1" x14ac:dyDescent="0.25"/>
    <row r="33" spans="1:12" x14ac:dyDescent="0.25">
      <c r="A33" s="257"/>
      <c r="B33" s="258" t="str">
        <f t="shared" ref="B33:L33" si="13">B4</f>
        <v>1 год</v>
      </c>
      <c r="C33" s="258" t="str">
        <f t="shared" si="13"/>
        <v>2 год</v>
      </c>
      <c r="D33" s="258" t="str">
        <f t="shared" si="13"/>
        <v>3 год</v>
      </c>
      <c r="E33" s="258" t="str">
        <f t="shared" si="13"/>
        <v>4 год</v>
      </c>
      <c r="F33" s="258" t="str">
        <f t="shared" si="13"/>
        <v>5 год</v>
      </c>
      <c r="G33" s="258" t="str">
        <f t="shared" si="13"/>
        <v>6 год</v>
      </c>
      <c r="H33" s="258" t="str">
        <f t="shared" si="13"/>
        <v>7 год</v>
      </c>
      <c r="I33" s="258" t="str">
        <f t="shared" si="13"/>
        <v>8 год</v>
      </c>
      <c r="J33" s="258" t="str">
        <f t="shared" si="13"/>
        <v>9 год</v>
      </c>
      <c r="K33" s="258" t="str">
        <f t="shared" si="13"/>
        <v>10 год</v>
      </c>
      <c r="L33" s="258" t="str">
        <f t="shared" si="13"/>
        <v>11 год</v>
      </c>
    </row>
    <row r="34" spans="1:12" ht="30" x14ac:dyDescent="0.25">
      <c r="A34" s="256" t="s">
        <v>355</v>
      </c>
      <c r="B34" s="259">
        <f t="shared" ref="B34:L34" si="14">B18/1000</f>
        <v>-133.15474895398992</v>
      </c>
      <c r="C34" s="259">
        <f t="shared" si="14"/>
        <v>43.98752100001937</v>
      </c>
      <c r="D34" s="259">
        <f t="shared" si="14"/>
        <v>47.521022501523376</v>
      </c>
      <c r="E34" s="259">
        <f t="shared" si="14"/>
        <v>52.754039733117608</v>
      </c>
      <c r="F34" s="259">
        <f t="shared" si="14"/>
        <v>57.835036833807493</v>
      </c>
      <c r="G34" s="259">
        <f t="shared" si="14"/>
        <v>72.870217773157307</v>
      </c>
      <c r="H34" s="259">
        <f t="shared" si="14"/>
        <v>80.670005241648056</v>
      </c>
      <c r="I34" s="259">
        <f t="shared" si="14"/>
        <v>86.414580255053863</v>
      </c>
      <c r="J34" s="259">
        <f t="shared" si="14"/>
        <v>92.365967962640624</v>
      </c>
      <c r="K34" s="259">
        <f t="shared" si="14"/>
        <v>99.108600128230577</v>
      </c>
      <c r="L34" s="259">
        <f t="shared" si="14"/>
        <v>115.02508833174615</v>
      </c>
    </row>
    <row r="37" spans="1:12" x14ac:dyDescent="0.25">
      <c r="A37" s="257"/>
      <c r="B37" s="258" t="str">
        <f>B33</f>
        <v>1 год</v>
      </c>
      <c r="C37" s="258" t="str">
        <f t="shared" ref="C37:L37" si="15">C33</f>
        <v>2 год</v>
      </c>
      <c r="D37" s="258" t="str">
        <f t="shared" si="15"/>
        <v>3 год</v>
      </c>
      <c r="E37" s="258" t="str">
        <f t="shared" si="15"/>
        <v>4 год</v>
      </c>
      <c r="F37" s="258" t="str">
        <f t="shared" si="15"/>
        <v>5 год</v>
      </c>
      <c r="G37" s="258" t="str">
        <f t="shared" si="15"/>
        <v>6 год</v>
      </c>
      <c r="H37" s="258" t="str">
        <f t="shared" si="15"/>
        <v>7 год</v>
      </c>
      <c r="I37" s="258" t="str">
        <f t="shared" si="15"/>
        <v>8 год</v>
      </c>
      <c r="J37" s="258" t="str">
        <f t="shared" si="15"/>
        <v>9 год</v>
      </c>
      <c r="K37" s="258" t="str">
        <f t="shared" si="15"/>
        <v>10 год</v>
      </c>
      <c r="L37" s="258" t="str">
        <f t="shared" si="15"/>
        <v>11 год</v>
      </c>
    </row>
    <row r="38" spans="1:12" ht="30" x14ac:dyDescent="0.25">
      <c r="A38" s="446" t="s">
        <v>396</v>
      </c>
      <c r="B38" s="259">
        <f>B7/1000</f>
        <v>-8.3089337748751309</v>
      </c>
      <c r="C38" s="259">
        <f t="shared" ref="C38:L38" si="16">C7/1000</f>
        <v>58.569372932871019</v>
      </c>
      <c r="D38" s="259">
        <f t="shared" si="16"/>
        <v>63.234901496056118</v>
      </c>
      <c r="E38" s="259">
        <f t="shared" si="16"/>
        <v>69.687827992105113</v>
      </c>
      <c r="F38" s="259">
        <f t="shared" si="16"/>
        <v>76.083439083817922</v>
      </c>
      <c r="G38" s="259">
        <f t="shared" si="16"/>
        <v>76.046481157660182</v>
      </c>
      <c r="H38" s="259">
        <f t="shared" si="16"/>
        <v>80.670005241648056</v>
      </c>
      <c r="I38" s="259">
        <f t="shared" si="16"/>
        <v>86.414580255053863</v>
      </c>
      <c r="J38" s="259">
        <f t="shared" si="16"/>
        <v>92.365967962640624</v>
      </c>
      <c r="K38" s="259">
        <f t="shared" si="16"/>
        <v>99.108600128230577</v>
      </c>
      <c r="L38" s="259">
        <f t="shared" si="16"/>
        <v>115.02508833174615</v>
      </c>
    </row>
  </sheetData>
  <mergeCells count="1">
    <mergeCell ref="A1:G1"/>
  </mergeCells>
  <pageMargins left="0.7" right="0.7" top="0.75" bottom="0.75" header="0.3" footer="0.3"/>
  <pageSetup paperSize="9" firstPageNumber="2147483648" orientation="landscape"/>
  <legacy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A3CD85-3D3F-4E60-9814-1D85AE54DC59}">
  <dimension ref="B1:AY198"/>
  <sheetViews>
    <sheetView zoomScale="60" zoomScaleNormal="60" workbookViewId="0">
      <selection activeCell="D115" sqref="D115"/>
    </sheetView>
  </sheetViews>
  <sheetFormatPr defaultRowHeight="15" x14ac:dyDescent="0.25"/>
  <cols>
    <col min="1" max="1" width="5" customWidth="1"/>
    <col min="2" max="2" width="37.5703125" customWidth="1"/>
    <col min="3" max="3" width="12.85546875" customWidth="1"/>
    <col min="4" max="4" width="18" customWidth="1"/>
    <col min="5" max="6" width="16.28515625" customWidth="1"/>
    <col min="7" max="7" width="13.7109375" customWidth="1"/>
    <col min="8" max="8" width="14.28515625" customWidth="1"/>
    <col min="12" max="12" width="4" customWidth="1"/>
    <col min="13" max="13" width="41.42578125" customWidth="1"/>
    <col min="16" max="17" width="12.5703125" customWidth="1"/>
  </cols>
  <sheetData>
    <row r="1" spans="2:13" x14ac:dyDescent="0.25">
      <c r="B1" s="2" t="s">
        <v>361</v>
      </c>
    </row>
    <row r="3" spans="2:13" ht="47.25" customHeight="1" x14ac:dyDescent="0.25">
      <c r="B3" s="535" t="s">
        <v>445</v>
      </c>
      <c r="M3" s="1"/>
    </row>
    <row r="4" spans="2:13" x14ac:dyDescent="0.25">
      <c r="B4" s="535" t="s">
        <v>446</v>
      </c>
    </row>
    <row r="5" spans="2:13" x14ac:dyDescent="0.25">
      <c r="B5" s="535" t="s">
        <v>447</v>
      </c>
    </row>
    <row r="6" spans="2:13" x14ac:dyDescent="0.25">
      <c r="B6" s="535" t="s">
        <v>448</v>
      </c>
    </row>
    <row r="7" spans="2:13" x14ac:dyDescent="0.25">
      <c r="B7" s="535" t="s">
        <v>449</v>
      </c>
    </row>
    <row r="8" spans="2:13" ht="31.5" customHeight="1" x14ac:dyDescent="0.25">
      <c r="B8" s="535" t="s">
        <v>450</v>
      </c>
    </row>
    <row r="9" spans="2:13" x14ac:dyDescent="0.25">
      <c r="B9" s="535" t="s">
        <v>451</v>
      </c>
    </row>
    <row r="10" spans="2:13" x14ac:dyDescent="0.25">
      <c r="B10" s="535" t="s">
        <v>452</v>
      </c>
    </row>
    <row r="11" spans="2:13" x14ac:dyDescent="0.25">
      <c r="B11" s="535" t="s">
        <v>453</v>
      </c>
    </row>
    <row r="12" spans="2:13" x14ac:dyDescent="0.25">
      <c r="B12" s="535" t="s">
        <v>454</v>
      </c>
    </row>
    <row r="13" spans="2:13" ht="31.5" customHeight="1" x14ac:dyDescent="0.25">
      <c r="B13" s="535" t="s">
        <v>455</v>
      </c>
    </row>
    <row r="14" spans="2:13" ht="31.5" customHeight="1" x14ac:dyDescent="0.25">
      <c r="B14" s="535" t="s">
        <v>456</v>
      </c>
    </row>
    <row r="15" spans="2:13" x14ac:dyDescent="0.25">
      <c r="B15" s="535" t="s">
        <v>457</v>
      </c>
    </row>
    <row r="16" spans="2:13" x14ac:dyDescent="0.25">
      <c r="B16" s="535" t="s">
        <v>458</v>
      </c>
    </row>
    <row r="17" spans="2:2" x14ac:dyDescent="0.25">
      <c r="B17" s="535" t="s">
        <v>459</v>
      </c>
    </row>
    <row r="18" spans="2:2" x14ac:dyDescent="0.25">
      <c r="B18" s="535" t="s">
        <v>460</v>
      </c>
    </row>
    <row r="19" spans="2:2" x14ac:dyDescent="0.25">
      <c r="B19" s="540" t="s">
        <v>474</v>
      </c>
    </row>
    <row r="20" spans="2:2" x14ac:dyDescent="0.25">
      <c r="B20" s="540" t="s">
        <v>479</v>
      </c>
    </row>
    <row r="21" spans="2:2" x14ac:dyDescent="0.25">
      <c r="B21" s="2" t="s">
        <v>362</v>
      </c>
    </row>
    <row r="22" spans="2:2" x14ac:dyDescent="0.25">
      <c r="B22" t="s">
        <v>363</v>
      </c>
    </row>
    <row r="23" spans="2:2" x14ac:dyDescent="0.25">
      <c r="B23" t="s">
        <v>364</v>
      </c>
    </row>
    <row r="24" spans="2:2" x14ac:dyDescent="0.25">
      <c r="B24" t="s">
        <v>365</v>
      </c>
    </row>
    <row r="25" spans="2:2" x14ac:dyDescent="0.25">
      <c r="B25" t="s">
        <v>366</v>
      </c>
    </row>
    <row r="26" spans="2:2" x14ac:dyDescent="0.25">
      <c r="B26" t="s">
        <v>367</v>
      </c>
    </row>
    <row r="27" spans="2:2" x14ac:dyDescent="0.25">
      <c r="B27" t="s">
        <v>368</v>
      </c>
    </row>
    <row r="28" spans="2:2" x14ac:dyDescent="0.25">
      <c r="B28" t="s">
        <v>383</v>
      </c>
    </row>
    <row r="29" spans="2:2" x14ac:dyDescent="0.25">
      <c r="B29" t="s">
        <v>390</v>
      </c>
    </row>
    <row r="32" spans="2:2" x14ac:dyDescent="0.25">
      <c r="B32" t="s">
        <v>440</v>
      </c>
    </row>
    <row r="33" spans="2:2" x14ac:dyDescent="0.25">
      <c r="B33" t="s">
        <v>441</v>
      </c>
    </row>
    <row r="34" spans="2:2" x14ac:dyDescent="0.25">
      <c r="B34" t="s">
        <v>442</v>
      </c>
    </row>
    <row r="106" spans="2:2" x14ac:dyDescent="0.25">
      <c r="B106" s="2" t="s">
        <v>384</v>
      </c>
    </row>
    <row r="107" spans="2:2" x14ac:dyDescent="0.25">
      <c r="B107" t="s">
        <v>385</v>
      </c>
    </row>
    <row r="119" spans="2:2" x14ac:dyDescent="0.25">
      <c r="B119" s="2" t="s">
        <v>546</v>
      </c>
    </row>
    <row r="198" spans="51:51" x14ac:dyDescent="0.25">
      <c r="AY198" s="535"/>
    </row>
  </sheetData>
  <hyperlinks>
    <hyperlink ref="B3" r:id="rId1" display="https://nirz.ru/ventilyatsiya/" xr:uid="{A8C82B96-8672-4A9E-9C0E-3F3AF6733D71}"/>
    <hyperlink ref="B4" r:id="rId2" display="https://agroserver.ru/b/sistema-mikroklimata-dlya-ovoshhekhranilishh-aventa-1213599.htm?ysclid=lfzdgs7xyg488003601" xr:uid="{5173ACD2-8A02-4D8E-820B-D0786AF3181B}"/>
    <hyperlink ref="B5" r:id="rId3" display="https://agrovent.com/oborudovanie/oborudovanie-dlya-ovoshchekhranilishcha/" xr:uid="{D2EDC06A-6498-413D-AD68-699A10CE6646}"/>
    <hyperlink ref="B6" r:id="rId4" display="https://ronaxclimate.ru/type/konditsionery-dlya-ovoschehranilischa?ysclid=lfzdgzemk6337613949" xr:uid="{A12645CD-45BC-4C35-BE57-350A50EEDC00}"/>
    <hyperlink ref="B7" r:id="rId5" display="https://vegetfan.ru/prices/" xr:uid="{B4F3EE40-81AE-4D28-8D0E-FC90C7B98EDB}"/>
    <hyperlink ref="B8" r:id="rId6" location="primer1" display="primer1" xr:uid="{16D3927F-CDBF-440D-808F-070134BF04F7}"/>
    <hyperlink ref="B9" r:id="rId7" display="https://klinmash.com/engineering/liniya-v-astrahanskoj-oblasti-dlya-priema-inspekczii-i-hraneniya-luka-s-oborudovaniem-dlya-predprodazhnoj-podgotovki-i-fasovki/" xr:uid="{D86A758E-23F6-45CA-B967-BE36C35ACD71}"/>
    <hyperlink ref="B10" r:id="rId8" display="https://interagro.info/services/predprodazhnaya-podgotovka-ovoshchey-i-fruktov/podgotovka-kartofelya/?ysclid=lfze16kc5f631169590" xr:uid="{032B5942-3BEF-47A9-9A91-6EF27BBF507F}"/>
    <hyperlink ref="B11" r:id="rId9" display="https://agroserver.ru/linii-dlya-predprodazhnoy-podgotovki-ovoshhey-fruktov-yagod/p1-city-559.htm" xr:uid="{98CB1D47-8309-4E41-B85C-80DB9DFABD46}"/>
    <hyperlink ref="B12" r:id="rId10" display="https://polag.ru/product-category/oborudovanie-dlya-sortirovki-ochistki-i-predprodazhnoj-podgotovki-ovoshhej/mojki/" xr:uid="{37679736-46AC-42EF-85E7-F47888872FFF}"/>
    <hyperlink ref="B13" r:id="rId11" display="https://www.profpower.ru/category_search/" xr:uid="{5BC53381-736F-45E8-84FC-894F9C527C05}"/>
    <hyperlink ref="B14" r:id="rId12" display="https://www.gazg.ru/gazogeneratory_promyshlenye/?ysclid=lfzh1v305t194333800" xr:uid="{01A19D4E-EA36-4224-959A-E2F6CB3D3279}"/>
    <hyperlink ref="B15" r:id="rId13" display="https://generator-rus.ru/catalog/generatory/gazovye/promyshlennye/?ysclid=lfzh1w89k618543807" xr:uid="{0BB693F9-FD52-4B11-86FE-96D81ABF20FE}"/>
    <hyperlink ref="B16" r:id="rId14" display="https://generator-rus.ru/catalog/generatory/dizelnye/promyshlennye/?ysclid=lfzh5zj9v1515174302" xr:uid="{3930A05C-43F9-45E2-80F2-19EEB1CD302C}"/>
    <hyperlink ref="B17" r:id="rId15" display="http://www.best-generators.ru/catalog/dizelnye-generatory/diesel-promyshlennye/?ysclid=lfzh63g5li50059887" xr:uid="{C59919B8-F041-4DF2-AE91-4CC719C87446}"/>
    <hyperlink ref="B18" r:id="rId16" display="https://major-gaz.ru/models/valdai-next/" xr:uid="{70F81FFC-DB51-4163-B99A-2BB17B431AA9}"/>
    <hyperlink ref="B19" r:id="rId17" display="http://kormoceh.ru/d/968268/d/oborpererovoshch2015.pdf?ysclid=lg4tdeh572126514924" xr:uid="{D60FBE4E-0846-4690-AC42-00B5E36110EB}"/>
    <hyperlink ref="B20" r:id="rId18" display="https://tenteks.ru/product/kartofel-vent/" xr:uid="{100BD987-B680-4F21-A1B1-7B31EB43DD29}"/>
  </hyperlinks>
  <pageMargins left="0.7" right="0.7" top="0.75" bottom="0.75" header="0.3" footer="0.3"/>
  <pageSetup paperSize="9" firstPageNumber="2147483648" orientation="portrait" r:id="rId19"/>
  <drawing r:id="rId20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Лист2">
    <pageSetUpPr fitToPage="1"/>
  </sheetPr>
  <dimension ref="A1:J26"/>
  <sheetViews>
    <sheetView zoomScale="70" workbookViewId="0">
      <pane xSplit="1" topLeftCell="B1" activePane="topRight" state="frozen"/>
      <selection pane="topRight"/>
    </sheetView>
  </sheetViews>
  <sheetFormatPr defaultRowHeight="15" x14ac:dyDescent="0.25"/>
  <cols>
    <col min="1" max="1" width="26.5703125" style="51" customWidth="1"/>
    <col min="2" max="2" width="11.85546875" style="52" customWidth="1"/>
    <col min="3" max="3" width="13" style="53" customWidth="1"/>
    <col min="4" max="6" width="12.85546875" style="65" customWidth="1"/>
    <col min="10" max="10" width="11.140625" bestFit="1" customWidth="1"/>
  </cols>
  <sheetData>
    <row r="1" spans="1:10" x14ac:dyDescent="0.25">
      <c r="A1" s="73"/>
      <c r="B1" s="73"/>
      <c r="C1" s="73"/>
      <c r="D1" s="206"/>
      <c r="E1" s="206"/>
      <c r="F1" s="206"/>
      <c r="G1" s="207"/>
      <c r="H1" s="207"/>
      <c r="I1" s="207"/>
      <c r="J1" s="207"/>
    </row>
    <row r="2" spans="1:10" x14ac:dyDescent="0.25">
      <c r="A2" s="73"/>
      <c r="B2" s="73"/>
      <c r="C2" s="73"/>
      <c r="D2" s="208">
        <v>0.3</v>
      </c>
      <c r="E2" s="208"/>
      <c r="F2" s="208"/>
      <c r="G2" s="209"/>
      <c r="H2" s="209"/>
      <c r="I2" s="209"/>
      <c r="J2" s="209"/>
    </row>
    <row r="3" spans="1:10" s="57" customFormat="1" ht="60" x14ac:dyDescent="0.25">
      <c r="A3" s="152" t="s">
        <v>62</v>
      </c>
      <c r="B3" s="210" t="s">
        <v>41</v>
      </c>
      <c r="C3" s="179" t="s">
        <v>283</v>
      </c>
      <c r="D3" s="211" t="s">
        <v>284</v>
      </c>
      <c r="E3" s="211" t="s">
        <v>285</v>
      </c>
      <c r="F3" s="211" t="s">
        <v>286</v>
      </c>
      <c r="G3" s="211" t="s">
        <v>287</v>
      </c>
    </row>
    <row r="4" spans="1:10" x14ac:dyDescent="0.25">
      <c r="A4" s="152" t="s">
        <v>288</v>
      </c>
      <c r="B4" s="210" t="s">
        <v>289</v>
      </c>
      <c r="C4" s="179">
        <f>'объем работ 100% загр'!C4</f>
        <v>44</v>
      </c>
      <c r="D4" s="65">
        <f>'объем работ 100% загр'!V4</f>
        <v>198.33333333333334</v>
      </c>
      <c r="E4" s="65">
        <f t="shared" ref="E4:E23" si="0">C4*D4</f>
        <v>8726.6666666666679</v>
      </c>
      <c r="F4" s="65">
        <f t="shared" ref="F4:F23" si="1">E4*3</f>
        <v>26180.000000000004</v>
      </c>
      <c r="G4">
        <f t="shared" ref="G4:G25" si="2">E4*3</f>
        <v>26180.000000000004</v>
      </c>
    </row>
    <row r="5" spans="1:10" ht="135" x14ac:dyDescent="0.25">
      <c r="A5" s="152" t="s">
        <v>290</v>
      </c>
      <c r="B5" s="210" t="s">
        <v>291</v>
      </c>
      <c r="C5" s="179">
        <f>'объем работ 100% загр'!C5</f>
        <v>600</v>
      </c>
      <c r="D5" s="65">
        <f>'объем работ 100% загр'!V5</f>
        <v>2</v>
      </c>
      <c r="E5" s="65">
        <f t="shared" si="0"/>
        <v>1200</v>
      </c>
      <c r="F5" s="65">
        <f t="shared" si="1"/>
        <v>3600</v>
      </c>
      <c r="G5">
        <f t="shared" si="2"/>
        <v>3600</v>
      </c>
    </row>
    <row r="6" spans="1:10" ht="123.75" customHeight="1" x14ac:dyDescent="0.25">
      <c r="A6" s="152" t="s">
        <v>292</v>
      </c>
      <c r="B6" s="210" t="s">
        <v>291</v>
      </c>
      <c r="C6" s="179">
        <f>'объем работ 100% загр'!C6</f>
        <v>7</v>
      </c>
      <c r="D6" s="65">
        <f>'объем работ 100% загр'!V6</f>
        <v>150</v>
      </c>
      <c r="E6" s="65">
        <f t="shared" si="0"/>
        <v>1050</v>
      </c>
      <c r="F6" s="65">
        <f t="shared" si="1"/>
        <v>3150</v>
      </c>
      <c r="G6">
        <f t="shared" si="2"/>
        <v>3150</v>
      </c>
    </row>
    <row r="7" spans="1:10" ht="60" x14ac:dyDescent="0.25">
      <c r="A7" s="152" t="s">
        <v>293</v>
      </c>
      <c r="B7" s="210" t="s">
        <v>294</v>
      </c>
      <c r="C7" s="179" t="e">
        <f t="shared" ref="C7:C25" si="3">'объем работ 100% загр'!#REF!</f>
        <v>#REF!</v>
      </c>
      <c r="D7" s="65" t="e">
        <f t="shared" ref="D7:D25" si="4">'объем работ 100% загр'!#REF!</f>
        <v>#REF!</v>
      </c>
      <c r="E7" s="65" t="e">
        <f t="shared" si="0"/>
        <v>#REF!</v>
      </c>
      <c r="F7" s="65" t="e">
        <f t="shared" si="1"/>
        <v>#REF!</v>
      </c>
      <c r="G7" t="e">
        <f t="shared" si="2"/>
        <v>#REF!</v>
      </c>
    </row>
    <row r="8" spans="1:10" ht="30" x14ac:dyDescent="0.25">
      <c r="A8" s="152" t="s">
        <v>295</v>
      </c>
      <c r="B8" s="210" t="s">
        <v>296</v>
      </c>
      <c r="C8" s="179" t="e">
        <f t="shared" si="3"/>
        <v>#REF!</v>
      </c>
      <c r="D8" s="65" t="e">
        <f t="shared" si="4"/>
        <v>#REF!</v>
      </c>
      <c r="E8" s="65" t="e">
        <f t="shared" si="0"/>
        <v>#REF!</v>
      </c>
      <c r="F8" s="65" t="e">
        <f t="shared" si="1"/>
        <v>#REF!</v>
      </c>
      <c r="G8" t="e">
        <f t="shared" si="2"/>
        <v>#REF!</v>
      </c>
    </row>
    <row r="9" spans="1:10" ht="30" x14ac:dyDescent="0.25">
      <c r="A9" s="152" t="s">
        <v>297</v>
      </c>
      <c r="B9" s="210" t="s">
        <v>298</v>
      </c>
      <c r="C9" s="179" t="e">
        <f t="shared" si="3"/>
        <v>#REF!</v>
      </c>
      <c r="D9" s="65" t="e">
        <f t="shared" si="4"/>
        <v>#REF!</v>
      </c>
      <c r="E9" s="65" t="e">
        <f t="shared" si="0"/>
        <v>#REF!</v>
      </c>
      <c r="F9" s="65" t="e">
        <f t="shared" si="1"/>
        <v>#REF!</v>
      </c>
      <c r="G9" t="e">
        <f t="shared" si="2"/>
        <v>#REF!</v>
      </c>
    </row>
    <row r="10" spans="1:10" ht="90" x14ac:dyDescent="0.25">
      <c r="A10" s="152" t="s">
        <v>299</v>
      </c>
      <c r="B10" s="210" t="s">
        <v>300</v>
      </c>
      <c r="C10" s="179" t="e">
        <f t="shared" si="3"/>
        <v>#REF!</v>
      </c>
      <c r="D10" s="65" t="e">
        <f t="shared" si="4"/>
        <v>#REF!</v>
      </c>
      <c r="E10" s="65" t="e">
        <f t="shared" si="0"/>
        <v>#REF!</v>
      </c>
      <c r="F10" s="65" t="e">
        <f t="shared" si="1"/>
        <v>#REF!</v>
      </c>
      <c r="G10" t="e">
        <f t="shared" si="2"/>
        <v>#REF!</v>
      </c>
    </row>
    <row r="11" spans="1:10" ht="90" x14ac:dyDescent="0.25">
      <c r="A11" s="152" t="s">
        <v>301</v>
      </c>
      <c r="B11" s="210" t="s">
        <v>302</v>
      </c>
      <c r="C11" s="179" t="e">
        <f t="shared" si="3"/>
        <v>#REF!</v>
      </c>
      <c r="D11" s="65" t="e">
        <f t="shared" si="4"/>
        <v>#REF!</v>
      </c>
      <c r="E11" s="65" t="e">
        <f t="shared" si="0"/>
        <v>#REF!</v>
      </c>
      <c r="F11" s="65" t="e">
        <f t="shared" si="1"/>
        <v>#REF!</v>
      </c>
      <c r="G11" t="e">
        <f t="shared" si="2"/>
        <v>#REF!</v>
      </c>
    </row>
    <row r="12" spans="1:10" ht="75" x14ac:dyDescent="0.25">
      <c r="A12" s="51" t="s">
        <v>303</v>
      </c>
      <c r="B12" s="210" t="s">
        <v>300</v>
      </c>
      <c r="C12" s="179" t="e">
        <f t="shared" si="3"/>
        <v>#REF!</v>
      </c>
      <c r="D12" s="65" t="e">
        <f t="shared" si="4"/>
        <v>#REF!</v>
      </c>
      <c r="E12" s="65" t="e">
        <f t="shared" si="0"/>
        <v>#REF!</v>
      </c>
      <c r="F12" s="65" t="e">
        <f t="shared" si="1"/>
        <v>#REF!</v>
      </c>
      <c r="G12" t="e">
        <f t="shared" si="2"/>
        <v>#REF!</v>
      </c>
    </row>
    <row r="13" spans="1:10" ht="75" x14ac:dyDescent="0.25">
      <c r="A13" s="51" t="s">
        <v>304</v>
      </c>
      <c r="B13" s="210" t="s">
        <v>302</v>
      </c>
      <c r="C13" s="179" t="e">
        <f t="shared" si="3"/>
        <v>#REF!</v>
      </c>
      <c r="D13" s="65" t="e">
        <f t="shared" si="4"/>
        <v>#REF!</v>
      </c>
      <c r="E13" s="65" t="e">
        <f t="shared" si="0"/>
        <v>#REF!</v>
      </c>
      <c r="F13" s="65" t="e">
        <f t="shared" si="1"/>
        <v>#REF!</v>
      </c>
      <c r="G13" t="e">
        <f t="shared" si="2"/>
        <v>#REF!</v>
      </c>
    </row>
    <row r="14" spans="1:10" ht="105" x14ac:dyDescent="0.25">
      <c r="A14" s="51" t="s">
        <v>305</v>
      </c>
      <c r="B14" s="210" t="s">
        <v>300</v>
      </c>
      <c r="C14" s="179" t="e">
        <f t="shared" si="3"/>
        <v>#REF!</v>
      </c>
      <c r="D14" s="65" t="e">
        <f t="shared" si="4"/>
        <v>#REF!</v>
      </c>
      <c r="E14" s="65" t="e">
        <f t="shared" si="0"/>
        <v>#REF!</v>
      </c>
      <c r="F14" s="65" t="e">
        <f t="shared" si="1"/>
        <v>#REF!</v>
      </c>
      <c r="G14" t="e">
        <f t="shared" si="2"/>
        <v>#REF!</v>
      </c>
    </row>
    <row r="15" spans="1:10" ht="105" x14ac:dyDescent="0.25">
      <c r="A15" s="51" t="s">
        <v>306</v>
      </c>
      <c r="B15" s="210" t="s">
        <v>302</v>
      </c>
      <c r="C15" s="179" t="e">
        <f t="shared" si="3"/>
        <v>#REF!</v>
      </c>
      <c r="D15" s="65" t="e">
        <f t="shared" si="4"/>
        <v>#REF!</v>
      </c>
      <c r="E15" s="65" t="e">
        <f t="shared" si="0"/>
        <v>#REF!</v>
      </c>
      <c r="F15" s="65" t="e">
        <f t="shared" si="1"/>
        <v>#REF!</v>
      </c>
      <c r="G15" t="e">
        <f t="shared" si="2"/>
        <v>#REF!</v>
      </c>
    </row>
    <row r="16" spans="1:10" ht="90" x14ac:dyDescent="0.25">
      <c r="A16" s="51" t="s">
        <v>307</v>
      </c>
      <c r="B16" s="210" t="s">
        <v>300</v>
      </c>
      <c r="C16" s="179" t="e">
        <f t="shared" si="3"/>
        <v>#REF!</v>
      </c>
      <c r="D16" s="65" t="e">
        <f t="shared" si="4"/>
        <v>#REF!</v>
      </c>
      <c r="E16" s="65" t="e">
        <f t="shared" si="0"/>
        <v>#REF!</v>
      </c>
      <c r="F16" s="65" t="e">
        <f t="shared" si="1"/>
        <v>#REF!</v>
      </c>
      <c r="G16" t="e">
        <f t="shared" si="2"/>
        <v>#REF!</v>
      </c>
    </row>
    <row r="17" spans="1:9" ht="90" x14ac:dyDescent="0.25">
      <c r="A17" s="51" t="s">
        <v>308</v>
      </c>
      <c r="B17" s="210" t="s">
        <v>302</v>
      </c>
      <c r="C17" s="179" t="e">
        <f t="shared" si="3"/>
        <v>#REF!</v>
      </c>
      <c r="D17" s="65" t="e">
        <f t="shared" si="4"/>
        <v>#REF!</v>
      </c>
      <c r="E17" s="65" t="e">
        <f t="shared" si="0"/>
        <v>#REF!</v>
      </c>
      <c r="F17" s="65" t="e">
        <f t="shared" si="1"/>
        <v>#REF!</v>
      </c>
      <c r="G17" t="e">
        <f t="shared" si="2"/>
        <v>#REF!</v>
      </c>
    </row>
    <row r="18" spans="1:9" ht="30" x14ac:dyDescent="0.25">
      <c r="A18" s="51" t="s">
        <v>309</v>
      </c>
      <c r="B18" s="210" t="s">
        <v>300</v>
      </c>
      <c r="C18" s="179" t="e">
        <f t="shared" si="3"/>
        <v>#REF!</v>
      </c>
      <c r="D18" s="65" t="e">
        <f t="shared" si="4"/>
        <v>#REF!</v>
      </c>
      <c r="E18" s="65" t="e">
        <f t="shared" si="0"/>
        <v>#REF!</v>
      </c>
      <c r="F18" s="65" t="e">
        <f t="shared" si="1"/>
        <v>#REF!</v>
      </c>
      <c r="G18" t="e">
        <f t="shared" si="2"/>
        <v>#REF!</v>
      </c>
    </row>
    <row r="19" spans="1:9" ht="75" x14ac:dyDescent="0.25">
      <c r="A19" s="51" t="s">
        <v>310</v>
      </c>
      <c r="B19" s="210" t="s">
        <v>311</v>
      </c>
      <c r="C19" s="179" t="e">
        <f t="shared" si="3"/>
        <v>#REF!</v>
      </c>
      <c r="D19" s="65" t="e">
        <f t="shared" si="4"/>
        <v>#REF!</v>
      </c>
      <c r="E19" s="65" t="e">
        <f t="shared" si="0"/>
        <v>#REF!</v>
      </c>
      <c r="F19" s="65" t="e">
        <f t="shared" si="1"/>
        <v>#REF!</v>
      </c>
      <c r="G19" t="e">
        <f t="shared" si="2"/>
        <v>#REF!</v>
      </c>
    </row>
    <row r="20" spans="1:9" ht="75" x14ac:dyDescent="0.25">
      <c r="A20" s="51" t="s">
        <v>312</v>
      </c>
      <c r="B20" s="210" t="s">
        <v>311</v>
      </c>
      <c r="C20" s="179" t="e">
        <f t="shared" si="3"/>
        <v>#REF!</v>
      </c>
      <c r="D20" s="65" t="e">
        <f t="shared" si="4"/>
        <v>#REF!</v>
      </c>
      <c r="E20" s="65" t="e">
        <f t="shared" si="0"/>
        <v>#REF!</v>
      </c>
      <c r="F20" s="65" t="e">
        <f t="shared" si="1"/>
        <v>#REF!</v>
      </c>
      <c r="G20" t="e">
        <f t="shared" si="2"/>
        <v>#REF!</v>
      </c>
    </row>
    <row r="21" spans="1:9" x14ac:dyDescent="0.25">
      <c r="A21" s="51" t="s">
        <v>313</v>
      </c>
      <c r="B21" s="52" t="s">
        <v>311</v>
      </c>
      <c r="C21" s="179" t="e">
        <f t="shared" si="3"/>
        <v>#REF!</v>
      </c>
      <c r="D21" s="65" t="e">
        <f t="shared" si="4"/>
        <v>#REF!</v>
      </c>
      <c r="E21" s="65" t="e">
        <f t="shared" si="0"/>
        <v>#REF!</v>
      </c>
      <c r="F21" s="65" t="e">
        <f t="shared" si="1"/>
        <v>#REF!</v>
      </c>
      <c r="G21" t="e">
        <f t="shared" si="2"/>
        <v>#REF!</v>
      </c>
    </row>
    <row r="22" spans="1:9" ht="45" x14ac:dyDescent="0.25">
      <c r="A22" s="51" t="s">
        <v>314</v>
      </c>
      <c r="B22" s="52" t="s">
        <v>311</v>
      </c>
      <c r="C22" s="179" t="e">
        <f t="shared" si="3"/>
        <v>#REF!</v>
      </c>
      <c r="D22" s="65" t="e">
        <f t="shared" si="4"/>
        <v>#REF!</v>
      </c>
      <c r="E22" s="65" t="e">
        <f t="shared" si="0"/>
        <v>#REF!</v>
      </c>
      <c r="F22" s="65" t="e">
        <f t="shared" si="1"/>
        <v>#REF!</v>
      </c>
      <c r="G22" t="e">
        <f t="shared" si="2"/>
        <v>#REF!</v>
      </c>
    </row>
    <row r="23" spans="1:9" ht="56.25" customHeight="1" x14ac:dyDescent="0.25">
      <c r="A23" s="51" t="s">
        <v>315</v>
      </c>
      <c r="B23" s="52" t="s">
        <v>316</v>
      </c>
      <c r="C23" s="179" t="e">
        <f t="shared" si="3"/>
        <v>#REF!</v>
      </c>
      <c r="D23" s="65" t="e">
        <f t="shared" si="4"/>
        <v>#REF!</v>
      </c>
      <c r="E23" s="65" t="e">
        <f t="shared" si="0"/>
        <v>#REF!</v>
      </c>
      <c r="F23" s="65" t="e">
        <f t="shared" si="1"/>
        <v>#REF!</v>
      </c>
      <c r="G23" t="e">
        <f t="shared" si="2"/>
        <v>#REF!</v>
      </c>
    </row>
    <row r="24" spans="1:9" s="51" customFormat="1" ht="56.25" customHeight="1" x14ac:dyDescent="0.25">
      <c r="A24" s="51" t="s">
        <v>317</v>
      </c>
      <c r="B24" s="51" t="s">
        <v>311</v>
      </c>
      <c r="C24" s="51" t="e">
        <f t="shared" si="3"/>
        <v>#REF!</v>
      </c>
      <c r="D24" s="65" t="e">
        <f t="shared" si="4"/>
        <v>#REF!</v>
      </c>
      <c r="E24" s="51" t="e">
        <f t="shared" ref="E24:E25" si="5">C24*D24</f>
        <v>#REF!</v>
      </c>
      <c r="F24" s="51" t="e">
        <f t="shared" ref="F24:F25" si="6">E24*3</f>
        <v>#REF!</v>
      </c>
      <c r="G24" t="e">
        <f t="shared" si="2"/>
        <v>#REF!</v>
      </c>
    </row>
    <row r="25" spans="1:9" s="51" customFormat="1" ht="56.25" customHeight="1" x14ac:dyDescent="0.25">
      <c r="A25" s="51" t="s">
        <v>318</v>
      </c>
      <c r="B25" s="51" t="s">
        <v>311</v>
      </c>
      <c r="C25" s="51" t="e">
        <f t="shared" si="3"/>
        <v>#REF!</v>
      </c>
      <c r="D25" s="65" t="e">
        <f t="shared" si="4"/>
        <v>#REF!</v>
      </c>
      <c r="E25" s="51" t="e">
        <f t="shared" si="5"/>
        <v>#REF!</v>
      </c>
      <c r="F25" s="51" t="e">
        <f t="shared" si="6"/>
        <v>#REF!</v>
      </c>
      <c r="G25" t="e">
        <f t="shared" si="2"/>
        <v>#REF!</v>
      </c>
      <c r="I25" s="212"/>
    </row>
    <row r="26" spans="1:9" x14ac:dyDescent="0.25">
      <c r="F26" s="65" t="e">
        <f>SUM(F4:F25)</f>
        <v>#REF!</v>
      </c>
      <c r="G26" t="e">
        <f>SUM(G4:G25)</f>
        <v>#REF!</v>
      </c>
    </row>
  </sheetData>
  <pageMargins left="0.7" right="0.7" top="0.75" bottom="0.75" header="0.3" footer="0.3"/>
  <pageSetup paperSize="8" scale="68" firstPageNumber="2147483648" orientation="portrait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Лист3"/>
  <dimension ref="A1:J26"/>
  <sheetViews>
    <sheetView zoomScale="70" workbookViewId="0">
      <pane xSplit="1" topLeftCell="B1" activePane="topRight" state="frozen"/>
      <selection pane="topRight"/>
    </sheetView>
  </sheetViews>
  <sheetFormatPr defaultRowHeight="15" x14ac:dyDescent="0.25"/>
  <cols>
    <col min="1" max="1" width="26.5703125" style="51" customWidth="1"/>
    <col min="2" max="2" width="11.85546875" style="52" customWidth="1"/>
    <col min="3" max="3" width="13" style="53" customWidth="1"/>
    <col min="4" max="6" width="12.85546875" style="65" customWidth="1"/>
  </cols>
  <sheetData>
    <row r="1" spans="1:10" x14ac:dyDescent="0.25">
      <c r="A1" s="73"/>
      <c r="B1" s="73"/>
      <c r="C1" s="73"/>
      <c r="D1" s="206"/>
      <c r="E1" s="206"/>
      <c r="F1" s="206"/>
      <c r="G1" s="207"/>
      <c r="H1" s="207"/>
      <c r="I1" s="207"/>
      <c r="J1" s="207"/>
    </row>
    <row r="2" spans="1:10" x14ac:dyDescent="0.25">
      <c r="A2" s="73"/>
      <c r="B2" s="73"/>
      <c r="C2" s="73"/>
      <c r="D2" s="208">
        <v>0.3</v>
      </c>
      <c r="E2" s="208"/>
      <c r="F2" s="208"/>
      <c r="G2" s="209"/>
      <c r="H2" s="209"/>
      <c r="I2" s="209"/>
      <c r="J2" s="209"/>
    </row>
    <row r="3" spans="1:10" s="57" customFormat="1" ht="60" x14ac:dyDescent="0.25">
      <c r="A3" s="152" t="s">
        <v>62</v>
      </c>
      <c r="B3" s="210" t="s">
        <v>41</v>
      </c>
      <c r="C3" s="179" t="s">
        <v>283</v>
      </c>
      <c r="D3" s="211" t="s">
        <v>284</v>
      </c>
      <c r="E3" s="211" t="s">
        <v>285</v>
      </c>
      <c r="F3" s="211" t="s">
        <v>286</v>
      </c>
      <c r="G3" s="211" t="s">
        <v>287</v>
      </c>
    </row>
    <row r="4" spans="1:10" x14ac:dyDescent="0.25">
      <c r="A4" s="152" t="s">
        <v>288</v>
      </c>
      <c r="B4" s="210" t="s">
        <v>289</v>
      </c>
      <c r="C4" s="213">
        <f>'объем работ 100% загр'!D4</f>
        <v>44</v>
      </c>
      <c r="D4" s="65">
        <f>'объем работ 100% загр'!U4</f>
        <v>198.33333333333334</v>
      </c>
      <c r="E4" s="65">
        <f t="shared" ref="E4:E23" si="0">C4*D4</f>
        <v>8726.6666666666679</v>
      </c>
      <c r="F4" s="65">
        <f t="shared" ref="F4:F23" si="1">E4*3</f>
        <v>26180.000000000004</v>
      </c>
      <c r="G4">
        <f t="shared" ref="G4:G25" si="2">E4*12</f>
        <v>104720.00000000001</v>
      </c>
    </row>
    <row r="5" spans="1:10" ht="135" x14ac:dyDescent="0.25">
      <c r="A5" s="152" t="s">
        <v>290</v>
      </c>
      <c r="B5" s="210" t="s">
        <v>291</v>
      </c>
      <c r="C5" s="213">
        <f>'объем работ 100% загр'!D5</f>
        <v>636</v>
      </c>
      <c r="D5" s="65">
        <f>'объем работ 100% загр'!U5</f>
        <v>2</v>
      </c>
      <c r="E5" s="65">
        <f t="shared" si="0"/>
        <v>1272</v>
      </c>
      <c r="F5" s="65">
        <f t="shared" si="1"/>
        <v>3816</v>
      </c>
      <c r="G5">
        <f t="shared" si="2"/>
        <v>15264</v>
      </c>
    </row>
    <row r="6" spans="1:10" ht="123.75" customHeight="1" x14ac:dyDescent="0.25">
      <c r="A6" s="152" t="s">
        <v>292</v>
      </c>
      <c r="B6" s="210" t="s">
        <v>291</v>
      </c>
      <c r="C6" s="213">
        <f>'объем работ 100% загр'!D6</f>
        <v>8</v>
      </c>
      <c r="D6" s="65">
        <f>'объем работ 100% загр'!U6</f>
        <v>150</v>
      </c>
      <c r="E6" s="65">
        <f t="shared" si="0"/>
        <v>1200</v>
      </c>
      <c r="F6" s="65">
        <f t="shared" si="1"/>
        <v>3600</v>
      </c>
      <c r="G6">
        <f t="shared" si="2"/>
        <v>14400</v>
      </c>
    </row>
    <row r="7" spans="1:10" ht="60" x14ac:dyDescent="0.25">
      <c r="A7" s="152" t="s">
        <v>293</v>
      </c>
      <c r="B7" s="210" t="s">
        <v>294</v>
      </c>
      <c r="C7" s="213" t="e">
        <f t="shared" ref="C7:C25" si="3">'объем работ 100% загр'!#REF!</f>
        <v>#REF!</v>
      </c>
      <c r="D7" s="65" t="e">
        <f t="shared" ref="D7:D25" si="4">'объем работ 100% загр'!#REF!</f>
        <v>#REF!</v>
      </c>
      <c r="E7" s="65" t="e">
        <f t="shared" si="0"/>
        <v>#REF!</v>
      </c>
      <c r="F7" s="65" t="e">
        <f t="shared" si="1"/>
        <v>#REF!</v>
      </c>
      <c r="G7" t="e">
        <f t="shared" si="2"/>
        <v>#REF!</v>
      </c>
    </row>
    <row r="8" spans="1:10" ht="30" x14ac:dyDescent="0.25">
      <c r="A8" s="152" t="s">
        <v>295</v>
      </c>
      <c r="B8" s="210" t="s">
        <v>296</v>
      </c>
      <c r="C8" s="213" t="e">
        <f t="shared" si="3"/>
        <v>#REF!</v>
      </c>
      <c r="D8" s="65" t="e">
        <f t="shared" si="4"/>
        <v>#REF!</v>
      </c>
      <c r="E8" s="65" t="e">
        <f t="shared" si="0"/>
        <v>#REF!</v>
      </c>
      <c r="F8" s="65" t="e">
        <f t="shared" si="1"/>
        <v>#REF!</v>
      </c>
      <c r="G8" t="e">
        <f t="shared" si="2"/>
        <v>#REF!</v>
      </c>
    </row>
    <row r="9" spans="1:10" ht="30" x14ac:dyDescent="0.25">
      <c r="A9" s="152" t="s">
        <v>297</v>
      </c>
      <c r="B9" s="210" t="s">
        <v>298</v>
      </c>
      <c r="C9" s="213" t="e">
        <f t="shared" si="3"/>
        <v>#REF!</v>
      </c>
      <c r="D9" s="65" t="e">
        <f t="shared" si="4"/>
        <v>#REF!</v>
      </c>
      <c r="E9" s="65" t="e">
        <f t="shared" si="0"/>
        <v>#REF!</v>
      </c>
      <c r="F9" s="65" t="e">
        <f t="shared" si="1"/>
        <v>#REF!</v>
      </c>
      <c r="G9" t="e">
        <f t="shared" si="2"/>
        <v>#REF!</v>
      </c>
    </row>
    <row r="10" spans="1:10" ht="90" x14ac:dyDescent="0.25">
      <c r="A10" s="152" t="s">
        <v>299</v>
      </c>
      <c r="B10" s="210" t="s">
        <v>300</v>
      </c>
      <c r="C10" s="213" t="e">
        <f t="shared" si="3"/>
        <v>#REF!</v>
      </c>
      <c r="D10" s="65" t="e">
        <f t="shared" si="4"/>
        <v>#REF!</v>
      </c>
      <c r="E10" s="65" t="e">
        <f t="shared" si="0"/>
        <v>#REF!</v>
      </c>
      <c r="F10" s="65" t="e">
        <f t="shared" si="1"/>
        <v>#REF!</v>
      </c>
      <c r="G10" t="e">
        <f t="shared" si="2"/>
        <v>#REF!</v>
      </c>
    </row>
    <row r="11" spans="1:10" ht="90" x14ac:dyDescent="0.25">
      <c r="A11" s="152" t="s">
        <v>301</v>
      </c>
      <c r="B11" s="210" t="s">
        <v>302</v>
      </c>
      <c r="C11" s="213" t="e">
        <f t="shared" si="3"/>
        <v>#REF!</v>
      </c>
      <c r="D11" s="65" t="e">
        <f t="shared" si="4"/>
        <v>#REF!</v>
      </c>
      <c r="E11" s="65" t="e">
        <f t="shared" si="0"/>
        <v>#REF!</v>
      </c>
      <c r="F11" s="65" t="e">
        <f t="shared" si="1"/>
        <v>#REF!</v>
      </c>
      <c r="G11" t="e">
        <f t="shared" si="2"/>
        <v>#REF!</v>
      </c>
    </row>
    <row r="12" spans="1:10" ht="75" x14ac:dyDescent="0.25">
      <c r="A12" s="51" t="s">
        <v>303</v>
      </c>
      <c r="B12" s="210" t="s">
        <v>300</v>
      </c>
      <c r="C12" s="213" t="e">
        <f t="shared" si="3"/>
        <v>#REF!</v>
      </c>
      <c r="D12" s="65" t="e">
        <f t="shared" si="4"/>
        <v>#REF!</v>
      </c>
      <c r="E12" s="65" t="e">
        <f t="shared" si="0"/>
        <v>#REF!</v>
      </c>
      <c r="F12" s="65" t="e">
        <f t="shared" si="1"/>
        <v>#REF!</v>
      </c>
      <c r="G12" t="e">
        <f t="shared" si="2"/>
        <v>#REF!</v>
      </c>
    </row>
    <row r="13" spans="1:10" ht="75" x14ac:dyDescent="0.25">
      <c r="A13" s="51" t="s">
        <v>304</v>
      </c>
      <c r="B13" s="210" t="s">
        <v>302</v>
      </c>
      <c r="C13" s="213" t="e">
        <f t="shared" si="3"/>
        <v>#REF!</v>
      </c>
      <c r="D13" s="65" t="e">
        <f t="shared" si="4"/>
        <v>#REF!</v>
      </c>
      <c r="E13" s="65" t="e">
        <f t="shared" si="0"/>
        <v>#REF!</v>
      </c>
      <c r="F13" s="65" t="e">
        <f t="shared" si="1"/>
        <v>#REF!</v>
      </c>
      <c r="G13" t="e">
        <f t="shared" si="2"/>
        <v>#REF!</v>
      </c>
    </row>
    <row r="14" spans="1:10" ht="105" x14ac:dyDescent="0.25">
      <c r="A14" s="51" t="s">
        <v>305</v>
      </c>
      <c r="B14" s="210" t="s">
        <v>300</v>
      </c>
      <c r="C14" s="213" t="e">
        <f t="shared" si="3"/>
        <v>#REF!</v>
      </c>
      <c r="D14" s="65" t="e">
        <f t="shared" si="4"/>
        <v>#REF!</v>
      </c>
      <c r="E14" s="65" t="e">
        <f t="shared" si="0"/>
        <v>#REF!</v>
      </c>
      <c r="F14" s="65" t="e">
        <f t="shared" si="1"/>
        <v>#REF!</v>
      </c>
      <c r="G14" t="e">
        <f t="shared" si="2"/>
        <v>#REF!</v>
      </c>
    </row>
    <row r="15" spans="1:10" ht="105" x14ac:dyDescent="0.25">
      <c r="A15" s="51" t="s">
        <v>306</v>
      </c>
      <c r="B15" s="210" t="s">
        <v>302</v>
      </c>
      <c r="C15" s="213" t="e">
        <f t="shared" si="3"/>
        <v>#REF!</v>
      </c>
      <c r="D15" s="65" t="e">
        <f t="shared" si="4"/>
        <v>#REF!</v>
      </c>
      <c r="E15" s="65" t="e">
        <f>C15*D15</f>
        <v>#REF!</v>
      </c>
      <c r="F15" s="65" t="e">
        <f t="shared" si="1"/>
        <v>#REF!</v>
      </c>
      <c r="G15" t="e">
        <f t="shared" si="2"/>
        <v>#REF!</v>
      </c>
    </row>
    <row r="16" spans="1:10" ht="90" x14ac:dyDescent="0.25">
      <c r="A16" s="51" t="s">
        <v>307</v>
      </c>
      <c r="B16" s="210" t="s">
        <v>300</v>
      </c>
      <c r="C16" s="213" t="e">
        <f t="shared" si="3"/>
        <v>#REF!</v>
      </c>
      <c r="D16" s="65" t="e">
        <f t="shared" si="4"/>
        <v>#REF!</v>
      </c>
      <c r="E16" s="65" t="e">
        <f t="shared" si="0"/>
        <v>#REF!</v>
      </c>
      <c r="F16" s="65" t="e">
        <f t="shared" si="1"/>
        <v>#REF!</v>
      </c>
      <c r="G16" t="e">
        <f t="shared" si="2"/>
        <v>#REF!</v>
      </c>
    </row>
    <row r="17" spans="1:10" ht="90" x14ac:dyDescent="0.25">
      <c r="A17" s="51" t="s">
        <v>308</v>
      </c>
      <c r="B17" s="210" t="s">
        <v>302</v>
      </c>
      <c r="C17" s="213" t="e">
        <f t="shared" si="3"/>
        <v>#REF!</v>
      </c>
      <c r="D17" s="65" t="e">
        <f t="shared" si="4"/>
        <v>#REF!</v>
      </c>
      <c r="E17" s="65" t="e">
        <f t="shared" si="0"/>
        <v>#REF!</v>
      </c>
      <c r="F17" s="65" t="e">
        <f t="shared" si="1"/>
        <v>#REF!</v>
      </c>
      <c r="G17" t="e">
        <f t="shared" si="2"/>
        <v>#REF!</v>
      </c>
    </row>
    <row r="18" spans="1:10" ht="30" x14ac:dyDescent="0.25">
      <c r="A18" s="51" t="s">
        <v>309</v>
      </c>
      <c r="B18" s="210" t="s">
        <v>300</v>
      </c>
      <c r="C18" s="213" t="e">
        <f t="shared" si="3"/>
        <v>#REF!</v>
      </c>
      <c r="D18" s="65" t="e">
        <f t="shared" si="4"/>
        <v>#REF!</v>
      </c>
      <c r="E18" s="65" t="e">
        <f t="shared" si="0"/>
        <v>#REF!</v>
      </c>
      <c r="F18" s="65" t="e">
        <f t="shared" si="1"/>
        <v>#REF!</v>
      </c>
      <c r="G18" t="e">
        <f t="shared" si="2"/>
        <v>#REF!</v>
      </c>
    </row>
    <row r="19" spans="1:10" ht="75" x14ac:dyDescent="0.25">
      <c r="A19" s="51" t="s">
        <v>310</v>
      </c>
      <c r="B19" s="210" t="s">
        <v>311</v>
      </c>
      <c r="C19" s="213" t="e">
        <f t="shared" si="3"/>
        <v>#REF!</v>
      </c>
      <c r="D19" s="65" t="e">
        <f t="shared" si="4"/>
        <v>#REF!</v>
      </c>
      <c r="E19" s="65" t="e">
        <f t="shared" si="0"/>
        <v>#REF!</v>
      </c>
      <c r="F19" s="65" t="e">
        <f t="shared" si="1"/>
        <v>#REF!</v>
      </c>
      <c r="G19" t="e">
        <f t="shared" si="2"/>
        <v>#REF!</v>
      </c>
    </row>
    <row r="20" spans="1:10" ht="75" x14ac:dyDescent="0.25">
      <c r="A20" s="51" t="s">
        <v>312</v>
      </c>
      <c r="B20" s="210" t="s">
        <v>311</v>
      </c>
      <c r="C20" s="213" t="e">
        <f t="shared" si="3"/>
        <v>#REF!</v>
      </c>
      <c r="D20" s="65" t="e">
        <f t="shared" si="4"/>
        <v>#REF!</v>
      </c>
      <c r="E20" s="65" t="e">
        <f t="shared" si="0"/>
        <v>#REF!</v>
      </c>
      <c r="F20" s="65" t="e">
        <f t="shared" si="1"/>
        <v>#REF!</v>
      </c>
      <c r="G20" t="e">
        <f t="shared" si="2"/>
        <v>#REF!</v>
      </c>
    </row>
    <row r="21" spans="1:10" x14ac:dyDescent="0.25">
      <c r="A21" s="51" t="s">
        <v>313</v>
      </c>
      <c r="B21" s="52" t="s">
        <v>311</v>
      </c>
      <c r="C21" s="213" t="e">
        <f t="shared" si="3"/>
        <v>#REF!</v>
      </c>
      <c r="D21" s="65" t="e">
        <f t="shared" si="4"/>
        <v>#REF!</v>
      </c>
      <c r="E21" s="65" t="e">
        <f t="shared" si="0"/>
        <v>#REF!</v>
      </c>
      <c r="F21" s="65" t="e">
        <f t="shared" si="1"/>
        <v>#REF!</v>
      </c>
      <c r="G21" t="e">
        <f t="shared" si="2"/>
        <v>#REF!</v>
      </c>
    </row>
    <row r="22" spans="1:10" ht="45" x14ac:dyDescent="0.25">
      <c r="A22" s="51" t="s">
        <v>314</v>
      </c>
      <c r="B22" s="52" t="s">
        <v>311</v>
      </c>
      <c r="C22" s="213" t="e">
        <f t="shared" si="3"/>
        <v>#REF!</v>
      </c>
      <c r="D22" s="65" t="e">
        <f t="shared" si="4"/>
        <v>#REF!</v>
      </c>
      <c r="E22" s="65" t="e">
        <f t="shared" si="0"/>
        <v>#REF!</v>
      </c>
      <c r="F22" s="65" t="e">
        <f t="shared" si="1"/>
        <v>#REF!</v>
      </c>
      <c r="G22" t="e">
        <f t="shared" si="2"/>
        <v>#REF!</v>
      </c>
    </row>
    <row r="23" spans="1:10" ht="56.25" customHeight="1" x14ac:dyDescent="0.25">
      <c r="A23" s="51" t="s">
        <v>315</v>
      </c>
      <c r="B23" s="52" t="s">
        <v>316</v>
      </c>
      <c r="C23" s="213" t="e">
        <f t="shared" si="3"/>
        <v>#REF!</v>
      </c>
      <c r="D23" s="65" t="e">
        <f t="shared" si="4"/>
        <v>#REF!</v>
      </c>
      <c r="E23" s="65" t="e">
        <f t="shared" si="0"/>
        <v>#REF!</v>
      </c>
      <c r="F23" s="65" t="e">
        <f t="shared" si="1"/>
        <v>#REF!</v>
      </c>
      <c r="G23" t="e">
        <f t="shared" si="2"/>
        <v>#REF!</v>
      </c>
    </row>
    <row r="24" spans="1:10" ht="56.25" customHeight="1" x14ac:dyDescent="0.25">
      <c r="A24" s="51" t="s">
        <v>317</v>
      </c>
      <c r="B24" s="51" t="s">
        <v>311</v>
      </c>
      <c r="C24" s="51" t="e">
        <f t="shared" si="3"/>
        <v>#REF!</v>
      </c>
      <c r="D24" s="212" t="e">
        <f t="shared" si="4"/>
        <v>#REF!</v>
      </c>
      <c r="E24" s="51" t="e">
        <f t="shared" ref="E24:E25" si="5">C24*D24</f>
        <v>#REF!</v>
      </c>
      <c r="F24" s="51" t="e">
        <f t="shared" ref="F24:F25" si="6">E24*3</f>
        <v>#REF!</v>
      </c>
      <c r="G24" t="e">
        <f t="shared" si="2"/>
        <v>#REF!</v>
      </c>
    </row>
    <row r="25" spans="1:10" ht="56.25" customHeight="1" x14ac:dyDescent="0.25">
      <c r="A25" s="51" t="s">
        <v>318</v>
      </c>
      <c r="B25" s="51" t="s">
        <v>311</v>
      </c>
      <c r="C25" s="51" t="e">
        <f t="shared" si="3"/>
        <v>#REF!</v>
      </c>
      <c r="D25" s="212" t="e">
        <f t="shared" si="4"/>
        <v>#REF!</v>
      </c>
      <c r="E25" s="51" t="e">
        <f t="shared" si="5"/>
        <v>#REF!</v>
      </c>
      <c r="F25" s="51" t="e">
        <f t="shared" si="6"/>
        <v>#REF!</v>
      </c>
      <c r="G25" t="e">
        <f t="shared" si="2"/>
        <v>#REF!</v>
      </c>
    </row>
    <row r="26" spans="1:10" x14ac:dyDescent="0.25">
      <c r="F26" s="65" t="e">
        <f>SUM(F4:F25)</f>
        <v>#REF!</v>
      </c>
      <c r="G26" t="e">
        <f>SUM(G4:G25)</f>
        <v>#REF!</v>
      </c>
      <c r="I26" s="65"/>
      <c r="J26">
        <f>I26*4</f>
        <v>0</v>
      </c>
    </row>
  </sheetData>
  <pageMargins left="0.7" right="0.7" top="0.75" bottom="0.75" header="0.3" footer="0.3"/>
  <pageSetup paperSize="9" firstPageNumber="2147483648" orientation="portrait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Лист4"/>
  <dimension ref="A1:J26"/>
  <sheetViews>
    <sheetView zoomScale="70" workbookViewId="0">
      <pane xSplit="1" topLeftCell="B1" activePane="topRight" state="frozen"/>
      <selection pane="topRight"/>
    </sheetView>
  </sheetViews>
  <sheetFormatPr defaultRowHeight="15" x14ac:dyDescent="0.25"/>
  <cols>
    <col min="1" max="1" width="26.5703125" style="51" customWidth="1"/>
    <col min="2" max="2" width="11.85546875" style="52" customWidth="1"/>
    <col min="3" max="3" width="13" style="53" customWidth="1"/>
    <col min="4" max="6" width="12.85546875" style="65" customWidth="1"/>
  </cols>
  <sheetData>
    <row r="1" spans="1:10" x14ac:dyDescent="0.25">
      <c r="A1" s="73"/>
      <c r="B1" s="73"/>
      <c r="C1" s="73"/>
      <c r="D1" s="206"/>
      <c r="E1" s="206"/>
      <c r="F1" s="206"/>
      <c r="G1" s="207"/>
      <c r="H1" s="207"/>
      <c r="I1" s="207"/>
      <c r="J1" s="207"/>
    </row>
    <row r="2" spans="1:10" x14ac:dyDescent="0.25">
      <c r="A2" s="73"/>
      <c r="B2" s="73"/>
      <c r="C2" s="73"/>
      <c r="D2" s="208">
        <v>0.3</v>
      </c>
      <c r="E2" s="208"/>
      <c r="F2" s="208"/>
      <c r="G2" s="209"/>
      <c r="H2" s="209"/>
      <c r="I2" s="209"/>
      <c r="J2" s="209"/>
    </row>
    <row r="3" spans="1:10" s="57" customFormat="1" ht="60" x14ac:dyDescent="0.25">
      <c r="A3" s="152" t="s">
        <v>62</v>
      </c>
      <c r="B3" s="210" t="s">
        <v>41</v>
      </c>
      <c r="C3" s="179" t="s">
        <v>283</v>
      </c>
      <c r="D3" s="211" t="s">
        <v>284</v>
      </c>
      <c r="E3" s="211" t="s">
        <v>285</v>
      </c>
      <c r="F3" s="211" t="s">
        <v>286</v>
      </c>
      <c r="G3" s="211" t="s">
        <v>287</v>
      </c>
    </row>
    <row r="4" spans="1:10" x14ac:dyDescent="0.25">
      <c r="A4" s="152" t="s">
        <v>288</v>
      </c>
      <c r="B4" s="210" t="s">
        <v>289</v>
      </c>
      <c r="C4" s="213">
        <f>'объем работ 100% загр'!E4</f>
        <v>46.64</v>
      </c>
      <c r="D4" s="65">
        <f>'объем работ 100% загр'!T4</f>
        <v>198.33333333333334</v>
      </c>
      <c r="E4" s="65">
        <f t="shared" ref="E4:E22" si="0">C4*D4</f>
        <v>9250.2666666666664</v>
      </c>
      <c r="F4" s="65">
        <f t="shared" ref="F4:F22" si="1">E4*3</f>
        <v>27750.799999999999</v>
      </c>
      <c r="G4">
        <f t="shared" ref="G4:G25" si="2">E4*12</f>
        <v>111003.2</v>
      </c>
    </row>
    <row r="5" spans="1:10" ht="135" x14ac:dyDescent="0.25">
      <c r="A5" s="152" t="s">
        <v>290</v>
      </c>
      <c r="B5" s="210" t="s">
        <v>291</v>
      </c>
      <c r="C5" s="213">
        <f>'объем работ 100% загр'!E5</f>
        <v>674.16000000000008</v>
      </c>
      <c r="D5" s="65">
        <f>'объем работ 100% загр'!T5</f>
        <v>2</v>
      </c>
      <c r="E5" s="65">
        <f t="shared" si="0"/>
        <v>1348.3200000000002</v>
      </c>
      <c r="F5" s="65">
        <f t="shared" si="1"/>
        <v>4044.9600000000005</v>
      </c>
      <c r="G5">
        <f t="shared" si="2"/>
        <v>16179.840000000002</v>
      </c>
    </row>
    <row r="6" spans="1:10" ht="123.75" customHeight="1" x14ac:dyDescent="0.25">
      <c r="A6" s="152" t="s">
        <v>292</v>
      </c>
      <c r="B6" s="210" t="s">
        <v>291</v>
      </c>
      <c r="C6" s="213">
        <f>'объем работ 100% загр'!E6</f>
        <v>8.48</v>
      </c>
      <c r="D6" s="65">
        <f>'объем работ 100% загр'!T6</f>
        <v>150</v>
      </c>
      <c r="E6" s="65">
        <f t="shared" si="0"/>
        <v>1272</v>
      </c>
      <c r="F6" s="65">
        <f t="shared" si="1"/>
        <v>3816</v>
      </c>
      <c r="G6">
        <f t="shared" si="2"/>
        <v>15264</v>
      </c>
    </row>
    <row r="7" spans="1:10" ht="60" x14ac:dyDescent="0.25">
      <c r="A7" s="152" t="s">
        <v>293</v>
      </c>
      <c r="B7" s="210" t="s">
        <v>294</v>
      </c>
      <c r="C7" s="213" t="e">
        <f t="shared" ref="C7:C25" si="3">'объем работ 100% загр'!#REF!</f>
        <v>#REF!</v>
      </c>
      <c r="D7" s="65" t="e">
        <f t="shared" ref="D7:D25" si="4">'объем работ 100% загр'!#REF!</f>
        <v>#REF!</v>
      </c>
      <c r="E7" s="65" t="e">
        <f t="shared" si="0"/>
        <v>#REF!</v>
      </c>
      <c r="F7" s="65" t="e">
        <f t="shared" si="1"/>
        <v>#REF!</v>
      </c>
      <c r="G7" t="e">
        <f t="shared" si="2"/>
        <v>#REF!</v>
      </c>
    </row>
    <row r="8" spans="1:10" ht="30" x14ac:dyDescent="0.25">
      <c r="A8" s="152" t="s">
        <v>295</v>
      </c>
      <c r="B8" s="210" t="s">
        <v>296</v>
      </c>
      <c r="C8" s="213" t="e">
        <f t="shared" si="3"/>
        <v>#REF!</v>
      </c>
      <c r="D8" s="65" t="e">
        <f t="shared" si="4"/>
        <v>#REF!</v>
      </c>
      <c r="E8" s="65" t="e">
        <f t="shared" si="0"/>
        <v>#REF!</v>
      </c>
      <c r="F8" s="65" t="e">
        <f t="shared" si="1"/>
        <v>#REF!</v>
      </c>
      <c r="G8" t="e">
        <f t="shared" si="2"/>
        <v>#REF!</v>
      </c>
    </row>
    <row r="9" spans="1:10" ht="30" x14ac:dyDescent="0.25">
      <c r="A9" s="152" t="s">
        <v>297</v>
      </c>
      <c r="B9" s="210" t="s">
        <v>298</v>
      </c>
      <c r="C9" s="213" t="e">
        <f t="shared" si="3"/>
        <v>#REF!</v>
      </c>
      <c r="D9" s="65" t="e">
        <f t="shared" si="4"/>
        <v>#REF!</v>
      </c>
      <c r="E9" s="65" t="e">
        <f t="shared" si="0"/>
        <v>#REF!</v>
      </c>
      <c r="F9" s="65" t="e">
        <f t="shared" si="1"/>
        <v>#REF!</v>
      </c>
      <c r="G9" t="e">
        <f t="shared" si="2"/>
        <v>#REF!</v>
      </c>
    </row>
    <row r="10" spans="1:10" ht="90" x14ac:dyDescent="0.25">
      <c r="A10" s="152" t="s">
        <v>299</v>
      </c>
      <c r="B10" s="210" t="s">
        <v>300</v>
      </c>
      <c r="C10" s="213" t="e">
        <f t="shared" si="3"/>
        <v>#REF!</v>
      </c>
      <c r="D10" s="65" t="e">
        <f t="shared" si="4"/>
        <v>#REF!</v>
      </c>
      <c r="E10" s="65" t="e">
        <f t="shared" si="0"/>
        <v>#REF!</v>
      </c>
      <c r="F10" s="65" t="e">
        <f t="shared" si="1"/>
        <v>#REF!</v>
      </c>
      <c r="G10" t="e">
        <f t="shared" si="2"/>
        <v>#REF!</v>
      </c>
    </row>
    <row r="11" spans="1:10" ht="90" x14ac:dyDescent="0.25">
      <c r="A11" s="152" t="s">
        <v>301</v>
      </c>
      <c r="B11" s="210" t="s">
        <v>302</v>
      </c>
      <c r="C11" s="213" t="e">
        <f t="shared" si="3"/>
        <v>#REF!</v>
      </c>
      <c r="D11" s="65" t="e">
        <f t="shared" si="4"/>
        <v>#REF!</v>
      </c>
      <c r="E11" s="65" t="e">
        <f t="shared" si="0"/>
        <v>#REF!</v>
      </c>
      <c r="F11" s="65" t="e">
        <f t="shared" si="1"/>
        <v>#REF!</v>
      </c>
      <c r="G11" t="e">
        <f t="shared" si="2"/>
        <v>#REF!</v>
      </c>
    </row>
    <row r="12" spans="1:10" ht="75" x14ac:dyDescent="0.25">
      <c r="A12" s="51" t="s">
        <v>303</v>
      </c>
      <c r="B12" s="210" t="s">
        <v>300</v>
      </c>
      <c r="C12" s="213" t="e">
        <f t="shared" si="3"/>
        <v>#REF!</v>
      </c>
      <c r="D12" s="65" t="e">
        <f t="shared" si="4"/>
        <v>#REF!</v>
      </c>
      <c r="E12" s="65" t="e">
        <f t="shared" si="0"/>
        <v>#REF!</v>
      </c>
      <c r="F12" s="65" t="e">
        <f t="shared" si="1"/>
        <v>#REF!</v>
      </c>
      <c r="G12" t="e">
        <f t="shared" si="2"/>
        <v>#REF!</v>
      </c>
    </row>
    <row r="13" spans="1:10" ht="75" x14ac:dyDescent="0.25">
      <c r="A13" s="51" t="s">
        <v>304</v>
      </c>
      <c r="B13" s="210" t="s">
        <v>302</v>
      </c>
      <c r="C13" s="213" t="e">
        <f t="shared" si="3"/>
        <v>#REF!</v>
      </c>
      <c r="D13" s="65" t="e">
        <f t="shared" si="4"/>
        <v>#REF!</v>
      </c>
      <c r="E13" s="65" t="e">
        <f t="shared" si="0"/>
        <v>#REF!</v>
      </c>
      <c r="F13" s="65" t="e">
        <f t="shared" si="1"/>
        <v>#REF!</v>
      </c>
      <c r="G13" t="e">
        <f t="shared" si="2"/>
        <v>#REF!</v>
      </c>
    </row>
    <row r="14" spans="1:10" ht="105" x14ac:dyDescent="0.25">
      <c r="A14" s="51" t="s">
        <v>305</v>
      </c>
      <c r="B14" s="210" t="s">
        <v>300</v>
      </c>
      <c r="C14" s="213" t="e">
        <f t="shared" si="3"/>
        <v>#REF!</v>
      </c>
      <c r="D14" s="65" t="e">
        <f t="shared" si="4"/>
        <v>#REF!</v>
      </c>
      <c r="E14" s="65" t="e">
        <f t="shared" si="0"/>
        <v>#REF!</v>
      </c>
      <c r="F14" s="65" t="e">
        <f t="shared" si="1"/>
        <v>#REF!</v>
      </c>
      <c r="G14" t="e">
        <f t="shared" si="2"/>
        <v>#REF!</v>
      </c>
    </row>
    <row r="15" spans="1:10" ht="105" x14ac:dyDescent="0.25">
      <c r="A15" s="51" t="s">
        <v>306</v>
      </c>
      <c r="B15" s="210" t="s">
        <v>302</v>
      </c>
      <c r="C15" s="213" t="e">
        <f t="shared" si="3"/>
        <v>#REF!</v>
      </c>
      <c r="D15" s="65" t="e">
        <f t="shared" si="4"/>
        <v>#REF!</v>
      </c>
      <c r="E15" s="65" t="e">
        <f t="shared" si="0"/>
        <v>#REF!</v>
      </c>
      <c r="F15" s="65" t="e">
        <f t="shared" si="1"/>
        <v>#REF!</v>
      </c>
      <c r="G15" t="e">
        <f t="shared" si="2"/>
        <v>#REF!</v>
      </c>
    </row>
    <row r="16" spans="1:10" ht="90" x14ac:dyDescent="0.25">
      <c r="A16" s="51" t="s">
        <v>307</v>
      </c>
      <c r="B16" s="210" t="s">
        <v>300</v>
      </c>
      <c r="C16" s="213" t="e">
        <f t="shared" si="3"/>
        <v>#REF!</v>
      </c>
      <c r="D16" s="65" t="e">
        <f t="shared" si="4"/>
        <v>#REF!</v>
      </c>
      <c r="E16" s="65" t="e">
        <f t="shared" si="0"/>
        <v>#REF!</v>
      </c>
      <c r="F16" s="65" t="e">
        <f t="shared" si="1"/>
        <v>#REF!</v>
      </c>
      <c r="G16" t="e">
        <f t="shared" si="2"/>
        <v>#REF!</v>
      </c>
    </row>
    <row r="17" spans="1:9" ht="90" x14ac:dyDescent="0.25">
      <c r="A17" s="51" t="s">
        <v>308</v>
      </c>
      <c r="B17" s="210" t="s">
        <v>302</v>
      </c>
      <c r="C17" s="213" t="e">
        <f t="shared" si="3"/>
        <v>#REF!</v>
      </c>
      <c r="D17" s="65" t="e">
        <f t="shared" si="4"/>
        <v>#REF!</v>
      </c>
      <c r="E17" s="65" t="e">
        <f t="shared" si="0"/>
        <v>#REF!</v>
      </c>
      <c r="F17" s="65" t="e">
        <f t="shared" si="1"/>
        <v>#REF!</v>
      </c>
      <c r="G17" t="e">
        <f t="shared" si="2"/>
        <v>#REF!</v>
      </c>
    </row>
    <row r="18" spans="1:9" ht="30" x14ac:dyDescent="0.25">
      <c r="A18" s="51" t="s">
        <v>309</v>
      </c>
      <c r="B18" s="210" t="s">
        <v>300</v>
      </c>
      <c r="C18" s="213" t="e">
        <f t="shared" si="3"/>
        <v>#REF!</v>
      </c>
      <c r="D18" s="65" t="e">
        <f t="shared" si="4"/>
        <v>#REF!</v>
      </c>
      <c r="E18" s="65" t="e">
        <f t="shared" si="0"/>
        <v>#REF!</v>
      </c>
      <c r="F18" s="65" t="e">
        <f t="shared" si="1"/>
        <v>#REF!</v>
      </c>
      <c r="G18" t="e">
        <f t="shared" si="2"/>
        <v>#REF!</v>
      </c>
    </row>
    <row r="19" spans="1:9" ht="75" x14ac:dyDescent="0.25">
      <c r="A19" s="51" t="s">
        <v>310</v>
      </c>
      <c r="B19" s="210" t="s">
        <v>311</v>
      </c>
      <c r="C19" s="213" t="e">
        <f t="shared" si="3"/>
        <v>#REF!</v>
      </c>
      <c r="D19" s="65" t="e">
        <f t="shared" si="4"/>
        <v>#REF!</v>
      </c>
      <c r="E19" s="65" t="e">
        <f t="shared" si="0"/>
        <v>#REF!</v>
      </c>
      <c r="F19" s="65" t="e">
        <f t="shared" si="1"/>
        <v>#REF!</v>
      </c>
      <c r="G19" t="e">
        <f t="shared" si="2"/>
        <v>#REF!</v>
      </c>
    </row>
    <row r="20" spans="1:9" ht="75" x14ac:dyDescent="0.25">
      <c r="A20" s="51" t="s">
        <v>312</v>
      </c>
      <c r="B20" s="210" t="s">
        <v>311</v>
      </c>
      <c r="C20" s="213" t="e">
        <f t="shared" si="3"/>
        <v>#REF!</v>
      </c>
      <c r="D20" s="65" t="e">
        <f t="shared" si="4"/>
        <v>#REF!</v>
      </c>
      <c r="E20" s="65" t="e">
        <f t="shared" si="0"/>
        <v>#REF!</v>
      </c>
      <c r="F20" s="65" t="e">
        <f t="shared" si="1"/>
        <v>#REF!</v>
      </c>
      <c r="G20" t="e">
        <f t="shared" si="2"/>
        <v>#REF!</v>
      </c>
    </row>
    <row r="21" spans="1:9" x14ac:dyDescent="0.25">
      <c r="A21" s="51" t="s">
        <v>313</v>
      </c>
      <c r="B21" s="52" t="s">
        <v>311</v>
      </c>
      <c r="C21" s="213" t="e">
        <f t="shared" si="3"/>
        <v>#REF!</v>
      </c>
      <c r="D21" s="65" t="e">
        <f t="shared" si="4"/>
        <v>#REF!</v>
      </c>
      <c r="E21" s="65" t="e">
        <f t="shared" si="0"/>
        <v>#REF!</v>
      </c>
      <c r="F21" s="65" t="e">
        <f t="shared" si="1"/>
        <v>#REF!</v>
      </c>
      <c r="G21" t="e">
        <f t="shared" si="2"/>
        <v>#REF!</v>
      </c>
    </row>
    <row r="22" spans="1:9" ht="45" x14ac:dyDescent="0.25">
      <c r="A22" s="51" t="s">
        <v>314</v>
      </c>
      <c r="B22" s="52" t="s">
        <v>311</v>
      </c>
      <c r="C22" s="213" t="e">
        <f t="shared" si="3"/>
        <v>#REF!</v>
      </c>
      <c r="D22" s="65" t="e">
        <f t="shared" si="4"/>
        <v>#REF!</v>
      </c>
      <c r="E22" s="65" t="e">
        <f t="shared" si="0"/>
        <v>#REF!</v>
      </c>
      <c r="F22" s="65" t="e">
        <f t="shared" si="1"/>
        <v>#REF!</v>
      </c>
      <c r="G22" t="e">
        <f t="shared" si="2"/>
        <v>#REF!</v>
      </c>
    </row>
    <row r="23" spans="1:9" ht="30" x14ac:dyDescent="0.25">
      <c r="A23" s="51" t="s">
        <v>315</v>
      </c>
      <c r="B23" s="52" t="s">
        <v>316</v>
      </c>
      <c r="C23" s="213" t="e">
        <f t="shared" si="3"/>
        <v>#REF!</v>
      </c>
      <c r="D23" s="65" t="e">
        <f t="shared" si="4"/>
        <v>#REF!</v>
      </c>
      <c r="E23" s="65" t="e">
        <f t="shared" ref="E23:E25" si="5">C23*D23</f>
        <v>#REF!</v>
      </c>
      <c r="F23" s="65" t="e">
        <f t="shared" ref="F23:F25" si="6">E23*3</f>
        <v>#REF!</v>
      </c>
      <c r="G23" t="e">
        <f t="shared" si="2"/>
        <v>#REF!</v>
      </c>
    </row>
    <row r="24" spans="1:9" ht="56.25" customHeight="1" x14ac:dyDescent="0.25">
      <c r="A24" s="51" t="s">
        <v>317</v>
      </c>
      <c r="B24" s="51" t="s">
        <v>311</v>
      </c>
      <c r="C24" s="51" t="e">
        <f t="shared" si="3"/>
        <v>#REF!</v>
      </c>
      <c r="D24" s="212" t="e">
        <f t="shared" si="4"/>
        <v>#REF!</v>
      </c>
      <c r="E24" s="51" t="e">
        <f t="shared" si="5"/>
        <v>#REF!</v>
      </c>
      <c r="F24" s="51" t="e">
        <f t="shared" si="6"/>
        <v>#REF!</v>
      </c>
      <c r="G24" t="e">
        <f t="shared" si="2"/>
        <v>#REF!</v>
      </c>
    </row>
    <row r="25" spans="1:9" ht="56.25" customHeight="1" x14ac:dyDescent="0.25">
      <c r="A25" s="51" t="s">
        <v>318</v>
      </c>
      <c r="B25" s="51" t="s">
        <v>311</v>
      </c>
      <c r="C25" s="51" t="e">
        <f t="shared" si="3"/>
        <v>#REF!</v>
      </c>
      <c r="D25" s="212" t="e">
        <f t="shared" si="4"/>
        <v>#REF!</v>
      </c>
      <c r="E25" s="51" t="e">
        <f t="shared" si="5"/>
        <v>#REF!</v>
      </c>
      <c r="F25" s="51" t="e">
        <f t="shared" si="6"/>
        <v>#REF!</v>
      </c>
      <c r="G25" t="e">
        <f t="shared" si="2"/>
        <v>#REF!</v>
      </c>
    </row>
    <row r="26" spans="1:9" x14ac:dyDescent="0.25">
      <c r="F26" s="65" t="e">
        <f>SUM(F4:F25)</f>
        <v>#REF!</v>
      </c>
      <c r="G26" t="e">
        <f>SUM(G4:G25)</f>
        <v>#REF!</v>
      </c>
      <c r="I26" s="65"/>
    </row>
  </sheetData>
  <pageMargins left="0.7" right="0.7" top="0.75" bottom="0.75" header="0.3" footer="0.3"/>
  <pageSetup paperSize="9" firstPageNumber="2147483648" orientation="portrait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Лист5"/>
  <dimension ref="A1:J26"/>
  <sheetViews>
    <sheetView zoomScale="70" workbookViewId="0">
      <pane xSplit="1" topLeftCell="B1" activePane="topRight" state="frozen"/>
      <selection pane="topRight"/>
    </sheetView>
  </sheetViews>
  <sheetFormatPr defaultRowHeight="15" x14ac:dyDescent="0.25"/>
  <cols>
    <col min="1" max="1" width="26.5703125" style="51" customWidth="1"/>
    <col min="2" max="2" width="11.85546875" style="52" customWidth="1"/>
    <col min="3" max="3" width="13" style="53" customWidth="1"/>
    <col min="4" max="6" width="12.85546875" style="65" customWidth="1"/>
  </cols>
  <sheetData>
    <row r="1" spans="1:10" x14ac:dyDescent="0.25">
      <c r="A1" s="73"/>
      <c r="B1" s="73"/>
      <c r="C1" s="73"/>
      <c r="D1" s="206"/>
      <c r="E1" s="206"/>
      <c r="F1" s="206"/>
      <c r="G1" s="207"/>
      <c r="H1" s="207"/>
      <c r="I1" s="207"/>
      <c r="J1" s="207"/>
    </row>
    <row r="2" spans="1:10" x14ac:dyDescent="0.25">
      <c r="A2" s="73"/>
      <c r="B2" s="73"/>
      <c r="C2" s="73"/>
      <c r="D2" s="208">
        <v>0.3</v>
      </c>
      <c r="E2" s="208"/>
      <c r="F2" s="208"/>
      <c r="G2" s="209"/>
      <c r="H2" s="209"/>
      <c r="I2" s="209"/>
      <c r="J2" s="209"/>
    </row>
    <row r="3" spans="1:10" s="57" customFormat="1" ht="60" x14ac:dyDescent="0.25">
      <c r="A3" s="152" t="s">
        <v>62</v>
      </c>
      <c r="B3" s="210" t="s">
        <v>41</v>
      </c>
      <c r="C3" s="179" t="s">
        <v>283</v>
      </c>
      <c r="D3" s="211" t="s">
        <v>284</v>
      </c>
      <c r="E3" s="211" t="s">
        <v>285</v>
      </c>
      <c r="F3" s="211" t="s">
        <v>286</v>
      </c>
      <c r="G3" s="211" t="s">
        <v>287</v>
      </c>
    </row>
    <row r="4" spans="1:10" x14ac:dyDescent="0.25">
      <c r="A4" s="152" t="s">
        <v>288</v>
      </c>
      <c r="B4" s="210" t="s">
        <v>289</v>
      </c>
      <c r="C4" s="213">
        <f>'объем работ 100% загр'!F4</f>
        <v>49.438400000000001</v>
      </c>
      <c r="D4" s="65">
        <f>'объем работ 100% загр'!S4</f>
        <v>198.33333333333334</v>
      </c>
      <c r="E4" s="65">
        <f t="shared" ref="E4:E23" si="0">C4*D4</f>
        <v>9805.2826666666679</v>
      </c>
      <c r="F4" s="65">
        <f t="shared" ref="F4:F23" si="1">E4*3</f>
        <v>29415.848000000005</v>
      </c>
      <c r="G4">
        <f t="shared" ref="G4:G23" si="2">E4*12</f>
        <v>117663.39200000002</v>
      </c>
    </row>
    <row r="5" spans="1:10" ht="135" x14ac:dyDescent="0.25">
      <c r="A5" s="152" t="s">
        <v>290</v>
      </c>
      <c r="B5" s="210" t="s">
        <v>291</v>
      </c>
      <c r="C5" s="213">
        <f>'объем работ 100% загр'!F5</f>
        <v>714.60960000000011</v>
      </c>
      <c r="D5" s="65">
        <f>'объем работ 100% загр'!S5</f>
        <v>2</v>
      </c>
      <c r="E5" s="65">
        <f t="shared" si="0"/>
        <v>1429.2192000000002</v>
      </c>
      <c r="F5" s="65">
        <f t="shared" si="1"/>
        <v>4287.6576000000005</v>
      </c>
      <c r="G5">
        <f t="shared" si="2"/>
        <v>17150.630400000002</v>
      </c>
    </row>
    <row r="6" spans="1:10" ht="123.75" customHeight="1" x14ac:dyDescent="0.25">
      <c r="A6" s="152" t="s">
        <v>292</v>
      </c>
      <c r="B6" s="210" t="s">
        <v>291</v>
      </c>
      <c r="C6" s="213">
        <f>'объем работ 100% загр'!F6</f>
        <v>8.9888000000000012</v>
      </c>
      <c r="D6" s="65">
        <f>'объем работ 100% загр'!S6</f>
        <v>150</v>
      </c>
      <c r="E6" s="65">
        <f t="shared" si="0"/>
        <v>1348.3200000000002</v>
      </c>
      <c r="F6" s="65">
        <f t="shared" si="1"/>
        <v>4044.9600000000005</v>
      </c>
      <c r="G6">
        <f t="shared" si="2"/>
        <v>16179.840000000002</v>
      </c>
    </row>
    <row r="7" spans="1:10" ht="60" x14ac:dyDescent="0.25">
      <c r="A7" s="152" t="s">
        <v>293</v>
      </c>
      <c r="B7" s="210" t="s">
        <v>294</v>
      </c>
      <c r="C7" s="213" t="e">
        <f t="shared" ref="C7:C25" si="3">'объем работ 100% загр'!#REF!</f>
        <v>#REF!</v>
      </c>
      <c r="D7" s="65" t="e">
        <f t="shared" ref="D7:D25" si="4">'объем работ 100% загр'!#REF!</f>
        <v>#REF!</v>
      </c>
      <c r="E7" s="65" t="e">
        <f t="shared" si="0"/>
        <v>#REF!</v>
      </c>
      <c r="F7" s="65" t="e">
        <f t="shared" si="1"/>
        <v>#REF!</v>
      </c>
      <c r="G7" t="e">
        <f t="shared" si="2"/>
        <v>#REF!</v>
      </c>
    </row>
    <row r="8" spans="1:10" ht="30" x14ac:dyDescent="0.25">
      <c r="A8" s="152" t="s">
        <v>295</v>
      </c>
      <c r="B8" s="210" t="s">
        <v>296</v>
      </c>
      <c r="C8" s="213" t="e">
        <f t="shared" si="3"/>
        <v>#REF!</v>
      </c>
      <c r="D8" s="65" t="e">
        <f t="shared" si="4"/>
        <v>#REF!</v>
      </c>
      <c r="E8" s="65" t="e">
        <f t="shared" si="0"/>
        <v>#REF!</v>
      </c>
      <c r="F8" s="65" t="e">
        <f t="shared" si="1"/>
        <v>#REF!</v>
      </c>
      <c r="G8" t="e">
        <f t="shared" si="2"/>
        <v>#REF!</v>
      </c>
    </row>
    <row r="9" spans="1:10" ht="30" x14ac:dyDescent="0.25">
      <c r="A9" s="152" t="s">
        <v>297</v>
      </c>
      <c r="B9" s="210" t="s">
        <v>298</v>
      </c>
      <c r="C9" s="213" t="e">
        <f t="shared" si="3"/>
        <v>#REF!</v>
      </c>
      <c r="D9" s="65" t="e">
        <f t="shared" si="4"/>
        <v>#REF!</v>
      </c>
      <c r="E9" s="65" t="e">
        <f t="shared" si="0"/>
        <v>#REF!</v>
      </c>
      <c r="F9" s="65" t="e">
        <f t="shared" si="1"/>
        <v>#REF!</v>
      </c>
      <c r="G9" t="e">
        <f t="shared" si="2"/>
        <v>#REF!</v>
      </c>
    </row>
    <row r="10" spans="1:10" ht="90" x14ac:dyDescent="0.25">
      <c r="A10" s="152" t="s">
        <v>299</v>
      </c>
      <c r="B10" s="210" t="s">
        <v>300</v>
      </c>
      <c r="C10" s="213" t="e">
        <f t="shared" si="3"/>
        <v>#REF!</v>
      </c>
      <c r="D10" s="65" t="e">
        <f t="shared" si="4"/>
        <v>#REF!</v>
      </c>
      <c r="E10" s="65" t="e">
        <f t="shared" si="0"/>
        <v>#REF!</v>
      </c>
      <c r="F10" s="65" t="e">
        <f t="shared" si="1"/>
        <v>#REF!</v>
      </c>
      <c r="G10" t="e">
        <f t="shared" si="2"/>
        <v>#REF!</v>
      </c>
    </row>
    <row r="11" spans="1:10" ht="90" x14ac:dyDescent="0.25">
      <c r="A11" s="152" t="s">
        <v>301</v>
      </c>
      <c r="B11" s="210" t="s">
        <v>302</v>
      </c>
      <c r="C11" s="213" t="e">
        <f t="shared" si="3"/>
        <v>#REF!</v>
      </c>
      <c r="D11" s="65" t="e">
        <f t="shared" si="4"/>
        <v>#REF!</v>
      </c>
      <c r="E11" s="65" t="e">
        <f t="shared" si="0"/>
        <v>#REF!</v>
      </c>
      <c r="F11" s="65" t="e">
        <f t="shared" si="1"/>
        <v>#REF!</v>
      </c>
      <c r="G11" t="e">
        <f t="shared" si="2"/>
        <v>#REF!</v>
      </c>
    </row>
    <row r="12" spans="1:10" ht="75" x14ac:dyDescent="0.25">
      <c r="A12" s="51" t="s">
        <v>303</v>
      </c>
      <c r="B12" s="210" t="s">
        <v>300</v>
      </c>
      <c r="C12" s="213" t="e">
        <f t="shared" si="3"/>
        <v>#REF!</v>
      </c>
      <c r="D12" s="65" t="e">
        <f t="shared" si="4"/>
        <v>#REF!</v>
      </c>
      <c r="E12" s="65" t="e">
        <f t="shared" si="0"/>
        <v>#REF!</v>
      </c>
      <c r="F12" s="65" t="e">
        <f t="shared" si="1"/>
        <v>#REF!</v>
      </c>
      <c r="G12" t="e">
        <f t="shared" si="2"/>
        <v>#REF!</v>
      </c>
    </row>
    <row r="13" spans="1:10" ht="75" x14ac:dyDescent="0.25">
      <c r="A13" s="51" t="s">
        <v>304</v>
      </c>
      <c r="B13" s="210" t="s">
        <v>302</v>
      </c>
      <c r="C13" s="213" t="e">
        <f t="shared" si="3"/>
        <v>#REF!</v>
      </c>
      <c r="D13" s="65" t="e">
        <f t="shared" si="4"/>
        <v>#REF!</v>
      </c>
      <c r="E13" s="65" t="e">
        <f t="shared" si="0"/>
        <v>#REF!</v>
      </c>
      <c r="F13" s="65" t="e">
        <f t="shared" si="1"/>
        <v>#REF!</v>
      </c>
      <c r="G13" t="e">
        <f t="shared" si="2"/>
        <v>#REF!</v>
      </c>
    </row>
    <row r="14" spans="1:10" ht="105" x14ac:dyDescent="0.25">
      <c r="A14" s="51" t="s">
        <v>305</v>
      </c>
      <c r="B14" s="210" t="s">
        <v>300</v>
      </c>
      <c r="C14" s="213" t="e">
        <f t="shared" si="3"/>
        <v>#REF!</v>
      </c>
      <c r="D14" s="65" t="e">
        <f t="shared" si="4"/>
        <v>#REF!</v>
      </c>
      <c r="E14" s="65" t="e">
        <f t="shared" si="0"/>
        <v>#REF!</v>
      </c>
      <c r="F14" s="65" t="e">
        <f t="shared" si="1"/>
        <v>#REF!</v>
      </c>
      <c r="G14" t="e">
        <f t="shared" si="2"/>
        <v>#REF!</v>
      </c>
    </row>
    <row r="15" spans="1:10" ht="105" x14ac:dyDescent="0.25">
      <c r="A15" s="51" t="s">
        <v>306</v>
      </c>
      <c r="B15" s="210" t="s">
        <v>302</v>
      </c>
      <c r="C15" s="213" t="e">
        <f t="shared" si="3"/>
        <v>#REF!</v>
      </c>
      <c r="D15" s="65" t="e">
        <f t="shared" si="4"/>
        <v>#REF!</v>
      </c>
      <c r="E15" s="65" t="e">
        <f t="shared" si="0"/>
        <v>#REF!</v>
      </c>
      <c r="F15" s="65" t="e">
        <f t="shared" si="1"/>
        <v>#REF!</v>
      </c>
      <c r="G15" t="e">
        <f t="shared" si="2"/>
        <v>#REF!</v>
      </c>
    </row>
    <row r="16" spans="1:10" ht="90" x14ac:dyDescent="0.25">
      <c r="A16" s="51" t="s">
        <v>307</v>
      </c>
      <c r="B16" s="210" t="s">
        <v>300</v>
      </c>
      <c r="C16" s="213" t="e">
        <f t="shared" si="3"/>
        <v>#REF!</v>
      </c>
      <c r="D16" s="65" t="e">
        <f t="shared" si="4"/>
        <v>#REF!</v>
      </c>
      <c r="E16" s="65" t="e">
        <f t="shared" si="0"/>
        <v>#REF!</v>
      </c>
      <c r="F16" s="65" t="e">
        <f t="shared" si="1"/>
        <v>#REF!</v>
      </c>
      <c r="G16" t="e">
        <f t="shared" si="2"/>
        <v>#REF!</v>
      </c>
    </row>
    <row r="17" spans="1:9" ht="90" x14ac:dyDescent="0.25">
      <c r="A17" s="51" t="s">
        <v>308</v>
      </c>
      <c r="B17" s="210" t="s">
        <v>302</v>
      </c>
      <c r="C17" s="213" t="e">
        <f t="shared" si="3"/>
        <v>#REF!</v>
      </c>
      <c r="D17" s="65" t="e">
        <f t="shared" si="4"/>
        <v>#REF!</v>
      </c>
      <c r="E17" s="65" t="e">
        <f t="shared" si="0"/>
        <v>#REF!</v>
      </c>
      <c r="F17" s="65" t="e">
        <f t="shared" si="1"/>
        <v>#REF!</v>
      </c>
      <c r="G17" t="e">
        <f t="shared" si="2"/>
        <v>#REF!</v>
      </c>
    </row>
    <row r="18" spans="1:9" ht="30" x14ac:dyDescent="0.25">
      <c r="A18" s="51" t="s">
        <v>309</v>
      </c>
      <c r="B18" s="210" t="s">
        <v>300</v>
      </c>
      <c r="C18" s="213" t="e">
        <f t="shared" si="3"/>
        <v>#REF!</v>
      </c>
      <c r="D18" s="65" t="e">
        <f t="shared" si="4"/>
        <v>#REF!</v>
      </c>
      <c r="E18" s="65" t="e">
        <f t="shared" si="0"/>
        <v>#REF!</v>
      </c>
      <c r="F18" s="65" t="e">
        <f t="shared" si="1"/>
        <v>#REF!</v>
      </c>
      <c r="G18" t="e">
        <f t="shared" si="2"/>
        <v>#REF!</v>
      </c>
    </row>
    <row r="19" spans="1:9" ht="75" x14ac:dyDescent="0.25">
      <c r="A19" s="51" t="s">
        <v>310</v>
      </c>
      <c r="B19" s="210" t="s">
        <v>311</v>
      </c>
      <c r="C19" s="213" t="e">
        <f t="shared" si="3"/>
        <v>#REF!</v>
      </c>
      <c r="D19" s="65" t="e">
        <f t="shared" si="4"/>
        <v>#REF!</v>
      </c>
      <c r="E19" s="65" t="e">
        <f t="shared" si="0"/>
        <v>#REF!</v>
      </c>
      <c r="F19" s="65" t="e">
        <f t="shared" si="1"/>
        <v>#REF!</v>
      </c>
      <c r="G19" t="e">
        <f t="shared" si="2"/>
        <v>#REF!</v>
      </c>
    </row>
    <row r="20" spans="1:9" ht="75" x14ac:dyDescent="0.25">
      <c r="A20" s="51" t="s">
        <v>312</v>
      </c>
      <c r="B20" s="210" t="s">
        <v>311</v>
      </c>
      <c r="C20" s="213" t="e">
        <f t="shared" si="3"/>
        <v>#REF!</v>
      </c>
      <c r="D20" s="65" t="e">
        <f t="shared" si="4"/>
        <v>#REF!</v>
      </c>
      <c r="E20" s="65" t="e">
        <f t="shared" si="0"/>
        <v>#REF!</v>
      </c>
      <c r="F20" s="65" t="e">
        <f t="shared" si="1"/>
        <v>#REF!</v>
      </c>
      <c r="G20" t="e">
        <f t="shared" si="2"/>
        <v>#REF!</v>
      </c>
    </row>
    <row r="21" spans="1:9" x14ac:dyDescent="0.25">
      <c r="A21" s="51" t="s">
        <v>313</v>
      </c>
      <c r="B21" s="52" t="s">
        <v>311</v>
      </c>
      <c r="C21" s="213" t="e">
        <f t="shared" si="3"/>
        <v>#REF!</v>
      </c>
      <c r="D21" s="65" t="e">
        <f t="shared" si="4"/>
        <v>#REF!</v>
      </c>
      <c r="E21" s="65" t="e">
        <f t="shared" si="0"/>
        <v>#REF!</v>
      </c>
      <c r="F21" s="65" t="e">
        <f t="shared" si="1"/>
        <v>#REF!</v>
      </c>
      <c r="G21" t="e">
        <f t="shared" si="2"/>
        <v>#REF!</v>
      </c>
    </row>
    <row r="22" spans="1:9" ht="45" x14ac:dyDescent="0.25">
      <c r="A22" s="51" t="s">
        <v>314</v>
      </c>
      <c r="B22" s="52" t="s">
        <v>311</v>
      </c>
      <c r="C22" s="213" t="e">
        <f t="shared" si="3"/>
        <v>#REF!</v>
      </c>
      <c r="D22" s="65" t="e">
        <f t="shared" si="4"/>
        <v>#REF!</v>
      </c>
      <c r="E22" s="65" t="e">
        <f t="shared" si="0"/>
        <v>#REF!</v>
      </c>
      <c r="F22" s="65" t="e">
        <f t="shared" si="1"/>
        <v>#REF!</v>
      </c>
      <c r="G22" t="e">
        <f t="shared" si="2"/>
        <v>#REF!</v>
      </c>
    </row>
    <row r="23" spans="1:9" ht="56.25" customHeight="1" x14ac:dyDescent="0.25">
      <c r="A23" s="51" t="s">
        <v>315</v>
      </c>
      <c r="B23" s="52" t="s">
        <v>316</v>
      </c>
      <c r="C23" s="213" t="e">
        <f t="shared" si="3"/>
        <v>#REF!</v>
      </c>
      <c r="D23" s="65" t="e">
        <f t="shared" si="4"/>
        <v>#REF!</v>
      </c>
      <c r="E23" s="65" t="e">
        <f t="shared" si="0"/>
        <v>#REF!</v>
      </c>
      <c r="F23" s="65" t="e">
        <f t="shared" si="1"/>
        <v>#REF!</v>
      </c>
      <c r="G23" t="e">
        <f t="shared" si="2"/>
        <v>#REF!</v>
      </c>
    </row>
    <row r="24" spans="1:9" ht="56.25" customHeight="1" x14ac:dyDescent="0.25">
      <c r="A24" s="51" t="s">
        <v>317</v>
      </c>
      <c r="B24" s="51" t="s">
        <v>311</v>
      </c>
      <c r="C24" s="51" t="e">
        <f t="shared" si="3"/>
        <v>#REF!</v>
      </c>
      <c r="D24" s="212" t="e">
        <f t="shared" si="4"/>
        <v>#REF!</v>
      </c>
      <c r="E24" s="51" t="e">
        <f t="shared" ref="E24:E25" si="5">C24*D24</f>
        <v>#REF!</v>
      </c>
      <c r="F24" s="51" t="e">
        <f t="shared" ref="F24:F25" si="6">E24*3</f>
        <v>#REF!</v>
      </c>
      <c r="G24" s="51" t="e">
        <f t="shared" ref="G24:G25" si="7">E24*12</f>
        <v>#REF!</v>
      </c>
    </row>
    <row r="25" spans="1:9" ht="56.25" customHeight="1" x14ac:dyDescent="0.25">
      <c r="A25" s="51" t="s">
        <v>318</v>
      </c>
      <c r="B25" s="51" t="s">
        <v>311</v>
      </c>
      <c r="C25" s="51" t="e">
        <f t="shared" si="3"/>
        <v>#REF!</v>
      </c>
      <c r="D25" s="212" t="e">
        <f t="shared" si="4"/>
        <v>#REF!</v>
      </c>
      <c r="E25" s="51" t="e">
        <f t="shared" si="5"/>
        <v>#REF!</v>
      </c>
      <c r="F25" s="51" t="e">
        <f t="shared" si="6"/>
        <v>#REF!</v>
      </c>
      <c r="G25" s="51" t="e">
        <f t="shared" si="7"/>
        <v>#REF!</v>
      </c>
    </row>
    <row r="26" spans="1:9" x14ac:dyDescent="0.25">
      <c r="F26" s="65" t="e">
        <f>SUM(F4:F25)</f>
        <v>#REF!</v>
      </c>
      <c r="G26" t="e">
        <f>SUM(G4:G25)</f>
        <v>#REF!</v>
      </c>
      <c r="I26" s="65"/>
    </row>
  </sheetData>
  <pageMargins left="0.7" right="0.7" top="0.75" bottom="0.75" header="0.3" footer="0.3"/>
  <pageSetup paperSize="9" firstPageNumber="2147483648" orientation="portrait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Лист6"/>
  <dimension ref="A1:J27"/>
  <sheetViews>
    <sheetView zoomScale="70" workbookViewId="0">
      <pane xSplit="1" topLeftCell="B1" activePane="topRight" state="frozen"/>
      <selection pane="topRight"/>
    </sheetView>
  </sheetViews>
  <sheetFormatPr defaultRowHeight="15" x14ac:dyDescent="0.25"/>
  <cols>
    <col min="1" max="1" width="26.5703125" style="51" customWidth="1"/>
    <col min="2" max="2" width="11.85546875" style="52" customWidth="1"/>
    <col min="3" max="3" width="13" style="53" customWidth="1"/>
    <col min="4" max="6" width="12.85546875" style="65" customWidth="1"/>
  </cols>
  <sheetData>
    <row r="1" spans="1:10" x14ac:dyDescent="0.25">
      <c r="A1" s="73"/>
      <c r="B1" s="73"/>
      <c r="C1" s="73"/>
      <c r="D1" s="206"/>
      <c r="E1" s="206"/>
      <c r="F1" s="206"/>
      <c r="G1" s="207"/>
      <c r="H1" s="207"/>
      <c r="I1" s="207"/>
      <c r="J1" s="207"/>
    </row>
    <row r="2" spans="1:10" x14ac:dyDescent="0.25">
      <c r="A2" s="73"/>
      <c r="B2" s="73"/>
      <c r="C2" s="73"/>
      <c r="D2" s="208">
        <v>0.3</v>
      </c>
      <c r="E2" s="208"/>
      <c r="F2" s="208"/>
      <c r="G2" s="209"/>
      <c r="H2" s="209"/>
      <c r="I2" s="209"/>
      <c r="J2" s="209"/>
    </row>
    <row r="3" spans="1:10" s="57" customFormat="1" ht="60" x14ac:dyDescent="0.25">
      <c r="A3" s="152" t="s">
        <v>62</v>
      </c>
      <c r="B3" s="210" t="s">
        <v>41</v>
      </c>
      <c r="C3" s="179" t="s">
        <v>283</v>
      </c>
      <c r="D3" s="211" t="s">
        <v>284</v>
      </c>
      <c r="E3" s="211" t="s">
        <v>285</v>
      </c>
      <c r="F3" s="211" t="s">
        <v>286</v>
      </c>
      <c r="G3" s="211" t="s">
        <v>287</v>
      </c>
    </row>
    <row r="4" spans="1:10" x14ac:dyDescent="0.25">
      <c r="A4" s="152" t="s">
        <v>288</v>
      </c>
      <c r="B4" s="210" t="s">
        <v>289</v>
      </c>
      <c r="C4" s="213">
        <f>'объем работ 100% загр'!G4</f>
        <v>52.404704000000002</v>
      </c>
      <c r="D4" s="65">
        <f>'объем работ 100% загр'!S4</f>
        <v>198.33333333333334</v>
      </c>
      <c r="E4" s="65">
        <f t="shared" ref="E4:E22" si="0">C4*D4</f>
        <v>10393.599626666668</v>
      </c>
      <c r="F4" s="65">
        <f t="shared" ref="F4:F22" si="1">E4*3</f>
        <v>31180.798880000002</v>
      </c>
      <c r="G4">
        <f t="shared" ref="G4:G22" si="2">E4*12</f>
        <v>124723.19552000001</v>
      </c>
    </row>
    <row r="5" spans="1:10" ht="135" x14ac:dyDescent="0.25">
      <c r="A5" s="152" t="s">
        <v>290</v>
      </c>
      <c r="B5" s="210" t="s">
        <v>291</v>
      </c>
      <c r="C5" s="213">
        <f>'объем работ 100% загр'!G5</f>
        <v>757.48617600000011</v>
      </c>
      <c r="D5" s="65">
        <f>'объем работ 100% загр'!S5</f>
        <v>2</v>
      </c>
      <c r="E5" s="65">
        <f t="shared" si="0"/>
        <v>1514.9723520000002</v>
      </c>
      <c r="F5" s="65">
        <f t="shared" si="1"/>
        <v>4544.9170560000002</v>
      </c>
      <c r="G5">
        <f t="shared" si="2"/>
        <v>18179.668224000001</v>
      </c>
    </row>
    <row r="6" spans="1:10" ht="123.75" customHeight="1" x14ac:dyDescent="0.25">
      <c r="A6" s="152" t="s">
        <v>292</v>
      </c>
      <c r="B6" s="210" t="s">
        <v>291</v>
      </c>
      <c r="C6" s="213">
        <f>'объем работ 100% загр'!G6</f>
        <v>9.5281280000000024</v>
      </c>
      <c r="D6" s="65">
        <f>'объем работ 100% загр'!S6</f>
        <v>150</v>
      </c>
      <c r="E6" s="65">
        <f t="shared" si="0"/>
        <v>1429.2192000000005</v>
      </c>
      <c r="F6" s="65">
        <f t="shared" si="1"/>
        <v>4287.6576000000014</v>
      </c>
      <c r="G6">
        <f t="shared" si="2"/>
        <v>17150.630400000005</v>
      </c>
    </row>
    <row r="7" spans="1:10" ht="60" x14ac:dyDescent="0.25">
      <c r="A7" s="152" t="s">
        <v>293</v>
      </c>
      <c r="B7" s="210" t="s">
        <v>294</v>
      </c>
      <c r="C7" s="213" t="e">
        <f t="shared" ref="C7:C25" si="3">'объем работ 100% загр'!#REF!</f>
        <v>#REF!</v>
      </c>
      <c r="D7" s="65" t="e">
        <f t="shared" ref="D7:D25" si="4">'объем работ 100% загр'!#REF!</f>
        <v>#REF!</v>
      </c>
      <c r="E7" s="65" t="e">
        <f t="shared" si="0"/>
        <v>#REF!</v>
      </c>
      <c r="F7" s="65" t="e">
        <f t="shared" si="1"/>
        <v>#REF!</v>
      </c>
      <c r="G7" t="e">
        <f t="shared" si="2"/>
        <v>#REF!</v>
      </c>
    </row>
    <row r="8" spans="1:10" ht="30" x14ac:dyDescent="0.25">
      <c r="A8" s="152" t="s">
        <v>295</v>
      </c>
      <c r="B8" s="210" t="s">
        <v>296</v>
      </c>
      <c r="C8" s="213" t="e">
        <f t="shared" si="3"/>
        <v>#REF!</v>
      </c>
      <c r="D8" s="65" t="e">
        <f t="shared" si="4"/>
        <v>#REF!</v>
      </c>
      <c r="E8" s="65" t="e">
        <f t="shared" si="0"/>
        <v>#REF!</v>
      </c>
      <c r="F8" s="65" t="e">
        <f t="shared" si="1"/>
        <v>#REF!</v>
      </c>
      <c r="G8" t="e">
        <f t="shared" si="2"/>
        <v>#REF!</v>
      </c>
    </row>
    <row r="9" spans="1:10" ht="30" x14ac:dyDescent="0.25">
      <c r="A9" s="152" t="s">
        <v>297</v>
      </c>
      <c r="B9" s="210" t="s">
        <v>298</v>
      </c>
      <c r="C9" s="213" t="e">
        <f t="shared" si="3"/>
        <v>#REF!</v>
      </c>
      <c r="D9" s="65" t="e">
        <f t="shared" si="4"/>
        <v>#REF!</v>
      </c>
      <c r="E9" s="65" t="e">
        <f t="shared" si="0"/>
        <v>#REF!</v>
      </c>
      <c r="F9" s="65" t="e">
        <f t="shared" si="1"/>
        <v>#REF!</v>
      </c>
      <c r="G9" t="e">
        <f t="shared" si="2"/>
        <v>#REF!</v>
      </c>
    </row>
    <row r="10" spans="1:10" ht="90" x14ac:dyDescent="0.25">
      <c r="A10" s="152" t="s">
        <v>299</v>
      </c>
      <c r="B10" s="210" t="s">
        <v>300</v>
      </c>
      <c r="C10" s="213" t="e">
        <f t="shared" si="3"/>
        <v>#REF!</v>
      </c>
      <c r="D10" s="65" t="e">
        <f t="shared" si="4"/>
        <v>#REF!</v>
      </c>
      <c r="E10" s="65" t="e">
        <f t="shared" si="0"/>
        <v>#REF!</v>
      </c>
      <c r="F10" s="65" t="e">
        <f t="shared" si="1"/>
        <v>#REF!</v>
      </c>
      <c r="G10" t="e">
        <f t="shared" si="2"/>
        <v>#REF!</v>
      </c>
    </row>
    <row r="11" spans="1:10" ht="90" x14ac:dyDescent="0.25">
      <c r="A11" s="152" t="s">
        <v>301</v>
      </c>
      <c r="B11" s="210" t="s">
        <v>302</v>
      </c>
      <c r="C11" s="213" t="e">
        <f t="shared" si="3"/>
        <v>#REF!</v>
      </c>
      <c r="D11" s="65" t="e">
        <f t="shared" si="4"/>
        <v>#REF!</v>
      </c>
      <c r="E11" s="65" t="e">
        <f t="shared" si="0"/>
        <v>#REF!</v>
      </c>
      <c r="F11" s="65" t="e">
        <f t="shared" si="1"/>
        <v>#REF!</v>
      </c>
      <c r="G11" t="e">
        <f t="shared" si="2"/>
        <v>#REF!</v>
      </c>
    </row>
    <row r="12" spans="1:10" ht="75" x14ac:dyDescent="0.25">
      <c r="A12" s="51" t="s">
        <v>303</v>
      </c>
      <c r="B12" s="210" t="s">
        <v>300</v>
      </c>
      <c r="C12" s="213" t="e">
        <f t="shared" si="3"/>
        <v>#REF!</v>
      </c>
      <c r="D12" s="65" t="e">
        <f t="shared" si="4"/>
        <v>#REF!</v>
      </c>
      <c r="E12" s="65" t="e">
        <f t="shared" si="0"/>
        <v>#REF!</v>
      </c>
      <c r="F12" s="65" t="e">
        <f t="shared" si="1"/>
        <v>#REF!</v>
      </c>
      <c r="G12" t="e">
        <f t="shared" si="2"/>
        <v>#REF!</v>
      </c>
    </row>
    <row r="13" spans="1:10" ht="75" x14ac:dyDescent="0.25">
      <c r="A13" s="51" t="s">
        <v>304</v>
      </c>
      <c r="B13" s="210" t="s">
        <v>302</v>
      </c>
      <c r="C13" s="213" t="e">
        <f t="shared" si="3"/>
        <v>#REF!</v>
      </c>
      <c r="D13" s="65" t="e">
        <f t="shared" si="4"/>
        <v>#REF!</v>
      </c>
      <c r="E13" s="65" t="e">
        <f t="shared" si="0"/>
        <v>#REF!</v>
      </c>
      <c r="F13" s="65" t="e">
        <f t="shared" si="1"/>
        <v>#REF!</v>
      </c>
      <c r="G13" t="e">
        <f t="shared" si="2"/>
        <v>#REF!</v>
      </c>
    </row>
    <row r="14" spans="1:10" ht="105" x14ac:dyDescent="0.25">
      <c r="A14" s="51" t="s">
        <v>305</v>
      </c>
      <c r="B14" s="210" t="s">
        <v>300</v>
      </c>
      <c r="C14" s="213" t="e">
        <f t="shared" si="3"/>
        <v>#REF!</v>
      </c>
      <c r="D14" s="65" t="e">
        <f t="shared" si="4"/>
        <v>#REF!</v>
      </c>
      <c r="E14" s="65" t="e">
        <f t="shared" si="0"/>
        <v>#REF!</v>
      </c>
      <c r="F14" s="65" t="e">
        <f t="shared" si="1"/>
        <v>#REF!</v>
      </c>
      <c r="G14" t="e">
        <f t="shared" si="2"/>
        <v>#REF!</v>
      </c>
    </row>
    <row r="15" spans="1:10" ht="105" x14ac:dyDescent="0.25">
      <c r="A15" s="51" t="s">
        <v>306</v>
      </c>
      <c r="B15" s="210" t="s">
        <v>302</v>
      </c>
      <c r="C15" s="213" t="e">
        <f t="shared" si="3"/>
        <v>#REF!</v>
      </c>
      <c r="D15" s="65" t="e">
        <f t="shared" si="4"/>
        <v>#REF!</v>
      </c>
      <c r="E15" s="65" t="e">
        <f t="shared" si="0"/>
        <v>#REF!</v>
      </c>
      <c r="F15" s="65" t="e">
        <f t="shared" si="1"/>
        <v>#REF!</v>
      </c>
      <c r="G15" t="e">
        <f t="shared" si="2"/>
        <v>#REF!</v>
      </c>
    </row>
    <row r="16" spans="1:10" ht="90" x14ac:dyDescent="0.25">
      <c r="A16" s="51" t="s">
        <v>307</v>
      </c>
      <c r="B16" s="210" t="s">
        <v>300</v>
      </c>
      <c r="C16" s="213" t="e">
        <f t="shared" si="3"/>
        <v>#REF!</v>
      </c>
      <c r="D16" s="65" t="e">
        <f t="shared" si="4"/>
        <v>#REF!</v>
      </c>
      <c r="E16" s="65" t="e">
        <f t="shared" si="0"/>
        <v>#REF!</v>
      </c>
      <c r="F16" s="65" t="e">
        <f t="shared" si="1"/>
        <v>#REF!</v>
      </c>
      <c r="G16" t="e">
        <f t="shared" si="2"/>
        <v>#REF!</v>
      </c>
    </row>
    <row r="17" spans="1:9" ht="90" x14ac:dyDescent="0.25">
      <c r="A17" s="51" t="s">
        <v>308</v>
      </c>
      <c r="B17" s="210" t="s">
        <v>302</v>
      </c>
      <c r="C17" s="213" t="e">
        <f t="shared" si="3"/>
        <v>#REF!</v>
      </c>
      <c r="D17" s="65" t="e">
        <f t="shared" si="4"/>
        <v>#REF!</v>
      </c>
      <c r="E17" s="65" t="e">
        <f t="shared" si="0"/>
        <v>#REF!</v>
      </c>
      <c r="F17" s="65" t="e">
        <f t="shared" si="1"/>
        <v>#REF!</v>
      </c>
      <c r="G17" t="e">
        <f t="shared" si="2"/>
        <v>#REF!</v>
      </c>
    </row>
    <row r="18" spans="1:9" ht="30" x14ac:dyDescent="0.25">
      <c r="A18" s="51" t="s">
        <v>309</v>
      </c>
      <c r="B18" s="210" t="s">
        <v>300</v>
      </c>
      <c r="C18" s="213" t="e">
        <f t="shared" si="3"/>
        <v>#REF!</v>
      </c>
      <c r="D18" s="65" t="e">
        <f t="shared" si="4"/>
        <v>#REF!</v>
      </c>
      <c r="E18" s="65" t="e">
        <f t="shared" si="0"/>
        <v>#REF!</v>
      </c>
      <c r="F18" s="65" t="e">
        <f t="shared" si="1"/>
        <v>#REF!</v>
      </c>
      <c r="G18" t="e">
        <f t="shared" si="2"/>
        <v>#REF!</v>
      </c>
    </row>
    <row r="19" spans="1:9" ht="75" x14ac:dyDescent="0.25">
      <c r="A19" s="51" t="s">
        <v>310</v>
      </c>
      <c r="B19" s="210" t="s">
        <v>311</v>
      </c>
      <c r="C19" s="213" t="e">
        <f t="shared" si="3"/>
        <v>#REF!</v>
      </c>
      <c r="D19" s="65" t="e">
        <f t="shared" si="4"/>
        <v>#REF!</v>
      </c>
      <c r="E19" s="65" t="e">
        <f t="shared" si="0"/>
        <v>#REF!</v>
      </c>
      <c r="F19" s="65" t="e">
        <f t="shared" si="1"/>
        <v>#REF!</v>
      </c>
      <c r="G19" t="e">
        <f t="shared" si="2"/>
        <v>#REF!</v>
      </c>
    </row>
    <row r="20" spans="1:9" ht="75" x14ac:dyDescent="0.25">
      <c r="A20" s="51" t="s">
        <v>312</v>
      </c>
      <c r="B20" s="210" t="s">
        <v>311</v>
      </c>
      <c r="C20" s="213" t="e">
        <f t="shared" si="3"/>
        <v>#REF!</v>
      </c>
      <c r="D20" s="65" t="e">
        <f t="shared" si="4"/>
        <v>#REF!</v>
      </c>
      <c r="E20" s="65" t="e">
        <f t="shared" si="0"/>
        <v>#REF!</v>
      </c>
      <c r="F20" s="65" t="e">
        <f t="shared" si="1"/>
        <v>#REF!</v>
      </c>
      <c r="G20" t="e">
        <f t="shared" si="2"/>
        <v>#REF!</v>
      </c>
    </row>
    <row r="21" spans="1:9" x14ac:dyDescent="0.25">
      <c r="A21" s="51" t="s">
        <v>313</v>
      </c>
      <c r="B21" s="52" t="s">
        <v>311</v>
      </c>
      <c r="C21" s="213" t="e">
        <f t="shared" si="3"/>
        <v>#REF!</v>
      </c>
      <c r="D21" s="65" t="e">
        <f t="shared" si="4"/>
        <v>#REF!</v>
      </c>
      <c r="E21" s="65" t="e">
        <f t="shared" si="0"/>
        <v>#REF!</v>
      </c>
      <c r="F21" s="65" t="e">
        <f t="shared" si="1"/>
        <v>#REF!</v>
      </c>
      <c r="G21" t="e">
        <f t="shared" si="2"/>
        <v>#REF!</v>
      </c>
    </row>
    <row r="22" spans="1:9" ht="45" x14ac:dyDescent="0.25">
      <c r="A22" s="51" t="s">
        <v>314</v>
      </c>
      <c r="B22" s="52" t="s">
        <v>311</v>
      </c>
      <c r="C22" s="213" t="e">
        <f t="shared" si="3"/>
        <v>#REF!</v>
      </c>
      <c r="D22" s="65" t="e">
        <f t="shared" si="4"/>
        <v>#REF!</v>
      </c>
      <c r="E22" s="65" t="e">
        <f t="shared" si="0"/>
        <v>#REF!</v>
      </c>
      <c r="F22" s="65" t="e">
        <f t="shared" si="1"/>
        <v>#REF!</v>
      </c>
      <c r="G22" t="e">
        <f t="shared" si="2"/>
        <v>#REF!</v>
      </c>
    </row>
    <row r="23" spans="1:9" ht="30" x14ac:dyDescent="0.25">
      <c r="A23" s="51" t="s">
        <v>315</v>
      </c>
      <c r="B23" s="52" t="s">
        <v>316</v>
      </c>
      <c r="C23" s="213" t="e">
        <f t="shared" si="3"/>
        <v>#REF!</v>
      </c>
      <c r="D23" s="65" t="e">
        <f t="shared" si="4"/>
        <v>#REF!</v>
      </c>
      <c r="E23" s="65" t="e">
        <f t="shared" ref="E23:E25" si="5">C23*D23</f>
        <v>#REF!</v>
      </c>
      <c r="F23" s="65" t="e">
        <f t="shared" ref="F23:F25" si="6">E23*3</f>
        <v>#REF!</v>
      </c>
      <c r="G23" t="e">
        <f t="shared" ref="G23:G25" si="7">E23*12</f>
        <v>#REF!</v>
      </c>
    </row>
    <row r="24" spans="1:9" ht="56.25" customHeight="1" x14ac:dyDescent="0.25">
      <c r="A24" s="51" t="s">
        <v>317</v>
      </c>
      <c r="B24" s="51" t="s">
        <v>311</v>
      </c>
      <c r="C24" s="51" t="e">
        <f t="shared" si="3"/>
        <v>#REF!</v>
      </c>
      <c r="D24" s="212" t="e">
        <f t="shared" si="4"/>
        <v>#REF!</v>
      </c>
      <c r="E24" s="51" t="e">
        <f t="shared" si="5"/>
        <v>#REF!</v>
      </c>
      <c r="F24" s="51" t="e">
        <f t="shared" si="6"/>
        <v>#REF!</v>
      </c>
      <c r="G24" s="51" t="e">
        <f t="shared" si="7"/>
        <v>#REF!</v>
      </c>
    </row>
    <row r="25" spans="1:9" ht="56.25" customHeight="1" x14ac:dyDescent="0.25">
      <c r="A25" s="51" t="s">
        <v>318</v>
      </c>
      <c r="B25" s="51" t="s">
        <v>311</v>
      </c>
      <c r="C25" s="51" t="e">
        <f t="shared" si="3"/>
        <v>#REF!</v>
      </c>
      <c r="D25" s="212" t="e">
        <f t="shared" si="4"/>
        <v>#REF!</v>
      </c>
      <c r="E25" s="51" t="e">
        <f t="shared" si="5"/>
        <v>#REF!</v>
      </c>
      <c r="F25" s="51" t="e">
        <f t="shared" si="6"/>
        <v>#REF!</v>
      </c>
      <c r="G25" s="51" t="e">
        <f t="shared" si="7"/>
        <v>#REF!</v>
      </c>
    </row>
    <row r="27" spans="1:9" x14ac:dyDescent="0.25">
      <c r="F27" s="65" t="e">
        <f>SUM(F4:F26)</f>
        <v>#REF!</v>
      </c>
      <c r="G27" t="e">
        <f>SUM(G4:G26)</f>
        <v>#REF!</v>
      </c>
      <c r="I27" s="65"/>
    </row>
  </sheetData>
  <pageMargins left="0.7" right="0.7" top="0.75" bottom="0.75" header="0.3" footer="0.3"/>
  <pageSetup paperSize="9" firstPageNumber="2147483648" orientation="portrait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J27"/>
  <sheetViews>
    <sheetView zoomScale="70" workbookViewId="0">
      <pane xSplit="1" topLeftCell="B1" activePane="topRight" state="frozen"/>
      <selection pane="topRight"/>
    </sheetView>
  </sheetViews>
  <sheetFormatPr defaultRowHeight="15" x14ac:dyDescent="0.25"/>
  <cols>
    <col min="1" max="1" width="26.5703125" style="51" customWidth="1"/>
    <col min="2" max="2" width="11.85546875" style="52" customWidth="1"/>
    <col min="3" max="3" width="13" style="53" customWidth="1"/>
    <col min="4" max="6" width="12.85546875" style="65" customWidth="1"/>
    <col min="7" max="7" width="10.140625" bestFit="1" customWidth="1"/>
  </cols>
  <sheetData>
    <row r="1" spans="1:10" x14ac:dyDescent="0.25">
      <c r="A1" s="73"/>
      <c r="B1" s="73"/>
      <c r="C1" s="73"/>
      <c r="D1" s="206"/>
      <c r="E1" s="206"/>
      <c r="F1" s="206"/>
      <c r="G1" s="207"/>
      <c r="H1" s="207"/>
      <c r="I1" s="207"/>
      <c r="J1" s="207"/>
    </row>
    <row r="2" spans="1:10" ht="30" customHeight="1" x14ac:dyDescent="0.25">
      <c r="A2" s="73"/>
      <c r="B2" s="73"/>
      <c r="C2" s="73"/>
      <c r="D2" s="208">
        <v>0.3</v>
      </c>
      <c r="E2" s="208"/>
      <c r="F2" s="208"/>
      <c r="G2" s="209"/>
      <c r="H2" s="209"/>
      <c r="I2" s="209"/>
      <c r="J2" s="209"/>
    </row>
    <row r="3" spans="1:10" s="57" customFormat="1" ht="60" x14ac:dyDescent="0.25">
      <c r="A3" s="152" t="s">
        <v>62</v>
      </c>
      <c r="B3" s="210" t="s">
        <v>41</v>
      </c>
      <c r="C3" s="179" t="s">
        <v>283</v>
      </c>
      <c r="D3" s="211" t="s">
        <v>284</v>
      </c>
      <c r="E3" s="211" t="s">
        <v>285</v>
      </c>
      <c r="F3" s="211" t="s">
        <v>286</v>
      </c>
      <c r="G3" s="211" t="s">
        <v>287</v>
      </c>
    </row>
    <row r="4" spans="1:10" x14ac:dyDescent="0.25">
      <c r="A4" s="152" t="s">
        <v>288</v>
      </c>
      <c r="B4" s="210" t="s">
        <v>289</v>
      </c>
      <c r="C4" s="213">
        <f>'объем работ 100% загр'!H4</f>
        <v>55.548986240000005</v>
      </c>
      <c r="D4" s="128">
        <f>'объем работ 100% загр'!S4</f>
        <v>198.33333333333334</v>
      </c>
      <c r="E4" s="128">
        <f t="shared" ref="E4:E22" si="0">C4*D4</f>
        <v>11017.215604266668</v>
      </c>
      <c r="F4" s="128">
        <f t="shared" ref="F4:F22" si="1">E4*3</f>
        <v>33051.646812800005</v>
      </c>
      <c r="G4" s="128">
        <f t="shared" ref="G4:G22" si="2">E4*12</f>
        <v>132206.58725120002</v>
      </c>
    </row>
    <row r="5" spans="1:10" ht="135" x14ac:dyDescent="0.25">
      <c r="A5" s="152" t="s">
        <v>290</v>
      </c>
      <c r="B5" s="210" t="s">
        <v>291</v>
      </c>
      <c r="C5" s="213">
        <f>'объем работ 100% загр'!H5</f>
        <v>802.9353465600002</v>
      </c>
      <c r="D5" s="128">
        <f>'объем работ 100% загр'!S5</f>
        <v>2</v>
      </c>
      <c r="E5" s="128">
        <f t="shared" si="0"/>
        <v>1605.8706931200004</v>
      </c>
      <c r="F5" s="128">
        <f t="shared" si="1"/>
        <v>4817.6120793600012</v>
      </c>
      <c r="G5" s="128">
        <f t="shared" si="2"/>
        <v>19270.448317440005</v>
      </c>
    </row>
    <row r="6" spans="1:10" ht="123.75" customHeight="1" x14ac:dyDescent="0.25">
      <c r="A6" s="152" t="s">
        <v>292</v>
      </c>
      <c r="B6" s="210" t="s">
        <v>291</v>
      </c>
      <c r="C6" s="213">
        <f>'объем работ 100% загр'!H6</f>
        <v>10.099815680000003</v>
      </c>
      <c r="D6" s="128">
        <f>'объем работ 100% загр'!S6</f>
        <v>150</v>
      </c>
      <c r="E6" s="128">
        <f t="shared" si="0"/>
        <v>1514.9723520000005</v>
      </c>
      <c r="F6" s="128">
        <f t="shared" si="1"/>
        <v>4544.9170560000011</v>
      </c>
      <c r="G6" s="128">
        <f t="shared" si="2"/>
        <v>18179.668224000005</v>
      </c>
    </row>
    <row r="7" spans="1:10" ht="60" x14ac:dyDescent="0.25">
      <c r="A7" s="152" t="s">
        <v>293</v>
      </c>
      <c r="B7" s="210" t="s">
        <v>294</v>
      </c>
      <c r="C7" s="213" t="e">
        <f t="shared" ref="C7:C25" si="3">'объем работ 100% загр'!#REF!</f>
        <v>#REF!</v>
      </c>
      <c r="D7" s="128" t="e">
        <f t="shared" ref="D7:D25" si="4">'объем работ 100% загр'!#REF!</f>
        <v>#REF!</v>
      </c>
      <c r="E7" s="128" t="e">
        <f t="shared" si="0"/>
        <v>#REF!</v>
      </c>
      <c r="F7" s="128" t="e">
        <f t="shared" si="1"/>
        <v>#REF!</v>
      </c>
      <c r="G7" s="128" t="e">
        <f t="shared" si="2"/>
        <v>#REF!</v>
      </c>
    </row>
    <row r="8" spans="1:10" ht="30" x14ac:dyDescent="0.25">
      <c r="A8" s="152" t="s">
        <v>295</v>
      </c>
      <c r="B8" s="210" t="s">
        <v>296</v>
      </c>
      <c r="C8" s="213" t="e">
        <f t="shared" si="3"/>
        <v>#REF!</v>
      </c>
      <c r="D8" s="128" t="e">
        <f t="shared" si="4"/>
        <v>#REF!</v>
      </c>
      <c r="E8" s="128" t="e">
        <f t="shared" si="0"/>
        <v>#REF!</v>
      </c>
      <c r="F8" s="128" t="e">
        <f t="shared" si="1"/>
        <v>#REF!</v>
      </c>
      <c r="G8" s="128" t="e">
        <f t="shared" si="2"/>
        <v>#REF!</v>
      </c>
    </row>
    <row r="9" spans="1:10" ht="30" x14ac:dyDescent="0.25">
      <c r="A9" s="152" t="s">
        <v>297</v>
      </c>
      <c r="B9" s="210" t="s">
        <v>298</v>
      </c>
      <c r="C9" s="213" t="e">
        <f t="shared" si="3"/>
        <v>#REF!</v>
      </c>
      <c r="D9" s="128" t="e">
        <f t="shared" si="4"/>
        <v>#REF!</v>
      </c>
      <c r="E9" s="128" t="e">
        <f t="shared" si="0"/>
        <v>#REF!</v>
      </c>
      <c r="F9" s="128" t="e">
        <f t="shared" si="1"/>
        <v>#REF!</v>
      </c>
      <c r="G9" s="128" t="e">
        <f t="shared" si="2"/>
        <v>#REF!</v>
      </c>
    </row>
    <row r="10" spans="1:10" ht="90" x14ac:dyDescent="0.25">
      <c r="A10" s="152" t="s">
        <v>299</v>
      </c>
      <c r="B10" s="210" t="s">
        <v>300</v>
      </c>
      <c r="C10" s="213" t="e">
        <f t="shared" si="3"/>
        <v>#REF!</v>
      </c>
      <c r="D10" s="128" t="e">
        <f t="shared" si="4"/>
        <v>#REF!</v>
      </c>
      <c r="E10" s="128" t="e">
        <f t="shared" si="0"/>
        <v>#REF!</v>
      </c>
      <c r="F10" s="128" t="e">
        <f t="shared" si="1"/>
        <v>#REF!</v>
      </c>
      <c r="G10" s="128" t="e">
        <f t="shared" si="2"/>
        <v>#REF!</v>
      </c>
    </row>
    <row r="11" spans="1:10" ht="90" x14ac:dyDescent="0.25">
      <c r="A11" s="152" t="s">
        <v>301</v>
      </c>
      <c r="B11" s="210" t="s">
        <v>302</v>
      </c>
      <c r="C11" s="213" t="e">
        <f t="shared" si="3"/>
        <v>#REF!</v>
      </c>
      <c r="D11" s="128" t="e">
        <f t="shared" si="4"/>
        <v>#REF!</v>
      </c>
      <c r="E11" s="128" t="e">
        <f t="shared" si="0"/>
        <v>#REF!</v>
      </c>
      <c r="F11" s="128" t="e">
        <f t="shared" si="1"/>
        <v>#REF!</v>
      </c>
      <c r="G11" s="128" t="e">
        <f t="shared" si="2"/>
        <v>#REF!</v>
      </c>
    </row>
    <row r="12" spans="1:10" ht="75" x14ac:dyDescent="0.25">
      <c r="A12" s="51" t="s">
        <v>303</v>
      </c>
      <c r="B12" s="210" t="s">
        <v>300</v>
      </c>
      <c r="C12" s="213" t="e">
        <f t="shared" si="3"/>
        <v>#REF!</v>
      </c>
      <c r="D12" s="128" t="e">
        <f t="shared" si="4"/>
        <v>#REF!</v>
      </c>
      <c r="E12" s="128" t="e">
        <f t="shared" si="0"/>
        <v>#REF!</v>
      </c>
      <c r="F12" s="128" t="e">
        <f t="shared" si="1"/>
        <v>#REF!</v>
      </c>
      <c r="G12" s="128" t="e">
        <f t="shared" si="2"/>
        <v>#REF!</v>
      </c>
    </row>
    <row r="13" spans="1:10" ht="75" x14ac:dyDescent="0.25">
      <c r="A13" s="51" t="s">
        <v>304</v>
      </c>
      <c r="B13" s="210" t="s">
        <v>302</v>
      </c>
      <c r="C13" s="213" t="e">
        <f t="shared" si="3"/>
        <v>#REF!</v>
      </c>
      <c r="D13" s="128" t="e">
        <f t="shared" si="4"/>
        <v>#REF!</v>
      </c>
      <c r="E13" s="128" t="e">
        <f t="shared" si="0"/>
        <v>#REF!</v>
      </c>
      <c r="F13" s="128" t="e">
        <f t="shared" si="1"/>
        <v>#REF!</v>
      </c>
      <c r="G13" s="128" t="e">
        <f t="shared" si="2"/>
        <v>#REF!</v>
      </c>
    </row>
    <row r="14" spans="1:10" ht="105" x14ac:dyDescent="0.25">
      <c r="A14" s="51" t="s">
        <v>305</v>
      </c>
      <c r="B14" s="210" t="s">
        <v>300</v>
      </c>
      <c r="C14" s="213" t="e">
        <f t="shared" si="3"/>
        <v>#REF!</v>
      </c>
      <c r="D14" s="128" t="e">
        <f t="shared" si="4"/>
        <v>#REF!</v>
      </c>
      <c r="E14" s="128" t="e">
        <f t="shared" si="0"/>
        <v>#REF!</v>
      </c>
      <c r="F14" s="128" t="e">
        <f t="shared" si="1"/>
        <v>#REF!</v>
      </c>
      <c r="G14" s="128" t="e">
        <f t="shared" si="2"/>
        <v>#REF!</v>
      </c>
    </row>
    <row r="15" spans="1:10" ht="105" x14ac:dyDescent="0.25">
      <c r="A15" s="51" t="s">
        <v>306</v>
      </c>
      <c r="B15" s="210" t="s">
        <v>302</v>
      </c>
      <c r="C15" s="213" t="e">
        <f t="shared" si="3"/>
        <v>#REF!</v>
      </c>
      <c r="D15" s="128" t="e">
        <f t="shared" si="4"/>
        <v>#REF!</v>
      </c>
      <c r="E15" s="128" t="e">
        <f t="shared" si="0"/>
        <v>#REF!</v>
      </c>
      <c r="F15" s="128" t="e">
        <f t="shared" si="1"/>
        <v>#REF!</v>
      </c>
      <c r="G15" s="128" t="e">
        <f t="shared" si="2"/>
        <v>#REF!</v>
      </c>
    </row>
    <row r="16" spans="1:10" ht="90" x14ac:dyDescent="0.25">
      <c r="A16" s="51" t="s">
        <v>307</v>
      </c>
      <c r="B16" s="210" t="s">
        <v>300</v>
      </c>
      <c r="C16" s="213" t="e">
        <f t="shared" si="3"/>
        <v>#REF!</v>
      </c>
      <c r="D16" s="128" t="e">
        <f t="shared" si="4"/>
        <v>#REF!</v>
      </c>
      <c r="E16" s="128" t="e">
        <f t="shared" si="0"/>
        <v>#REF!</v>
      </c>
      <c r="F16" s="128" t="e">
        <f t="shared" si="1"/>
        <v>#REF!</v>
      </c>
      <c r="G16" s="128" t="e">
        <f t="shared" si="2"/>
        <v>#REF!</v>
      </c>
    </row>
    <row r="17" spans="1:9" ht="90" x14ac:dyDescent="0.25">
      <c r="A17" s="51" t="s">
        <v>308</v>
      </c>
      <c r="B17" s="210" t="s">
        <v>302</v>
      </c>
      <c r="C17" s="213" t="e">
        <f t="shared" si="3"/>
        <v>#REF!</v>
      </c>
      <c r="D17" s="128" t="e">
        <f t="shared" si="4"/>
        <v>#REF!</v>
      </c>
      <c r="E17" s="128" t="e">
        <f t="shared" si="0"/>
        <v>#REF!</v>
      </c>
      <c r="F17" s="128" t="e">
        <f t="shared" si="1"/>
        <v>#REF!</v>
      </c>
      <c r="G17" s="128" t="e">
        <f t="shared" si="2"/>
        <v>#REF!</v>
      </c>
    </row>
    <row r="18" spans="1:9" ht="30" x14ac:dyDescent="0.25">
      <c r="A18" s="51" t="s">
        <v>309</v>
      </c>
      <c r="B18" s="210" t="s">
        <v>300</v>
      </c>
      <c r="C18" s="213" t="e">
        <f t="shared" si="3"/>
        <v>#REF!</v>
      </c>
      <c r="D18" s="128" t="e">
        <f t="shared" si="4"/>
        <v>#REF!</v>
      </c>
      <c r="E18" s="128" t="e">
        <f t="shared" si="0"/>
        <v>#REF!</v>
      </c>
      <c r="F18" s="128" t="e">
        <f t="shared" si="1"/>
        <v>#REF!</v>
      </c>
      <c r="G18" s="128" t="e">
        <f t="shared" si="2"/>
        <v>#REF!</v>
      </c>
    </row>
    <row r="19" spans="1:9" ht="75" x14ac:dyDescent="0.25">
      <c r="A19" s="51" t="s">
        <v>310</v>
      </c>
      <c r="B19" s="210" t="s">
        <v>311</v>
      </c>
      <c r="C19" s="213" t="e">
        <f t="shared" si="3"/>
        <v>#REF!</v>
      </c>
      <c r="D19" s="128" t="e">
        <f t="shared" si="4"/>
        <v>#REF!</v>
      </c>
      <c r="E19" s="128" t="e">
        <f t="shared" si="0"/>
        <v>#REF!</v>
      </c>
      <c r="F19" s="128" t="e">
        <f t="shared" si="1"/>
        <v>#REF!</v>
      </c>
      <c r="G19" s="128" t="e">
        <f t="shared" si="2"/>
        <v>#REF!</v>
      </c>
    </row>
    <row r="20" spans="1:9" ht="75" x14ac:dyDescent="0.25">
      <c r="A20" s="51" t="s">
        <v>312</v>
      </c>
      <c r="B20" s="210" t="s">
        <v>311</v>
      </c>
      <c r="C20" s="213" t="e">
        <f t="shared" si="3"/>
        <v>#REF!</v>
      </c>
      <c r="D20" s="128" t="e">
        <f t="shared" si="4"/>
        <v>#REF!</v>
      </c>
      <c r="E20" s="128" t="e">
        <f t="shared" si="0"/>
        <v>#REF!</v>
      </c>
      <c r="F20" s="128" t="e">
        <f t="shared" si="1"/>
        <v>#REF!</v>
      </c>
      <c r="G20" s="128" t="e">
        <f t="shared" si="2"/>
        <v>#REF!</v>
      </c>
    </row>
    <row r="21" spans="1:9" x14ac:dyDescent="0.25">
      <c r="A21" s="51" t="s">
        <v>313</v>
      </c>
      <c r="B21" s="52" t="s">
        <v>311</v>
      </c>
      <c r="C21" s="213" t="e">
        <f t="shared" si="3"/>
        <v>#REF!</v>
      </c>
      <c r="D21" s="128" t="e">
        <f t="shared" si="4"/>
        <v>#REF!</v>
      </c>
      <c r="E21" s="128" t="e">
        <f t="shared" si="0"/>
        <v>#REF!</v>
      </c>
      <c r="F21" s="128" t="e">
        <f t="shared" si="1"/>
        <v>#REF!</v>
      </c>
      <c r="G21" s="128" t="e">
        <f t="shared" si="2"/>
        <v>#REF!</v>
      </c>
    </row>
    <row r="22" spans="1:9" ht="45" x14ac:dyDescent="0.25">
      <c r="A22" s="51" t="s">
        <v>314</v>
      </c>
      <c r="B22" s="52" t="s">
        <v>311</v>
      </c>
      <c r="C22" s="213" t="e">
        <f t="shared" si="3"/>
        <v>#REF!</v>
      </c>
      <c r="D22" s="128" t="e">
        <f t="shared" si="4"/>
        <v>#REF!</v>
      </c>
      <c r="E22" s="128" t="e">
        <f t="shared" si="0"/>
        <v>#REF!</v>
      </c>
      <c r="F22" s="128" t="e">
        <f t="shared" si="1"/>
        <v>#REF!</v>
      </c>
      <c r="G22" s="128" t="e">
        <f t="shared" si="2"/>
        <v>#REF!</v>
      </c>
    </row>
    <row r="23" spans="1:9" ht="30" x14ac:dyDescent="0.25">
      <c r="A23" s="51" t="s">
        <v>315</v>
      </c>
      <c r="B23" s="52" t="s">
        <v>316</v>
      </c>
      <c r="C23" s="213" t="e">
        <f t="shared" si="3"/>
        <v>#REF!</v>
      </c>
      <c r="D23" s="128" t="e">
        <f t="shared" si="4"/>
        <v>#REF!</v>
      </c>
      <c r="E23" s="128" t="e">
        <f t="shared" ref="E23:E25" si="5">C23*D23</f>
        <v>#REF!</v>
      </c>
      <c r="F23" s="128" t="e">
        <f t="shared" ref="F23:F25" si="6">E23*3</f>
        <v>#REF!</v>
      </c>
      <c r="G23" s="128" t="e">
        <f t="shared" ref="G23:G25" si="7">E23*12</f>
        <v>#REF!</v>
      </c>
    </row>
    <row r="24" spans="1:9" ht="56.25" customHeight="1" x14ac:dyDescent="0.25">
      <c r="A24" s="51" t="s">
        <v>317</v>
      </c>
      <c r="B24" s="51" t="s">
        <v>311</v>
      </c>
      <c r="C24" s="213" t="e">
        <f t="shared" si="3"/>
        <v>#REF!</v>
      </c>
      <c r="D24" s="214" t="e">
        <f t="shared" si="4"/>
        <v>#REF!</v>
      </c>
      <c r="E24" s="214" t="e">
        <f t="shared" si="5"/>
        <v>#REF!</v>
      </c>
      <c r="F24" s="214" t="e">
        <f t="shared" si="6"/>
        <v>#REF!</v>
      </c>
      <c r="G24" s="214" t="e">
        <f t="shared" si="7"/>
        <v>#REF!</v>
      </c>
    </row>
    <row r="25" spans="1:9" ht="56.25" customHeight="1" x14ac:dyDescent="0.25">
      <c r="A25" s="51" t="s">
        <v>318</v>
      </c>
      <c r="B25" s="51" t="s">
        <v>311</v>
      </c>
      <c r="C25" s="213" t="e">
        <f t="shared" si="3"/>
        <v>#REF!</v>
      </c>
      <c r="D25" s="214" t="e">
        <f t="shared" si="4"/>
        <v>#REF!</v>
      </c>
      <c r="E25" s="214" t="e">
        <f t="shared" si="5"/>
        <v>#REF!</v>
      </c>
      <c r="F25" s="214" t="e">
        <f t="shared" si="6"/>
        <v>#REF!</v>
      </c>
      <c r="G25" s="214" t="e">
        <f t="shared" si="7"/>
        <v>#REF!</v>
      </c>
    </row>
    <row r="27" spans="1:9" x14ac:dyDescent="0.25">
      <c r="F27" s="65" t="e">
        <f>SUM(F4:F26)</f>
        <v>#REF!</v>
      </c>
      <c r="G27" t="e">
        <f>SUM(G4:G26)</f>
        <v>#REF!</v>
      </c>
      <c r="I27" s="65"/>
    </row>
  </sheetData>
  <pageMargins left="0.7" right="0.7" top="0.75" bottom="0.75" header="0.3" footer="0.3"/>
  <pageSetup paperSize="9" firstPageNumber="2147483648" orientation="portrait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A1:J27"/>
  <sheetViews>
    <sheetView zoomScale="70" workbookViewId="0">
      <pane xSplit="1" topLeftCell="B1" activePane="topRight" state="frozen"/>
      <selection pane="topRight"/>
    </sheetView>
  </sheetViews>
  <sheetFormatPr defaultRowHeight="15" x14ac:dyDescent="0.25"/>
  <cols>
    <col min="1" max="1" width="26.5703125" style="51" customWidth="1"/>
    <col min="2" max="2" width="11.85546875" style="52" customWidth="1"/>
    <col min="3" max="3" width="13" style="53" customWidth="1"/>
    <col min="4" max="6" width="12.85546875" style="65" customWidth="1"/>
    <col min="7" max="7" width="10.140625" bestFit="1" customWidth="1"/>
  </cols>
  <sheetData>
    <row r="1" spans="1:10" x14ac:dyDescent="0.25">
      <c r="A1" s="73"/>
      <c r="B1" s="73"/>
      <c r="C1" s="73"/>
      <c r="D1" s="206"/>
      <c r="E1" s="206"/>
      <c r="F1" s="206"/>
      <c r="G1" s="207"/>
      <c r="H1" s="207"/>
      <c r="I1" s="207"/>
      <c r="J1" s="207"/>
    </row>
    <row r="2" spans="1:10" ht="30" customHeight="1" x14ac:dyDescent="0.25">
      <c r="A2" s="73"/>
      <c r="B2" s="73"/>
      <c r="C2" s="73"/>
      <c r="D2" s="208">
        <v>0.3</v>
      </c>
      <c r="E2" s="208"/>
      <c r="F2" s="208"/>
      <c r="G2" s="209"/>
      <c r="H2" s="209"/>
      <c r="I2" s="209"/>
      <c r="J2" s="209"/>
    </row>
    <row r="3" spans="1:10" s="57" customFormat="1" ht="60" x14ac:dyDescent="0.25">
      <c r="A3" s="152" t="s">
        <v>62</v>
      </c>
      <c r="B3" s="210" t="s">
        <v>41</v>
      </c>
      <c r="C3" s="179" t="s">
        <v>283</v>
      </c>
      <c r="D3" s="211" t="s">
        <v>284</v>
      </c>
      <c r="E3" s="211" t="s">
        <v>285</v>
      </c>
      <c r="F3" s="211" t="s">
        <v>286</v>
      </c>
      <c r="G3" s="211" t="s">
        <v>287</v>
      </c>
    </row>
    <row r="4" spans="1:10" x14ac:dyDescent="0.25">
      <c r="A4" s="152" t="s">
        <v>288</v>
      </c>
      <c r="B4" s="210" t="s">
        <v>289</v>
      </c>
      <c r="C4" s="213">
        <f>'объем работ 100% загр'!I4</f>
        <v>58.881925414400008</v>
      </c>
      <c r="D4" s="128">
        <f>'объем работ 100% загр'!S4</f>
        <v>198.33333333333334</v>
      </c>
      <c r="E4" s="128">
        <f t="shared" ref="E4:E22" si="0">C4*D4</f>
        <v>11678.248540522669</v>
      </c>
      <c r="F4" s="128">
        <f t="shared" ref="F4:F22" si="1">E4*3</f>
        <v>35034.745621568007</v>
      </c>
      <c r="G4" s="128">
        <f t="shared" ref="G4:G22" si="2">E4*12</f>
        <v>140138.98248627203</v>
      </c>
    </row>
    <row r="5" spans="1:10" ht="135" x14ac:dyDescent="0.25">
      <c r="A5" s="152" t="s">
        <v>290</v>
      </c>
      <c r="B5" s="210" t="s">
        <v>291</v>
      </c>
      <c r="C5" s="213">
        <f>'объем работ 100% загр'!I5</f>
        <v>851.11146735360023</v>
      </c>
      <c r="D5" s="128">
        <f>'объем работ 100% загр'!S5</f>
        <v>2</v>
      </c>
      <c r="E5" s="128">
        <f t="shared" si="0"/>
        <v>1702.2229347072005</v>
      </c>
      <c r="F5" s="128">
        <f t="shared" si="1"/>
        <v>5106.6688041216012</v>
      </c>
      <c r="G5" s="128">
        <f t="shared" si="2"/>
        <v>20426.675216486405</v>
      </c>
    </row>
    <row r="6" spans="1:10" ht="123.75" customHeight="1" x14ac:dyDescent="0.25">
      <c r="A6" s="152" t="s">
        <v>292</v>
      </c>
      <c r="B6" s="210" t="s">
        <v>291</v>
      </c>
      <c r="C6" s="213">
        <f>'объем работ 100% загр'!I6</f>
        <v>10.705804620800004</v>
      </c>
      <c r="D6" s="128">
        <f>'объем работ 100% загр'!S6</f>
        <v>150</v>
      </c>
      <c r="E6" s="128">
        <f t="shared" si="0"/>
        <v>1605.8706931200006</v>
      </c>
      <c r="F6" s="128">
        <f t="shared" si="1"/>
        <v>4817.6120793600021</v>
      </c>
      <c r="G6" s="128">
        <f t="shared" si="2"/>
        <v>19270.448317440008</v>
      </c>
    </row>
    <row r="7" spans="1:10" ht="60" x14ac:dyDescent="0.25">
      <c r="A7" s="152" t="s">
        <v>293</v>
      </c>
      <c r="B7" s="210" t="s">
        <v>294</v>
      </c>
      <c r="C7" s="213" t="e">
        <f t="shared" ref="C7:C25" si="3">'объем работ 100% загр'!#REF!</f>
        <v>#REF!</v>
      </c>
      <c r="D7" s="128" t="e">
        <f t="shared" ref="D7:D25" si="4">'объем работ 100% загр'!#REF!</f>
        <v>#REF!</v>
      </c>
      <c r="E7" s="128" t="e">
        <f t="shared" si="0"/>
        <v>#REF!</v>
      </c>
      <c r="F7" s="128" t="e">
        <f t="shared" si="1"/>
        <v>#REF!</v>
      </c>
      <c r="G7" s="128" t="e">
        <f t="shared" si="2"/>
        <v>#REF!</v>
      </c>
    </row>
    <row r="8" spans="1:10" ht="30" x14ac:dyDescent="0.25">
      <c r="A8" s="152" t="s">
        <v>295</v>
      </c>
      <c r="B8" s="210" t="s">
        <v>296</v>
      </c>
      <c r="C8" s="213" t="e">
        <f t="shared" si="3"/>
        <v>#REF!</v>
      </c>
      <c r="D8" s="128" t="e">
        <f t="shared" si="4"/>
        <v>#REF!</v>
      </c>
      <c r="E8" s="128" t="e">
        <f t="shared" si="0"/>
        <v>#REF!</v>
      </c>
      <c r="F8" s="128" t="e">
        <f t="shared" si="1"/>
        <v>#REF!</v>
      </c>
      <c r="G8" s="128" t="e">
        <f t="shared" si="2"/>
        <v>#REF!</v>
      </c>
    </row>
    <row r="9" spans="1:10" ht="30" x14ac:dyDescent="0.25">
      <c r="A9" s="152" t="s">
        <v>297</v>
      </c>
      <c r="B9" s="210" t="s">
        <v>298</v>
      </c>
      <c r="C9" s="213" t="e">
        <f t="shared" si="3"/>
        <v>#REF!</v>
      </c>
      <c r="D9" s="128" t="e">
        <f t="shared" si="4"/>
        <v>#REF!</v>
      </c>
      <c r="E9" s="128" t="e">
        <f t="shared" si="0"/>
        <v>#REF!</v>
      </c>
      <c r="F9" s="128" t="e">
        <f t="shared" si="1"/>
        <v>#REF!</v>
      </c>
      <c r="G9" s="128" t="e">
        <f t="shared" si="2"/>
        <v>#REF!</v>
      </c>
    </row>
    <row r="10" spans="1:10" ht="90" x14ac:dyDescent="0.25">
      <c r="A10" s="152" t="s">
        <v>299</v>
      </c>
      <c r="B10" s="210" t="s">
        <v>300</v>
      </c>
      <c r="C10" s="213" t="e">
        <f t="shared" si="3"/>
        <v>#REF!</v>
      </c>
      <c r="D10" s="128" t="e">
        <f t="shared" si="4"/>
        <v>#REF!</v>
      </c>
      <c r="E10" s="128" t="e">
        <f t="shared" si="0"/>
        <v>#REF!</v>
      </c>
      <c r="F10" s="128" t="e">
        <f t="shared" si="1"/>
        <v>#REF!</v>
      </c>
      <c r="G10" s="128" t="e">
        <f t="shared" si="2"/>
        <v>#REF!</v>
      </c>
    </row>
    <row r="11" spans="1:10" ht="90" x14ac:dyDescent="0.25">
      <c r="A11" s="152" t="s">
        <v>301</v>
      </c>
      <c r="B11" s="210" t="s">
        <v>302</v>
      </c>
      <c r="C11" s="213" t="e">
        <f t="shared" si="3"/>
        <v>#REF!</v>
      </c>
      <c r="D11" s="128" t="e">
        <f t="shared" si="4"/>
        <v>#REF!</v>
      </c>
      <c r="E11" s="128" t="e">
        <f t="shared" si="0"/>
        <v>#REF!</v>
      </c>
      <c r="F11" s="128" t="e">
        <f t="shared" si="1"/>
        <v>#REF!</v>
      </c>
      <c r="G11" s="128" t="e">
        <f t="shared" si="2"/>
        <v>#REF!</v>
      </c>
    </row>
    <row r="12" spans="1:10" ht="75" x14ac:dyDescent="0.25">
      <c r="A12" s="51" t="s">
        <v>303</v>
      </c>
      <c r="B12" s="210" t="s">
        <v>300</v>
      </c>
      <c r="C12" s="213" t="e">
        <f t="shared" si="3"/>
        <v>#REF!</v>
      </c>
      <c r="D12" s="128" t="e">
        <f t="shared" si="4"/>
        <v>#REF!</v>
      </c>
      <c r="E12" s="128" t="e">
        <f t="shared" si="0"/>
        <v>#REF!</v>
      </c>
      <c r="F12" s="128" t="e">
        <f t="shared" si="1"/>
        <v>#REF!</v>
      </c>
      <c r="G12" s="128" t="e">
        <f t="shared" si="2"/>
        <v>#REF!</v>
      </c>
    </row>
    <row r="13" spans="1:10" ht="75" x14ac:dyDescent="0.25">
      <c r="A13" s="51" t="s">
        <v>304</v>
      </c>
      <c r="B13" s="210" t="s">
        <v>302</v>
      </c>
      <c r="C13" s="213" t="e">
        <f t="shared" si="3"/>
        <v>#REF!</v>
      </c>
      <c r="D13" s="128" t="e">
        <f t="shared" si="4"/>
        <v>#REF!</v>
      </c>
      <c r="E13" s="128" t="e">
        <f t="shared" si="0"/>
        <v>#REF!</v>
      </c>
      <c r="F13" s="128" t="e">
        <f t="shared" si="1"/>
        <v>#REF!</v>
      </c>
      <c r="G13" s="128" t="e">
        <f t="shared" si="2"/>
        <v>#REF!</v>
      </c>
    </row>
    <row r="14" spans="1:10" ht="105" x14ac:dyDescent="0.25">
      <c r="A14" s="51" t="s">
        <v>305</v>
      </c>
      <c r="B14" s="210" t="s">
        <v>300</v>
      </c>
      <c r="C14" s="213" t="e">
        <f t="shared" si="3"/>
        <v>#REF!</v>
      </c>
      <c r="D14" s="128" t="e">
        <f t="shared" si="4"/>
        <v>#REF!</v>
      </c>
      <c r="E14" s="128" t="e">
        <f t="shared" si="0"/>
        <v>#REF!</v>
      </c>
      <c r="F14" s="128" t="e">
        <f t="shared" si="1"/>
        <v>#REF!</v>
      </c>
      <c r="G14" s="128" t="e">
        <f t="shared" si="2"/>
        <v>#REF!</v>
      </c>
    </row>
    <row r="15" spans="1:10" ht="105" x14ac:dyDescent="0.25">
      <c r="A15" s="51" t="s">
        <v>306</v>
      </c>
      <c r="B15" s="210" t="s">
        <v>302</v>
      </c>
      <c r="C15" s="213" t="e">
        <f t="shared" si="3"/>
        <v>#REF!</v>
      </c>
      <c r="D15" s="128" t="e">
        <f t="shared" si="4"/>
        <v>#REF!</v>
      </c>
      <c r="E15" s="128" t="e">
        <f t="shared" si="0"/>
        <v>#REF!</v>
      </c>
      <c r="F15" s="128" t="e">
        <f t="shared" si="1"/>
        <v>#REF!</v>
      </c>
      <c r="G15" s="128" t="e">
        <f t="shared" si="2"/>
        <v>#REF!</v>
      </c>
    </row>
    <row r="16" spans="1:10" ht="90" x14ac:dyDescent="0.25">
      <c r="A16" s="51" t="s">
        <v>307</v>
      </c>
      <c r="B16" s="210" t="s">
        <v>300</v>
      </c>
      <c r="C16" s="213" t="e">
        <f t="shared" si="3"/>
        <v>#REF!</v>
      </c>
      <c r="D16" s="128" t="e">
        <f t="shared" si="4"/>
        <v>#REF!</v>
      </c>
      <c r="E16" s="128" t="e">
        <f t="shared" si="0"/>
        <v>#REF!</v>
      </c>
      <c r="F16" s="128" t="e">
        <f t="shared" si="1"/>
        <v>#REF!</v>
      </c>
      <c r="G16" s="128" t="e">
        <f t="shared" si="2"/>
        <v>#REF!</v>
      </c>
    </row>
    <row r="17" spans="1:9" ht="90" x14ac:dyDescent="0.25">
      <c r="A17" s="51" t="s">
        <v>308</v>
      </c>
      <c r="B17" s="210" t="s">
        <v>302</v>
      </c>
      <c r="C17" s="213" t="e">
        <f t="shared" si="3"/>
        <v>#REF!</v>
      </c>
      <c r="D17" s="128" t="e">
        <f t="shared" si="4"/>
        <v>#REF!</v>
      </c>
      <c r="E17" s="128" t="e">
        <f t="shared" si="0"/>
        <v>#REF!</v>
      </c>
      <c r="F17" s="128" t="e">
        <f t="shared" si="1"/>
        <v>#REF!</v>
      </c>
      <c r="G17" s="128" t="e">
        <f t="shared" si="2"/>
        <v>#REF!</v>
      </c>
    </row>
    <row r="18" spans="1:9" ht="30" x14ac:dyDescent="0.25">
      <c r="A18" s="51" t="s">
        <v>309</v>
      </c>
      <c r="B18" s="210" t="s">
        <v>300</v>
      </c>
      <c r="C18" s="213" t="e">
        <f t="shared" si="3"/>
        <v>#REF!</v>
      </c>
      <c r="D18" s="128" t="e">
        <f t="shared" si="4"/>
        <v>#REF!</v>
      </c>
      <c r="E18" s="128" t="e">
        <f t="shared" si="0"/>
        <v>#REF!</v>
      </c>
      <c r="F18" s="128" t="e">
        <f t="shared" si="1"/>
        <v>#REF!</v>
      </c>
      <c r="G18" s="128" t="e">
        <f t="shared" si="2"/>
        <v>#REF!</v>
      </c>
    </row>
    <row r="19" spans="1:9" ht="75" x14ac:dyDescent="0.25">
      <c r="A19" s="51" t="s">
        <v>310</v>
      </c>
      <c r="B19" s="210" t="s">
        <v>311</v>
      </c>
      <c r="C19" s="213" t="e">
        <f t="shared" si="3"/>
        <v>#REF!</v>
      </c>
      <c r="D19" s="128" t="e">
        <f t="shared" si="4"/>
        <v>#REF!</v>
      </c>
      <c r="E19" s="128" t="e">
        <f t="shared" si="0"/>
        <v>#REF!</v>
      </c>
      <c r="F19" s="128" t="e">
        <f t="shared" si="1"/>
        <v>#REF!</v>
      </c>
      <c r="G19" s="128" t="e">
        <f t="shared" si="2"/>
        <v>#REF!</v>
      </c>
    </row>
    <row r="20" spans="1:9" ht="75" x14ac:dyDescent="0.25">
      <c r="A20" s="51" t="s">
        <v>312</v>
      </c>
      <c r="B20" s="210" t="s">
        <v>311</v>
      </c>
      <c r="C20" s="213" t="e">
        <f t="shared" si="3"/>
        <v>#REF!</v>
      </c>
      <c r="D20" s="128" t="e">
        <f t="shared" si="4"/>
        <v>#REF!</v>
      </c>
      <c r="E20" s="128" t="e">
        <f t="shared" si="0"/>
        <v>#REF!</v>
      </c>
      <c r="F20" s="128" t="e">
        <f t="shared" si="1"/>
        <v>#REF!</v>
      </c>
      <c r="G20" s="128" t="e">
        <f t="shared" si="2"/>
        <v>#REF!</v>
      </c>
    </row>
    <row r="21" spans="1:9" x14ac:dyDescent="0.25">
      <c r="A21" s="51" t="s">
        <v>313</v>
      </c>
      <c r="B21" s="52" t="s">
        <v>311</v>
      </c>
      <c r="C21" s="213" t="e">
        <f t="shared" si="3"/>
        <v>#REF!</v>
      </c>
      <c r="D21" s="128" t="e">
        <f t="shared" si="4"/>
        <v>#REF!</v>
      </c>
      <c r="E21" s="128" t="e">
        <f t="shared" si="0"/>
        <v>#REF!</v>
      </c>
      <c r="F21" s="128" t="e">
        <f t="shared" si="1"/>
        <v>#REF!</v>
      </c>
      <c r="G21" s="128" t="e">
        <f t="shared" si="2"/>
        <v>#REF!</v>
      </c>
    </row>
    <row r="22" spans="1:9" ht="45" x14ac:dyDescent="0.25">
      <c r="A22" s="51" t="s">
        <v>314</v>
      </c>
      <c r="B22" s="52" t="s">
        <v>311</v>
      </c>
      <c r="C22" s="213" t="e">
        <f t="shared" si="3"/>
        <v>#REF!</v>
      </c>
      <c r="D22" s="128" t="e">
        <f t="shared" si="4"/>
        <v>#REF!</v>
      </c>
      <c r="E22" s="128" t="e">
        <f t="shared" si="0"/>
        <v>#REF!</v>
      </c>
      <c r="F22" s="128" t="e">
        <f t="shared" si="1"/>
        <v>#REF!</v>
      </c>
      <c r="G22" s="128" t="e">
        <f t="shared" si="2"/>
        <v>#REF!</v>
      </c>
    </row>
    <row r="23" spans="1:9" ht="30" x14ac:dyDescent="0.25">
      <c r="A23" s="51" t="s">
        <v>315</v>
      </c>
      <c r="B23" s="52" t="s">
        <v>316</v>
      </c>
      <c r="C23" s="213" t="e">
        <f t="shared" si="3"/>
        <v>#REF!</v>
      </c>
      <c r="D23" s="128" t="e">
        <f t="shared" si="4"/>
        <v>#REF!</v>
      </c>
      <c r="E23" s="128" t="e">
        <f t="shared" ref="E23:E25" si="5">C23*D23</f>
        <v>#REF!</v>
      </c>
      <c r="F23" s="128" t="e">
        <f t="shared" ref="F23:F25" si="6">E23*3</f>
        <v>#REF!</v>
      </c>
      <c r="G23" s="128" t="e">
        <f t="shared" ref="G23:G25" si="7">E23*12</f>
        <v>#REF!</v>
      </c>
    </row>
    <row r="24" spans="1:9" ht="56.25" customHeight="1" x14ac:dyDescent="0.25">
      <c r="A24" s="51" t="s">
        <v>317</v>
      </c>
      <c r="B24" s="51" t="s">
        <v>311</v>
      </c>
      <c r="C24" s="213" t="e">
        <f t="shared" si="3"/>
        <v>#REF!</v>
      </c>
      <c r="D24" s="214" t="e">
        <f t="shared" si="4"/>
        <v>#REF!</v>
      </c>
      <c r="E24" s="214" t="e">
        <f t="shared" si="5"/>
        <v>#REF!</v>
      </c>
      <c r="F24" s="214" t="e">
        <f t="shared" si="6"/>
        <v>#REF!</v>
      </c>
      <c r="G24" s="214" t="e">
        <f t="shared" si="7"/>
        <v>#REF!</v>
      </c>
    </row>
    <row r="25" spans="1:9" ht="56.25" customHeight="1" x14ac:dyDescent="0.25">
      <c r="A25" s="51" t="s">
        <v>318</v>
      </c>
      <c r="B25" s="51" t="s">
        <v>311</v>
      </c>
      <c r="C25" s="213" t="e">
        <f t="shared" si="3"/>
        <v>#REF!</v>
      </c>
      <c r="D25" s="214" t="e">
        <f t="shared" si="4"/>
        <v>#REF!</v>
      </c>
      <c r="E25" s="214" t="e">
        <f t="shared" si="5"/>
        <v>#REF!</v>
      </c>
      <c r="F25" s="214" t="e">
        <f t="shared" si="6"/>
        <v>#REF!</v>
      </c>
      <c r="G25" s="214" t="e">
        <f t="shared" si="7"/>
        <v>#REF!</v>
      </c>
    </row>
    <row r="27" spans="1:9" x14ac:dyDescent="0.25">
      <c r="F27" s="65" t="e">
        <f>SUM(F4:F26)</f>
        <v>#REF!</v>
      </c>
      <c r="G27" t="e">
        <f>SUM(G4:G26)</f>
        <v>#REF!</v>
      </c>
      <c r="I27" s="65"/>
    </row>
  </sheetData>
  <pageMargins left="0.7" right="0.7" top="0.75" bottom="0.75" header="0.3" footer="0.3"/>
  <pageSetup paperSize="9" firstPageNumber="2147483648" orientation="portrait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A1:J27"/>
  <sheetViews>
    <sheetView zoomScale="70" workbookViewId="0">
      <pane xSplit="1" topLeftCell="B1" activePane="topRight" state="frozen"/>
      <selection pane="topRight"/>
    </sheetView>
  </sheetViews>
  <sheetFormatPr defaultRowHeight="15" x14ac:dyDescent="0.25"/>
  <cols>
    <col min="1" max="1" width="26.5703125" style="51" customWidth="1"/>
    <col min="2" max="2" width="11.85546875" style="52" customWidth="1"/>
    <col min="3" max="3" width="13" style="53" customWidth="1"/>
    <col min="4" max="6" width="12.85546875" style="65" customWidth="1"/>
    <col min="7" max="7" width="10.140625" bestFit="1" customWidth="1"/>
  </cols>
  <sheetData>
    <row r="1" spans="1:10" x14ac:dyDescent="0.25">
      <c r="A1" s="73"/>
      <c r="B1" s="73"/>
      <c r="C1" s="73"/>
      <c r="D1" s="206"/>
      <c r="E1" s="206"/>
      <c r="F1" s="206"/>
      <c r="G1" s="207"/>
      <c r="H1" s="207"/>
      <c r="I1" s="207"/>
      <c r="J1" s="207"/>
    </row>
    <row r="2" spans="1:10" ht="30" customHeight="1" x14ac:dyDescent="0.25">
      <c r="A2" s="73"/>
      <c r="B2" s="73"/>
      <c r="C2" s="73"/>
      <c r="D2" s="208">
        <v>0.3</v>
      </c>
      <c r="E2" s="208"/>
      <c r="F2" s="208"/>
      <c r="G2" s="209"/>
      <c r="H2" s="209"/>
      <c r="I2" s="209"/>
      <c r="J2" s="209"/>
    </row>
    <row r="3" spans="1:10" s="57" customFormat="1" ht="60" x14ac:dyDescent="0.25">
      <c r="A3" s="152" t="s">
        <v>62</v>
      </c>
      <c r="B3" s="210" t="s">
        <v>41</v>
      </c>
      <c r="C3" s="179" t="s">
        <v>283</v>
      </c>
      <c r="D3" s="211" t="s">
        <v>284</v>
      </c>
      <c r="E3" s="211" t="s">
        <v>285</v>
      </c>
      <c r="F3" s="211" t="s">
        <v>286</v>
      </c>
      <c r="G3" s="211" t="s">
        <v>287</v>
      </c>
    </row>
    <row r="4" spans="1:10" x14ac:dyDescent="0.25">
      <c r="A4" s="152" t="s">
        <v>288</v>
      </c>
      <c r="B4" s="210" t="s">
        <v>289</v>
      </c>
      <c r="C4" s="213">
        <f>'объем работ 100% загр'!J4</f>
        <v>62.41484093926401</v>
      </c>
      <c r="D4" s="128">
        <f>'объем работ 100% загр'!S4</f>
        <v>198.33333333333334</v>
      </c>
      <c r="E4" s="128">
        <f t="shared" ref="E4:E22" si="0">C4*D4</f>
        <v>12378.943452954029</v>
      </c>
      <c r="F4" s="128">
        <f t="shared" ref="F4:F22" si="1">E4*3</f>
        <v>37136.830358862084</v>
      </c>
      <c r="G4" s="128">
        <f t="shared" ref="G4:G22" si="2">E4*12</f>
        <v>148547.32143544834</v>
      </c>
    </row>
    <row r="5" spans="1:10" ht="135" x14ac:dyDescent="0.25">
      <c r="A5" s="152" t="s">
        <v>290</v>
      </c>
      <c r="B5" s="210" t="s">
        <v>291</v>
      </c>
      <c r="C5" s="213">
        <f>'объем работ 100% загр'!J5</f>
        <v>902.17815539481626</v>
      </c>
      <c r="D5" s="128">
        <f>'объем работ 100% загр'!S5</f>
        <v>2</v>
      </c>
      <c r="E5" s="128">
        <f t="shared" si="0"/>
        <v>1804.3563107896325</v>
      </c>
      <c r="F5" s="128">
        <f t="shared" si="1"/>
        <v>5413.0689323688975</v>
      </c>
      <c r="G5" s="128">
        <f t="shared" si="2"/>
        <v>21652.27572947559</v>
      </c>
    </row>
    <row r="6" spans="1:10" ht="123.75" customHeight="1" x14ac:dyDescent="0.25">
      <c r="A6" s="152" t="s">
        <v>292</v>
      </c>
      <c r="B6" s="210" t="s">
        <v>291</v>
      </c>
      <c r="C6" s="213">
        <f>'объем работ 100% загр'!J6</f>
        <v>11.348152898048005</v>
      </c>
      <c r="D6" s="128">
        <f>'объем работ 100% загр'!S6</f>
        <v>150</v>
      </c>
      <c r="E6" s="128">
        <f t="shared" si="0"/>
        <v>1702.2229347072007</v>
      </c>
      <c r="F6" s="128">
        <f t="shared" si="1"/>
        <v>5106.6688041216021</v>
      </c>
      <c r="G6" s="128">
        <f t="shared" si="2"/>
        <v>20426.675216486408</v>
      </c>
    </row>
    <row r="7" spans="1:10" ht="60" x14ac:dyDescent="0.25">
      <c r="A7" s="152" t="s">
        <v>293</v>
      </c>
      <c r="B7" s="210" t="s">
        <v>294</v>
      </c>
      <c r="C7" s="213" t="e">
        <f t="shared" ref="C7:C25" si="3">'объем работ 100% загр'!#REF!</f>
        <v>#REF!</v>
      </c>
      <c r="D7" s="128" t="e">
        <f t="shared" ref="D7:D25" si="4">'объем работ 100% загр'!#REF!</f>
        <v>#REF!</v>
      </c>
      <c r="E7" s="128" t="e">
        <f t="shared" si="0"/>
        <v>#REF!</v>
      </c>
      <c r="F7" s="128" t="e">
        <f t="shared" si="1"/>
        <v>#REF!</v>
      </c>
      <c r="G7" s="128" t="e">
        <f t="shared" si="2"/>
        <v>#REF!</v>
      </c>
    </row>
    <row r="8" spans="1:10" ht="30" x14ac:dyDescent="0.25">
      <c r="A8" s="152" t="s">
        <v>295</v>
      </c>
      <c r="B8" s="210" t="s">
        <v>296</v>
      </c>
      <c r="C8" s="213" t="e">
        <f t="shared" si="3"/>
        <v>#REF!</v>
      </c>
      <c r="D8" s="128" t="e">
        <f t="shared" si="4"/>
        <v>#REF!</v>
      </c>
      <c r="E8" s="128" t="e">
        <f t="shared" si="0"/>
        <v>#REF!</v>
      </c>
      <c r="F8" s="128" t="e">
        <f t="shared" si="1"/>
        <v>#REF!</v>
      </c>
      <c r="G8" s="128" t="e">
        <f t="shared" si="2"/>
        <v>#REF!</v>
      </c>
    </row>
    <row r="9" spans="1:10" ht="30" x14ac:dyDescent="0.25">
      <c r="A9" s="152" t="s">
        <v>297</v>
      </c>
      <c r="B9" s="210" t="s">
        <v>298</v>
      </c>
      <c r="C9" s="213" t="e">
        <f t="shared" si="3"/>
        <v>#REF!</v>
      </c>
      <c r="D9" s="128" t="e">
        <f t="shared" si="4"/>
        <v>#REF!</v>
      </c>
      <c r="E9" s="128" t="e">
        <f t="shared" si="0"/>
        <v>#REF!</v>
      </c>
      <c r="F9" s="128" t="e">
        <f t="shared" si="1"/>
        <v>#REF!</v>
      </c>
      <c r="G9" s="128" t="e">
        <f t="shared" si="2"/>
        <v>#REF!</v>
      </c>
    </row>
    <row r="10" spans="1:10" ht="90" x14ac:dyDescent="0.25">
      <c r="A10" s="152" t="s">
        <v>299</v>
      </c>
      <c r="B10" s="210" t="s">
        <v>300</v>
      </c>
      <c r="C10" s="213" t="e">
        <f t="shared" si="3"/>
        <v>#REF!</v>
      </c>
      <c r="D10" s="128" t="e">
        <f t="shared" si="4"/>
        <v>#REF!</v>
      </c>
      <c r="E10" s="128" t="e">
        <f t="shared" si="0"/>
        <v>#REF!</v>
      </c>
      <c r="F10" s="128" t="e">
        <f t="shared" si="1"/>
        <v>#REF!</v>
      </c>
      <c r="G10" s="128" t="e">
        <f t="shared" si="2"/>
        <v>#REF!</v>
      </c>
    </row>
    <row r="11" spans="1:10" ht="90" x14ac:dyDescent="0.25">
      <c r="A11" s="152" t="s">
        <v>301</v>
      </c>
      <c r="B11" s="210" t="s">
        <v>302</v>
      </c>
      <c r="C11" s="213" t="e">
        <f t="shared" si="3"/>
        <v>#REF!</v>
      </c>
      <c r="D11" s="128" t="e">
        <f t="shared" si="4"/>
        <v>#REF!</v>
      </c>
      <c r="E11" s="128" t="e">
        <f t="shared" si="0"/>
        <v>#REF!</v>
      </c>
      <c r="F11" s="128" t="e">
        <f t="shared" si="1"/>
        <v>#REF!</v>
      </c>
      <c r="G11" s="128" t="e">
        <f t="shared" si="2"/>
        <v>#REF!</v>
      </c>
    </row>
    <row r="12" spans="1:10" ht="75" x14ac:dyDescent="0.25">
      <c r="A12" s="51" t="s">
        <v>303</v>
      </c>
      <c r="B12" s="210" t="s">
        <v>300</v>
      </c>
      <c r="C12" s="213" t="e">
        <f t="shared" si="3"/>
        <v>#REF!</v>
      </c>
      <c r="D12" s="128" t="e">
        <f t="shared" si="4"/>
        <v>#REF!</v>
      </c>
      <c r="E12" s="128" t="e">
        <f t="shared" si="0"/>
        <v>#REF!</v>
      </c>
      <c r="F12" s="128" t="e">
        <f t="shared" si="1"/>
        <v>#REF!</v>
      </c>
      <c r="G12" s="128" t="e">
        <f t="shared" si="2"/>
        <v>#REF!</v>
      </c>
    </row>
    <row r="13" spans="1:10" ht="75" x14ac:dyDescent="0.25">
      <c r="A13" s="51" t="s">
        <v>304</v>
      </c>
      <c r="B13" s="210" t="s">
        <v>302</v>
      </c>
      <c r="C13" s="213" t="e">
        <f t="shared" si="3"/>
        <v>#REF!</v>
      </c>
      <c r="D13" s="128" t="e">
        <f t="shared" si="4"/>
        <v>#REF!</v>
      </c>
      <c r="E13" s="128" t="e">
        <f t="shared" si="0"/>
        <v>#REF!</v>
      </c>
      <c r="F13" s="128" t="e">
        <f t="shared" si="1"/>
        <v>#REF!</v>
      </c>
      <c r="G13" s="128" t="e">
        <f t="shared" si="2"/>
        <v>#REF!</v>
      </c>
    </row>
    <row r="14" spans="1:10" ht="105" x14ac:dyDescent="0.25">
      <c r="A14" s="51" t="s">
        <v>305</v>
      </c>
      <c r="B14" s="210" t="s">
        <v>300</v>
      </c>
      <c r="C14" s="213" t="e">
        <f t="shared" si="3"/>
        <v>#REF!</v>
      </c>
      <c r="D14" s="128" t="e">
        <f t="shared" si="4"/>
        <v>#REF!</v>
      </c>
      <c r="E14" s="128" t="e">
        <f t="shared" si="0"/>
        <v>#REF!</v>
      </c>
      <c r="F14" s="128" t="e">
        <f t="shared" si="1"/>
        <v>#REF!</v>
      </c>
      <c r="G14" s="128" t="e">
        <f t="shared" si="2"/>
        <v>#REF!</v>
      </c>
    </row>
    <row r="15" spans="1:10" ht="105" x14ac:dyDescent="0.25">
      <c r="A15" s="51" t="s">
        <v>306</v>
      </c>
      <c r="B15" s="210" t="s">
        <v>302</v>
      </c>
      <c r="C15" s="213" t="e">
        <f t="shared" si="3"/>
        <v>#REF!</v>
      </c>
      <c r="D15" s="128" t="e">
        <f t="shared" si="4"/>
        <v>#REF!</v>
      </c>
      <c r="E15" s="128" t="e">
        <f t="shared" si="0"/>
        <v>#REF!</v>
      </c>
      <c r="F15" s="128" t="e">
        <f t="shared" si="1"/>
        <v>#REF!</v>
      </c>
      <c r="G15" s="128" t="e">
        <f t="shared" si="2"/>
        <v>#REF!</v>
      </c>
    </row>
    <row r="16" spans="1:10" ht="90" x14ac:dyDescent="0.25">
      <c r="A16" s="51" t="s">
        <v>307</v>
      </c>
      <c r="B16" s="210" t="s">
        <v>300</v>
      </c>
      <c r="C16" s="213" t="e">
        <f t="shared" si="3"/>
        <v>#REF!</v>
      </c>
      <c r="D16" s="128" t="e">
        <f t="shared" si="4"/>
        <v>#REF!</v>
      </c>
      <c r="E16" s="128" t="e">
        <f t="shared" si="0"/>
        <v>#REF!</v>
      </c>
      <c r="F16" s="128" t="e">
        <f t="shared" si="1"/>
        <v>#REF!</v>
      </c>
      <c r="G16" s="128" t="e">
        <f t="shared" si="2"/>
        <v>#REF!</v>
      </c>
    </row>
    <row r="17" spans="1:9" ht="90" x14ac:dyDescent="0.25">
      <c r="A17" s="51" t="s">
        <v>308</v>
      </c>
      <c r="B17" s="210" t="s">
        <v>302</v>
      </c>
      <c r="C17" s="213" t="e">
        <f t="shared" si="3"/>
        <v>#REF!</v>
      </c>
      <c r="D17" s="128" t="e">
        <f t="shared" si="4"/>
        <v>#REF!</v>
      </c>
      <c r="E17" s="128" t="e">
        <f t="shared" si="0"/>
        <v>#REF!</v>
      </c>
      <c r="F17" s="128" t="e">
        <f t="shared" si="1"/>
        <v>#REF!</v>
      </c>
      <c r="G17" s="128" t="e">
        <f t="shared" si="2"/>
        <v>#REF!</v>
      </c>
    </row>
    <row r="18" spans="1:9" ht="30" x14ac:dyDescent="0.25">
      <c r="A18" s="51" t="s">
        <v>309</v>
      </c>
      <c r="B18" s="210" t="s">
        <v>300</v>
      </c>
      <c r="C18" s="213" t="e">
        <f t="shared" si="3"/>
        <v>#REF!</v>
      </c>
      <c r="D18" s="128" t="e">
        <f t="shared" si="4"/>
        <v>#REF!</v>
      </c>
      <c r="E18" s="128" t="e">
        <f t="shared" si="0"/>
        <v>#REF!</v>
      </c>
      <c r="F18" s="128" t="e">
        <f t="shared" si="1"/>
        <v>#REF!</v>
      </c>
      <c r="G18" s="128" t="e">
        <f t="shared" si="2"/>
        <v>#REF!</v>
      </c>
    </row>
    <row r="19" spans="1:9" ht="75" x14ac:dyDescent="0.25">
      <c r="A19" s="51" t="s">
        <v>310</v>
      </c>
      <c r="B19" s="210" t="s">
        <v>311</v>
      </c>
      <c r="C19" s="213" t="e">
        <f t="shared" si="3"/>
        <v>#REF!</v>
      </c>
      <c r="D19" s="128" t="e">
        <f t="shared" si="4"/>
        <v>#REF!</v>
      </c>
      <c r="E19" s="128" t="e">
        <f t="shared" si="0"/>
        <v>#REF!</v>
      </c>
      <c r="F19" s="128" t="e">
        <f t="shared" si="1"/>
        <v>#REF!</v>
      </c>
      <c r="G19" s="128" t="e">
        <f t="shared" si="2"/>
        <v>#REF!</v>
      </c>
    </row>
    <row r="20" spans="1:9" ht="75" x14ac:dyDescent="0.25">
      <c r="A20" s="51" t="s">
        <v>312</v>
      </c>
      <c r="B20" s="210" t="s">
        <v>311</v>
      </c>
      <c r="C20" s="213" t="e">
        <f t="shared" si="3"/>
        <v>#REF!</v>
      </c>
      <c r="D20" s="128" t="e">
        <f t="shared" si="4"/>
        <v>#REF!</v>
      </c>
      <c r="E20" s="128" t="e">
        <f t="shared" si="0"/>
        <v>#REF!</v>
      </c>
      <c r="F20" s="128" t="e">
        <f t="shared" si="1"/>
        <v>#REF!</v>
      </c>
      <c r="G20" s="128" t="e">
        <f t="shared" si="2"/>
        <v>#REF!</v>
      </c>
    </row>
    <row r="21" spans="1:9" x14ac:dyDescent="0.25">
      <c r="A21" s="51" t="s">
        <v>313</v>
      </c>
      <c r="B21" s="52" t="s">
        <v>311</v>
      </c>
      <c r="C21" s="213" t="e">
        <f t="shared" si="3"/>
        <v>#REF!</v>
      </c>
      <c r="D21" s="128" t="e">
        <f t="shared" si="4"/>
        <v>#REF!</v>
      </c>
      <c r="E21" s="128" t="e">
        <f t="shared" si="0"/>
        <v>#REF!</v>
      </c>
      <c r="F21" s="128" t="e">
        <f t="shared" si="1"/>
        <v>#REF!</v>
      </c>
      <c r="G21" s="128" t="e">
        <f t="shared" si="2"/>
        <v>#REF!</v>
      </c>
    </row>
    <row r="22" spans="1:9" ht="45" x14ac:dyDescent="0.25">
      <c r="A22" s="51" t="s">
        <v>314</v>
      </c>
      <c r="B22" s="52" t="s">
        <v>311</v>
      </c>
      <c r="C22" s="213" t="e">
        <f t="shared" si="3"/>
        <v>#REF!</v>
      </c>
      <c r="D22" s="128" t="e">
        <f t="shared" si="4"/>
        <v>#REF!</v>
      </c>
      <c r="E22" s="128" t="e">
        <f t="shared" si="0"/>
        <v>#REF!</v>
      </c>
      <c r="F22" s="128" t="e">
        <f t="shared" si="1"/>
        <v>#REF!</v>
      </c>
      <c r="G22" s="128" t="e">
        <f t="shared" si="2"/>
        <v>#REF!</v>
      </c>
    </row>
    <row r="23" spans="1:9" ht="30" x14ac:dyDescent="0.25">
      <c r="A23" s="51" t="s">
        <v>315</v>
      </c>
      <c r="B23" s="52" t="s">
        <v>316</v>
      </c>
      <c r="C23" s="213" t="e">
        <f t="shared" si="3"/>
        <v>#REF!</v>
      </c>
      <c r="D23" s="128" t="e">
        <f t="shared" si="4"/>
        <v>#REF!</v>
      </c>
      <c r="E23" s="128" t="e">
        <f t="shared" ref="E23:E25" si="5">C23*D23</f>
        <v>#REF!</v>
      </c>
      <c r="F23" s="128" t="e">
        <f t="shared" ref="F23:F25" si="6">E23*3</f>
        <v>#REF!</v>
      </c>
      <c r="G23" s="128" t="e">
        <f t="shared" ref="G23:G25" si="7">E23*12</f>
        <v>#REF!</v>
      </c>
    </row>
    <row r="24" spans="1:9" ht="56.25" customHeight="1" x14ac:dyDescent="0.25">
      <c r="A24" s="51" t="s">
        <v>317</v>
      </c>
      <c r="B24" s="51" t="s">
        <v>311</v>
      </c>
      <c r="C24" s="213" t="e">
        <f t="shared" si="3"/>
        <v>#REF!</v>
      </c>
      <c r="D24" s="214" t="e">
        <f t="shared" si="4"/>
        <v>#REF!</v>
      </c>
      <c r="E24" s="214" t="e">
        <f t="shared" si="5"/>
        <v>#REF!</v>
      </c>
      <c r="F24" s="214" t="e">
        <f t="shared" si="6"/>
        <v>#REF!</v>
      </c>
      <c r="G24" s="214" t="e">
        <f t="shared" si="7"/>
        <v>#REF!</v>
      </c>
    </row>
    <row r="25" spans="1:9" ht="56.25" customHeight="1" x14ac:dyDescent="0.25">
      <c r="A25" s="51" t="s">
        <v>318</v>
      </c>
      <c r="B25" s="51" t="s">
        <v>311</v>
      </c>
      <c r="C25" s="213" t="e">
        <f t="shared" si="3"/>
        <v>#REF!</v>
      </c>
      <c r="D25" s="214" t="e">
        <f t="shared" si="4"/>
        <v>#REF!</v>
      </c>
      <c r="E25" s="214" t="e">
        <f t="shared" si="5"/>
        <v>#REF!</v>
      </c>
      <c r="F25" s="214" t="e">
        <f t="shared" si="6"/>
        <v>#REF!</v>
      </c>
      <c r="G25" s="214" t="e">
        <f t="shared" si="7"/>
        <v>#REF!</v>
      </c>
    </row>
    <row r="27" spans="1:9" x14ac:dyDescent="0.25">
      <c r="F27" s="65" t="e">
        <f>SUM(F4:F26)</f>
        <v>#REF!</v>
      </c>
      <c r="G27" t="e">
        <f>SUM(G4:G26)</f>
        <v>#REF!</v>
      </c>
      <c r="I27" s="65"/>
    </row>
  </sheetData>
  <pageMargins left="0.7" right="0.7" top="0.75" bottom="0.75" header="0.3" footer="0.3"/>
  <pageSetup paperSize="9" firstPageNumber="2147483648" orientation="portrait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A1:J27"/>
  <sheetViews>
    <sheetView zoomScale="70" workbookViewId="0">
      <pane xSplit="1" topLeftCell="B1" activePane="topRight" state="frozen"/>
      <selection pane="topRight"/>
    </sheetView>
  </sheetViews>
  <sheetFormatPr defaultRowHeight="15" x14ac:dyDescent="0.25"/>
  <cols>
    <col min="1" max="1" width="26.5703125" style="51" customWidth="1"/>
    <col min="2" max="2" width="11.85546875" style="52" customWidth="1"/>
    <col min="3" max="3" width="13" style="53" customWidth="1"/>
    <col min="4" max="6" width="12.85546875" style="65" customWidth="1"/>
    <col min="7" max="7" width="10.140625" bestFit="1" customWidth="1"/>
  </cols>
  <sheetData>
    <row r="1" spans="1:10" x14ac:dyDescent="0.25">
      <c r="A1" s="73"/>
      <c r="B1" s="73"/>
      <c r="C1" s="73"/>
      <c r="D1" s="206"/>
      <c r="E1" s="206"/>
      <c r="F1" s="206"/>
      <c r="G1" s="207"/>
      <c r="H1" s="207"/>
      <c r="I1" s="207"/>
      <c r="J1" s="207"/>
    </row>
    <row r="2" spans="1:10" ht="30" customHeight="1" x14ac:dyDescent="0.25">
      <c r="A2" s="73"/>
      <c r="B2" s="73"/>
      <c r="C2" s="73"/>
      <c r="D2" s="208">
        <v>0.3</v>
      </c>
      <c r="E2" s="208"/>
      <c r="F2" s="208"/>
      <c r="G2" s="209"/>
      <c r="H2" s="209"/>
      <c r="I2" s="209"/>
      <c r="J2" s="209"/>
    </row>
    <row r="3" spans="1:10" s="57" customFormat="1" ht="60" x14ac:dyDescent="0.25">
      <c r="A3" s="152" t="s">
        <v>62</v>
      </c>
      <c r="B3" s="210" t="s">
        <v>41</v>
      </c>
      <c r="C3" s="179" t="s">
        <v>283</v>
      </c>
      <c r="D3" s="211" t="s">
        <v>284</v>
      </c>
      <c r="E3" s="211" t="s">
        <v>285</v>
      </c>
      <c r="F3" s="211" t="s">
        <v>286</v>
      </c>
      <c r="G3" s="211" t="s">
        <v>287</v>
      </c>
    </row>
    <row r="4" spans="1:10" x14ac:dyDescent="0.25">
      <c r="A4" s="152" t="s">
        <v>288</v>
      </c>
      <c r="B4" s="210" t="s">
        <v>289</v>
      </c>
      <c r="C4" s="213">
        <f>'объем работ 100% загр'!K4</f>
        <v>66.159731395619858</v>
      </c>
      <c r="D4" s="128">
        <f>'объем работ 100% загр'!S4</f>
        <v>198.33333333333334</v>
      </c>
      <c r="E4" s="128">
        <f t="shared" ref="E4:E22" si="0">C4*D4</f>
        <v>13121.680060131272</v>
      </c>
      <c r="F4" s="128">
        <f t="shared" ref="F4:F22" si="1">E4*3</f>
        <v>39365.040180393815</v>
      </c>
      <c r="G4" s="128">
        <f t="shared" ref="G4:G22" si="2">E4*12</f>
        <v>157460.16072157526</v>
      </c>
    </row>
    <row r="5" spans="1:10" ht="135" x14ac:dyDescent="0.25">
      <c r="A5" s="152" t="s">
        <v>290</v>
      </c>
      <c r="B5" s="210" t="s">
        <v>291</v>
      </c>
      <c r="C5" s="213">
        <f>'объем работ 100% загр'!K5</f>
        <v>956.30884471850527</v>
      </c>
      <c r="D5" s="128">
        <f>'объем работ 100% загр'!S5</f>
        <v>2</v>
      </c>
      <c r="E5" s="128">
        <f t="shared" si="0"/>
        <v>1912.6176894370105</v>
      </c>
      <c r="F5" s="128">
        <f t="shared" si="1"/>
        <v>5737.8530683110312</v>
      </c>
      <c r="G5" s="128">
        <f t="shared" si="2"/>
        <v>22951.412273244125</v>
      </c>
    </row>
    <row r="6" spans="1:10" ht="123.75" customHeight="1" x14ac:dyDescent="0.25">
      <c r="A6" s="152" t="s">
        <v>292</v>
      </c>
      <c r="B6" s="210" t="s">
        <v>291</v>
      </c>
      <c r="C6" s="213">
        <f>'объем работ 100% загр'!K6</f>
        <v>12.029042071930885</v>
      </c>
      <c r="D6" s="128">
        <f>'объем работ 100% загр'!S6</f>
        <v>150</v>
      </c>
      <c r="E6" s="128">
        <f t="shared" si="0"/>
        <v>1804.3563107896327</v>
      </c>
      <c r="F6" s="128">
        <f t="shared" si="1"/>
        <v>5413.0689323688985</v>
      </c>
      <c r="G6" s="128">
        <f t="shared" si="2"/>
        <v>21652.275729475594</v>
      </c>
    </row>
    <row r="7" spans="1:10" ht="60" x14ac:dyDescent="0.25">
      <c r="A7" s="152" t="s">
        <v>293</v>
      </c>
      <c r="B7" s="210" t="s">
        <v>294</v>
      </c>
      <c r="C7" s="213" t="e">
        <f t="shared" ref="C7:C25" si="3">'объем работ 100% загр'!#REF!</f>
        <v>#REF!</v>
      </c>
      <c r="D7" s="128" t="e">
        <f t="shared" ref="D7:D25" si="4">'объем работ 100% загр'!#REF!</f>
        <v>#REF!</v>
      </c>
      <c r="E7" s="128" t="e">
        <f t="shared" si="0"/>
        <v>#REF!</v>
      </c>
      <c r="F7" s="128" t="e">
        <f t="shared" si="1"/>
        <v>#REF!</v>
      </c>
      <c r="G7" s="128" t="e">
        <f t="shared" si="2"/>
        <v>#REF!</v>
      </c>
    </row>
    <row r="8" spans="1:10" ht="30" x14ac:dyDescent="0.25">
      <c r="A8" s="152" t="s">
        <v>295</v>
      </c>
      <c r="B8" s="210" t="s">
        <v>296</v>
      </c>
      <c r="C8" s="213" t="e">
        <f t="shared" si="3"/>
        <v>#REF!</v>
      </c>
      <c r="D8" s="128" t="e">
        <f t="shared" si="4"/>
        <v>#REF!</v>
      </c>
      <c r="E8" s="128" t="e">
        <f t="shared" si="0"/>
        <v>#REF!</v>
      </c>
      <c r="F8" s="128" t="e">
        <f t="shared" si="1"/>
        <v>#REF!</v>
      </c>
      <c r="G8" s="128" t="e">
        <f t="shared" si="2"/>
        <v>#REF!</v>
      </c>
    </row>
    <row r="9" spans="1:10" ht="30" x14ac:dyDescent="0.25">
      <c r="A9" s="152" t="s">
        <v>297</v>
      </c>
      <c r="B9" s="210" t="s">
        <v>298</v>
      </c>
      <c r="C9" s="213" t="e">
        <f t="shared" si="3"/>
        <v>#REF!</v>
      </c>
      <c r="D9" s="128" t="e">
        <f t="shared" si="4"/>
        <v>#REF!</v>
      </c>
      <c r="E9" s="128" t="e">
        <f t="shared" si="0"/>
        <v>#REF!</v>
      </c>
      <c r="F9" s="128" t="e">
        <f t="shared" si="1"/>
        <v>#REF!</v>
      </c>
      <c r="G9" s="128" t="e">
        <f t="shared" si="2"/>
        <v>#REF!</v>
      </c>
    </row>
    <row r="10" spans="1:10" ht="90" x14ac:dyDescent="0.25">
      <c r="A10" s="152" t="s">
        <v>299</v>
      </c>
      <c r="B10" s="210" t="s">
        <v>300</v>
      </c>
      <c r="C10" s="213" t="e">
        <f t="shared" si="3"/>
        <v>#REF!</v>
      </c>
      <c r="D10" s="128" t="e">
        <f t="shared" si="4"/>
        <v>#REF!</v>
      </c>
      <c r="E10" s="128" t="e">
        <f t="shared" si="0"/>
        <v>#REF!</v>
      </c>
      <c r="F10" s="128" t="e">
        <f t="shared" si="1"/>
        <v>#REF!</v>
      </c>
      <c r="G10" s="128" t="e">
        <f t="shared" si="2"/>
        <v>#REF!</v>
      </c>
    </row>
    <row r="11" spans="1:10" ht="90" x14ac:dyDescent="0.25">
      <c r="A11" s="152" t="s">
        <v>301</v>
      </c>
      <c r="B11" s="210" t="s">
        <v>302</v>
      </c>
      <c r="C11" s="213" t="e">
        <f t="shared" si="3"/>
        <v>#REF!</v>
      </c>
      <c r="D11" s="128" t="e">
        <f t="shared" si="4"/>
        <v>#REF!</v>
      </c>
      <c r="E11" s="128" t="e">
        <f t="shared" si="0"/>
        <v>#REF!</v>
      </c>
      <c r="F11" s="128" t="e">
        <f t="shared" si="1"/>
        <v>#REF!</v>
      </c>
      <c r="G11" s="128" t="e">
        <f t="shared" si="2"/>
        <v>#REF!</v>
      </c>
    </row>
    <row r="12" spans="1:10" ht="75" x14ac:dyDescent="0.25">
      <c r="A12" s="51" t="s">
        <v>303</v>
      </c>
      <c r="B12" s="210" t="s">
        <v>300</v>
      </c>
      <c r="C12" s="213" t="e">
        <f t="shared" si="3"/>
        <v>#REF!</v>
      </c>
      <c r="D12" s="128" t="e">
        <f t="shared" si="4"/>
        <v>#REF!</v>
      </c>
      <c r="E12" s="128" t="e">
        <f t="shared" si="0"/>
        <v>#REF!</v>
      </c>
      <c r="F12" s="128" t="e">
        <f t="shared" si="1"/>
        <v>#REF!</v>
      </c>
      <c r="G12" s="128" t="e">
        <f t="shared" si="2"/>
        <v>#REF!</v>
      </c>
    </row>
    <row r="13" spans="1:10" ht="75" x14ac:dyDescent="0.25">
      <c r="A13" s="51" t="s">
        <v>304</v>
      </c>
      <c r="B13" s="210" t="s">
        <v>302</v>
      </c>
      <c r="C13" s="213" t="e">
        <f t="shared" si="3"/>
        <v>#REF!</v>
      </c>
      <c r="D13" s="128" t="e">
        <f t="shared" si="4"/>
        <v>#REF!</v>
      </c>
      <c r="E13" s="128" t="e">
        <f t="shared" si="0"/>
        <v>#REF!</v>
      </c>
      <c r="F13" s="128" t="e">
        <f t="shared" si="1"/>
        <v>#REF!</v>
      </c>
      <c r="G13" s="128" t="e">
        <f t="shared" si="2"/>
        <v>#REF!</v>
      </c>
    </row>
    <row r="14" spans="1:10" ht="105" x14ac:dyDescent="0.25">
      <c r="A14" s="51" t="s">
        <v>305</v>
      </c>
      <c r="B14" s="210" t="s">
        <v>300</v>
      </c>
      <c r="C14" s="213" t="e">
        <f t="shared" si="3"/>
        <v>#REF!</v>
      </c>
      <c r="D14" s="128" t="e">
        <f t="shared" si="4"/>
        <v>#REF!</v>
      </c>
      <c r="E14" s="128" t="e">
        <f t="shared" si="0"/>
        <v>#REF!</v>
      </c>
      <c r="F14" s="128" t="e">
        <f t="shared" si="1"/>
        <v>#REF!</v>
      </c>
      <c r="G14" s="128" t="e">
        <f t="shared" si="2"/>
        <v>#REF!</v>
      </c>
    </row>
    <row r="15" spans="1:10" ht="105" x14ac:dyDescent="0.25">
      <c r="A15" s="51" t="s">
        <v>306</v>
      </c>
      <c r="B15" s="210" t="s">
        <v>302</v>
      </c>
      <c r="C15" s="213" t="e">
        <f t="shared" si="3"/>
        <v>#REF!</v>
      </c>
      <c r="D15" s="128" t="e">
        <f t="shared" si="4"/>
        <v>#REF!</v>
      </c>
      <c r="E15" s="128" t="e">
        <f t="shared" si="0"/>
        <v>#REF!</v>
      </c>
      <c r="F15" s="128" t="e">
        <f t="shared" si="1"/>
        <v>#REF!</v>
      </c>
      <c r="G15" s="128" t="e">
        <f t="shared" si="2"/>
        <v>#REF!</v>
      </c>
    </row>
    <row r="16" spans="1:10" ht="90" x14ac:dyDescent="0.25">
      <c r="A16" s="51" t="s">
        <v>307</v>
      </c>
      <c r="B16" s="210" t="s">
        <v>300</v>
      </c>
      <c r="C16" s="213" t="e">
        <f t="shared" si="3"/>
        <v>#REF!</v>
      </c>
      <c r="D16" s="128" t="e">
        <f t="shared" si="4"/>
        <v>#REF!</v>
      </c>
      <c r="E16" s="128" t="e">
        <f t="shared" si="0"/>
        <v>#REF!</v>
      </c>
      <c r="F16" s="128" t="e">
        <f t="shared" si="1"/>
        <v>#REF!</v>
      </c>
      <c r="G16" s="128" t="e">
        <f t="shared" si="2"/>
        <v>#REF!</v>
      </c>
    </row>
    <row r="17" spans="1:9" ht="90" x14ac:dyDescent="0.25">
      <c r="A17" s="51" t="s">
        <v>308</v>
      </c>
      <c r="B17" s="210" t="s">
        <v>302</v>
      </c>
      <c r="C17" s="213" t="e">
        <f t="shared" si="3"/>
        <v>#REF!</v>
      </c>
      <c r="D17" s="128" t="e">
        <f t="shared" si="4"/>
        <v>#REF!</v>
      </c>
      <c r="E17" s="128" t="e">
        <f t="shared" si="0"/>
        <v>#REF!</v>
      </c>
      <c r="F17" s="128" t="e">
        <f t="shared" si="1"/>
        <v>#REF!</v>
      </c>
      <c r="G17" s="128" t="e">
        <f t="shared" si="2"/>
        <v>#REF!</v>
      </c>
    </row>
    <row r="18" spans="1:9" ht="30" x14ac:dyDescent="0.25">
      <c r="A18" s="51" t="s">
        <v>309</v>
      </c>
      <c r="B18" s="210" t="s">
        <v>300</v>
      </c>
      <c r="C18" s="213" t="e">
        <f t="shared" si="3"/>
        <v>#REF!</v>
      </c>
      <c r="D18" s="128" t="e">
        <f t="shared" si="4"/>
        <v>#REF!</v>
      </c>
      <c r="E18" s="128" t="e">
        <f t="shared" si="0"/>
        <v>#REF!</v>
      </c>
      <c r="F18" s="128" t="e">
        <f t="shared" si="1"/>
        <v>#REF!</v>
      </c>
      <c r="G18" s="128" t="e">
        <f t="shared" si="2"/>
        <v>#REF!</v>
      </c>
    </row>
    <row r="19" spans="1:9" ht="75" x14ac:dyDescent="0.25">
      <c r="A19" s="51" t="s">
        <v>310</v>
      </c>
      <c r="B19" s="210" t="s">
        <v>311</v>
      </c>
      <c r="C19" s="213" t="e">
        <f t="shared" si="3"/>
        <v>#REF!</v>
      </c>
      <c r="D19" s="128" t="e">
        <f t="shared" si="4"/>
        <v>#REF!</v>
      </c>
      <c r="E19" s="128" t="e">
        <f t="shared" si="0"/>
        <v>#REF!</v>
      </c>
      <c r="F19" s="128" t="e">
        <f t="shared" si="1"/>
        <v>#REF!</v>
      </c>
      <c r="G19" s="128" t="e">
        <f t="shared" si="2"/>
        <v>#REF!</v>
      </c>
    </row>
    <row r="20" spans="1:9" ht="75" x14ac:dyDescent="0.25">
      <c r="A20" s="51" t="s">
        <v>312</v>
      </c>
      <c r="B20" s="210" t="s">
        <v>311</v>
      </c>
      <c r="C20" s="213" t="e">
        <f t="shared" si="3"/>
        <v>#REF!</v>
      </c>
      <c r="D20" s="128" t="e">
        <f t="shared" si="4"/>
        <v>#REF!</v>
      </c>
      <c r="E20" s="128" t="e">
        <f t="shared" si="0"/>
        <v>#REF!</v>
      </c>
      <c r="F20" s="128" t="e">
        <f t="shared" si="1"/>
        <v>#REF!</v>
      </c>
      <c r="G20" s="128" t="e">
        <f t="shared" si="2"/>
        <v>#REF!</v>
      </c>
    </row>
    <row r="21" spans="1:9" x14ac:dyDescent="0.25">
      <c r="A21" s="51" t="s">
        <v>313</v>
      </c>
      <c r="B21" s="52" t="s">
        <v>311</v>
      </c>
      <c r="C21" s="213" t="e">
        <f t="shared" si="3"/>
        <v>#REF!</v>
      </c>
      <c r="D21" s="128" t="e">
        <f t="shared" si="4"/>
        <v>#REF!</v>
      </c>
      <c r="E21" s="128" t="e">
        <f t="shared" si="0"/>
        <v>#REF!</v>
      </c>
      <c r="F21" s="128" t="e">
        <f t="shared" si="1"/>
        <v>#REF!</v>
      </c>
      <c r="G21" s="128" t="e">
        <f t="shared" si="2"/>
        <v>#REF!</v>
      </c>
    </row>
    <row r="22" spans="1:9" ht="45" x14ac:dyDescent="0.25">
      <c r="A22" s="51" t="s">
        <v>314</v>
      </c>
      <c r="B22" s="52" t="s">
        <v>311</v>
      </c>
      <c r="C22" s="213" t="e">
        <f t="shared" si="3"/>
        <v>#REF!</v>
      </c>
      <c r="D22" s="128" t="e">
        <f t="shared" si="4"/>
        <v>#REF!</v>
      </c>
      <c r="E22" s="128" t="e">
        <f t="shared" si="0"/>
        <v>#REF!</v>
      </c>
      <c r="F22" s="128" t="e">
        <f t="shared" si="1"/>
        <v>#REF!</v>
      </c>
      <c r="G22" s="128" t="e">
        <f t="shared" si="2"/>
        <v>#REF!</v>
      </c>
    </row>
    <row r="23" spans="1:9" ht="30" x14ac:dyDescent="0.25">
      <c r="A23" s="51" t="s">
        <v>315</v>
      </c>
      <c r="B23" s="52" t="s">
        <v>316</v>
      </c>
      <c r="C23" s="213" t="e">
        <f t="shared" si="3"/>
        <v>#REF!</v>
      </c>
      <c r="D23" s="128" t="e">
        <f t="shared" si="4"/>
        <v>#REF!</v>
      </c>
      <c r="E23" s="128" t="e">
        <f t="shared" ref="E23:E25" si="5">C23*D23</f>
        <v>#REF!</v>
      </c>
      <c r="F23" s="128" t="e">
        <f t="shared" ref="F23:F25" si="6">E23*3</f>
        <v>#REF!</v>
      </c>
      <c r="G23" s="128" t="e">
        <f t="shared" ref="G23:G25" si="7">E23*12</f>
        <v>#REF!</v>
      </c>
    </row>
    <row r="24" spans="1:9" ht="56.25" customHeight="1" x14ac:dyDescent="0.25">
      <c r="A24" s="51" t="s">
        <v>317</v>
      </c>
      <c r="B24" s="51" t="s">
        <v>311</v>
      </c>
      <c r="C24" s="213" t="e">
        <f t="shared" si="3"/>
        <v>#REF!</v>
      </c>
      <c r="D24" s="214" t="e">
        <f t="shared" si="4"/>
        <v>#REF!</v>
      </c>
      <c r="E24" s="214" t="e">
        <f t="shared" si="5"/>
        <v>#REF!</v>
      </c>
      <c r="F24" s="214" t="e">
        <f t="shared" si="6"/>
        <v>#REF!</v>
      </c>
      <c r="G24" s="214" t="e">
        <f t="shared" si="7"/>
        <v>#REF!</v>
      </c>
    </row>
    <row r="25" spans="1:9" ht="56.25" customHeight="1" x14ac:dyDescent="0.25">
      <c r="A25" s="51" t="s">
        <v>318</v>
      </c>
      <c r="B25" s="51" t="s">
        <v>311</v>
      </c>
      <c r="C25" s="213" t="e">
        <f t="shared" si="3"/>
        <v>#REF!</v>
      </c>
      <c r="D25" s="214" t="e">
        <f t="shared" si="4"/>
        <v>#REF!</v>
      </c>
      <c r="E25" s="214" t="e">
        <f t="shared" si="5"/>
        <v>#REF!</v>
      </c>
      <c r="F25" s="214" t="e">
        <f t="shared" si="6"/>
        <v>#REF!</v>
      </c>
      <c r="G25" s="214" t="e">
        <f t="shared" si="7"/>
        <v>#REF!</v>
      </c>
    </row>
    <row r="27" spans="1:9" x14ac:dyDescent="0.25">
      <c r="F27" s="65" t="e">
        <f>SUM(F4:F26)</f>
        <v>#REF!</v>
      </c>
      <c r="G27" t="e">
        <f>SUM(G4:G26)</f>
        <v>#REF!</v>
      </c>
      <c r="I27" s="65"/>
    </row>
  </sheetData>
  <pageMargins left="0.7" right="0.7" top="0.75" bottom="0.75" header="0.3" footer="0.3"/>
  <pageSetup paperSize="9" firstPageNumber="2147483648" orientation="portrait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A1:J27"/>
  <sheetViews>
    <sheetView zoomScale="70" workbookViewId="0">
      <pane xSplit="1" topLeftCell="B1" activePane="topRight" state="frozen"/>
      <selection pane="topRight"/>
    </sheetView>
  </sheetViews>
  <sheetFormatPr defaultRowHeight="15" x14ac:dyDescent="0.25"/>
  <cols>
    <col min="1" max="1" width="26.5703125" style="51" customWidth="1"/>
    <col min="2" max="2" width="11.85546875" style="52" customWidth="1"/>
    <col min="3" max="3" width="13" style="53" customWidth="1"/>
    <col min="4" max="6" width="12.85546875" style="65" customWidth="1"/>
    <col min="7" max="7" width="10.140625" bestFit="1" customWidth="1"/>
  </cols>
  <sheetData>
    <row r="1" spans="1:10" x14ac:dyDescent="0.25">
      <c r="A1" s="73"/>
      <c r="B1" s="73"/>
      <c r="C1" s="73"/>
      <c r="D1" s="206"/>
      <c r="E1" s="206"/>
      <c r="F1" s="206"/>
      <c r="G1" s="207"/>
      <c r="H1" s="207"/>
      <c r="I1" s="207"/>
      <c r="J1" s="207"/>
    </row>
    <row r="2" spans="1:10" ht="30" customHeight="1" x14ac:dyDescent="0.25">
      <c r="A2" s="73"/>
      <c r="B2" s="73"/>
      <c r="C2" s="73"/>
      <c r="D2" s="208">
        <v>0.3</v>
      </c>
      <c r="E2" s="208"/>
      <c r="F2" s="208"/>
      <c r="G2" s="209"/>
      <c r="H2" s="209"/>
      <c r="I2" s="209"/>
      <c r="J2" s="209"/>
    </row>
    <row r="3" spans="1:10" s="57" customFormat="1" ht="60" x14ac:dyDescent="0.25">
      <c r="A3" s="152" t="s">
        <v>62</v>
      </c>
      <c r="B3" s="210" t="s">
        <v>41</v>
      </c>
      <c r="C3" s="179" t="s">
        <v>283</v>
      </c>
      <c r="D3" s="211" t="s">
        <v>284</v>
      </c>
      <c r="E3" s="211" t="s">
        <v>285</v>
      </c>
      <c r="F3" s="211" t="s">
        <v>286</v>
      </c>
      <c r="G3" s="211" t="s">
        <v>287</v>
      </c>
    </row>
    <row r="4" spans="1:10" x14ac:dyDescent="0.25">
      <c r="A4" s="152" t="s">
        <v>288</v>
      </c>
      <c r="B4" s="210" t="s">
        <v>289</v>
      </c>
      <c r="C4" s="213">
        <f>'объем работ 100% загр'!L4</f>
        <v>70.129315279357058</v>
      </c>
      <c r="D4" s="128">
        <f>'объем работ 100% загр'!S4</f>
        <v>198.33333333333334</v>
      </c>
      <c r="E4" s="128">
        <f t="shared" ref="E4:E22" si="0">C4*D4</f>
        <v>13908.980863739151</v>
      </c>
      <c r="F4" s="128">
        <f t="shared" ref="F4:F22" si="1">E4*3</f>
        <v>41726.942591217448</v>
      </c>
      <c r="G4" s="128">
        <f t="shared" ref="G4:G22" si="2">E4*12</f>
        <v>166907.77036486979</v>
      </c>
    </row>
    <row r="5" spans="1:10" ht="135" x14ac:dyDescent="0.25">
      <c r="A5" s="152" t="s">
        <v>290</v>
      </c>
      <c r="B5" s="210" t="s">
        <v>291</v>
      </c>
      <c r="C5" s="213">
        <f>'объем работ 100% загр'!L5</f>
        <v>1013.6873754016157</v>
      </c>
      <c r="D5" s="128">
        <f>'объем работ 100% загр'!S5</f>
        <v>2</v>
      </c>
      <c r="E5" s="128">
        <f t="shared" si="0"/>
        <v>2027.3747508032313</v>
      </c>
      <c r="F5" s="128">
        <f t="shared" si="1"/>
        <v>6082.1242524096942</v>
      </c>
      <c r="G5" s="128">
        <f t="shared" si="2"/>
        <v>24328.497009638777</v>
      </c>
    </row>
    <row r="6" spans="1:10" ht="123.75" customHeight="1" x14ac:dyDescent="0.25">
      <c r="A6" s="152" t="s">
        <v>292</v>
      </c>
      <c r="B6" s="210" t="s">
        <v>291</v>
      </c>
      <c r="C6" s="213">
        <f>'объем работ 100% загр'!L6</f>
        <v>12.750784596246739</v>
      </c>
      <c r="D6" s="128">
        <f>'объем работ 100% загр'!S6</f>
        <v>150</v>
      </c>
      <c r="E6" s="128">
        <f t="shared" si="0"/>
        <v>1912.6176894370108</v>
      </c>
      <c r="F6" s="128">
        <f t="shared" si="1"/>
        <v>5737.8530683110321</v>
      </c>
      <c r="G6" s="128">
        <f t="shared" si="2"/>
        <v>22951.412273244128</v>
      </c>
    </row>
    <row r="7" spans="1:10" ht="60" x14ac:dyDescent="0.25">
      <c r="A7" s="152" t="s">
        <v>293</v>
      </c>
      <c r="B7" s="210" t="s">
        <v>294</v>
      </c>
      <c r="C7" s="213" t="e">
        <f t="shared" ref="C7:C25" si="3">'объем работ 100% загр'!#REF!</f>
        <v>#REF!</v>
      </c>
      <c r="D7" s="128" t="e">
        <f t="shared" ref="D7:D25" si="4">'объем работ 100% загр'!#REF!</f>
        <v>#REF!</v>
      </c>
      <c r="E7" s="128" t="e">
        <f t="shared" si="0"/>
        <v>#REF!</v>
      </c>
      <c r="F7" s="128" t="e">
        <f t="shared" si="1"/>
        <v>#REF!</v>
      </c>
      <c r="G7" s="128" t="e">
        <f t="shared" si="2"/>
        <v>#REF!</v>
      </c>
    </row>
    <row r="8" spans="1:10" ht="30" x14ac:dyDescent="0.25">
      <c r="A8" s="152" t="s">
        <v>295</v>
      </c>
      <c r="B8" s="210" t="s">
        <v>296</v>
      </c>
      <c r="C8" s="213" t="e">
        <f t="shared" si="3"/>
        <v>#REF!</v>
      </c>
      <c r="D8" s="128" t="e">
        <f t="shared" si="4"/>
        <v>#REF!</v>
      </c>
      <c r="E8" s="128" t="e">
        <f t="shared" si="0"/>
        <v>#REF!</v>
      </c>
      <c r="F8" s="128" t="e">
        <f t="shared" si="1"/>
        <v>#REF!</v>
      </c>
      <c r="G8" s="128" t="e">
        <f t="shared" si="2"/>
        <v>#REF!</v>
      </c>
    </row>
    <row r="9" spans="1:10" ht="30" x14ac:dyDescent="0.25">
      <c r="A9" s="152" t="s">
        <v>297</v>
      </c>
      <c r="B9" s="210" t="s">
        <v>298</v>
      </c>
      <c r="C9" s="213" t="e">
        <f t="shared" si="3"/>
        <v>#REF!</v>
      </c>
      <c r="D9" s="128" t="e">
        <f t="shared" si="4"/>
        <v>#REF!</v>
      </c>
      <c r="E9" s="128" t="e">
        <f t="shared" si="0"/>
        <v>#REF!</v>
      </c>
      <c r="F9" s="128" t="e">
        <f t="shared" si="1"/>
        <v>#REF!</v>
      </c>
      <c r="G9" s="128" t="e">
        <f t="shared" si="2"/>
        <v>#REF!</v>
      </c>
    </row>
    <row r="10" spans="1:10" ht="90" x14ac:dyDescent="0.25">
      <c r="A10" s="152" t="s">
        <v>299</v>
      </c>
      <c r="B10" s="210" t="s">
        <v>300</v>
      </c>
      <c r="C10" s="213" t="e">
        <f t="shared" si="3"/>
        <v>#REF!</v>
      </c>
      <c r="D10" s="128" t="e">
        <f t="shared" si="4"/>
        <v>#REF!</v>
      </c>
      <c r="E10" s="128" t="e">
        <f t="shared" si="0"/>
        <v>#REF!</v>
      </c>
      <c r="F10" s="128" t="e">
        <f t="shared" si="1"/>
        <v>#REF!</v>
      </c>
      <c r="G10" s="128" t="e">
        <f t="shared" si="2"/>
        <v>#REF!</v>
      </c>
    </row>
    <row r="11" spans="1:10" ht="90" x14ac:dyDescent="0.25">
      <c r="A11" s="152" t="s">
        <v>301</v>
      </c>
      <c r="B11" s="210" t="s">
        <v>302</v>
      </c>
      <c r="C11" s="213" t="e">
        <f t="shared" si="3"/>
        <v>#REF!</v>
      </c>
      <c r="D11" s="128" t="e">
        <f t="shared" si="4"/>
        <v>#REF!</v>
      </c>
      <c r="E11" s="128" t="e">
        <f t="shared" si="0"/>
        <v>#REF!</v>
      </c>
      <c r="F11" s="128" t="e">
        <f t="shared" si="1"/>
        <v>#REF!</v>
      </c>
      <c r="G11" s="128" t="e">
        <f t="shared" si="2"/>
        <v>#REF!</v>
      </c>
    </row>
    <row r="12" spans="1:10" ht="75" x14ac:dyDescent="0.25">
      <c r="A12" s="51" t="s">
        <v>303</v>
      </c>
      <c r="B12" s="210" t="s">
        <v>300</v>
      </c>
      <c r="C12" s="213" t="e">
        <f t="shared" si="3"/>
        <v>#REF!</v>
      </c>
      <c r="D12" s="128" t="e">
        <f t="shared" si="4"/>
        <v>#REF!</v>
      </c>
      <c r="E12" s="128" t="e">
        <f t="shared" si="0"/>
        <v>#REF!</v>
      </c>
      <c r="F12" s="128" t="e">
        <f t="shared" si="1"/>
        <v>#REF!</v>
      </c>
      <c r="G12" s="128" t="e">
        <f t="shared" si="2"/>
        <v>#REF!</v>
      </c>
    </row>
    <row r="13" spans="1:10" ht="75" x14ac:dyDescent="0.25">
      <c r="A13" s="51" t="s">
        <v>304</v>
      </c>
      <c r="B13" s="210" t="s">
        <v>302</v>
      </c>
      <c r="C13" s="213" t="e">
        <f t="shared" si="3"/>
        <v>#REF!</v>
      </c>
      <c r="D13" s="128" t="e">
        <f t="shared" si="4"/>
        <v>#REF!</v>
      </c>
      <c r="E13" s="128" t="e">
        <f t="shared" si="0"/>
        <v>#REF!</v>
      </c>
      <c r="F13" s="128" t="e">
        <f t="shared" si="1"/>
        <v>#REF!</v>
      </c>
      <c r="G13" s="128" t="e">
        <f t="shared" si="2"/>
        <v>#REF!</v>
      </c>
    </row>
    <row r="14" spans="1:10" ht="105" x14ac:dyDescent="0.25">
      <c r="A14" s="51" t="s">
        <v>305</v>
      </c>
      <c r="B14" s="210" t="s">
        <v>300</v>
      </c>
      <c r="C14" s="213" t="e">
        <f t="shared" si="3"/>
        <v>#REF!</v>
      </c>
      <c r="D14" s="128" t="e">
        <f t="shared" si="4"/>
        <v>#REF!</v>
      </c>
      <c r="E14" s="128" t="e">
        <f t="shared" si="0"/>
        <v>#REF!</v>
      </c>
      <c r="F14" s="128" t="e">
        <f t="shared" si="1"/>
        <v>#REF!</v>
      </c>
      <c r="G14" s="128" t="e">
        <f t="shared" si="2"/>
        <v>#REF!</v>
      </c>
    </row>
    <row r="15" spans="1:10" ht="105" x14ac:dyDescent="0.25">
      <c r="A15" s="51" t="s">
        <v>306</v>
      </c>
      <c r="B15" s="210" t="s">
        <v>302</v>
      </c>
      <c r="C15" s="213" t="e">
        <f t="shared" si="3"/>
        <v>#REF!</v>
      </c>
      <c r="D15" s="128" t="e">
        <f t="shared" si="4"/>
        <v>#REF!</v>
      </c>
      <c r="E15" s="128" t="e">
        <f t="shared" si="0"/>
        <v>#REF!</v>
      </c>
      <c r="F15" s="128" t="e">
        <f t="shared" si="1"/>
        <v>#REF!</v>
      </c>
      <c r="G15" s="128" t="e">
        <f t="shared" si="2"/>
        <v>#REF!</v>
      </c>
    </row>
    <row r="16" spans="1:10" ht="90" x14ac:dyDescent="0.25">
      <c r="A16" s="51" t="s">
        <v>307</v>
      </c>
      <c r="B16" s="210" t="s">
        <v>300</v>
      </c>
      <c r="C16" s="213" t="e">
        <f t="shared" si="3"/>
        <v>#REF!</v>
      </c>
      <c r="D16" s="128" t="e">
        <f t="shared" si="4"/>
        <v>#REF!</v>
      </c>
      <c r="E16" s="128" t="e">
        <f t="shared" si="0"/>
        <v>#REF!</v>
      </c>
      <c r="F16" s="128" t="e">
        <f t="shared" si="1"/>
        <v>#REF!</v>
      </c>
      <c r="G16" s="128" t="e">
        <f t="shared" si="2"/>
        <v>#REF!</v>
      </c>
    </row>
    <row r="17" spans="1:9" ht="90" x14ac:dyDescent="0.25">
      <c r="A17" s="51" t="s">
        <v>308</v>
      </c>
      <c r="B17" s="210" t="s">
        <v>302</v>
      </c>
      <c r="C17" s="213" t="e">
        <f t="shared" si="3"/>
        <v>#REF!</v>
      </c>
      <c r="D17" s="128" t="e">
        <f t="shared" si="4"/>
        <v>#REF!</v>
      </c>
      <c r="E17" s="128" t="e">
        <f t="shared" si="0"/>
        <v>#REF!</v>
      </c>
      <c r="F17" s="128" t="e">
        <f t="shared" si="1"/>
        <v>#REF!</v>
      </c>
      <c r="G17" s="128" t="e">
        <f t="shared" si="2"/>
        <v>#REF!</v>
      </c>
    </row>
    <row r="18" spans="1:9" ht="30" x14ac:dyDescent="0.25">
      <c r="A18" s="51" t="s">
        <v>309</v>
      </c>
      <c r="B18" s="210" t="s">
        <v>300</v>
      </c>
      <c r="C18" s="213" t="e">
        <f t="shared" si="3"/>
        <v>#REF!</v>
      </c>
      <c r="D18" s="128" t="e">
        <f t="shared" si="4"/>
        <v>#REF!</v>
      </c>
      <c r="E18" s="128" t="e">
        <f t="shared" si="0"/>
        <v>#REF!</v>
      </c>
      <c r="F18" s="128" t="e">
        <f t="shared" si="1"/>
        <v>#REF!</v>
      </c>
      <c r="G18" s="128" t="e">
        <f t="shared" si="2"/>
        <v>#REF!</v>
      </c>
    </row>
    <row r="19" spans="1:9" ht="75" x14ac:dyDescent="0.25">
      <c r="A19" s="51" t="s">
        <v>310</v>
      </c>
      <c r="B19" s="210" t="s">
        <v>311</v>
      </c>
      <c r="C19" s="213" t="e">
        <f t="shared" si="3"/>
        <v>#REF!</v>
      </c>
      <c r="D19" s="128" t="e">
        <f t="shared" si="4"/>
        <v>#REF!</v>
      </c>
      <c r="E19" s="128" t="e">
        <f t="shared" si="0"/>
        <v>#REF!</v>
      </c>
      <c r="F19" s="128" t="e">
        <f t="shared" si="1"/>
        <v>#REF!</v>
      </c>
      <c r="G19" s="128" t="e">
        <f t="shared" si="2"/>
        <v>#REF!</v>
      </c>
    </row>
    <row r="20" spans="1:9" ht="75" x14ac:dyDescent="0.25">
      <c r="A20" s="51" t="s">
        <v>312</v>
      </c>
      <c r="B20" s="210" t="s">
        <v>311</v>
      </c>
      <c r="C20" s="213" t="e">
        <f t="shared" si="3"/>
        <v>#REF!</v>
      </c>
      <c r="D20" s="128" t="e">
        <f t="shared" si="4"/>
        <v>#REF!</v>
      </c>
      <c r="E20" s="128" t="e">
        <f t="shared" si="0"/>
        <v>#REF!</v>
      </c>
      <c r="F20" s="128" t="e">
        <f t="shared" si="1"/>
        <v>#REF!</v>
      </c>
      <c r="G20" s="128" t="e">
        <f t="shared" si="2"/>
        <v>#REF!</v>
      </c>
    </row>
    <row r="21" spans="1:9" x14ac:dyDescent="0.25">
      <c r="A21" s="51" t="s">
        <v>313</v>
      </c>
      <c r="B21" s="52" t="s">
        <v>311</v>
      </c>
      <c r="C21" s="213" t="e">
        <f t="shared" si="3"/>
        <v>#REF!</v>
      </c>
      <c r="D21" s="128" t="e">
        <f t="shared" si="4"/>
        <v>#REF!</v>
      </c>
      <c r="E21" s="128" t="e">
        <f t="shared" si="0"/>
        <v>#REF!</v>
      </c>
      <c r="F21" s="128" t="e">
        <f t="shared" si="1"/>
        <v>#REF!</v>
      </c>
      <c r="G21" s="128" t="e">
        <f t="shared" si="2"/>
        <v>#REF!</v>
      </c>
    </row>
    <row r="22" spans="1:9" ht="45" x14ac:dyDescent="0.25">
      <c r="A22" s="51" t="s">
        <v>314</v>
      </c>
      <c r="B22" s="52" t="s">
        <v>311</v>
      </c>
      <c r="C22" s="213" t="e">
        <f t="shared" si="3"/>
        <v>#REF!</v>
      </c>
      <c r="D22" s="128" t="e">
        <f t="shared" si="4"/>
        <v>#REF!</v>
      </c>
      <c r="E22" s="128" t="e">
        <f t="shared" si="0"/>
        <v>#REF!</v>
      </c>
      <c r="F22" s="128" t="e">
        <f t="shared" si="1"/>
        <v>#REF!</v>
      </c>
      <c r="G22" s="128" t="e">
        <f t="shared" si="2"/>
        <v>#REF!</v>
      </c>
    </row>
    <row r="23" spans="1:9" ht="30" x14ac:dyDescent="0.25">
      <c r="A23" s="51" t="s">
        <v>315</v>
      </c>
      <c r="B23" s="52" t="s">
        <v>316</v>
      </c>
      <c r="C23" s="213" t="e">
        <f t="shared" si="3"/>
        <v>#REF!</v>
      </c>
      <c r="D23" s="128" t="e">
        <f t="shared" si="4"/>
        <v>#REF!</v>
      </c>
      <c r="E23" s="128" t="e">
        <f t="shared" ref="E23:E25" si="5">C23*D23</f>
        <v>#REF!</v>
      </c>
      <c r="F23" s="128" t="e">
        <f t="shared" ref="F23:F25" si="6">E23*3</f>
        <v>#REF!</v>
      </c>
      <c r="G23" s="128" t="e">
        <f t="shared" ref="G23:G25" si="7">E23*12</f>
        <v>#REF!</v>
      </c>
    </row>
    <row r="24" spans="1:9" ht="56.25" customHeight="1" x14ac:dyDescent="0.25">
      <c r="A24" s="51" t="s">
        <v>317</v>
      </c>
      <c r="B24" s="51" t="s">
        <v>311</v>
      </c>
      <c r="C24" s="213" t="e">
        <f t="shared" si="3"/>
        <v>#REF!</v>
      </c>
      <c r="D24" s="214" t="e">
        <f t="shared" si="4"/>
        <v>#REF!</v>
      </c>
      <c r="E24" s="214" t="e">
        <f t="shared" si="5"/>
        <v>#REF!</v>
      </c>
      <c r="F24" s="214" t="e">
        <f t="shared" si="6"/>
        <v>#REF!</v>
      </c>
      <c r="G24" s="214" t="e">
        <f t="shared" si="7"/>
        <v>#REF!</v>
      </c>
    </row>
    <row r="25" spans="1:9" ht="56.25" customHeight="1" x14ac:dyDescent="0.25">
      <c r="A25" s="51" t="s">
        <v>318</v>
      </c>
      <c r="B25" s="51" t="s">
        <v>311</v>
      </c>
      <c r="C25" s="213" t="e">
        <f t="shared" si="3"/>
        <v>#REF!</v>
      </c>
      <c r="D25" s="214" t="e">
        <f t="shared" si="4"/>
        <v>#REF!</v>
      </c>
      <c r="E25" s="214" t="e">
        <f t="shared" si="5"/>
        <v>#REF!</v>
      </c>
      <c r="F25" s="214" t="e">
        <f t="shared" si="6"/>
        <v>#REF!</v>
      </c>
      <c r="G25" s="214" t="e">
        <f t="shared" si="7"/>
        <v>#REF!</v>
      </c>
    </row>
    <row r="27" spans="1:9" x14ac:dyDescent="0.25">
      <c r="F27" s="65" t="e">
        <f>SUM(F4:F26)</f>
        <v>#REF!</v>
      </c>
      <c r="G27" t="e">
        <f>SUM(G4:G26)</f>
        <v>#REF!</v>
      </c>
      <c r="I27" s="65"/>
    </row>
  </sheetData>
  <pageMargins left="0.7" right="0.7" top="0.75" bottom="0.75" header="0.3" footer="0.3"/>
  <pageSetup paperSize="9" firstPageNumber="2147483648" orientation="portrait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dimension ref="A1:J27"/>
  <sheetViews>
    <sheetView zoomScale="70" workbookViewId="0">
      <pane xSplit="1" topLeftCell="B1" activePane="topRight" state="frozen"/>
      <selection pane="topRight"/>
    </sheetView>
  </sheetViews>
  <sheetFormatPr defaultRowHeight="15" x14ac:dyDescent="0.25"/>
  <cols>
    <col min="1" max="1" width="26.5703125" style="51" customWidth="1"/>
    <col min="2" max="2" width="11.85546875" style="52" customWidth="1"/>
    <col min="3" max="3" width="13" style="53" customWidth="1"/>
    <col min="4" max="6" width="12.85546875" style="65" customWidth="1"/>
    <col min="7" max="7" width="10.140625" bestFit="1" customWidth="1"/>
  </cols>
  <sheetData>
    <row r="1" spans="1:10" x14ac:dyDescent="0.25">
      <c r="A1" s="73"/>
      <c r="B1" s="73"/>
      <c r="C1" s="73"/>
      <c r="D1" s="206"/>
      <c r="E1" s="206"/>
      <c r="F1" s="206"/>
      <c r="G1" s="207"/>
      <c r="H1" s="207"/>
      <c r="I1" s="207"/>
      <c r="J1" s="207"/>
    </row>
    <row r="2" spans="1:10" ht="30" customHeight="1" x14ac:dyDescent="0.25">
      <c r="A2" s="73"/>
      <c r="B2" s="73"/>
      <c r="C2" s="73"/>
      <c r="D2" s="208">
        <v>0.3</v>
      </c>
      <c r="E2" s="208"/>
      <c r="F2" s="208"/>
      <c r="G2" s="209"/>
      <c r="H2" s="209"/>
      <c r="I2" s="209"/>
      <c r="J2" s="209"/>
    </row>
    <row r="3" spans="1:10" s="57" customFormat="1" ht="60" x14ac:dyDescent="0.25">
      <c r="A3" s="152" t="s">
        <v>62</v>
      </c>
      <c r="B3" s="210" t="s">
        <v>41</v>
      </c>
      <c r="C3" s="179" t="s">
        <v>283</v>
      </c>
      <c r="D3" s="211" t="s">
        <v>284</v>
      </c>
      <c r="E3" s="211" t="s">
        <v>285</v>
      </c>
      <c r="F3" s="211" t="s">
        <v>286</v>
      </c>
      <c r="G3" s="211" t="s">
        <v>287</v>
      </c>
    </row>
    <row r="4" spans="1:10" x14ac:dyDescent="0.25">
      <c r="A4" s="152" t="s">
        <v>288</v>
      </c>
      <c r="B4" s="210" t="s">
        <v>289</v>
      </c>
      <c r="C4" s="213" t="e">
        <f t="shared" ref="C4:C25" si="0">'объем работ 100% загр'!#REF!</f>
        <v>#REF!</v>
      </c>
      <c r="D4" s="128">
        <f>'объем работ 100% загр'!S4</f>
        <v>198.33333333333334</v>
      </c>
      <c r="E4" s="128" t="e">
        <f t="shared" ref="E4:E22" si="1">C4*D4</f>
        <v>#REF!</v>
      </c>
      <c r="F4" s="128" t="e">
        <f t="shared" ref="F4:F22" si="2">E4*3</f>
        <v>#REF!</v>
      </c>
      <c r="G4" s="128" t="e">
        <f t="shared" ref="G4:G22" si="3">E4*12</f>
        <v>#REF!</v>
      </c>
    </row>
    <row r="5" spans="1:10" ht="135" x14ac:dyDescent="0.25">
      <c r="A5" s="152" t="s">
        <v>290</v>
      </c>
      <c r="B5" s="210" t="s">
        <v>291</v>
      </c>
      <c r="C5" s="213" t="e">
        <f t="shared" si="0"/>
        <v>#REF!</v>
      </c>
      <c r="D5" s="128">
        <f>'объем работ 100% загр'!S5</f>
        <v>2</v>
      </c>
      <c r="E5" s="128" t="e">
        <f t="shared" si="1"/>
        <v>#REF!</v>
      </c>
      <c r="F5" s="128" t="e">
        <f t="shared" si="2"/>
        <v>#REF!</v>
      </c>
      <c r="G5" s="128" t="e">
        <f t="shared" si="3"/>
        <v>#REF!</v>
      </c>
    </row>
    <row r="6" spans="1:10" ht="123.75" customHeight="1" x14ac:dyDescent="0.25">
      <c r="A6" s="152" t="s">
        <v>292</v>
      </c>
      <c r="B6" s="210" t="s">
        <v>291</v>
      </c>
      <c r="C6" s="213" t="e">
        <f t="shared" si="0"/>
        <v>#REF!</v>
      </c>
      <c r="D6" s="128">
        <f>'объем работ 100% загр'!S6</f>
        <v>150</v>
      </c>
      <c r="E6" s="128" t="e">
        <f t="shared" si="1"/>
        <v>#REF!</v>
      </c>
      <c r="F6" s="128" t="e">
        <f t="shared" si="2"/>
        <v>#REF!</v>
      </c>
      <c r="G6" s="128" t="e">
        <f t="shared" si="3"/>
        <v>#REF!</v>
      </c>
    </row>
    <row r="7" spans="1:10" ht="60" x14ac:dyDescent="0.25">
      <c r="A7" s="152" t="s">
        <v>293</v>
      </c>
      <c r="B7" s="210" t="s">
        <v>294</v>
      </c>
      <c r="C7" s="213" t="e">
        <f t="shared" si="0"/>
        <v>#REF!</v>
      </c>
      <c r="D7" s="128" t="e">
        <f t="shared" ref="D7:D25" si="4">'объем работ 100% загр'!#REF!</f>
        <v>#REF!</v>
      </c>
      <c r="E7" s="128" t="e">
        <f t="shared" si="1"/>
        <v>#REF!</v>
      </c>
      <c r="F7" s="128" t="e">
        <f t="shared" si="2"/>
        <v>#REF!</v>
      </c>
      <c r="G7" s="128" t="e">
        <f t="shared" si="3"/>
        <v>#REF!</v>
      </c>
    </row>
    <row r="8" spans="1:10" ht="30" x14ac:dyDescent="0.25">
      <c r="A8" s="152" t="s">
        <v>295</v>
      </c>
      <c r="B8" s="210" t="s">
        <v>296</v>
      </c>
      <c r="C8" s="213" t="e">
        <f t="shared" si="0"/>
        <v>#REF!</v>
      </c>
      <c r="D8" s="128" t="e">
        <f t="shared" si="4"/>
        <v>#REF!</v>
      </c>
      <c r="E8" s="128" t="e">
        <f t="shared" si="1"/>
        <v>#REF!</v>
      </c>
      <c r="F8" s="128" t="e">
        <f t="shared" si="2"/>
        <v>#REF!</v>
      </c>
      <c r="G8" s="128" t="e">
        <f t="shared" si="3"/>
        <v>#REF!</v>
      </c>
    </row>
    <row r="9" spans="1:10" ht="30" x14ac:dyDescent="0.25">
      <c r="A9" s="152" t="s">
        <v>297</v>
      </c>
      <c r="B9" s="210" t="s">
        <v>298</v>
      </c>
      <c r="C9" s="213" t="e">
        <f t="shared" si="0"/>
        <v>#REF!</v>
      </c>
      <c r="D9" s="128" t="e">
        <f t="shared" si="4"/>
        <v>#REF!</v>
      </c>
      <c r="E9" s="128" t="e">
        <f t="shared" si="1"/>
        <v>#REF!</v>
      </c>
      <c r="F9" s="128" t="e">
        <f t="shared" si="2"/>
        <v>#REF!</v>
      </c>
      <c r="G9" s="128" t="e">
        <f t="shared" si="3"/>
        <v>#REF!</v>
      </c>
    </row>
    <row r="10" spans="1:10" ht="90" x14ac:dyDescent="0.25">
      <c r="A10" s="152" t="s">
        <v>299</v>
      </c>
      <c r="B10" s="210" t="s">
        <v>300</v>
      </c>
      <c r="C10" s="213" t="e">
        <f t="shared" si="0"/>
        <v>#REF!</v>
      </c>
      <c r="D10" s="128" t="e">
        <f t="shared" si="4"/>
        <v>#REF!</v>
      </c>
      <c r="E10" s="128" t="e">
        <f t="shared" si="1"/>
        <v>#REF!</v>
      </c>
      <c r="F10" s="128" t="e">
        <f t="shared" si="2"/>
        <v>#REF!</v>
      </c>
      <c r="G10" s="128" t="e">
        <f t="shared" si="3"/>
        <v>#REF!</v>
      </c>
    </row>
    <row r="11" spans="1:10" ht="90" x14ac:dyDescent="0.25">
      <c r="A11" s="152" t="s">
        <v>301</v>
      </c>
      <c r="B11" s="210" t="s">
        <v>302</v>
      </c>
      <c r="C11" s="213" t="e">
        <f t="shared" si="0"/>
        <v>#REF!</v>
      </c>
      <c r="D11" s="128" t="e">
        <f t="shared" si="4"/>
        <v>#REF!</v>
      </c>
      <c r="E11" s="128" t="e">
        <f t="shared" si="1"/>
        <v>#REF!</v>
      </c>
      <c r="F11" s="128" t="e">
        <f t="shared" si="2"/>
        <v>#REF!</v>
      </c>
      <c r="G11" s="128" t="e">
        <f t="shared" si="3"/>
        <v>#REF!</v>
      </c>
    </row>
    <row r="12" spans="1:10" ht="75" x14ac:dyDescent="0.25">
      <c r="A12" s="51" t="s">
        <v>303</v>
      </c>
      <c r="B12" s="210" t="s">
        <v>300</v>
      </c>
      <c r="C12" s="213" t="e">
        <f t="shared" si="0"/>
        <v>#REF!</v>
      </c>
      <c r="D12" s="128" t="e">
        <f t="shared" si="4"/>
        <v>#REF!</v>
      </c>
      <c r="E12" s="128" t="e">
        <f t="shared" si="1"/>
        <v>#REF!</v>
      </c>
      <c r="F12" s="128" t="e">
        <f t="shared" si="2"/>
        <v>#REF!</v>
      </c>
      <c r="G12" s="128" t="e">
        <f t="shared" si="3"/>
        <v>#REF!</v>
      </c>
    </row>
    <row r="13" spans="1:10" ht="75" x14ac:dyDescent="0.25">
      <c r="A13" s="51" t="s">
        <v>304</v>
      </c>
      <c r="B13" s="210" t="s">
        <v>302</v>
      </c>
      <c r="C13" s="213" t="e">
        <f t="shared" si="0"/>
        <v>#REF!</v>
      </c>
      <c r="D13" s="128" t="e">
        <f t="shared" si="4"/>
        <v>#REF!</v>
      </c>
      <c r="E13" s="128" t="e">
        <f t="shared" si="1"/>
        <v>#REF!</v>
      </c>
      <c r="F13" s="128" t="e">
        <f t="shared" si="2"/>
        <v>#REF!</v>
      </c>
      <c r="G13" s="128" t="e">
        <f t="shared" si="3"/>
        <v>#REF!</v>
      </c>
    </row>
    <row r="14" spans="1:10" ht="105" x14ac:dyDescent="0.25">
      <c r="A14" s="51" t="s">
        <v>305</v>
      </c>
      <c r="B14" s="210" t="s">
        <v>300</v>
      </c>
      <c r="C14" s="213" t="e">
        <f t="shared" si="0"/>
        <v>#REF!</v>
      </c>
      <c r="D14" s="128" t="e">
        <f t="shared" si="4"/>
        <v>#REF!</v>
      </c>
      <c r="E14" s="128" t="e">
        <f t="shared" si="1"/>
        <v>#REF!</v>
      </c>
      <c r="F14" s="128" t="e">
        <f t="shared" si="2"/>
        <v>#REF!</v>
      </c>
      <c r="G14" s="128" t="e">
        <f t="shared" si="3"/>
        <v>#REF!</v>
      </c>
    </row>
    <row r="15" spans="1:10" ht="105" x14ac:dyDescent="0.25">
      <c r="A15" s="51" t="s">
        <v>306</v>
      </c>
      <c r="B15" s="210" t="s">
        <v>302</v>
      </c>
      <c r="C15" s="213" t="e">
        <f t="shared" si="0"/>
        <v>#REF!</v>
      </c>
      <c r="D15" s="128" t="e">
        <f t="shared" si="4"/>
        <v>#REF!</v>
      </c>
      <c r="E15" s="128" t="e">
        <f t="shared" si="1"/>
        <v>#REF!</v>
      </c>
      <c r="F15" s="128" t="e">
        <f t="shared" si="2"/>
        <v>#REF!</v>
      </c>
      <c r="G15" s="128" t="e">
        <f t="shared" si="3"/>
        <v>#REF!</v>
      </c>
    </row>
    <row r="16" spans="1:10" ht="90" x14ac:dyDescent="0.25">
      <c r="A16" s="51" t="s">
        <v>307</v>
      </c>
      <c r="B16" s="210" t="s">
        <v>300</v>
      </c>
      <c r="C16" s="213" t="e">
        <f t="shared" si="0"/>
        <v>#REF!</v>
      </c>
      <c r="D16" s="128" t="e">
        <f t="shared" si="4"/>
        <v>#REF!</v>
      </c>
      <c r="E16" s="128" t="e">
        <f t="shared" si="1"/>
        <v>#REF!</v>
      </c>
      <c r="F16" s="128" t="e">
        <f t="shared" si="2"/>
        <v>#REF!</v>
      </c>
      <c r="G16" s="128" t="e">
        <f t="shared" si="3"/>
        <v>#REF!</v>
      </c>
    </row>
    <row r="17" spans="1:9" ht="90" x14ac:dyDescent="0.25">
      <c r="A17" s="51" t="s">
        <v>308</v>
      </c>
      <c r="B17" s="210" t="s">
        <v>302</v>
      </c>
      <c r="C17" s="213" t="e">
        <f t="shared" si="0"/>
        <v>#REF!</v>
      </c>
      <c r="D17" s="128" t="e">
        <f t="shared" si="4"/>
        <v>#REF!</v>
      </c>
      <c r="E17" s="128" t="e">
        <f t="shared" si="1"/>
        <v>#REF!</v>
      </c>
      <c r="F17" s="128" t="e">
        <f t="shared" si="2"/>
        <v>#REF!</v>
      </c>
      <c r="G17" s="128" t="e">
        <f t="shared" si="3"/>
        <v>#REF!</v>
      </c>
    </row>
    <row r="18" spans="1:9" ht="30" x14ac:dyDescent="0.25">
      <c r="A18" s="51" t="s">
        <v>309</v>
      </c>
      <c r="B18" s="210" t="s">
        <v>300</v>
      </c>
      <c r="C18" s="213" t="e">
        <f t="shared" si="0"/>
        <v>#REF!</v>
      </c>
      <c r="D18" s="128" t="e">
        <f t="shared" si="4"/>
        <v>#REF!</v>
      </c>
      <c r="E18" s="128" t="e">
        <f t="shared" si="1"/>
        <v>#REF!</v>
      </c>
      <c r="F18" s="128" t="e">
        <f t="shared" si="2"/>
        <v>#REF!</v>
      </c>
      <c r="G18" s="128" t="e">
        <f t="shared" si="3"/>
        <v>#REF!</v>
      </c>
    </row>
    <row r="19" spans="1:9" ht="75" x14ac:dyDescent="0.25">
      <c r="A19" s="51" t="s">
        <v>310</v>
      </c>
      <c r="B19" s="210" t="s">
        <v>311</v>
      </c>
      <c r="C19" s="213" t="e">
        <f t="shared" si="0"/>
        <v>#REF!</v>
      </c>
      <c r="D19" s="128" t="e">
        <f t="shared" si="4"/>
        <v>#REF!</v>
      </c>
      <c r="E19" s="128" t="e">
        <f t="shared" si="1"/>
        <v>#REF!</v>
      </c>
      <c r="F19" s="128" t="e">
        <f t="shared" si="2"/>
        <v>#REF!</v>
      </c>
      <c r="G19" s="128" t="e">
        <f t="shared" si="3"/>
        <v>#REF!</v>
      </c>
    </row>
    <row r="20" spans="1:9" ht="75" x14ac:dyDescent="0.25">
      <c r="A20" s="51" t="s">
        <v>312</v>
      </c>
      <c r="B20" s="210" t="s">
        <v>311</v>
      </c>
      <c r="C20" s="213" t="e">
        <f t="shared" si="0"/>
        <v>#REF!</v>
      </c>
      <c r="D20" s="128" t="e">
        <f t="shared" si="4"/>
        <v>#REF!</v>
      </c>
      <c r="E20" s="128" t="e">
        <f t="shared" si="1"/>
        <v>#REF!</v>
      </c>
      <c r="F20" s="128" t="e">
        <f t="shared" si="2"/>
        <v>#REF!</v>
      </c>
      <c r="G20" s="128" t="e">
        <f t="shared" si="3"/>
        <v>#REF!</v>
      </c>
    </row>
    <row r="21" spans="1:9" x14ac:dyDescent="0.25">
      <c r="A21" s="51" t="s">
        <v>313</v>
      </c>
      <c r="B21" s="52" t="s">
        <v>311</v>
      </c>
      <c r="C21" s="213" t="e">
        <f t="shared" si="0"/>
        <v>#REF!</v>
      </c>
      <c r="D21" s="128" t="e">
        <f t="shared" si="4"/>
        <v>#REF!</v>
      </c>
      <c r="E21" s="128" t="e">
        <f t="shared" si="1"/>
        <v>#REF!</v>
      </c>
      <c r="F21" s="128" t="e">
        <f t="shared" si="2"/>
        <v>#REF!</v>
      </c>
      <c r="G21" s="128" t="e">
        <f t="shared" si="3"/>
        <v>#REF!</v>
      </c>
    </row>
    <row r="22" spans="1:9" ht="45" x14ac:dyDescent="0.25">
      <c r="A22" s="51" t="s">
        <v>314</v>
      </c>
      <c r="B22" s="52" t="s">
        <v>311</v>
      </c>
      <c r="C22" s="213" t="e">
        <f t="shared" si="0"/>
        <v>#REF!</v>
      </c>
      <c r="D22" s="128" t="e">
        <f t="shared" si="4"/>
        <v>#REF!</v>
      </c>
      <c r="E22" s="128" t="e">
        <f t="shared" si="1"/>
        <v>#REF!</v>
      </c>
      <c r="F22" s="128" t="e">
        <f t="shared" si="2"/>
        <v>#REF!</v>
      </c>
      <c r="G22" s="128" t="e">
        <f t="shared" si="3"/>
        <v>#REF!</v>
      </c>
    </row>
    <row r="23" spans="1:9" ht="30" x14ac:dyDescent="0.25">
      <c r="A23" s="51" t="s">
        <v>315</v>
      </c>
      <c r="B23" s="52" t="s">
        <v>316</v>
      </c>
      <c r="C23" s="213" t="e">
        <f t="shared" si="0"/>
        <v>#REF!</v>
      </c>
      <c r="D23" s="128" t="e">
        <f t="shared" si="4"/>
        <v>#REF!</v>
      </c>
      <c r="E23" s="128" t="e">
        <f t="shared" ref="E23:E25" si="5">C23*D23</f>
        <v>#REF!</v>
      </c>
      <c r="F23" s="128" t="e">
        <f t="shared" ref="F23:F25" si="6">E23*3</f>
        <v>#REF!</v>
      </c>
      <c r="G23" s="128" t="e">
        <f t="shared" ref="G23:G25" si="7">E23*12</f>
        <v>#REF!</v>
      </c>
    </row>
    <row r="24" spans="1:9" ht="56.25" customHeight="1" x14ac:dyDescent="0.25">
      <c r="A24" s="51" t="s">
        <v>317</v>
      </c>
      <c r="B24" s="51" t="s">
        <v>311</v>
      </c>
      <c r="C24" s="213" t="e">
        <f t="shared" si="0"/>
        <v>#REF!</v>
      </c>
      <c r="D24" s="214" t="e">
        <f t="shared" si="4"/>
        <v>#REF!</v>
      </c>
      <c r="E24" s="214" t="e">
        <f t="shared" si="5"/>
        <v>#REF!</v>
      </c>
      <c r="F24" s="214" t="e">
        <f t="shared" si="6"/>
        <v>#REF!</v>
      </c>
      <c r="G24" s="214" t="e">
        <f t="shared" si="7"/>
        <v>#REF!</v>
      </c>
    </row>
    <row r="25" spans="1:9" ht="56.25" customHeight="1" x14ac:dyDescent="0.25">
      <c r="A25" s="51" t="s">
        <v>318</v>
      </c>
      <c r="B25" s="51" t="s">
        <v>311</v>
      </c>
      <c r="C25" s="213" t="e">
        <f t="shared" si="0"/>
        <v>#REF!</v>
      </c>
      <c r="D25" s="214" t="e">
        <f t="shared" si="4"/>
        <v>#REF!</v>
      </c>
      <c r="E25" s="214" t="e">
        <f t="shared" si="5"/>
        <v>#REF!</v>
      </c>
      <c r="F25" s="214" t="e">
        <f t="shared" si="6"/>
        <v>#REF!</v>
      </c>
      <c r="G25" s="214" t="e">
        <f t="shared" si="7"/>
        <v>#REF!</v>
      </c>
    </row>
    <row r="27" spans="1:9" x14ac:dyDescent="0.25">
      <c r="F27" s="65" t="e">
        <f>SUM(F4:F26)</f>
        <v>#REF!</v>
      </c>
      <c r="G27" t="e">
        <f>SUM(G4:G26)</f>
        <v>#REF!</v>
      </c>
      <c r="I27" s="65"/>
    </row>
  </sheetData>
  <pageMargins left="0.7" right="0.7" top="0.75" bottom="0.75" header="0.3" footer="0.3"/>
  <pageSetup paperSize="9" firstPageNumber="2147483648"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28</vt:i4>
      </vt:variant>
      <vt:variant>
        <vt:lpstr>Именованные диапазоны</vt:lpstr>
      </vt:variant>
      <vt:variant>
        <vt:i4>2</vt:i4>
      </vt:variant>
    </vt:vector>
  </HeadingPairs>
  <TitlesOfParts>
    <vt:vector size="30" baseType="lpstr">
      <vt:lpstr>Аннотация</vt:lpstr>
      <vt:lpstr>допущения</vt:lpstr>
      <vt:lpstr>СВОД</vt:lpstr>
      <vt:lpstr>объем работ 100% загр</vt:lpstr>
      <vt:lpstr>Себестоимость</vt:lpstr>
      <vt:lpstr>выручка по кв и годам</vt:lpstr>
      <vt:lpstr>Расходы на П, строит-во, ввод</vt:lpstr>
      <vt:lpstr>Расходы на ЗП ОТ</vt:lpstr>
      <vt:lpstr>Расходы на ЗП ТОР</vt:lpstr>
      <vt:lpstr>Налоги без ТОР</vt:lpstr>
      <vt:lpstr>Налоги ТОР</vt:lpstr>
      <vt:lpstr>Расходы ТОР</vt:lpstr>
      <vt:lpstr>Фин результат ТОР</vt:lpstr>
      <vt:lpstr>Расходы по займу</vt:lpstr>
      <vt:lpstr>займ</vt:lpstr>
      <vt:lpstr>NPV, IRR, DPI ТОР</vt:lpstr>
      <vt:lpstr>обоснования</vt:lpstr>
      <vt:lpstr>выручка 2022г 40% загр</vt:lpstr>
      <vt:lpstr>выручка 2023г 50% загр</vt:lpstr>
      <vt:lpstr>выручка 2024г 60% загр</vt:lpstr>
      <vt:lpstr>выручка 2025г 85% загр1</vt:lpstr>
      <vt:lpstr>выручка 2026г 85% загр1</vt:lpstr>
      <vt:lpstr>выручка 2027</vt:lpstr>
      <vt:lpstr>выручка 2028</vt:lpstr>
      <vt:lpstr>выручка 2029</vt:lpstr>
      <vt:lpstr>выручка 2030</vt:lpstr>
      <vt:lpstr>выручка 2031</vt:lpstr>
      <vt:lpstr>выручка 2032</vt:lpstr>
      <vt:lpstr>'Фин результат ТОР'!_ftn1</vt:lpstr>
      <vt:lpstr>'Фин результат ТОР'!_ftnref1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IRU</dc:creator>
  <cp:lastModifiedBy>Admin</cp:lastModifiedBy>
  <cp:revision>4</cp:revision>
  <dcterms:created xsi:type="dcterms:W3CDTF">2006-09-28T05:33:49Z</dcterms:created>
  <dcterms:modified xsi:type="dcterms:W3CDTF">2023-04-21T16:23:56Z</dcterms:modified>
</cp:coreProperties>
</file>