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persons/person.xml" ContentType="application/vnd.ms-excel.person+xml"/>
  <Override PartName="/xl/threadedComments/threadedComment1.xml" ContentType="application/vnd.ms-excel.threadedcomments+xml"/>
  <Override PartName="/xl/threadedComments/threadedComment2.xml" ContentType="application/vnd.ms-excel.threadedcomments+xml"/>
  <Override PartName="/xl/threadedComments/threadedComment3.xml" ContentType="application/vnd.ms-excel.threadedcomment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96"/>
  <workbookPr hidePivotFieldList="1"/>
  <mc:AlternateContent xmlns:mc="http://schemas.openxmlformats.org/markup-compatibility/2006">
    <mc:Choice Requires="x15">
      <x15ac:absPath xmlns:x15ac="http://schemas.microsoft.com/office/spreadsheetml/2010/11/ac" url="C:\Users\79041\Desktop\ИРКУТСК_ЗАКАЗЧИКУ 2023_04_08\"/>
    </mc:Choice>
  </mc:AlternateContent>
  <xr:revisionPtr revIDLastSave="0" documentId="13_ncr:1_{F677A814-1B93-4241-AD6E-0FBF194B1F54}" xr6:coauthVersionLast="36" xr6:coauthVersionMax="36" xr10:uidLastSave="{00000000-0000-0000-0000-000000000000}"/>
  <bookViews>
    <workbookView xWindow="-108" yWindow="-108" windowWidth="23256" windowHeight="12456" tabRatio="852" activeTab="2" xr2:uid="{00000000-000D-0000-FFFF-FFFF00000000}"/>
  </bookViews>
  <sheets>
    <sheet name="Аннотация" sheetId="27" r:id="rId1"/>
    <sheet name="допущения" sheetId="1" r:id="rId2"/>
    <sheet name="СВОД" sheetId="2" r:id="rId3"/>
    <sheet name="объем работ 100% загр" sheetId="4" r:id="rId4"/>
    <sheet name="выручка по кв и годам" sheetId="5" r:id="rId5"/>
    <sheet name="Расходы на П, строит-во, ввод" sheetId="3" r:id="rId6"/>
    <sheet name="Расходы по займу" sheetId="10" r:id="rId7"/>
    <sheet name="займ" sheetId="11" r:id="rId8"/>
    <sheet name="Расходы на ЗП ОТ" sheetId="6" r:id="rId9"/>
    <sheet name="Расходы на ЗП ТОР" sheetId="7" r:id="rId10"/>
    <sheet name="Расходы ТОР" sheetId="12" r:id="rId11"/>
    <sheet name="Себестоимость" sheetId="29" r:id="rId12"/>
    <sheet name="Налоги ТОР" sheetId="8" r:id="rId13"/>
    <sheet name="Налоги без ТОР" sheetId="9" r:id="rId14"/>
    <sheet name="Фин результат ТОР" sheetId="13" r:id="rId15"/>
    <sheet name="NPV, IRR, DPI ТОР" sheetId="14" r:id="rId16"/>
    <sheet name="выручка 2022г 40% загр" sheetId="15" state="hidden" r:id="rId17"/>
    <sheet name="выручка 2023г 50% загр" sheetId="16" state="hidden" r:id="rId18"/>
    <sheet name="выручка 2024г 60% загр" sheetId="17" state="hidden" r:id="rId19"/>
    <sheet name="выручка 2025г 85% загр1" sheetId="18" state="hidden" r:id="rId20"/>
    <sheet name="выручка 2026г 85% загр1" sheetId="19" state="hidden" r:id="rId21"/>
    <sheet name="выручка 2027" sheetId="20" state="hidden" r:id="rId22"/>
    <sheet name="выручка 2028" sheetId="21" state="hidden" r:id="rId23"/>
    <sheet name="выручка 2029" sheetId="22" state="hidden" r:id="rId24"/>
    <sheet name="выручка 2030" sheetId="23" state="hidden" r:id="rId25"/>
    <sheet name="выручка 2031" sheetId="24" state="hidden" r:id="rId26"/>
    <sheet name="выручка 2032" sheetId="25" state="hidden" r:id="rId27"/>
    <sheet name="обоснования" sheetId="30" r:id="rId28"/>
  </sheets>
  <definedNames>
    <definedName name="_ftn1" localSheetId="14">'Фин результат ТОР'!$B$60</definedName>
    <definedName name="_ftnref1" localSheetId="14">'Фин результат ТОР'!$D$56</definedName>
  </definedNames>
  <calcPr calcId="191029"/>
</workbook>
</file>

<file path=xl/calcChain.xml><?xml version="1.0" encoding="utf-8"?>
<calcChain xmlns="http://schemas.openxmlformats.org/spreadsheetml/2006/main">
  <c r="N4" i="4" l="1"/>
  <c r="N5" i="4"/>
  <c r="N6" i="4"/>
  <c r="N10" i="4"/>
  <c r="N11" i="4"/>
  <c r="N12" i="4"/>
  <c r="C16" i="8" l="1"/>
  <c r="D16" i="8"/>
  <c r="E16" i="8"/>
  <c r="F16" i="8"/>
  <c r="G16" i="8"/>
  <c r="H16" i="8"/>
  <c r="I16" i="8"/>
  <c r="J16" i="8"/>
  <c r="K16" i="8"/>
  <c r="L16" i="8"/>
  <c r="B16" i="8"/>
  <c r="C16" i="9"/>
  <c r="D16" i="9"/>
  <c r="E16" i="9"/>
  <c r="F16" i="9"/>
  <c r="G16" i="9"/>
  <c r="H16" i="9"/>
  <c r="I16" i="9"/>
  <c r="J16" i="9"/>
  <c r="K16" i="9"/>
  <c r="L16" i="9"/>
  <c r="B16" i="9"/>
  <c r="L26" i="4"/>
  <c r="B25" i="14"/>
  <c r="B27" i="14"/>
  <c r="S16" i="29"/>
  <c r="R7" i="12"/>
  <c r="R6" i="12"/>
  <c r="S15" i="29"/>
  <c r="R2" i="12"/>
  <c r="E55" i="4"/>
  <c r="E54" i="4"/>
  <c r="E53" i="4"/>
  <c r="E52" i="4"/>
  <c r="E51" i="4"/>
  <c r="E50" i="4"/>
  <c r="E49" i="4"/>
  <c r="E48" i="4"/>
  <c r="E47" i="4"/>
  <c r="E46" i="4"/>
  <c r="E45" i="4"/>
  <c r="E44" i="4"/>
  <c r="E43" i="4"/>
  <c r="Q7" i="3"/>
  <c r="Q6" i="3"/>
  <c r="Q5" i="3"/>
  <c r="L3" i="3"/>
  <c r="K3" i="3"/>
  <c r="Q4" i="3" l="1"/>
  <c r="P4" i="3"/>
  <c r="F2" i="3"/>
  <c r="F55" i="4" l="1"/>
  <c r="G55" i="4" s="1"/>
  <c r="C55" i="4"/>
  <c r="F54" i="4"/>
  <c r="G54" i="4" s="1"/>
  <c r="C54" i="4"/>
  <c r="F53" i="4"/>
  <c r="G53" i="4" s="1"/>
  <c r="F52" i="4"/>
  <c r="G52" i="4" s="1"/>
  <c r="F51" i="4"/>
  <c r="G51" i="4" s="1"/>
  <c r="F50" i="4"/>
  <c r="G50" i="4" s="1"/>
  <c r="F49" i="4"/>
  <c r="G49" i="4" s="1"/>
  <c r="F48" i="4"/>
  <c r="G48" i="4" s="1"/>
  <c r="F47" i="4"/>
  <c r="G47" i="4" s="1"/>
  <c r="F46" i="4"/>
  <c r="G46" i="4" s="1"/>
  <c r="F45" i="4"/>
  <c r="G45" i="4" s="1"/>
  <c r="F44" i="4"/>
  <c r="G44" i="4" s="1"/>
  <c r="E57" i="4" l="1"/>
  <c r="F43" i="4"/>
  <c r="G43" i="4" l="1"/>
  <c r="G57" i="4" s="1"/>
  <c r="F57" i="4"/>
  <c r="R22" i="12" l="1"/>
  <c r="N21" i="12"/>
  <c r="M21" i="12"/>
  <c r="Q15" i="3" l="1"/>
  <c r="U21" i="12" s="1"/>
  <c r="A37" i="12"/>
  <c r="AQ28" i="7"/>
  <c r="AQ37" i="7"/>
  <c r="AQ38" i="7"/>
  <c r="AQ39" i="7"/>
  <c r="AQ40" i="7"/>
  <c r="AQ41" i="7"/>
  <c r="AQ42" i="7"/>
  <c r="AQ43" i="7"/>
  <c r="AQ44" i="7"/>
  <c r="AQ45" i="7"/>
  <c r="AQ57" i="7"/>
  <c r="AS8" i="6"/>
  <c r="AT8" i="6" s="1"/>
  <c r="AU8" i="6" s="1"/>
  <c r="AS28" i="6"/>
  <c r="AS36" i="6"/>
  <c r="AT36" i="6" s="1"/>
  <c r="AU36" i="6" s="1"/>
  <c r="AS39" i="6"/>
  <c r="AS39" i="7" s="1"/>
  <c r="AS40" i="6"/>
  <c r="AS40" i="7" s="1"/>
  <c r="AS43" i="6"/>
  <c r="AS43" i="7" s="1"/>
  <c r="AS44" i="6"/>
  <c r="AS44" i="7" s="1"/>
  <c r="AS57" i="6"/>
  <c r="AS57" i="7" s="1"/>
  <c r="AR8" i="6"/>
  <c r="AR17" i="6"/>
  <c r="AS17" i="6" s="1"/>
  <c r="AT17" i="6" s="1"/>
  <c r="AU17" i="6" s="1"/>
  <c r="AR28" i="6"/>
  <c r="AR36" i="6"/>
  <c r="AR37" i="6"/>
  <c r="AR38" i="6"/>
  <c r="AS38" i="6" s="1"/>
  <c r="AR39" i="6"/>
  <c r="AR39" i="7" s="1"/>
  <c r="AR40" i="6"/>
  <c r="AR41" i="6"/>
  <c r="AS41" i="6" s="1"/>
  <c r="AR42" i="6"/>
  <c r="AS42" i="6" s="1"/>
  <c r="AR43" i="6"/>
  <c r="AR44" i="6"/>
  <c r="AR45" i="6"/>
  <c r="AR57" i="6"/>
  <c r="AR1" i="6"/>
  <c r="AR1" i="7" s="1"/>
  <c r="AR60" i="7" s="1"/>
  <c r="AS1" i="6"/>
  <c r="AS1" i="7" s="1"/>
  <c r="AS60" i="7" s="1"/>
  <c r="AT1" i="6"/>
  <c r="AT1" i="7" s="1"/>
  <c r="AT60" i="7" s="1"/>
  <c r="AU1" i="6"/>
  <c r="AU1" i="7" s="1"/>
  <c r="AU60" i="7" s="1"/>
  <c r="AZ3" i="6"/>
  <c r="AZ4" i="6"/>
  <c r="AZ5" i="6"/>
  <c r="AZ8" i="6"/>
  <c r="AZ9" i="6"/>
  <c r="AZ10" i="6"/>
  <c r="AZ11" i="6"/>
  <c r="AZ12" i="6"/>
  <c r="AZ13" i="6"/>
  <c r="AZ14" i="6"/>
  <c r="AZ17" i="6"/>
  <c r="AZ28" i="6"/>
  <c r="AZ36" i="6"/>
  <c r="R30" i="3"/>
  <c r="R29" i="3"/>
  <c r="R28" i="3"/>
  <c r="R27" i="3"/>
  <c r="AS42" i="7" l="1"/>
  <c r="AT42" i="6"/>
  <c r="AS41" i="7"/>
  <c r="AT41" i="6"/>
  <c r="AS38" i="7"/>
  <c r="AT38" i="6"/>
  <c r="AR45" i="7"/>
  <c r="AT40" i="6"/>
  <c r="AR28" i="7"/>
  <c r="AT44" i="6"/>
  <c r="AR43" i="7"/>
  <c r="AT39" i="6"/>
  <c r="AR37" i="7"/>
  <c r="AS28" i="7"/>
  <c r="AT28" i="6"/>
  <c r="BG36" i="6"/>
  <c r="AR42" i="7"/>
  <c r="AR59" i="6"/>
  <c r="AS59" i="6" s="1"/>
  <c r="AT59" i="6" s="1"/>
  <c r="AU59" i="6" s="1"/>
  <c r="AT43" i="6"/>
  <c r="BG17" i="6"/>
  <c r="AR57" i="7"/>
  <c r="AR40" i="7"/>
  <c r="AR41" i="7"/>
  <c r="BG8" i="6"/>
  <c r="AR38" i="7"/>
  <c r="AS45" i="6"/>
  <c r="AS37" i="6"/>
  <c r="AT57" i="6"/>
  <c r="AR44" i="7"/>
  <c r="AT43" i="7" l="1"/>
  <c r="AU43" i="6"/>
  <c r="AU39" i="6"/>
  <c r="AU39" i="7" s="1"/>
  <c r="AT39" i="7"/>
  <c r="BG39" i="6"/>
  <c r="AT38" i="7"/>
  <c r="AU38" i="6"/>
  <c r="AU38" i="7" s="1"/>
  <c r="AS45" i="7"/>
  <c r="AT45" i="6"/>
  <c r="AU44" i="6"/>
  <c r="AT44" i="7"/>
  <c r="AT41" i="7"/>
  <c r="AU41" i="6"/>
  <c r="AU42" i="6"/>
  <c r="AU42" i="7" s="1"/>
  <c r="AT42" i="7"/>
  <c r="AT40" i="7"/>
  <c r="AU40" i="6"/>
  <c r="AU40" i="7" s="1"/>
  <c r="AT57" i="7"/>
  <c r="AU57" i="6"/>
  <c r="AU57" i="7" s="1"/>
  <c r="AS37" i="7"/>
  <c r="AT37" i="6"/>
  <c r="BG42" i="6"/>
  <c r="BG38" i="6"/>
  <c r="BG57" i="6"/>
  <c r="AT28" i="7"/>
  <c r="AU28" i="6"/>
  <c r="AU28" i="7" s="1"/>
  <c r="BG28" i="6"/>
  <c r="L21" i="13"/>
  <c r="L23" i="13"/>
  <c r="L27" i="13"/>
  <c r="L29" i="13"/>
  <c r="L31" i="13"/>
  <c r="K21" i="13"/>
  <c r="K23" i="13"/>
  <c r="K27" i="13"/>
  <c r="K29" i="13"/>
  <c r="K31" i="13"/>
  <c r="J21" i="13"/>
  <c r="J29" i="13"/>
  <c r="J31" i="13"/>
  <c r="I21" i="13"/>
  <c r="I29" i="13"/>
  <c r="I31" i="13"/>
  <c r="H21" i="13"/>
  <c r="H29" i="13"/>
  <c r="H31" i="13"/>
  <c r="G21" i="13"/>
  <c r="F21" i="13"/>
  <c r="D24" i="29"/>
  <c r="E24" i="29"/>
  <c r="F24" i="29"/>
  <c r="G24" i="29"/>
  <c r="H24" i="29"/>
  <c r="I24" i="29"/>
  <c r="J24" i="29"/>
  <c r="K24" i="29"/>
  <c r="L24" i="29"/>
  <c r="M24" i="29"/>
  <c r="N24" i="29"/>
  <c r="O24" i="29"/>
  <c r="P24" i="29"/>
  <c r="Q24" i="29"/>
  <c r="R24" i="29"/>
  <c r="C24" i="29"/>
  <c r="R9" i="12"/>
  <c r="S24" i="29" s="1"/>
  <c r="C4" i="29"/>
  <c r="D4" i="29" s="1"/>
  <c r="E4" i="29" s="1"/>
  <c r="F4" i="29" s="1"/>
  <c r="C5" i="29"/>
  <c r="D5" i="29" s="1"/>
  <c r="E5" i="29" s="1"/>
  <c r="F5" i="29" s="1"/>
  <c r="D16" i="29"/>
  <c r="E16" i="29"/>
  <c r="F16" i="29"/>
  <c r="C16" i="29"/>
  <c r="AT45" i="7" l="1"/>
  <c r="AU45" i="6"/>
  <c r="AU45" i="7" s="1"/>
  <c r="BG40" i="6"/>
  <c r="AT37" i="7"/>
  <c r="AU37" i="6"/>
  <c r="AU37" i="7" s="1"/>
  <c r="AU41" i="7"/>
  <c r="BG41" i="6"/>
  <c r="AU44" i="7"/>
  <c r="BG44" i="6"/>
  <c r="AU43" i="7"/>
  <c r="BG43" i="6"/>
  <c r="A3" i="2"/>
  <c r="AK11" i="13"/>
  <c r="AK7" i="13"/>
  <c r="T10" i="6"/>
  <c r="T11" i="6"/>
  <c r="T12" i="6"/>
  <c r="T13" i="6"/>
  <c r="T14" i="6"/>
  <c r="T9" i="6"/>
  <c r="G89" i="6"/>
  <c r="H89" i="6" s="1"/>
  <c r="I89" i="6" s="1"/>
  <c r="J89" i="6" s="1"/>
  <c r="K89" i="6" s="1"/>
  <c r="L89" i="6" s="1"/>
  <c r="G84" i="6"/>
  <c r="H84" i="6" s="1"/>
  <c r="I84" i="6" s="1"/>
  <c r="J84" i="6" s="1"/>
  <c r="K84" i="6" s="1"/>
  <c r="L84" i="6" s="1"/>
  <c r="F85" i="6"/>
  <c r="G85" i="6" s="1"/>
  <c r="H85" i="6" s="1"/>
  <c r="I85" i="6" s="1"/>
  <c r="J85" i="6" s="1"/>
  <c r="K85" i="6" s="1"/>
  <c r="L85" i="6" s="1"/>
  <c r="F86" i="6"/>
  <c r="G86" i="6" s="1"/>
  <c r="H86" i="6" s="1"/>
  <c r="I86" i="6" s="1"/>
  <c r="J86" i="6" s="1"/>
  <c r="K86" i="6" s="1"/>
  <c r="L86" i="6" s="1"/>
  <c r="F87" i="6"/>
  <c r="G87" i="6" s="1"/>
  <c r="H87" i="6" s="1"/>
  <c r="I87" i="6" s="1"/>
  <c r="J87" i="6" s="1"/>
  <c r="K87" i="6" s="1"/>
  <c r="L87" i="6" s="1"/>
  <c r="F88" i="6"/>
  <c r="G88" i="6" s="1"/>
  <c r="F89" i="6"/>
  <c r="F84" i="6"/>
  <c r="F79" i="6"/>
  <c r="F80" i="6"/>
  <c r="G80" i="6" s="1"/>
  <c r="H80" i="6" s="1"/>
  <c r="I80" i="6" s="1"/>
  <c r="J80" i="6" s="1"/>
  <c r="K80" i="6" s="1"/>
  <c r="L80" i="6" s="1"/>
  <c r="F81" i="6"/>
  <c r="F78" i="6"/>
  <c r="G78" i="6" s="1"/>
  <c r="H78" i="6" s="1"/>
  <c r="I78" i="6" s="1"/>
  <c r="J78" i="6" s="1"/>
  <c r="K78" i="6" s="1"/>
  <c r="L78" i="6" s="1"/>
  <c r="C90" i="6"/>
  <c r="G79" i="6"/>
  <c r="H79" i="6" s="1"/>
  <c r="I79" i="6" s="1"/>
  <c r="J79" i="6" s="1"/>
  <c r="K79" i="6" s="1"/>
  <c r="L79" i="6" s="1"/>
  <c r="G81" i="6"/>
  <c r="H81" i="6" s="1"/>
  <c r="I81" i="6" s="1"/>
  <c r="J81" i="6" s="1"/>
  <c r="K81" i="6" s="1"/>
  <c r="L81" i="6" s="1"/>
  <c r="C83" i="6"/>
  <c r="T3" i="6"/>
  <c r="T4" i="6"/>
  <c r="T5" i="6"/>
  <c r="T2" i="6"/>
  <c r="S30" i="3"/>
  <c r="T30" i="3" s="1"/>
  <c r="U30" i="3" s="1"/>
  <c r="V30" i="3" s="1"/>
  <c r="W30" i="3" s="1"/>
  <c r="X30" i="3" s="1"/>
  <c r="Y30" i="3" s="1"/>
  <c r="Z30" i="3" s="1"/>
  <c r="AA30" i="3" s="1"/>
  <c r="AB30" i="3" s="1"/>
  <c r="AC30" i="3" s="1"/>
  <c r="AD30" i="3" s="1"/>
  <c r="AE30" i="3" s="1"/>
  <c r="AF30" i="3" s="1"/>
  <c r="AG30" i="3" s="1"/>
  <c r="AH30" i="3" s="1"/>
  <c r="AI30" i="3" s="1"/>
  <c r="AJ30" i="3" s="1"/>
  <c r="AK30" i="3" s="1"/>
  <c r="AL30" i="3" s="1"/>
  <c r="AM30" i="3" s="1"/>
  <c r="AN30" i="3" s="1"/>
  <c r="AO30" i="3" s="1"/>
  <c r="AP30" i="3" s="1"/>
  <c r="AQ30" i="3" s="1"/>
  <c r="AR30" i="3" s="1"/>
  <c r="AS30" i="3" s="1"/>
  <c r="A28" i="3"/>
  <c r="A29" i="3"/>
  <c r="A30" i="3"/>
  <c r="A27" i="3"/>
  <c r="AA17" i="3"/>
  <c r="B2" i="11"/>
  <c r="P2" i="10" s="1"/>
  <c r="W6" i="3"/>
  <c r="W7" i="3"/>
  <c r="X6" i="3"/>
  <c r="X7" i="3"/>
  <c r="X8" i="3"/>
  <c r="AA8" i="3" s="1"/>
  <c r="X9" i="3"/>
  <c r="X10" i="3"/>
  <c r="X11" i="3"/>
  <c r="Y6" i="3"/>
  <c r="AA6" i="3" s="1"/>
  <c r="Y7" i="3"/>
  <c r="Z6" i="3"/>
  <c r="Z7" i="3"/>
  <c r="V6" i="3"/>
  <c r="V7" i="3"/>
  <c r="D2" i="3"/>
  <c r="E24" i="4"/>
  <c r="E25" i="4"/>
  <c r="D24" i="4"/>
  <c r="D25" i="4"/>
  <c r="C24" i="4"/>
  <c r="C25" i="4"/>
  <c r="B24" i="4"/>
  <c r="B25" i="4"/>
  <c r="Y15" i="4"/>
  <c r="Y16" i="4" s="1"/>
  <c r="AA5" i="4"/>
  <c r="AB5" i="4" s="1"/>
  <c r="AA6" i="4"/>
  <c r="AB6" i="4" s="1"/>
  <c r="Z5" i="4"/>
  <c r="Z15" i="4" s="1"/>
  <c r="Z16" i="4" s="1"/>
  <c r="Z6" i="4"/>
  <c r="V6" i="4"/>
  <c r="I12" i="4" s="1"/>
  <c r="AA5" i="29" s="1"/>
  <c r="AB5" i="29" s="1"/>
  <c r="AC5" i="29" s="1"/>
  <c r="AD5" i="29" s="1"/>
  <c r="U5" i="4"/>
  <c r="H11" i="4" s="1"/>
  <c r="W4" i="29" s="1"/>
  <c r="X4" i="29" s="1"/>
  <c r="Y4" i="29" s="1"/>
  <c r="Z4" i="29" s="1"/>
  <c r="T6" i="4"/>
  <c r="G12" i="4" s="1"/>
  <c r="S5" i="29" s="1"/>
  <c r="T5" i="29" s="1"/>
  <c r="U5" i="29" s="1"/>
  <c r="V5" i="29" s="1"/>
  <c r="Q5" i="4"/>
  <c r="Q6" i="4"/>
  <c r="D12" i="4" s="1"/>
  <c r="G5" i="29" s="1"/>
  <c r="H5" i="29" s="1"/>
  <c r="I5" i="29" s="1"/>
  <c r="J5" i="29" s="1"/>
  <c r="R3" i="4"/>
  <c r="S3" i="4" s="1"/>
  <c r="T3" i="4" s="1"/>
  <c r="U3" i="4" s="1"/>
  <c r="V3" i="4" s="1"/>
  <c r="W3" i="4" s="1"/>
  <c r="X3" i="4" s="1"/>
  <c r="X5" i="4" s="1"/>
  <c r="B23" i="4"/>
  <c r="C23" i="4"/>
  <c r="D23" i="4"/>
  <c r="A17" i="4"/>
  <c r="A24" i="4" s="1"/>
  <c r="A18" i="4"/>
  <c r="A25" i="4" s="1"/>
  <c r="M18" i="4"/>
  <c r="M17" i="4"/>
  <c r="E16" i="4"/>
  <c r="E23" i="4" s="1"/>
  <c r="M11" i="4"/>
  <c r="AQ4" i="29" s="1"/>
  <c r="AR4" i="29" s="1"/>
  <c r="AS4" i="29" s="1"/>
  <c r="AT4" i="29" s="1"/>
  <c r="M12" i="4"/>
  <c r="AQ5" i="29" s="1"/>
  <c r="AR5" i="29" s="1"/>
  <c r="AS5" i="29" s="1"/>
  <c r="AT5" i="29" s="1"/>
  <c r="L11" i="4"/>
  <c r="AM4" i="29" s="1"/>
  <c r="AN4" i="29" s="1"/>
  <c r="AO4" i="29" s="1"/>
  <c r="AP4" i="29" s="1"/>
  <c r="L12" i="4"/>
  <c r="AM5" i="29" s="1"/>
  <c r="AN5" i="29" s="1"/>
  <c r="AO5" i="29" s="1"/>
  <c r="AP5" i="29" s="1"/>
  <c r="D11" i="4"/>
  <c r="G4" i="29" s="1"/>
  <c r="H4" i="29" s="1"/>
  <c r="I4" i="29" s="1"/>
  <c r="J4" i="29" s="1"/>
  <c r="A11" i="4"/>
  <c r="A4" i="29" s="1"/>
  <c r="A12" i="4"/>
  <c r="A5" i="29" s="1"/>
  <c r="D5" i="4"/>
  <c r="E5" i="4" s="1"/>
  <c r="D6" i="4"/>
  <c r="E6" i="4" s="1"/>
  <c r="AA7" i="3" l="1"/>
  <c r="BG37" i="6"/>
  <c r="T5" i="4"/>
  <c r="G11" i="4" s="1"/>
  <c r="S4" i="29" s="1"/>
  <c r="T4" i="29" s="1"/>
  <c r="U4" i="29" s="1"/>
  <c r="V4" i="29" s="1"/>
  <c r="BG45" i="6"/>
  <c r="X15" i="4"/>
  <c r="X16" i="4" s="1"/>
  <c r="K11" i="4"/>
  <c r="AI4" i="29" s="1"/>
  <c r="AJ4" i="29" s="1"/>
  <c r="AK4" i="29" s="1"/>
  <c r="AL4" i="29" s="1"/>
  <c r="U6" i="4"/>
  <c r="H12" i="4" s="1"/>
  <c r="W5" i="29" s="1"/>
  <c r="X5" i="29" s="1"/>
  <c r="Y5" i="29" s="1"/>
  <c r="Z5" i="29" s="1"/>
  <c r="V5" i="4"/>
  <c r="W6" i="4"/>
  <c r="J12" i="4" s="1"/>
  <c r="AE5" i="29" s="1"/>
  <c r="AF5" i="29" s="1"/>
  <c r="AG5" i="29" s="1"/>
  <c r="AH5" i="29" s="1"/>
  <c r="W5" i="4"/>
  <c r="T15" i="4"/>
  <c r="T16" i="4" s="1"/>
  <c r="R6" i="4"/>
  <c r="E12" i="4" s="1"/>
  <c r="K5" i="29" s="1"/>
  <c r="L5" i="29" s="1"/>
  <c r="M5" i="29" s="1"/>
  <c r="N5" i="29" s="1"/>
  <c r="X6" i="4"/>
  <c r="K12" i="4" s="1"/>
  <c r="AI5" i="29" s="1"/>
  <c r="AJ5" i="29" s="1"/>
  <c r="AK5" i="29" s="1"/>
  <c r="AL5" i="29" s="1"/>
  <c r="U15" i="4"/>
  <c r="U16" i="4" s="1"/>
  <c r="R5" i="4"/>
  <c r="S6" i="4"/>
  <c r="F12" i="4" s="1"/>
  <c r="O5" i="29" s="1"/>
  <c r="P5" i="29" s="1"/>
  <c r="Q5" i="29" s="1"/>
  <c r="R5" i="29" s="1"/>
  <c r="S5" i="4"/>
  <c r="F6" i="4"/>
  <c r="F5" i="4"/>
  <c r="BF8" i="6"/>
  <c r="BF17" i="6"/>
  <c r="BF28" i="6"/>
  <c r="BF36" i="6"/>
  <c r="BF37" i="6"/>
  <c r="BF38" i="6"/>
  <c r="BF39" i="6"/>
  <c r="BF40" i="6"/>
  <c r="BF41" i="6"/>
  <c r="BF42" i="6"/>
  <c r="BF43" i="6"/>
  <c r="BF44" i="6"/>
  <c r="BF45" i="6"/>
  <c r="BF57" i="6"/>
  <c r="BE8" i="6"/>
  <c r="BE17" i="6"/>
  <c r="BE28" i="6"/>
  <c r="BE36" i="6"/>
  <c r="BE37" i="6"/>
  <c r="BE38" i="6"/>
  <c r="BE39" i="6"/>
  <c r="BE40" i="6"/>
  <c r="BE41" i="6"/>
  <c r="BE42" i="6"/>
  <c r="BE43" i="6"/>
  <c r="BE44" i="6"/>
  <c r="BE45" i="6"/>
  <c r="BE57" i="6"/>
  <c r="BD8" i="6"/>
  <c r="BD17" i="6"/>
  <c r="BD28" i="6"/>
  <c r="BD36" i="6"/>
  <c r="BD57" i="6"/>
  <c r="BC8" i="6"/>
  <c r="BC17" i="6"/>
  <c r="BC28" i="6"/>
  <c r="BC36" i="6"/>
  <c r="BC57" i="6"/>
  <c r="BB8" i="6"/>
  <c r="BB17" i="6"/>
  <c r="BB28" i="6"/>
  <c r="BB36" i="6"/>
  <c r="BB57" i="6"/>
  <c r="BA8" i="6"/>
  <c r="BA17" i="6"/>
  <c r="BA28" i="6"/>
  <c r="BA36" i="6"/>
  <c r="BA57" i="6"/>
  <c r="AY8" i="6"/>
  <c r="AY13" i="6"/>
  <c r="AY17" i="6"/>
  <c r="AY28" i="6"/>
  <c r="AY36" i="6"/>
  <c r="AX8" i="6"/>
  <c r="AX13" i="6"/>
  <c r="AX17" i="6"/>
  <c r="AX28" i="6"/>
  <c r="AX36" i="6"/>
  <c r="AW2" i="6"/>
  <c r="D4" i="4"/>
  <c r="C40" i="12"/>
  <c r="E11" i="4" l="1"/>
  <c r="K4" i="29" s="1"/>
  <c r="L4" i="29" s="1"/>
  <c r="M4" i="29" s="1"/>
  <c r="N4" i="29" s="1"/>
  <c r="R15" i="4"/>
  <c r="R16" i="4" s="1"/>
  <c r="W15" i="4"/>
  <c r="W16" i="4" s="1"/>
  <c r="J11" i="4"/>
  <c r="AE4" i="29" s="1"/>
  <c r="AF4" i="29" s="1"/>
  <c r="AG4" i="29" s="1"/>
  <c r="AH4" i="29" s="1"/>
  <c r="T26" i="4"/>
  <c r="I11" i="4"/>
  <c r="V15" i="4"/>
  <c r="V16" i="4" s="1"/>
  <c r="AA16" i="4" s="1"/>
  <c r="T25" i="4" s="1"/>
  <c r="F11" i="4"/>
  <c r="O4" i="29" s="1"/>
  <c r="P4" i="29" s="1"/>
  <c r="Q4" i="29" s="1"/>
  <c r="R4" i="29" s="1"/>
  <c r="S15" i="4"/>
  <c r="S16" i="4" s="1"/>
  <c r="G5" i="4"/>
  <c r="G6" i="4"/>
  <c r="F25" i="4"/>
  <c r="K31" i="29"/>
  <c r="K39" i="29" s="1"/>
  <c r="L31" i="29"/>
  <c r="L39" i="29" s="1"/>
  <c r="C31" i="29"/>
  <c r="C39" i="29" s="1"/>
  <c r="D31" i="29"/>
  <c r="D39" i="29" s="1"/>
  <c r="E31" i="29"/>
  <c r="E39" i="29" s="1"/>
  <c r="F31" i="29"/>
  <c r="F39" i="29" s="1"/>
  <c r="G31" i="29"/>
  <c r="G39" i="29" s="1"/>
  <c r="H31" i="29"/>
  <c r="H39" i="29" s="1"/>
  <c r="I31" i="29"/>
  <c r="I39" i="29" s="1"/>
  <c r="J31" i="29"/>
  <c r="J39" i="29" s="1"/>
  <c r="B31" i="29"/>
  <c r="B39" i="29" s="1"/>
  <c r="A45" i="29"/>
  <c r="A39" i="29"/>
  <c r="A32" i="29"/>
  <c r="A35" i="29"/>
  <c r="A36" i="29"/>
  <c r="A37" i="29"/>
  <c r="A31" i="29"/>
  <c r="D2" i="12"/>
  <c r="F24" i="4" l="1"/>
  <c r="AA4" i="29"/>
  <c r="AB4" i="29" s="1"/>
  <c r="AC4" i="29" s="1"/>
  <c r="AD4" i="29" s="1"/>
  <c r="H6" i="4"/>
  <c r="G25" i="4"/>
  <c r="H5" i="4"/>
  <c r="G24" i="4"/>
  <c r="D22" i="29"/>
  <c r="E22" i="29"/>
  <c r="C22" i="29"/>
  <c r="A22" i="29"/>
  <c r="A40" i="29" s="1"/>
  <c r="I5" i="4" l="1"/>
  <c r="H24" i="4"/>
  <c r="I6" i="4"/>
  <c r="H25" i="4"/>
  <c r="D26" i="29"/>
  <c r="E26" i="29"/>
  <c r="F26" i="29"/>
  <c r="G26" i="29"/>
  <c r="H26" i="29"/>
  <c r="I26" i="29"/>
  <c r="J26" i="29"/>
  <c r="C26" i="29"/>
  <c r="A26" i="29"/>
  <c r="A44" i="29" s="1"/>
  <c r="D23" i="29"/>
  <c r="E23" i="29"/>
  <c r="F23" i="29"/>
  <c r="C23" i="29"/>
  <c r="A25" i="29"/>
  <c r="A43" i="29" s="1"/>
  <c r="A42" i="29"/>
  <c r="A23" i="29"/>
  <c r="A41" i="29" s="1"/>
  <c r="J6" i="4" l="1"/>
  <c r="I25" i="4"/>
  <c r="AB4" i="5" s="1"/>
  <c r="AC4" i="5" s="1"/>
  <c r="AD4" i="5" s="1"/>
  <c r="AE4" i="5" s="1"/>
  <c r="J5" i="4"/>
  <c r="I24" i="4"/>
  <c r="AB3" i="5" s="1"/>
  <c r="AC3" i="5" s="1"/>
  <c r="AD3" i="5" s="1"/>
  <c r="AE3" i="5" s="1"/>
  <c r="B44" i="29"/>
  <c r="C44" i="29"/>
  <c r="B41" i="29"/>
  <c r="B42" i="29"/>
  <c r="A34" i="29"/>
  <c r="A13" i="29"/>
  <c r="A33" i="29" s="1"/>
  <c r="K5" i="4" l="1"/>
  <c r="J24" i="4"/>
  <c r="AF3" i="5" s="1"/>
  <c r="AG3" i="5" s="1"/>
  <c r="AH3" i="5" s="1"/>
  <c r="AI3" i="5" s="1"/>
  <c r="K6" i="4"/>
  <c r="J25" i="4"/>
  <c r="AF4" i="5" s="1"/>
  <c r="AG4" i="5" s="1"/>
  <c r="AH4" i="5" s="1"/>
  <c r="AI4" i="5" s="1"/>
  <c r="B36" i="29"/>
  <c r="E4" i="4"/>
  <c r="F4" i="4" s="1"/>
  <c r="G4" i="4" s="1"/>
  <c r="V49" i="3"/>
  <c r="S29" i="3"/>
  <c r="T29" i="3" s="1"/>
  <c r="U29" i="3" s="1"/>
  <c r="V29" i="3" s="1"/>
  <c r="W29" i="3" s="1"/>
  <c r="X29" i="3" s="1"/>
  <c r="Y29" i="3" s="1"/>
  <c r="Z29" i="3" s="1"/>
  <c r="AA29" i="3" s="1"/>
  <c r="AB29" i="3" s="1"/>
  <c r="AC29" i="3" s="1"/>
  <c r="AD29" i="3" s="1"/>
  <c r="AE29" i="3" s="1"/>
  <c r="AF29" i="3" s="1"/>
  <c r="AG29" i="3" s="1"/>
  <c r="AH29" i="3" s="1"/>
  <c r="AI29" i="3" s="1"/>
  <c r="AJ29" i="3" s="1"/>
  <c r="AK29" i="3" s="1"/>
  <c r="AL29" i="3" s="1"/>
  <c r="AM29" i="3" s="1"/>
  <c r="AN29" i="3" s="1"/>
  <c r="AO29" i="3" s="1"/>
  <c r="AP29" i="3" s="1"/>
  <c r="AQ29" i="3" s="1"/>
  <c r="AR29" i="3" s="1"/>
  <c r="AS29" i="3" s="1"/>
  <c r="AV3" i="7"/>
  <c r="D24" i="3"/>
  <c r="C3" i="29"/>
  <c r="AT2" i="29"/>
  <c r="AT11" i="29" s="1"/>
  <c r="AT21" i="29" s="1"/>
  <c r="D2" i="29"/>
  <c r="D11" i="29" s="1"/>
  <c r="D21" i="29" s="1"/>
  <c r="E2" i="29"/>
  <c r="E11" i="29" s="1"/>
  <c r="E21" i="29" s="1"/>
  <c r="F2" i="29"/>
  <c r="F11" i="29" s="1"/>
  <c r="F21" i="29" s="1"/>
  <c r="G2" i="29"/>
  <c r="G11" i="29" s="1"/>
  <c r="G21" i="29" s="1"/>
  <c r="H2" i="29"/>
  <c r="H11" i="29" s="1"/>
  <c r="H21" i="29" s="1"/>
  <c r="I2" i="29"/>
  <c r="I11" i="29" s="1"/>
  <c r="I21" i="29" s="1"/>
  <c r="J2" i="29"/>
  <c r="J11" i="29" s="1"/>
  <c r="J21" i="29" s="1"/>
  <c r="K2" i="29"/>
  <c r="K11" i="29" s="1"/>
  <c r="K21" i="29" s="1"/>
  <c r="L2" i="29"/>
  <c r="L11" i="29" s="1"/>
  <c r="L21" i="29" s="1"/>
  <c r="M2" i="29"/>
  <c r="M11" i="29" s="1"/>
  <c r="M21" i="29" s="1"/>
  <c r="N2" i="29"/>
  <c r="N11" i="29" s="1"/>
  <c r="N21" i="29" s="1"/>
  <c r="O2" i="29"/>
  <c r="O11" i="29" s="1"/>
  <c r="O21" i="29" s="1"/>
  <c r="P2" i="29"/>
  <c r="P11" i="29" s="1"/>
  <c r="P21" i="29" s="1"/>
  <c r="Q2" i="29"/>
  <c r="Q11" i="29" s="1"/>
  <c r="Q21" i="29" s="1"/>
  <c r="R2" i="29"/>
  <c r="R11" i="29" s="1"/>
  <c r="R21" i="29" s="1"/>
  <c r="S2" i="29"/>
  <c r="S11" i="29" s="1"/>
  <c r="S21" i="29" s="1"/>
  <c r="T2" i="29"/>
  <c r="T11" i="29" s="1"/>
  <c r="T21" i="29" s="1"/>
  <c r="U2" i="29"/>
  <c r="U11" i="29" s="1"/>
  <c r="U21" i="29" s="1"/>
  <c r="V2" i="29"/>
  <c r="V11" i="29" s="1"/>
  <c r="V21" i="29" s="1"/>
  <c r="W2" i="29"/>
  <c r="W11" i="29" s="1"/>
  <c r="W21" i="29" s="1"/>
  <c r="X2" i="29"/>
  <c r="X11" i="29" s="1"/>
  <c r="X21" i="29" s="1"/>
  <c r="Y2" i="29"/>
  <c r="Y11" i="29" s="1"/>
  <c r="Y21" i="29" s="1"/>
  <c r="Z2" i="29"/>
  <c r="Z11" i="29" s="1"/>
  <c r="Z21" i="29" s="1"/>
  <c r="AA2" i="29"/>
  <c r="AA11" i="29" s="1"/>
  <c r="AA21" i="29" s="1"/>
  <c r="AB2" i="29"/>
  <c r="AB11" i="29" s="1"/>
  <c r="AB21" i="29" s="1"/>
  <c r="AC2" i="29"/>
  <c r="AC11" i="29" s="1"/>
  <c r="AC21" i="29" s="1"/>
  <c r="AD2" i="29"/>
  <c r="AD11" i="29" s="1"/>
  <c r="AD21" i="29" s="1"/>
  <c r="AE2" i="29"/>
  <c r="AE11" i="29" s="1"/>
  <c r="AE21" i="29" s="1"/>
  <c r="AF2" i="29"/>
  <c r="AF11" i="29" s="1"/>
  <c r="AF21" i="29" s="1"/>
  <c r="AG2" i="29"/>
  <c r="AG11" i="29" s="1"/>
  <c r="AG21" i="29" s="1"/>
  <c r="AH2" i="29"/>
  <c r="AH11" i="29" s="1"/>
  <c r="AH21" i="29" s="1"/>
  <c r="AI2" i="29"/>
  <c r="AI11" i="29" s="1"/>
  <c r="AI21" i="29" s="1"/>
  <c r="AJ2" i="29"/>
  <c r="AJ11" i="29" s="1"/>
  <c r="AJ21" i="29" s="1"/>
  <c r="AK2" i="29"/>
  <c r="AK11" i="29" s="1"/>
  <c r="AK21" i="29" s="1"/>
  <c r="AL2" i="29"/>
  <c r="AL11" i="29" s="1"/>
  <c r="AL21" i="29" s="1"/>
  <c r="AM2" i="29"/>
  <c r="AM11" i="29" s="1"/>
  <c r="AM21" i="29" s="1"/>
  <c r="AN2" i="29"/>
  <c r="AN11" i="29" s="1"/>
  <c r="AN21" i="29" s="1"/>
  <c r="AO2" i="29"/>
  <c r="AO11" i="29" s="1"/>
  <c r="AO21" i="29" s="1"/>
  <c r="AP2" i="29"/>
  <c r="AP11" i="29" s="1"/>
  <c r="AP21" i="29" s="1"/>
  <c r="AQ2" i="29"/>
  <c r="AQ11" i="29" s="1"/>
  <c r="AQ21" i="29" s="1"/>
  <c r="AR2" i="29"/>
  <c r="AR11" i="29" s="1"/>
  <c r="AR21" i="29" s="1"/>
  <c r="AS2" i="29"/>
  <c r="AS11" i="29" s="1"/>
  <c r="AS21" i="29" s="1"/>
  <c r="C2" i="29"/>
  <c r="C11" i="29" s="1"/>
  <c r="C21" i="29" s="1"/>
  <c r="D15" i="5"/>
  <c r="L83" i="6"/>
  <c r="L6" i="4" l="1"/>
  <c r="K25" i="4"/>
  <c r="AJ4" i="5" s="1"/>
  <c r="AK4" i="5" s="1"/>
  <c r="AL4" i="5" s="1"/>
  <c r="AM4" i="5" s="1"/>
  <c r="H4" i="4"/>
  <c r="L5" i="4"/>
  <c r="K24" i="4"/>
  <c r="AJ3" i="5" s="1"/>
  <c r="AK3" i="5" s="1"/>
  <c r="AL3" i="5" s="1"/>
  <c r="AM3" i="5" s="1"/>
  <c r="E24" i="3"/>
  <c r="D3" i="29"/>
  <c r="P4" i="9"/>
  <c r="P5" i="9"/>
  <c r="P6" i="9"/>
  <c r="P7" i="9"/>
  <c r="P8" i="9"/>
  <c r="P9" i="9"/>
  <c r="P10" i="9"/>
  <c r="P11" i="9"/>
  <c r="P12" i="9"/>
  <c r="P13" i="9"/>
  <c r="P14" i="9"/>
  <c r="P15" i="9"/>
  <c r="P16" i="9"/>
  <c r="P17" i="9"/>
  <c r="P18" i="9"/>
  <c r="P3" i="9"/>
  <c r="D25" i="25"/>
  <c r="C25" i="25"/>
  <c r="E25" i="25" s="1"/>
  <c r="D24" i="25"/>
  <c r="C24" i="25"/>
  <c r="D23" i="25"/>
  <c r="C23" i="25"/>
  <c r="D22" i="25"/>
  <c r="C22" i="25"/>
  <c r="D21" i="25"/>
  <c r="C21" i="25"/>
  <c r="E21" i="25" s="1"/>
  <c r="G21" i="25" s="1"/>
  <c r="D20" i="25"/>
  <c r="C20" i="25"/>
  <c r="D19" i="25"/>
  <c r="C19" i="25"/>
  <c r="D18" i="25"/>
  <c r="C18" i="25"/>
  <c r="D17" i="25"/>
  <c r="C17" i="25"/>
  <c r="E17" i="25" s="1"/>
  <c r="F17" i="25" s="1"/>
  <c r="D16" i="25"/>
  <c r="C16" i="25"/>
  <c r="D15" i="25"/>
  <c r="C15" i="25"/>
  <c r="D14" i="25"/>
  <c r="C14" i="25"/>
  <c r="E14" i="25" s="1"/>
  <c r="D13" i="25"/>
  <c r="C13" i="25"/>
  <c r="E13" i="25" s="1"/>
  <c r="G13" i="25" s="1"/>
  <c r="D12" i="25"/>
  <c r="C12" i="25"/>
  <c r="D11" i="25"/>
  <c r="C11" i="25"/>
  <c r="D10" i="25"/>
  <c r="C10" i="25"/>
  <c r="D9" i="25"/>
  <c r="C9" i="25"/>
  <c r="E9" i="25" s="1"/>
  <c r="F9" i="25" s="1"/>
  <c r="D8" i="25"/>
  <c r="C8" i="25"/>
  <c r="D7" i="25"/>
  <c r="C7" i="25"/>
  <c r="D6" i="25"/>
  <c r="C6" i="25"/>
  <c r="D5" i="25"/>
  <c r="C5" i="25"/>
  <c r="C4" i="25"/>
  <c r="D25" i="24"/>
  <c r="C25" i="24"/>
  <c r="D24" i="24"/>
  <c r="C24" i="24"/>
  <c r="D23" i="24"/>
  <c r="C23" i="24"/>
  <c r="D22" i="24"/>
  <c r="C22" i="24"/>
  <c r="D21" i="24"/>
  <c r="C21" i="24"/>
  <c r="D20" i="24"/>
  <c r="C20" i="24"/>
  <c r="D19" i="24"/>
  <c r="C19" i="24"/>
  <c r="D18" i="24"/>
  <c r="C18" i="24"/>
  <c r="D17" i="24"/>
  <c r="C17" i="24"/>
  <c r="D16" i="24"/>
  <c r="C16" i="24"/>
  <c r="D15" i="24"/>
  <c r="C15" i="24"/>
  <c r="D14" i="24"/>
  <c r="C14" i="24"/>
  <c r="D13" i="24"/>
  <c r="C13" i="24"/>
  <c r="D12" i="24"/>
  <c r="C12" i="24"/>
  <c r="D11" i="24"/>
  <c r="C11" i="24"/>
  <c r="D10" i="24"/>
  <c r="C10" i="24"/>
  <c r="D9" i="24"/>
  <c r="C9" i="24"/>
  <c r="D8" i="24"/>
  <c r="C8" i="24"/>
  <c r="D7" i="24"/>
  <c r="C7" i="24"/>
  <c r="D6" i="24"/>
  <c r="C6" i="24"/>
  <c r="D5" i="24"/>
  <c r="C5" i="24"/>
  <c r="D25" i="23"/>
  <c r="C25" i="23"/>
  <c r="D24" i="23"/>
  <c r="C24" i="23"/>
  <c r="D23" i="23"/>
  <c r="E23" i="23" s="1"/>
  <c r="C23" i="23"/>
  <c r="D22" i="23"/>
  <c r="C22" i="23"/>
  <c r="D21" i="23"/>
  <c r="C21" i="23"/>
  <c r="D20" i="23"/>
  <c r="C20" i="23"/>
  <c r="D19" i="23"/>
  <c r="E19" i="23" s="1"/>
  <c r="C19" i="23"/>
  <c r="D18" i="23"/>
  <c r="C18" i="23"/>
  <c r="D17" i="23"/>
  <c r="C17" i="23"/>
  <c r="D16" i="23"/>
  <c r="C16" i="23"/>
  <c r="D15" i="23"/>
  <c r="C15" i="23"/>
  <c r="D14" i="23"/>
  <c r="C14" i="23"/>
  <c r="D13" i="23"/>
  <c r="C13" i="23"/>
  <c r="D12" i="23"/>
  <c r="C12" i="23"/>
  <c r="D11" i="23"/>
  <c r="C11" i="23"/>
  <c r="D10" i="23"/>
  <c r="C10" i="23"/>
  <c r="D9" i="23"/>
  <c r="C9" i="23"/>
  <c r="D8" i="23"/>
  <c r="C8" i="23"/>
  <c r="D7" i="23"/>
  <c r="E7" i="23" s="1"/>
  <c r="C7" i="23"/>
  <c r="D6" i="23"/>
  <c r="C6" i="23"/>
  <c r="D5" i="23"/>
  <c r="C5" i="23"/>
  <c r="D25" i="22"/>
  <c r="C25" i="22"/>
  <c r="D24" i="22"/>
  <c r="C24" i="22"/>
  <c r="D23" i="22"/>
  <c r="C23" i="22"/>
  <c r="D22" i="22"/>
  <c r="C22" i="22"/>
  <c r="D21" i="22"/>
  <c r="C21" i="22"/>
  <c r="D20" i="22"/>
  <c r="C20" i="22"/>
  <c r="D19" i="22"/>
  <c r="E19" i="22" s="1"/>
  <c r="C19" i="22"/>
  <c r="D18" i="22"/>
  <c r="C18" i="22"/>
  <c r="D17" i="22"/>
  <c r="C17" i="22"/>
  <c r="D16" i="22"/>
  <c r="C16" i="22"/>
  <c r="D15" i="22"/>
  <c r="E15" i="22" s="1"/>
  <c r="C15" i="22"/>
  <c r="D14" i="22"/>
  <c r="E14" i="22" s="1"/>
  <c r="G14" i="22" s="1"/>
  <c r="C14" i="22"/>
  <c r="D13" i="22"/>
  <c r="C13" i="22"/>
  <c r="D12" i="22"/>
  <c r="C12" i="22"/>
  <c r="D11" i="22"/>
  <c r="C11" i="22"/>
  <c r="E10" i="22"/>
  <c r="D10" i="22"/>
  <c r="C10" i="22"/>
  <c r="D9" i="22"/>
  <c r="C9" i="22"/>
  <c r="D8" i="22"/>
  <c r="C8" i="22"/>
  <c r="D7" i="22"/>
  <c r="C7" i="22"/>
  <c r="D6" i="22"/>
  <c r="C6" i="22"/>
  <c r="D5" i="22"/>
  <c r="C5" i="22"/>
  <c r="D25" i="21"/>
  <c r="C25" i="21"/>
  <c r="D24" i="21"/>
  <c r="C24" i="21"/>
  <c r="D23" i="21"/>
  <c r="C23" i="21"/>
  <c r="D22" i="21"/>
  <c r="C22" i="21"/>
  <c r="E22" i="21" s="1"/>
  <c r="G22" i="21" s="1"/>
  <c r="D21" i="21"/>
  <c r="C21" i="21"/>
  <c r="E21" i="21" s="1"/>
  <c r="F21" i="21" s="1"/>
  <c r="D20" i="21"/>
  <c r="C20" i="21"/>
  <c r="D19" i="21"/>
  <c r="C19" i="21"/>
  <c r="D18" i="21"/>
  <c r="C18" i="21"/>
  <c r="E18" i="21" s="1"/>
  <c r="G18" i="21" s="1"/>
  <c r="D17" i="21"/>
  <c r="C17" i="21"/>
  <c r="D16" i="21"/>
  <c r="C16" i="21"/>
  <c r="E16" i="21" s="1"/>
  <c r="F16" i="21" s="1"/>
  <c r="D15" i="21"/>
  <c r="C15" i="21"/>
  <c r="D14" i="21"/>
  <c r="C14" i="21"/>
  <c r="D13" i="21"/>
  <c r="C13" i="21"/>
  <c r="E13" i="21" s="1"/>
  <c r="G13" i="21" s="1"/>
  <c r="D12" i="21"/>
  <c r="C12" i="21"/>
  <c r="D11" i="21"/>
  <c r="C11" i="21"/>
  <c r="D10" i="21"/>
  <c r="C10" i="21"/>
  <c r="D9" i="21"/>
  <c r="C9" i="21"/>
  <c r="D8" i="21"/>
  <c r="C8" i="21"/>
  <c r="D7" i="21"/>
  <c r="C7" i="21"/>
  <c r="E7" i="21" s="1"/>
  <c r="D6" i="21"/>
  <c r="C6" i="21"/>
  <c r="D5" i="21"/>
  <c r="C5" i="21"/>
  <c r="E5" i="21" s="1"/>
  <c r="D25" i="20"/>
  <c r="C25" i="20"/>
  <c r="D24" i="20"/>
  <c r="C24" i="20"/>
  <c r="D23" i="20"/>
  <c r="C23" i="20"/>
  <c r="D22" i="20"/>
  <c r="C22" i="20"/>
  <c r="E22" i="20" s="1"/>
  <c r="D21" i="20"/>
  <c r="C21" i="20"/>
  <c r="E21" i="20" s="1"/>
  <c r="F21" i="20" s="1"/>
  <c r="D20" i="20"/>
  <c r="C20" i="20"/>
  <c r="D19" i="20"/>
  <c r="E19" i="20" s="1"/>
  <c r="C19" i="20"/>
  <c r="D18" i="20"/>
  <c r="C18" i="20"/>
  <c r="D17" i="20"/>
  <c r="C17" i="20"/>
  <c r="D16" i="20"/>
  <c r="C16" i="20"/>
  <c r="D15" i="20"/>
  <c r="C15" i="20"/>
  <c r="D14" i="20"/>
  <c r="C14" i="20"/>
  <c r="D13" i="20"/>
  <c r="C13" i="20"/>
  <c r="D12" i="20"/>
  <c r="C12" i="20"/>
  <c r="D11" i="20"/>
  <c r="E11" i="20" s="1"/>
  <c r="C11" i="20"/>
  <c r="D10" i="20"/>
  <c r="C10" i="20"/>
  <c r="D9" i="20"/>
  <c r="C9" i="20"/>
  <c r="D8" i="20"/>
  <c r="C8" i="20"/>
  <c r="D7" i="20"/>
  <c r="C7" i="20"/>
  <c r="D6" i="20"/>
  <c r="C6" i="20"/>
  <c r="D5" i="20"/>
  <c r="C5" i="20"/>
  <c r="D25" i="19"/>
  <c r="C25" i="19"/>
  <c r="D24" i="19"/>
  <c r="C24" i="19"/>
  <c r="D23" i="19"/>
  <c r="C23" i="19"/>
  <c r="D22" i="19"/>
  <c r="C22" i="19"/>
  <c r="D21" i="19"/>
  <c r="C21" i="19"/>
  <c r="D20" i="19"/>
  <c r="E20" i="19" s="1"/>
  <c r="C20" i="19"/>
  <c r="D19" i="19"/>
  <c r="C19" i="19"/>
  <c r="D18" i="19"/>
  <c r="C18" i="19"/>
  <c r="D17" i="19"/>
  <c r="C17" i="19"/>
  <c r="D16" i="19"/>
  <c r="C16" i="19"/>
  <c r="D15" i="19"/>
  <c r="C15" i="19"/>
  <c r="D14" i="19"/>
  <c r="C14" i="19"/>
  <c r="D13" i="19"/>
  <c r="C13" i="19"/>
  <c r="D12" i="19"/>
  <c r="C12" i="19"/>
  <c r="D11" i="19"/>
  <c r="C11" i="19"/>
  <c r="D10" i="19"/>
  <c r="C10" i="19"/>
  <c r="D9" i="19"/>
  <c r="C9" i="19"/>
  <c r="D8" i="19"/>
  <c r="E8" i="19" s="1"/>
  <c r="C8" i="19"/>
  <c r="D7" i="19"/>
  <c r="C7" i="19"/>
  <c r="D6" i="19"/>
  <c r="C6" i="19"/>
  <c r="D5" i="19"/>
  <c r="C5" i="19"/>
  <c r="D25" i="18"/>
  <c r="C25" i="18"/>
  <c r="D24" i="18"/>
  <c r="C24" i="18"/>
  <c r="D23" i="18"/>
  <c r="E23" i="18" s="1"/>
  <c r="C23" i="18"/>
  <c r="D22" i="18"/>
  <c r="C22" i="18"/>
  <c r="D21" i="18"/>
  <c r="C21" i="18"/>
  <c r="D20" i="18"/>
  <c r="C20" i="18"/>
  <c r="D19" i="18"/>
  <c r="C19" i="18"/>
  <c r="D18" i="18"/>
  <c r="C18" i="18"/>
  <c r="D17" i="18"/>
  <c r="C17" i="18"/>
  <c r="D16" i="18"/>
  <c r="C16" i="18"/>
  <c r="D15" i="18"/>
  <c r="C15" i="18"/>
  <c r="D14" i="18"/>
  <c r="C14" i="18"/>
  <c r="D13" i="18"/>
  <c r="C13" i="18"/>
  <c r="D12" i="18"/>
  <c r="E12" i="18" s="1"/>
  <c r="G12" i="18" s="1"/>
  <c r="C12" i="18"/>
  <c r="D11" i="18"/>
  <c r="C11" i="18"/>
  <c r="D10" i="18"/>
  <c r="C10" i="18"/>
  <c r="D9" i="18"/>
  <c r="C9" i="18"/>
  <c r="D8" i="18"/>
  <c r="E8" i="18" s="1"/>
  <c r="C8" i="18"/>
  <c r="D7" i="18"/>
  <c r="C7" i="18"/>
  <c r="D6" i="18"/>
  <c r="C6" i="18"/>
  <c r="D5" i="18"/>
  <c r="C5" i="18"/>
  <c r="D25" i="17"/>
  <c r="C25" i="17"/>
  <c r="D24" i="17"/>
  <c r="E24" i="17" s="1"/>
  <c r="C24" i="17"/>
  <c r="D23" i="17"/>
  <c r="C23" i="17"/>
  <c r="D22" i="17"/>
  <c r="C22" i="17"/>
  <c r="D21" i="17"/>
  <c r="C21" i="17"/>
  <c r="D20" i="17"/>
  <c r="C20" i="17"/>
  <c r="D19" i="17"/>
  <c r="C19" i="17"/>
  <c r="D18" i="17"/>
  <c r="C18" i="17"/>
  <c r="D17" i="17"/>
  <c r="C17" i="17"/>
  <c r="D16" i="17"/>
  <c r="C16" i="17"/>
  <c r="D15" i="17"/>
  <c r="C15" i="17"/>
  <c r="D14" i="17"/>
  <c r="C14" i="17"/>
  <c r="D13" i="17"/>
  <c r="C13" i="17"/>
  <c r="D12" i="17"/>
  <c r="C12" i="17"/>
  <c r="D11" i="17"/>
  <c r="C11" i="17"/>
  <c r="D10" i="17"/>
  <c r="C10" i="17"/>
  <c r="D9" i="17"/>
  <c r="C9" i="17"/>
  <c r="D8" i="17"/>
  <c r="C8" i="17"/>
  <c r="D7" i="17"/>
  <c r="C7" i="17"/>
  <c r="D6" i="17"/>
  <c r="C6" i="17"/>
  <c r="D5" i="17"/>
  <c r="C5" i="17"/>
  <c r="J26" i="16"/>
  <c r="D25" i="16"/>
  <c r="C25" i="16"/>
  <c r="E25" i="16" s="1"/>
  <c r="G25" i="16" s="1"/>
  <c r="D24" i="16"/>
  <c r="C24" i="16"/>
  <c r="E24" i="16" s="1"/>
  <c r="D23" i="16"/>
  <c r="C23" i="16"/>
  <c r="D22" i="16"/>
  <c r="C22" i="16"/>
  <c r="D21" i="16"/>
  <c r="C21" i="16"/>
  <c r="E21" i="16" s="1"/>
  <c r="G21" i="16" s="1"/>
  <c r="D20" i="16"/>
  <c r="C20" i="16"/>
  <c r="D19" i="16"/>
  <c r="C19" i="16"/>
  <c r="D18" i="16"/>
  <c r="C18" i="16"/>
  <c r="D17" i="16"/>
  <c r="C17" i="16"/>
  <c r="E17" i="16" s="1"/>
  <c r="D16" i="16"/>
  <c r="C16" i="16"/>
  <c r="E16" i="16" s="1"/>
  <c r="D15" i="16"/>
  <c r="C15" i="16"/>
  <c r="D14" i="16"/>
  <c r="C14" i="16"/>
  <c r="D13" i="16"/>
  <c r="C13" i="16"/>
  <c r="E13" i="16" s="1"/>
  <c r="D12" i="16"/>
  <c r="C12" i="16"/>
  <c r="E12" i="16" s="1"/>
  <c r="G12" i="16" s="1"/>
  <c r="D11" i="16"/>
  <c r="C11" i="16"/>
  <c r="E11" i="16" s="1"/>
  <c r="F11" i="16" s="1"/>
  <c r="D10" i="16"/>
  <c r="C10" i="16"/>
  <c r="D9" i="16"/>
  <c r="C9" i="16"/>
  <c r="D8" i="16"/>
  <c r="C8" i="16"/>
  <c r="D7" i="16"/>
  <c r="C7" i="16"/>
  <c r="D6" i="16"/>
  <c r="C6" i="16"/>
  <c r="D5" i="16"/>
  <c r="C5" i="16"/>
  <c r="D25" i="15"/>
  <c r="E25" i="15" s="1"/>
  <c r="C25" i="15"/>
  <c r="D24" i="15"/>
  <c r="C24" i="15"/>
  <c r="D23" i="15"/>
  <c r="C23" i="15"/>
  <c r="D22" i="15"/>
  <c r="C22" i="15"/>
  <c r="D21" i="15"/>
  <c r="E21" i="15" s="1"/>
  <c r="G21" i="15" s="1"/>
  <c r="C21" i="15"/>
  <c r="D20" i="15"/>
  <c r="C20" i="15"/>
  <c r="D19" i="15"/>
  <c r="C19" i="15"/>
  <c r="D18" i="15"/>
  <c r="C18" i="15"/>
  <c r="D17" i="15"/>
  <c r="C17" i="15"/>
  <c r="D16" i="15"/>
  <c r="E16" i="15" s="1"/>
  <c r="C16" i="15"/>
  <c r="D15" i="15"/>
  <c r="C15" i="15"/>
  <c r="D14" i="15"/>
  <c r="C14" i="15"/>
  <c r="D13" i="15"/>
  <c r="C13" i="15"/>
  <c r="D12" i="15"/>
  <c r="E12" i="15" s="1"/>
  <c r="G12" i="15" s="1"/>
  <c r="C12" i="15"/>
  <c r="D11" i="15"/>
  <c r="C11" i="15"/>
  <c r="D10" i="15"/>
  <c r="C10" i="15"/>
  <c r="D9" i="15"/>
  <c r="C9" i="15"/>
  <c r="D8" i="15"/>
  <c r="C8" i="15"/>
  <c r="D7" i="15"/>
  <c r="C7" i="15"/>
  <c r="D6" i="15"/>
  <c r="C6" i="15"/>
  <c r="D5" i="15"/>
  <c r="C5" i="15"/>
  <c r="C4" i="15"/>
  <c r="L9" i="14"/>
  <c r="K9" i="14"/>
  <c r="J9" i="14"/>
  <c r="I9" i="14"/>
  <c r="H9" i="14"/>
  <c r="G9" i="14"/>
  <c r="A9" i="14"/>
  <c r="A8" i="14"/>
  <c r="A7" i="14"/>
  <c r="A6" i="14"/>
  <c r="A5" i="14"/>
  <c r="B4" i="14"/>
  <c r="B33" i="14" s="1"/>
  <c r="B37" i="14" s="1"/>
  <c r="C3" i="14"/>
  <c r="D3" i="14" s="1"/>
  <c r="E3" i="14" s="1"/>
  <c r="F9" i="14"/>
  <c r="L18" i="13"/>
  <c r="L4" i="14" s="1"/>
  <c r="L33" i="14" s="1"/>
  <c r="L37" i="14" s="1"/>
  <c r="K18" i="13"/>
  <c r="K4" i="14" s="1"/>
  <c r="K33" i="14" s="1"/>
  <c r="K37" i="14" s="1"/>
  <c r="J18" i="13"/>
  <c r="J4" i="14" s="1"/>
  <c r="J33" i="14" s="1"/>
  <c r="J37" i="14" s="1"/>
  <c r="I18" i="13"/>
  <c r="I4" i="14" s="1"/>
  <c r="I33" i="14" s="1"/>
  <c r="I37" i="14" s="1"/>
  <c r="H18" i="13"/>
  <c r="H4" i="14" s="1"/>
  <c r="H33" i="14" s="1"/>
  <c r="H37" i="14" s="1"/>
  <c r="G18" i="13"/>
  <c r="G4" i="14" s="1"/>
  <c r="G33" i="14" s="1"/>
  <c r="G37" i="14" s="1"/>
  <c r="F18" i="13"/>
  <c r="F4" i="14" s="1"/>
  <c r="F33" i="14" s="1"/>
  <c r="F37" i="14" s="1"/>
  <c r="E18" i="13"/>
  <c r="E4" i="14" s="1"/>
  <c r="E33" i="14" s="1"/>
  <c r="E37" i="14" s="1"/>
  <c r="D18" i="13"/>
  <c r="D4" i="14" s="1"/>
  <c r="D33" i="14" s="1"/>
  <c r="D37" i="14" s="1"/>
  <c r="C18" i="13"/>
  <c r="C4" i="14" s="1"/>
  <c r="C33" i="14" s="1"/>
  <c r="C37" i="14" s="1"/>
  <c r="B18" i="13"/>
  <c r="AO14" i="13"/>
  <c r="C14" i="13"/>
  <c r="C15" i="13" s="1"/>
  <c r="B14" i="13"/>
  <c r="C13" i="13"/>
  <c r="B13" i="13"/>
  <c r="AS14" i="13"/>
  <c r="AR14" i="13"/>
  <c r="AQ14" i="13"/>
  <c r="AP14" i="13"/>
  <c r="AN14" i="13"/>
  <c r="AM14" i="13"/>
  <c r="AL14" i="13"/>
  <c r="AK14" i="13"/>
  <c r="K8" i="14"/>
  <c r="C5" i="13"/>
  <c r="B5" i="13"/>
  <c r="AS2" i="13"/>
  <c r="AR2" i="13"/>
  <c r="AQ2" i="13"/>
  <c r="AP2" i="13"/>
  <c r="A41" i="12"/>
  <c r="B40" i="12"/>
  <c r="A40" i="12"/>
  <c r="A39" i="12"/>
  <c r="A38" i="12"/>
  <c r="A36" i="12"/>
  <c r="A35" i="12"/>
  <c r="L34" i="12"/>
  <c r="K34" i="12"/>
  <c r="J34" i="12"/>
  <c r="I34" i="12"/>
  <c r="H34" i="12"/>
  <c r="G34" i="12"/>
  <c r="F34" i="12"/>
  <c r="E34" i="12"/>
  <c r="D34" i="12"/>
  <c r="C34" i="12"/>
  <c r="B34" i="12"/>
  <c r="A34" i="12"/>
  <c r="B33" i="12"/>
  <c r="A33" i="12"/>
  <c r="E32" i="12"/>
  <c r="D32" i="12"/>
  <c r="C32" i="12"/>
  <c r="B32" i="12"/>
  <c r="A32" i="12"/>
  <c r="A31" i="12"/>
  <c r="B30" i="12"/>
  <c r="A30" i="12"/>
  <c r="A29" i="12"/>
  <c r="A28" i="12"/>
  <c r="B27" i="12"/>
  <c r="A27" i="12"/>
  <c r="A26" i="12"/>
  <c r="A25" i="12"/>
  <c r="D15" i="12"/>
  <c r="C15" i="12"/>
  <c r="B15" i="12"/>
  <c r="S9" i="12"/>
  <c r="B31" i="12"/>
  <c r="AS1" i="12"/>
  <c r="AR1" i="12"/>
  <c r="AQ1" i="12"/>
  <c r="AP1" i="12"/>
  <c r="AO1" i="12"/>
  <c r="AN1" i="12"/>
  <c r="AM1" i="12"/>
  <c r="AL1" i="12"/>
  <c r="AK1" i="12"/>
  <c r="AJ1" i="12"/>
  <c r="AI1" i="12"/>
  <c r="AH1" i="12"/>
  <c r="AG1" i="12"/>
  <c r="AF1" i="12"/>
  <c r="AE1" i="12"/>
  <c r="AD1" i="12"/>
  <c r="AC1" i="12"/>
  <c r="AB1" i="12"/>
  <c r="AA1" i="12"/>
  <c r="Z1" i="12"/>
  <c r="Y1" i="12"/>
  <c r="X1" i="12"/>
  <c r="W1" i="12"/>
  <c r="V1" i="12"/>
  <c r="U1" i="12"/>
  <c r="T1" i="12"/>
  <c r="S1" i="12"/>
  <c r="R1" i="12"/>
  <c r="Q1" i="12"/>
  <c r="P1" i="12"/>
  <c r="O1" i="12"/>
  <c r="N1" i="12"/>
  <c r="M1" i="12"/>
  <c r="L1" i="12"/>
  <c r="K1" i="12"/>
  <c r="J1" i="12"/>
  <c r="I1" i="12"/>
  <c r="H1" i="12"/>
  <c r="G1" i="12"/>
  <c r="F1" i="12"/>
  <c r="E1" i="12"/>
  <c r="D1" i="12"/>
  <c r="C1" i="12"/>
  <c r="B1" i="12"/>
  <c r="G69" i="11"/>
  <c r="I62" i="11"/>
  <c r="I63" i="11" s="1"/>
  <c r="I64" i="11" s="1"/>
  <c r="I65" i="11" s="1"/>
  <c r="I66" i="11" s="1"/>
  <c r="I67" i="11" s="1"/>
  <c r="I68" i="11" s="1"/>
  <c r="A58" i="11"/>
  <c r="A59" i="11" s="1"/>
  <c r="A60" i="11" s="1"/>
  <c r="A61" i="11" s="1"/>
  <c r="A62" i="11" s="1"/>
  <c r="A63" i="11" s="1"/>
  <c r="A64" i="11" s="1"/>
  <c r="A65" i="11" s="1"/>
  <c r="A66" i="11" s="1"/>
  <c r="A67" i="11" s="1"/>
  <c r="A68" i="11" s="1"/>
  <c r="I50" i="11"/>
  <c r="I51" i="11" s="1"/>
  <c r="I52" i="11" s="1"/>
  <c r="I53" i="11" s="1"/>
  <c r="I54" i="11" s="1"/>
  <c r="I55" i="11" s="1"/>
  <c r="I56" i="11" s="1"/>
  <c r="I57" i="11" s="1"/>
  <c r="I58" i="11" s="1"/>
  <c r="I59" i="11" s="1"/>
  <c r="I60" i="11" s="1"/>
  <c r="A46" i="11"/>
  <c r="A47" i="11" s="1"/>
  <c r="A48" i="11" s="1"/>
  <c r="A49" i="11" s="1"/>
  <c r="A50" i="11" s="1"/>
  <c r="A51" i="11" s="1"/>
  <c r="A52" i="11" s="1"/>
  <c r="A53" i="11" s="1"/>
  <c r="A54" i="11" s="1"/>
  <c r="A55" i="11" s="1"/>
  <c r="A56" i="11" s="1"/>
  <c r="I38" i="11"/>
  <c r="I39" i="11" s="1"/>
  <c r="I40" i="11" s="1"/>
  <c r="I41" i="11" s="1"/>
  <c r="I42" i="11" s="1"/>
  <c r="I43" i="11" s="1"/>
  <c r="I44" i="11" s="1"/>
  <c r="I45" i="11" s="1"/>
  <c r="I46" i="11" s="1"/>
  <c r="I47" i="11" s="1"/>
  <c r="I48" i="11" s="1"/>
  <c r="A34" i="11"/>
  <c r="A35" i="11" s="1"/>
  <c r="A36" i="11" s="1"/>
  <c r="A37" i="11" s="1"/>
  <c r="A38" i="11" s="1"/>
  <c r="A39" i="11" s="1"/>
  <c r="A40" i="11" s="1"/>
  <c r="A41" i="11" s="1"/>
  <c r="A42" i="11" s="1"/>
  <c r="A43" i="11" s="1"/>
  <c r="A44" i="11" s="1"/>
  <c r="I26" i="11"/>
  <c r="I27" i="11" s="1"/>
  <c r="I28" i="11" s="1"/>
  <c r="I29" i="11" s="1"/>
  <c r="I30" i="11" s="1"/>
  <c r="I31" i="11" s="1"/>
  <c r="I32" i="11" s="1"/>
  <c r="I33" i="11" s="1"/>
  <c r="I34" i="11" s="1"/>
  <c r="I35" i="11" s="1"/>
  <c r="I36" i="11" s="1"/>
  <c r="A22" i="11"/>
  <c r="A23" i="11" s="1"/>
  <c r="A24" i="11" s="1"/>
  <c r="A25" i="11" s="1"/>
  <c r="A26" i="11" s="1"/>
  <c r="A27" i="11" s="1"/>
  <c r="A28" i="11" s="1"/>
  <c r="A29" i="11" s="1"/>
  <c r="A30" i="11" s="1"/>
  <c r="A31" i="11" s="1"/>
  <c r="A32" i="11" s="1"/>
  <c r="I14" i="11"/>
  <c r="I15" i="11" s="1"/>
  <c r="I16" i="11" s="1"/>
  <c r="I17" i="11" s="1"/>
  <c r="I18" i="11" s="1"/>
  <c r="I19" i="11" s="1"/>
  <c r="I20" i="11" s="1"/>
  <c r="I21" i="11" s="1"/>
  <c r="I22" i="11" s="1"/>
  <c r="I23" i="11" s="1"/>
  <c r="I24" i="11" s="1"/>
  <c r="I10" i="11"/>
  <c r="I11" i="11" s="1"/>
  <c r="I12" i="11" s="1"/>
  <c r="A10" i="11"/>
  <c r="A11" i="11" s="1"/>
  <c r="A12" i="11" s="1"/>
  <c r="A13" i="11" s="1"/>
  <c r="A14" i="11" s="1"/>
  <c r="A15" i="11" s="1"/>
  <c r="A16" i="11" s="1"/>
  <c r="A17" i="11" s="1"/>
  <c r="A18" i="11" s="1"/>
  <c r="A19" i="11" s="1"/>
  <c r="A20" i="11" s="1"/>
  <c r="L8" i="11"/>
  <c r="K8" i="11"/>
  <c r="J8" i="11"/>
  <c r="P3" i="10"/>
  <c r="Q3" i="10" s="1"/>
  <c r="R3" i="10" s="1"/>
  <c r="S3" i="10" s="1"/>
  <c r="T3" i="10" s="1"/>
  <c r="U3" i="10" s="1"/>
  <c r="V3" i="10" s="1"/>
  <c r="W3" i="10" s="1"/>
  <c r="X3" i="10" s="1"/>
  <c r="Y3" i="10" s="1"/>
  <c r="Z3" i="10" s="1"/>
  <c r="AA3" i="10" s="1"/>
  <c r="AB3" i="10" s="1"/>
  <c r="AC3" i="10" s="1"/>
  <c r="AD3" i="10" s="1"/>
  <c r="AE3" i="10" s="1"/>
  <c r="AF3" i="10" s="1"/>
  <c r="AG3" i="10" s="1"/>
  <c r="AH3" i="10" s="1"/>
  <c r="AI3" i="10" s="1"/>
  <c r="AJ3" i="10" s="1"/>
  <c r="AK3" i="10" s="1"/>
  <c r="AL3" i="10" s="1"/>
  <c r="AM3" i="10" s="1"/>
  <c r="AN3" i="10" s="1"/>
  <c r="AO3" i="10" s="1"/>
  <c r="AP3" i="10" s="1"/>
  <c r="AQ3" i="10" s="1"/>
  <c r="AR3" i="10" s="1"/>
  <c r="AS3" i="10" s="1"/>
  <c r="AS1" i="10"/>
  <c r="AR1" i="10"/>
  <c r="AQ1" i="10"/>
  <c r="AP1" i="10"/>
  <c r="AO1" i="10"/>
  <c r="AN1" i="10"/>
  <c r="AM1" i="10"/>
  <c r="AL1" i="10"/>
  <c r="AK1" i="10"/>
  <c r="AJ1" i="10"/>
  <c r="AI1" i="10"/>
  <c r="AH1" i="10"/>
  <c r="AG1" i="10"/>
  <c r="AF1" i="10"/>
  <c r="AE1" i="10"/>
  <c r="AD1" i="10"/>
  <c r="AC1" i="10"/>
  <c r="AB1" i="10"/>
  <c r="AA1" i="10"/>
  <c r="Z1" i="10"/>
  <c r="Y1" i="10"/>
  <c r="X1" i="10"/>
  <c r="W1" i="10"/>
  <c r="V1" i="10"/>
  <c r="U1" i="10"/>
  <c r="T1" i="10"/>
  <c r="S1" i="10"/>
  <c r="R1" i="10"/>
  <c r="Q1" i="10"/>
  <c r="P1" i="10"/>
  <c r="O1" i="10"/>
  <c r="N1" i="10"/>
  <c r="M1" i="10"/>
  <c r="L1" i="10"/>
  <c r="K1" i="10"/>
  <c r="J1" i="10"/>
  <c r="I1" i="10"/>
  <c r="H1" i="10"/>
  <c r="G1" i="10"/>
  <c r="F1" i="10"/>
  <c r="E1" i="10"/>
  <c r="D1" i="10"/>
  <c r="C1" i="10"/>
  <c r="B1" i="10"/>
  <c r="B46" i="9"/>
  <c r="B42" i="9"/>
  <c r="A19" i="9"/>
  <c r="Q13" i="9"/>
  <c r="G9" i="9"/>
  <c r="L8" i="9"/>
  <c r="Z8" i="8" s="1"/>
  <c r="K8" i="9"/>
  <c r="J8" i="9"/>
  <c r="I8" i="9"/>
  <c r="H8" i="9"/>
  <c r="V8" i="8" s="1"/>
  <c r="C30" i="8"/>
  <c r="O23" i="8"/>
  <c r="L23" i="8"/>
  <c r="K23" i="8"/>
  <c r="J23" i="8"/>
  <c r="I23" i="8"/>
  <c r="H23" i="8"/>
  <c r="G23" i="8"/>
  <c r="F23" i="8"/>
  <c r="E23" i="8"/>
  <c r="D23" i="8"/>
  <c r="C23" i="8"/>
  <c r="B23" i="8"/>
  <c r="O22" i="8"/>
  <c r="B22" i="8"/>
  <c r="O21" i="8"/>
  <c r="O20" i="8"/>
  <c r="A19" i="8"/>
  <c r="O19" i="8" s="1"/>
  <c r="O18" i="8"/>
  <c r="O17" i="8"/>
  <c r="O16" i="8"/>
  <c r="O15" i="8"/>
  <c r="O14" i="8"/>
  <c r="Z13" i="8"/>
  <c r="Y13" i="8"/>
  <c r="X13" i="8"/>
  <c r="W13" i="8"/>
  <c r="V13" i="8"/>
  <c r="U13" i="8"/>
  <c r="T13" i="8"/>
  <c r="S13" i="8"/>
  <c r="R13" i="8"/>
  <c r="Q13" i="8"/>
  <c r="P13" i="8"/>
  <c r="O13" i="8"/>
  <c r="O12" i="8"/>
  <c r="O11" i="8"/>
  <c r="O10" i="8"/>
  <c r="Z9" i="8"/>
  <c r="Y9" i="8"/>
  <c r="X9" i="8"/>
  <c r="W9" i="8"/>
  <c r="V9" i="8"/>
  <c r="U9" i="8"/>
  <c r="O9" i="8"/>
  <c r="Y8" i="8"/>
  <c r="X8" i="8"/>
  <c r="W8" i="8"/>
  <c r="U8" i="8"/>
  <c r="O8" i="8"/>
  <c r="O7" i="8"/>
  <c r="O6" i="8"/>
  <c r="O5" i="8"/>
  <c r="C5" i="8"/>
  <c r="D5" i="8" s="1"/>
  <c r="O4" i="8"/>
  <c r="C4" i="8"/>
  <c r="D4" i="8" s="1"/>
  <c r="O3" i="8"/>
  <c r="L2" i="8"/>
  <c r="L2" i="9" s="1"/>
  <c r="L27" i="9" s="1"/>
  <c r="K2" i="8"/>
  <c r="K2" i="9" s="1"/>
  <c r="K27" i="9" s="1"/>
  <c r="J2" i="8"/>
  <c r="J25" i="8" s="1"/>
  <c r="J32" i="8" s="1"/>
  <c r="I2" i="8"/>
  <c r="I2" i="9" s="1"/>
  <c r="I27" i="9" s="1"/>
  <c r="H2" i="8"/>
  <c r="H2" i="9" s="1"/>
  <c r="H27" i="9" s="1"/>
  <c r="G2" i="8"/>
  <c r="G2" i="9" s="1"/>
  <c r="G27" i="9" s="1"/>
  <c r="F2" i="8"/>
  <c r="F25" i="8" s="1"/>
  <c r="F32" i="8" s="1"/>
  <c r="E2" i="8"/>
  <c r="E2" i="9" s="1"/>
  <c r="E27" i="9" s="1"/>
  <c r="D2" i="8"/>
  <c r="D2" i="9" s="1"/>
  <c r="D27" i="9" s="1"/>
  <c r="C2" i="8"/>
  <c r="C2" i="9" s="1"/>
  <c r="C27" i="9" s="1"/>
  <c r="B2" i="8"/>
  <c r="B25" i="8" s="1"/>
  <c r="B32" i="8" s="1"/>
  <c r="B62" i="7"/>
  <c r="B61" i="7"/>
  <c r="C58" i="7"/>
  <c r="A58" i="7"/>
  <c r="AV58" i="7" s="1"/>
  <c r="AP57" i="7"/>
  <c r="AO57" i="7"/>
  <c r="AN57" i="7"/>
  <c r="AM57" i="7"/>
  <c r="AL57" i="7"/>
  <c r="AK57" i="7"/>
  <c r="AJ57" i="7"/>
  <c r="AI57" i="7"/>
  <c r="AH57" i="7"/>
  <c r="AG57" i="7"/>
  <c r="AF57" i="7"/>
  <c r="AE57" i="7"/>
  <c r="AD57" i="7"/>
  <c r="AC57" i="7"/>
  <c r="AB57" i="7"/>
  <c r="AA57" i="7"/>
  <c r="Z57" i="7"/>
  <c r="Y57" i="7"/>
  <c r="X57" i="7"/>
  <c r="W57" i="7"/>
  <c r="V57" i="7"/>
  <c r="U57" i="7"/>
  <c r="T57" i="7"/>
  <c r="C57" i="7"/>
  <c r="B57" i="7"/>
  <c r="A57" i="7"/>
  <c r="AV57" i="7" s="1"/>
  <c r="C56" i="7"/>
  <c r="B56" i="7"/>
  <c r="A56" i="7"/>
  <c r="AV56" i="7" s="1"/>
  <c r="AV54" i="7"/>
  <c r="AV53" i="7"/>
  <c r="AV52" i="7"/>
  <c r="AV51" i="7"/>
  <c r="AV50" i="7"/>
  <c r="AV49" i="7"/>
  <c r="C46" i="7"/>
  <c r="B46" i="7"/>
  <c r="AP45" i="7"/>
  <c r="AO45" i="7"/>
  <c r="AN45" i="7"/>
  <c r="AM45" i="7"/>
  <c r="AL45" i="7"/>
  <c r="AK45" i="7"/>
  <c r="AJ45" i="7"/>
  <c r="C45" i="7"/>
  <c r="B45" i="7"/>
  <c r="AP44" i="7"/>
  <c r="AO44" i="7"/>
  <c r="AN44" i="7"/>
  <c r="AM44" i="7"/>
  <c r="AL44" i="7"/>
  <c r="AK44" i="7"/>
  <c r="AJ44" i="7"/>
  <c r="C44" i="7"/>
  <c r="B44" i="7"/>
  <c r="AP43" i="7"/>
  <c r="AO43" i="7"/>
  <c r="AN43" i="7"/>
  <c r="AM43" i="7"/>
  <c r="AL43" i="7"/>
  <c r="AK43" i="7"/>
  <c r="AJ43" i="7"/>
  <c r="C43" i="7"/>
  <c r="B43" i="7"/>
  <c r="AP42" i="7"/>
  <c r="AO42" i="7"/>
  <c r="AN42" i="7"/>
  <c r="AM42" i="7"/>
  <c r="AL42" i="7"/>
  <c r="AK42" i="7"/>
  <c r="AJ42" i="7"/>
  <c r="C42" i="7"/>
  <c r="B42" i="7"/>
  <c r="AP41" i="7"/>
  <c r="AO41" i="7"/>
  <c r="AN41" i="7"/>
  <c r="AM41" i="7"/>
  <c r="AL41" i="7"/>
  <c r="AK41" i="7"/>
  <c r="AJ41" i="7"/>
  <c r="C41" i="7"/>
  <c r="B41" i="7"/>
  <c r="AP40" i="7"/>
  <c r="AO40" i="7"/>
  <c r="AN40" i="7"/>
  <c r="AM40" i="7"/>
  <c r="AL40" i="7"/>
  <c r="AK40" i="7"/>
  <c r="AJ40" i="7"/>
  <c r="C40" i="7"/>
  <c r="B40" i="7"/>
  <c r="AP39" i="7"/>
  <c r="AO39" i="7"/>
  <c r="AN39" i="7"/>
  <c r="AM39" i="7"/>
  <c r="AL39" i="7"/>
  <c r="AK39" i="7"/>
  <c r="AJ39" i="7"/>
  <c r="C39" i="7"/>
  <c r="B39" i="7"/>
  <c r="AP38" i="7"/>
  <c r="AO38" i="7"/>
  <c r="AN38" i="7"/>
  <c r="AM38" i="7"/>
  <c r="AL38" i="7"/>
  <c r="AK38" i="7"/>
  <c r="AJ38" i="7"/>
  <c r="C38" i="7"/>
  <c r="B38" i="7"/>
  <c r="AP37" i="7"/>
  <c r="AO37" i="7"/>
  <c r="AN37" i="7"/>
  <c r="AM37" i="7"/>
  <c r="AL37" i="7"/>
  <c r="AK37" i="7"/>
  <c r="AJ37" i="7"/>
  <c r="C37" i="7"/>
  <c r="B37" i="7"/>
  <c r="BF36" i="7"/>
  <c r="BG36" i="7" s="1"/>
  <c r="BE36" i="7"/>
  <c r="BD36" i="7"/>
  <c r="BC36" i="7"/>
  <c r="BB36" i="7"/>
  <c r="BA36" i="7"/>
  <c r="AZ36" i="7"/>
  <c r="AY36" i="7"/>
  <c r="AX36" i="7"/>
  <c r="AW36" i="7"/>
  <c r="C35" i="7"/>
  <c r="B35" i="7"/>
  <c r="C34" i="7"/>
  <c r="B34" i="7"/>
  <c r="C33" i="7"/>
  <c r="B33" i="7"/>
  <c r="C32" i="7"/>
  <c r="B32" i="7"/>
  <c r="C31" i="7"/>
  <c r="B31" i="7"/>
  <c r="C30" i="7"/>
  <c r="B30" i="7"/>
  <c r="C29" i="7"/>
  <c r="B29" i="7"/>
  <c r="BF28" i="7"/>
  <c r="BG28" i="7" s="1"/>
  <c r="BE28" i="7"/>
  <c r="BD28" i="7"/>
  <c r="BC28" i="7"/>
  <c r="BB28" i="7"/>
  <c r="BA28" i="7"/>
  <c r="AZ28" i="7"/>
  <c r="AY28" i="7"/>
  <c r="AX28" i="7"/>
  <c r="AW28" i="7"/>
  <c r="C27" i="7"/>
  <c r="B27" i="7"/>
  <c r="C26" i="7"/>
  <c r="B26" i="7"/>
  <c r="BF25" i="7"/>
  <c r="BG25" i="7" s="1"/>
  <c r="BE25" i="7"/>
  <c r="BD25" i="7"/>
  <c r="BC25" i="7"/>
  <c r="BB25" i="7"/>
  <c r="BA25" i="7"/>
  <c r="AZ25" i="7"/>
  <c r="AY25" i="7"/>
  <c r="AX25" i="7"/>
  <c r="AW25" i="7"/>
  <c r="C24" i="7"/>
  <c r="B24" i="7"/>
  <c r="BE23" i="7"/>
  <c r="C23" i="7"/>
  <c r="C22" i="7"/>
  <c r="B22" i="7"/>
  <c r="C21" i="7"/>
  <c r="B21" i="7"/>
  <c r="C20" i="7"/>
  <c r="B20" i="7"/>
  <c r="G19" i="7"/>
  <c r="E19" i="7"/>
  <c r="C19" i="7"/>
  <c r="B19" i="7"/>
  <c r="E18" i="7"/>
  <c r="C18" i="7"/>
  <c r="B18" i="7"/>
  <c r="BF17" i="7"/>
  <c r="BG17" i="7" s="1"/>
  <c r="BE17" i="7"/>
  <c r="BD17" i="7"/>
  <c r="BC17" i="7"/>
  <c r="BB17" i="7"/>
  <c r="BA17" i="7"/>
  <c r="AZ17" i="7"/>
  <c r="AY17" i="7"/>
  <c r="AX17" i="7"/>
  <c r="AW17" i="7"/>
  <c r="C17" i="7"/>
  <c r="B17" i="7"/>
  <c r="C16" i="7"/>
  <c r="B16" i="7"/>
  <c r="C15" i="7"/>
  <c r="G14" i="7"/>
  <c r="G15" i="7" s="1"/>
  <c r="G16" i="7" s="1"/>
  <c r="F14" i="7"/>
  <c r="E14" i="7"/>
  <c r="D14" i="7"/>
  <c r="C14" i="7"/>
  <c r="B14" i="7"/>
  <c r="A14" i="7"/>
  <c r="S13" i="7"/>
  <c r="R13" i="7"/>
  <c r="Q13" i="7"/>
  <c r="P13" i="7"/>
  <c r="O13" i="7"/>
  <c r="N13" i="7"/>
  <c r="M13" i="7"/>
  <c r="L13" i="7"/>
  <c r="K13" i="7"/>
  <c r="J13" i="7"/>
  <c r="I13" i="7"/>
  <c r="H13" i="7"/>
  <c r="F13" i="7"/>
  <c r="E13" i="7"/>
  <c r="D13" i="7"/>
  <c r="C13" i="7"/>
  <c r="B13" i="7"/>
  <c r="A13" i="7"/>
  <c r="F12" i="7"/>
  <c r="E12" i="7"/>
  <c r="D12" i="7"/>
  <c r="C12" i="7"/>
  <c r="B12" i="7"/>
  <c r="A12" i="7"/>
  <c r="F11" i="7"/>
  <c r="E11" i="7"/>
  <c r="D11" i="7"/>
  <c r="C11" i="7"/>
  <c r="B11" i="7"/>
  <c r="A11" i="7"/>
  <c r="F10" i="7"/>
  <c r="E10" i="7"/>
  <c r="D10" i="7"/>
  <c r="C10" i="7"/>
  <c r="B10" i="7"/>
  <c r="A10" i="7"/>
  <c r="F9" i="7"/>
  <c r="E9" i="7"/>
  <c r="D9" i="7"/>
  <c r="C9" i="7"/>
  <c r="B9" i="7"/>
  <c r="A9" i="7"/>
  <c r="BF8" i="7"/>
  <c r="BG8" i="7" s="1"/>
  <c r="BE8" i="7"/>
  <c r="BD8" i="7"/>
  <c r="BC8" i="7"/>
  <c r="BB8" i="7"/>
  <c r="BA8" i="7"/>
  <c r="AZ8" i="7"/>
  <c r="AY8" i="7"/>
  <c r="AX8" i="7"/>
  <c r="AW8" i="7"/>
  <c r="C7" i="7"/>
  <c r="B7" i="7"/>
  <c r="G6" i="7"/>
  <c r="C6" i="7"/>
  <c r="F5" i="7"/>
  <c r="E5" i="7"/>
  <c r="D5" i="7"/>
  <c r="C5" i="7"/>
  <c r="B5" i="7"/>
  <c r="A5" i="7"/>
  <c r="F4" i="7"/>
  <c r="E4" i="7"/>
  <c r="D4" i="7"/>
  <c r="C4" i="7"/>
  <c r="B4" i="7"/>
  <c r="A4" i="7"/>
  <c r="F3" i="7"/>
  <c r="E3" i="7"/>
  <c r="D3" i="7"/>
  <c r="C3" i="7"/>
  <c r="B3" i="7"/>
  <c r="A3" i="7"/>
  <c r="F2" i="7"/>
  <c r="E2" i="7"/>
  <c r="D2" i="7"/>
  <c r="C2" i="7"/>
  <c r="B2" i="7"/>
  <c r="A2" i="7"/>
  <c r="A90" i="6"/>
  <c r="A89" i="6"/>
  <c r="A88" i="6"/>
  <c r="A87" i="6"/>
  <c r="A86" i="6"/>
  <c r="A85" i="6"/>
  <c r="A84" i="6"/>
  <c r="A83" i="6"/>
  <c r="A81" i="6"/>
  <c r="A80" i="6"/>
  <c r="A79" i="6"/>
  <c r="A78" i="6"/>
  <c r="A68" i="6"/>
  <c r="L67" i="6"/>
  <c r="K67" i="6"/>
  <c r="J67" i="6"/>
  <c r="I67" i="6"/>
  <c r="H67" i="6"/>
  <c r="G67" i="6"/>
  <c r="F67" i="6"/>
  <c r="E67" i="6"/>
  <c r="D67" i="6"/>
  <c r="C67" i="6"/>
  <c r="B67" i="6"/>
  <c r="B61" i="6"/>
  <c r="S57" i="6"/>
  <c r="S57" i="7" s="1"/>
  <c r="R57" i="6"/>
  <c r="R57" i="7" s="1"/>
  <c r="Q57" i="6"/>
  <c r="Q57" i="7" s="1"/>
  <c r="P57" i="6"/>
  <c r="O57" i="6"/>
  <c r="O57" i="7" s="1"/>
  <c r="N57" i="6"/>
  <c r="N57" i="7" s="1"/>
  <c r="M57" i="6"/>
  <c r="M57" i="7" s="1"/>
  <c r="L57" i="6"/>
  <c r="K57" i="6"/>
  <c r="J57" i="6"/>
  <c r="J57" i="7" s="1"/>
  <c r="I57" i="6"/>
  <c r="I57" i="7" s="1"/>
  <c r="H57" i="6"/>
  <c r="G57" i="6"/>
  <c r="G57" i="7" s="1"/>
  <c r="F57" i="6"/>
  <c r="F57" i="7" s="1"/>
  <c r="E57" i="6"/>
  <c r="E57" i="7" s="1"/>
  <c r="D57" i="6"/>
  <c r="D57" i="7" s="1"/>
  <c r="C47" i="6"/>
  <c r="C47" i="7" s="1"/>
  <c r="B47" i="6"/>
  <c r="B47" i="7" s="1"/>
  <c r="AQ46" i="6"/>
  <c r="AP46" i="6"/>
  <c r="AP46" i="7" s="1"/>
  <c r="AO46" i="6"/>
  <c r="AN46" i="6"/>
  <c r="AN47" i="6" s="1"/>
  <c r="AM46" i="6"/>
  <c r="AM46" i="7" s="1"/>
  <c r="AL46" i="6"/>
  <c r="AL46" i="7" s="1"/>
  <c r="AK46" i="6"/>
  <c r="AJ46" i="6"/>
  <c r="AJ47" i="6" s="1"/>
  <c r="AI46" i="6"/>
  <c r="AI46" i="7" s="1"/>
  <c r="AH46" i="6"/>
  <c r="AH46" i="7" s="1"/>
  <c r="AG46" i="6"/>
  <c r="AG46" i="7" s="1"/>
  <c r="AF46" i="6"/>
  <c r="AE46" i="6"/>
  <c r="AE46" i="7" s="1"/>
  <c r="AD46" i="6"/>
  <c r="AD46" i="7" s="1"/>
  <c r="AC46" i="6"/>
  <c r="AB46" i="6"/>
  <c r="AA46" i="6"/>
  <c r="AA46" i="7" s="1"/>
  <c r="Z46" i="6"/>
  <c r="Z46" i="7" s="1"/>
  <c r="Y46" i="6"/>
  <c r="Y46" i="7" s="1"/>
  <c r="X46" i="6"/>
  <c r="W46" i="6"/>
  <c r="W46" i="7" s="1"/>
  <c r="V46" i="6"/>
  <c r="V46" i="7" s="1"/>
  <c r="U46" i="6"/>
  <c r="U46" i="7" s="1"/>
  <c r="T46" i="6"/>
  <c r="S46" i="6"/>
  <c r="S46" i="7" s="1"/>
  <c r="R46" i="6"/>
  <c r="R46" i="7" s="1"/>
  <c r="Q46" i="6"/>
  <c r="Q46" i="7" s="1"/>
  <c r="P46" i="6"/>
  <c r="O46" i="6"/>
  <c r="O46" i="7" s="1"/>
  <c r="N46" i="6"/>
  <c r="N46" i="7" s="1"/>
  <c r="M46" i="6"/>
  <c r="L46" i="6"/>
  <c r="K46" i="6"/>
  <c r="J46" i="6"/>
  <c r="J46" i="7" s="1"/>
  <c r="I46" i="6"/>
  <c r="I46" i="7" s="1"/>
  <c r="H46" i="6"/>
  <c r="G46" i="6"/>
  <c r="G46" i="7" s="1"/>
  <c r="F46" i="6"/>
  <c r="F46" i="7" s="1"/>
  <c r="E46" i="6"/>
  <c r="E46" i="7" s="1"/>
  <c r="D46" i="6"/>
  <c r="D46" i="7" s="1"/>
  <c r="AI45" i="6"/>
  <c r="AI45" i="7" s="1"/>
  <c r="AH45" i="6"/>
  <c r="AH45" i="7" s="1"/>
  <c r="AG45" i="6"/>
  <c r="AG45" i="7" s="1"/>
  <c r="AF45" i="6"/>
  <c r="AE45" i="6"/>
  <c r="AE45" i="7" s="1"/>
  <c r="AD45" i="6"/>
  <c r="AD45" i="7" s="1"/>
  <c r="AC45" i="6"/>
  <c r="AC45" i="7" s="1"/>
  <c r="AB45" i="6"/>
  <c r="AA45" i="6"/>
  <c r="AA45" i="7" s="1"/>
  <c r="Z45" i="6"/>
  <c r="Z45" i="7" s="1"/>
  <c r="Y45" i="6"/>
  <c r="Y45" i="7" s="1"/>
  <c r="X45" i="6"/>
  <c r="W45" i="6"/>
  <c r="W45" i="7" s="1"/>
  <c r="V45" i="6"/>
  <c r="V45" i="7" s="1"/>
  <c r="U45" i="6"/>
  <c r="U45" i="7" s="1"/>
  <c r="T45" i="6"/>
  <c r="S45" i="6"/>
  <c r="S45" i="7" s="1"/>
  <c r="R45" i="6"/>
  <c r="R45" i="7" s="1"/>
  <c r="Q45" i="6"/>
  <c r="Q45" i="7" s="1"/>
  <c r="P45" i="6"/>
  <c r="O45" i="6"/>
  <c r="O45" i="7" s="1"/>
  <c r="N45" i="6"/>
  <c r="N45" i="7" s="1"/>
  <c r="M45" i="6"/>
  <c r="M45" i="7" s="1"/>
  <c r="L45" i="6"/>
  <c r="K45" i="6"/>
  <c r="J45" i="6"/>
  <c r="J45" i="7" s="1"/>
  <c r="I45" i="6"/>
  <c r="I45" i="7" s="1"/>
  <c r="H45" i="6"/>
  <c r="G45" i="6"/>
  <c r="G45" i="7" s="1"/>
  <c r="F45" i="6"/>
  <c r="F45" i="7" s="1"/>
  <c r="E45" i="6"/>
  <c r="E45" i="7" s="1"/>
  <c r="D45" i="6"/>
  <c r="D45" i="7" s="1"/>
  <c r="AI44" i="6"/>
  <c r="AI44" i="7" s="1"/>
  <c r="AH44" i="6"/>
  <c r="AH44" i="7" s="1"/>
  <c r="AG44" i="6"/>
  <c r="AG44" i="7" s="1"/>
  <c r="AF44" i="6"/>
  <c r="AE44" i="6"/>
  <c r="AE44" i="7" s="1"/>
  <c r="AD44" i="6"/>
  <c r="AD44" i="7" s="1"/>
  <c r="AC44" i="6"/>
  <c r="AC44" i="7" s="1"/>
  <c r="AB44" i="6"/>
  <c r="AA44" i="6"/>
  <c r="AA44" i="7" s="1"/>
  <c r="Z44" i="6"/>
  <c r="Z44" i="7" s="1"/>
  <c r="Y44" i="6"/>
  <c r="Y44" i="7" s="1"/>
  <c r="X44" i="6"/>
  <c r="W44" i="6"/>
  <c r="W44" i="7" s="1"/>
  <c r="V44" i="6"/>
  <c r="V44" i="7" s="1"/>
  <c r="U44" i="6"/>
  <c r="U44" i="7" s="1"/>
  <c r="T44" i="6"/>
  <c r="S44" i="6"/>
  <c r="S44" i="7" s="1"/>
  <c r="R44" i="6"/>
  <c r="R44" i="7" s="1"/>
  <c r="Q44" i="6"/>
  <c r="Q44" i="7" s="1"/>
  <c r="P44" i="6"/>
  <c r="O44" i="6"/>
  <c r="O44" i="7" s="1"/>
  <c r="N44" i="6"/>
  <c r="N44" i="7" s="1"/>
  <c r="M44" i="6"/>
  <c r="M44" i="7" s="1"/>
  <c r="L44" i="6"/>
  <c r="K44" i="6"/>
  <c r="J44" i="6"/>
  <c r="J44" i="7" s="1"/>
  <c r="I44" i="6"/>
  <c r="I44" i="7" s="1"/>
  <c r="H44" i="6"/>
  <c r="G44" i="6"/>
  <c r="G44" i="7" s="1"/>
  <c r="F44" i="6"/>
  <c r="F44" i="7" s="1"/>
  <c r="E44" i="6"/>
  <c r="E44" i="7" s="1"/>
  <c r="D44" i="6"/>
  <c r="D44" i="7" s="1"/>
  <c r="AI43" i="6"/>
  <c r="AI43" i="7" s="1"/>
  <c r="AH43" i="6"/>
  <c r="AG43" i="6"/>
  <c r="AG43" i="7" s="1"/>
  <c r="AF43" i="6"/>
  <c r="AE43" i="6"/>
  <c r="AE43" i="7" s="1"/>
  <c r="AD43" i="6"/>
  <c r="AD43" i="7" s="1"/>
  <c r="AC43" i="6"/>
  <c r="AC43" i="7" s="1"/>
  <c r="AB43" i="6"/>
  <c r="AA43" i="6"/>
  <c r="AA43" i="7" s="1"/>
  <c r="Z43" i="6"/>
  <c r="Z43" i="7" s="1"/>
  <c r="Y43" i="6"/>
  <c r="Y43" i="7" s="1"/>
  <c r="X43" i="6"/>
  <c r="W43" i="6"/>
  <c r="W43" i="7" s="1"/>
  <c r="V43" i="6"/>
  <c r="V43" i="7" s="1"/>
  <c r="U43" i="6"/>
  <c r="U43" i="7" s="1"/>
  <c r="T43" i="6"/>
  <c r="S43" i="6"/>
  <c r="S43" i="7" s="1"/>
  <c r="R43" i="6"/>
  <c r="Q43" i="6"/>
  <c r="Q43" i="7" s="1"/>
  <c r="P43" i="6"/>
  <c r="O43" i="6"/>
  <c r="O43" i="7" s="1"/>
  <c r="N43" i="6"/>
  <c r="N43" i="7" s="1"/>
  <c r="M43" i="6"/>
  <c r="M43" i="7" s="1"/>
  <c r="L43" i="6"/>
  <c r="K43" i="6"/>
  <c r="J43" i="6"/>
  <c r="J43" i="7" s="1"/>
  <c r="I43" i="6"/>
  <c r="I43" i="7" s="1"/>
  <c r="H43" i="6"/>
  <c r="G43" i="6"/>
  <c r="G43" i="7" s="1"/>
  <c r="F43" i="6"/>
  <c r="F43" i="7" s="1"/>
  <c r="E43" i="6"/>
  <c r="E43" i="7" s="1"/>
  <c r="D43" i="6"/>
  <c r="D43" i="7" s="1"/>
  <c r="AI42" i="6"/>
  <c r="AI42" i="7" s="1"/>
  <c r="AH42" i="6"/>
  <c r="AH42" i="7" s="1"/>
  <c r="AG42" i="6"/>
  <c r="AG42" i="7" s="1"/>
  <c r="AF42" i="6"/>
  <c r="AE42" i="6"/>
  <c r="AE42" i="7" s="1"/>
  <c r="AD42" i="6"/>
  <c r="AD42" i="7" s="1"/>
  <c r="AC42" i="6"/>
  <c r="AB42" i="6"/>
  <c r="AA42" i="6"/>
  <c r="AA42" i="7" s="1"/>
  <c r="Z42" i="6"/>
  <c r="Z42" i="7" s="1"/>
  <c r="Y42" i="6"/>
  <c r="Y42" i="7" s="1"/>
  <c r="X42" i="6"/>
  <c r="W42" i="6"/>
  <c r="W42" i="7" s="1"/>
  <c r="V42" i="6"/>
  <c r="V42" i="7" s="1"/>
  <c r="U42" i="6"/>
  <c r="U42" i="7" s="1"/>
  <c r="T42" i="6"/>
  <c r="S42" i="6"/>
  <c r="S42" i="7" s="1"/>
  <c r="R42" i="6"/>
  <c r="R42" i="7" s="1"/>
  <c r="Q42" i="6"/>
  <c r="Q42" i="7" s="1"/>
  <c r="P42" i="6"/>
  <c r="O42" i="6"/>
  <c r="O42" i="7" s="1"/>
  <c r="N42" i="6"/>
  <c r="N42" i="7" s="1"/>
  <c r="M42" i="6"/>
  <c r="L42" i="6"/>
  <c r="K42" i="6"/>
  <c r="J42" i="6"/>
  <c r="J42" i="7" s="1"/>
  <c r="I42" i="6"/>
  <c r="I42" i="7" s="1"/>
  <c r="H42" i="6"/>
  <c r="G42" i="6"/>
  <c r="G42" i="7" s="1"/>
  <c r="F42" i="6"/>
  <c r="F42" i="7" s="1"/>
  <c r="E42" i="6"/>
  <c r="E42" i="7" s="1"/>
  <c r="D42" i="6"/>
  <c r="D42" i="7" s="1"/>
  <c r="AI41" i="6"/>
  <c r="AI41" i="7" s="1"/>
  <c r="AH41" i="6"/>
  <c r="AH41" i="7" s="1"/>
  <c r="AG41" i="6"/>
  <c r="AG41" i="7" s="1"/>
  <c r="AF41" i="6"/>
  <c r="AE41" i="6"/>
  <c r="AE41" i="7" s="1"/>
  <c r="AD41" i="6"/>
  <c r="AD41" i="7" s="1"/>
  <c r="AC41" i="6"/>
  <c r="AC41" i="7" s="1"/>
  <c r="AB41" i="6"/>
  <c r="AA41" i="6"/>
  <c r="AA41" i="7" s="1"/>
  <c r="Z41" i="6"/>
  <c r="Z41" i="7" s="1"/>
  <c r="Y41" i="6"/>
  <c r="Y41" i="7" s="1"/>
  <c r="X41" i="6"/>
  <c r="W41" i="6"/>
  <c r="W41" i="7" s="1"/>
  <c r="V41" i="6"/>
  <c r="V41" i="7" s="1"/>
  <c r="U41" i="6"/>
  <c r="U41" i="7" s="1"/>
  <c r="T41" i="6"/>
  <c r="S41" i="6"/>
  <c r="S41" i="7" s="1"/>
  <c r="R41" i="6"/>
  <c r="R41" i="7" s="1"/>
  <c r="Q41" i="6"/>
  <c r="Q41" i="7" s="1"/>
  <c r="P41" i="6"/>
  <c r="O41" i="6"/>
  <c r="O41" i="7" s="1"/>
  <c r="N41" i="6"/>
  <c r="N41" i="7" s="1"/>
  <c r="M41" i="6"/>
  <c r="M41" i="7" s="1"/>
  <c r="L41" i="6"/>
  <c r="K41" i="6"/>
  <c r="J41" i="6"/>
  <c r="J41" i="7" s="1"/>
  <c r="I41" i="6"/>
  <c r="I41" i="7" s="1"/>
  <c r="H41" i="6"/>
  <c r="G41" i="6"/>
  <c r="G41" i="7" s="1"/>
  <c r="F41" i="6"/>
  <c r="F41" i="7" s="1"/>
  <c r="E41" i="6"/>
  <c r="E41" i="7" s="1"/>
  <c r="D41" i="6"/>
  <c r="D41" i="7" s="1"/>
  <c r="AI40" i="6"/>
  <c r="AI40" i="7" s="1"/>
  <c r="AH40" i="6"/>
  <c r="AH40" i="7" s="1"/>
  <c r="AG40" i="6"/>
  <c r="AG40" i="7" s="1"/>
  <c r="AF40" i="6"/>
  <c r="AE40" i="6"/>
  <c r="AE40" i="7" s="1"/>
  <c r="AD40" i="6"/>
  <c r="AD40" i="7" s="1"/>
  <c r="AC40" i="6"/>
  <c r="AC40" i="7" s="1"/>
  <c r="AB40" i="6"/>
  <c r="AA40" i="6"/>
  <c r="AA40" i="7" s="1"/>
  <c r="Z40" i="6"/>
  <c r="Z40" i="7" s="1"/>
  <c r="Y40" i="6"/>
  <c r="Y40" i="7" s="1"/>
  <c r="X40" i="6"/>
  <c r="W40" i="6"/>
  <c r="W40" i="7" s="1"/>
  <c r="V40" i="6"/>
  <c r="V40" i="7" s="1"/>
  <c r="U40" i="6"/>
  <c r="U40" i="7" s="1"/>
  <c r="T40" i="6"/>
  <c r="S40" i="6"/>
  <c r="S40" i="7" s="1"/>
  <c r="R40" i="6"/>
  <c r="R40" i="7" s="1"/>
  <c r="Q40" i="6"/>
  <c r="Q40" i="7" s="1"/>
  <c r="P40" i="6"/>
  <c r="O40" i="6"/>
  <c r="O40" i="7" s="1"/>
  <c r="N40" i="6"/>
  <c r="N40" i="7" s="1"/>
  <c r="M40" i="6"/>
  <c r="M40" i="7" s="1"/>
  <c r="L40" i="6"/>
  <c r="K40" i="6"/>
  <c r="J40" i="6"/>
  <c r="J40" i="7" s="1"/>
  <c r="I40" i="6"/>
  <c r="I40" i="7" s="1"/>
  <c r="H40" i="6"/>
  <c r="G40" i="6"/>
  <c r="G40" i="7" s="1"/>
  <c r="F40" i="6"/>
  <c r="F40" i="7" s="1"/>
  <c r="E40" i="6"/>
  <c r="E40" i="7" s="1"/>
  <c r="D40" i="6"/>
  <c r="D40" i="7" s="1"/>
  <c r="AI39" i="6"/>
  <c r="AI39" i="7" s="1"/>
  <c r="AH39" i="6"/>
  <c r="AG39" i="6"/>
  <c r="AG39" i="7" s="1"/>
  <c r="AF39" i="6"/>
  <c r="AE39" i="6"/>
  <c r="AE39" i="7" s="1"/>
  <c r="AD39" i="6"/>
  <c r="AD39" i="7" s="1"/>
  <c r="AC39" i="6"/>
  <c r="AC39" i="7" s="1"/>
  <c r="AB39" i="6"/>
  <c r="AA39" i="6"/>
  <c r="AA39" i="7" s="1"/>
  <c r="Z39" i="6"/>
  <c r="Z39" i="7" s="1"/>
  <c r="Y39" i="6"/>
  <c r="Y39" i="7" s="1"/>
  <c r="X39" i="6"/>
  <c r="W39" i="6"/>
  <c r="W39" i="7" s="1"/>
  <c r="V39" i="6"/>
  <c r="V39" i="7" s="1"/>
  <c r="U39" i="6"/>
  <c r="U39" i="7" s="1"/>
  <c r="T39" i="6"/>
  <c r="S39" i="6"/>
  <c r="S39" i="7" s="1"/>
  <c r="R39" i="6"/>
  <c r="Q39" i="6"/>
  <c r="Q39" i="7" s="1"/>
  <c r="P39" i="6"/>
  <c r="O39" i="6"/>
  <c r="O39" i="7" s="1"/>
  <c r="N39" i="6"/>
  <c r="N39" i="7" s="1"/>
  <c r="M39" i="6"/>
  <c r="M39" i="7" s="1"/>
  <c r="L39" i="6"/>
  <c r="K39" i="6"/>
  <c r="J39" i="6"/>
  <c r="J39" i="7" s="1"/>
  <c r="I39" i="6"/>
  <c r="I39" i="7" s="1"/>
  <c r="H39" i="6"/>
  <c r="G39" i="6"/>
  <c r="G39" i="7" s="1"/>
  <c r="F39" i="6"/>
  <c r="F39" i="7" s="1"/>
  <c r="E39" i="6"/>
  <c r="E39" i="7" s="1"/>
  <c r="D39" i="6"/>
  <c r="D39" i="7" s="1"/>
  <c r="AI38" i="6"/>
  <c r="AI38" i="7" s="1"/>
  <c r="AH38" i="6"/>
  <c r="AH38" i="7" s="1"/>
  <c r="AG38" i="6"/>
  <c r="AG38" i="7" s="1"/>
  <c r="AF38" i="6"/>
  <c r="AE38" i="6"/>
  <c r="AE38" i="7" s="1"/>
  <c r="AD38" i="6"/>
  <c r="AD38" i="7" s="1"/>
  <c r="AC38" i="6"/>
  <c r="AB38" i="6"/>
  <c r="AA38" i="6"/>
  <c r="AA38" i="7" s="1"/>
  <c r="Z38" i="6"/>
  <c r="Z38" i="7" s="1"/>
  <c r="Y38" i="6"/>
  <c r="Y38" i="7" s="1"/>
  <c r="X38" i="6"/>
  <c r="W38" i="6"/>
  <c r="W38" i="7" s="1"/>
  <c r="V38" i="6"/>
  <c r="V38" i="7" s="1"/>
  <c r="U38" i="6"/>
  <c r="U38" i="7" s="1"/>
  <c r="T38" i="6"/>
  <c r="S38" i="6"/>
  <c r="S38" i="7" s="1"/>
  <c r="R38" i="6"/>
  <c r="R38" i="7" s="1"/>
  <c r="Q38" i="6"/>
  <c r="Q38" i="7" s="1"/>
  <c r="P38" i="6"/>
  <c r="O38" i="6"/>
  <c r="O38" i="7" s="1"/>
  <c r="N38" i="6"/>
  <c r="N38" i="7" s="1"/>
  <c r="M38" i="6"/>
  <c r="L38" i="6"/>
  <c r="K38" i="6"/>
  <c r="J38" i="6"/>
  <c r="J38" i="7" s="1"/>
  <c r="I38" i="6"/>
  <c r="I38" i="7" s="1"/>
  <c r="H38" i="6"/>
  <c r="G38" i="6"/>
  <c r="G38" i="7" s="1"/>
  <c r="F38" i="6"/>
  <c r="F38" i="7" s="1"/>
  <c r="E38" i="6"/>
  <c r="E38" i="7" s="1"/>
  <c r="D38" i="6"/>
  <c r="D38" i="7" s="1"/>
  <c r="AI37" i="6"/>
  <c r="AI37" i="7" s="1"/>
  <c r="AH37" i="6"/>
  <c r="AH37" i="7" s="1"/>
  <c r="AG37" i="6"/>
  <c r="AG37" i="7" s="1"/>
  <c r="AF37" i="6"/>
  <c r="AE37" i="6"/>
  <c r="AE37" i="7" s="1"/>
  <c r="AD37" i="6"/>
  <c r="AD37" i="7" s="1"/>
  <c r="AC37" i="6"/>
  <c r="AC37" i="7" s="1"/>
  <c r="AB37" i="6"/>
  <c r="AA37" i="6"/>
  <c r="AA37" i="7" s="1"/>
  <c r="Z37" i="6"/>
  <c r="Z37" i="7" s="1"/>
  <c r="Y37" i="6"/>
  <c r="Y37" i="7" s="1"/>
  <c r="X37" i="6"/>
  <c r="W37" i="6"/>
  <c r="W37" i="7" s="1"/>
  <c r="V37" i="6"/>
  <c r="V37" i="7" s="1"/>
  <c r="U37" i="6"/>
  <c r="U37" i="7" s="1"/>
  <c r="T37" i="6"/>
  <c r="S37" i="6"/>
  <c r="S37" i="7" s="1"/>
  <c r="R37" i="6"/>
  <c r="R37" i="7" s="1"/>
  <c r="Q37" i="6"/>
  <c r="Q37" i="7" s="1"/>
  <c r="P37" i="6"/>
  <c r="O37" i="6"/>
  <c r="O37" i="7" s="1"/>
  <c r="N37" i="6"/>
  <c r="N37" i="7" s="1"/>
  <c r="M37" i="6"/>
  <c r="M37" i="7" s="1"/>
  <c r="L37" i="6"/>
  <c r="K37" i="6"/>
  <c r="J37" i="6"/>
  <c r="J37" i="7" s="1"/>
  <c r="I37" i="6"/>
  <c r="I37" i="7" s="1"/>
  <c r="H37" i="6"/>
  <c r="G37" i="6"/>
  <c r="G37" i="7" s="1"/>
  <c r="F37" i="6"/>
  <c r="F37" i="7" s="1"/>
  <c r="E37" i="6"/>
  <c r="E37" i="7" s="1"/>
  <c r="D37" i="6"/>
  <c r="D37" i="7" s="1"/>
  <c r="AW36" i="6"/>
  <c r="AQ33" i="6"/>
  <c r="AP33" i="6"/>
  <c r="AP33" i="7" s="1"/>
  <c r="AO33" i="6"/>
  <c r="AO33" i="7" s="1"/>
  <c r="AN33" i="6"/>
  <c r="AM33" i="6"/>
  <c r="AM33" i="7" s="1"/>
  <c r="AL33" i="6"/>
  <c r="AL33" i="7" s="1"/>
  <c r="AK33" i="6"/>
  <c r="AK33" i="7" s="1"/>
  <c r="AJ33" i="6"/>
  <c r="AI33" i="6"/>
  <c r="AI33" i="7" s="1"/>
  <c r="AH33" i="6"/>
  <c r="AH33" i="7" s="1"/>
  <c r="AG33" i="6"/>
  <c r="AG33" i="7" s="1"/>
  <c r="AF33" i="6"/>
  <c r="AE33" i="6"/>
  <c r="AE33" i="7" s="1"/>
  <c r="AD33" i="6"/>
  <c r="AD33" i="7" s="1"/>
  <c r="AC33" i="6"/>
  <c r="AC33" i="7" s="1"/>
  <c r="AB33" i="6"/>
  <c r="AA33" i="6"/>
  <c r="AA33" i="7" s="1"/>
  <c r="Z33" i="6"/>
  <c r="Z33" i="7" s="1"/>
  <c r="Y33" i="6"/>
  <c r="Y33" i="7" s="1"/>
  <c r="X33" i="6"/>
  <c r="W33" i="6"/>
  <c r="W33" i="7" s="1"/>
  <c r="V33" i="6"/>
  <c r="V33" i="7" s="1"/>
  <c r="U33" i="6"/>
  <c r="U33" i="7" s="1"/>
  <c r="T33" i="6"/>
  <c r="S33" i="6"/>
  <c r="S33" i="7" s="1"/>
  <c r="R33" i="6"/>
  <c r="R33" i="7" s="1"/>
  <c r="Q33" i="6"/>
  <c r="Q33" i="7" s="1"/>
  <c r="P33" i="6"/>
  <c r="O33" i="6"/>
  <c r="O33" i="7" s="1"/>
  <c r="N33" i="6"/>
  <c r="N33" i="7" s="1"/>
  <c r="M33" i="6"/>
  <c r="M33" i="7" s="1"/>
  <c r="L33" i="6"/>
  <c r="K33" i="6"/>
  <c r="J33" i="6"/>
  <c r="J33" i="7" s="1"/>
  <c r="I33" i="6"/>
  <c r="I33" i="7" s="1"/>
  <c r="H33" i="6"/>
  <c r="G33" i="6"/>
  <c r="G33" i="7" s="1"/>
  <c r="F33" i="6"/>
  <c r="F33" i="7" s="1"/>
  <c r="E33" i="6"/>
  <c r="E33" i="7" s="1"/>
  <c r="D33" i="6"/>
  <c r="D33" i="7" s="1"/>
  <c r="AQ32" i="6"/>
  <c r="AP32" i="6"/>
  <c r="AP32" i="7" s="1"/>
  <c r="AO32" i="6"/>
  <c r="AO32" i="7" s="1"/>
  <c r="AN32" i="6"/>
  <c r="AM32" i="6"/>
  <c r="AM32" i="7" s="1"/>
  <c r="AL32" i="6"/>
  <c r="AL32" i="7" s="1"/>
  <c r="AK32" i="6"/>
  <c r="AK32" i="7" s="1"/>
  <c r="AJ32" i="6"/>
  <c r="AI32" i="6"/>
  <c r="AI32" i="7" s="1"/>
  <c r="AH32" i="6"/>
  <c r="AH32" i="7" s="1"/>
  <c r="AG32" i="6"/>
  <c r="AG32" i="7" s="1"/>
  <c r="AF32" i="6"/>
  <c r="AE32" i="6"/>
  <c r="AE32" i="7" s="1"/>
  <c r="AD32" i="6"/>
  <c r="AD32" i="7" s="1"/>
  <c r="AC32" i="6"/>
  <c r="AC32" i="7" s="1"/>
  <c r="AB32" i="6"/>
  <c r="AA32" i="6"/>
  <c r="AA32" i="7" s="1"/>
  <c r="Z32" i="6"/>
  <c r="Z32" i="7" s="1"/>
  <c r="Y32" i="6"/>
  <c r="Y32" i="7" s="1"/>
  <c r="X32" i="6"/>
  <c r="W32" i="6"/>
  <c r="W32" i="7" s="1"/>
  <c r="V32" i="6"/>
  <c r="V32" i="7" s="1"/>
  <c r="U32" i="6"/>
  <c r="U32" i="7" s="1"/>
  <c r="T32" i="6"/>
  <c r="S32" i="6"/>
  <c r="S32" i="7" s="1"/>
  <c r="R32" i="6"/>
  <c r="R32" i="7" s="1"/>
  <c r="Q32" i="6"/>
  <c r="Q32" i="7" s="1"/>
  <c r="P32" i="6"/>
  <c r="O32" i="6"/>
  <c r="O32" i="7" s="1"/>
  <c r="N32" i="6"/>
  <c r="N32" i="7" s="1"/>
  <c r="M32" i="6"/>
  <c r="M32" i="7" s="1"/>
  <c r="L32" i="6"/>
  <c r="K32" i="6"/>
  <c r="J32" i="6"/>
  <c r="J32" i="7" s="1"/>
  <c r="I32" i="6"/>
  <c r="I32" i="7" s="1"/>
  <c r="H32" i="6"/>
  <c r="G32" i="6"/>
  <c r="G32" i="7" s="1"/>
  <c r="F32" i="6"/>
  <c r="F32" i="7" s="1"/>
  <c r="E32" i="6"/>
  <c r="E32" i="7" s="1"/>
  <c r="D32" i="6"/>
  <c r="D32" i="7" s="1"/>
  <c r="AQ31" i="6"/>
  <c r="AP31" i="6"/>
  <c r="AP31" i="7" s="1"/>
  <c r="AO31" i="6"/>
  <c r="AO31" i="7" s="1"/>
  <c r="AN31" i="6"/>
  <c r="AM31" i="6"/>
  <c r="AM31" i="7" s="1"/>
  <c r="AL31" i="6"/>
  <c r="AL31" i="7" s="1"/>
  <c r="AK31" i="6"/>
  <c r="AK31" i="7" s="1"/>
  <c r="AJ31" i="6"/>
  <c r="AI31" i="6"/>
  <c r="AI31" i="7" s="1"/>
  <c r="AH31" i="6"/>
  <c r="AG31" i="6"/>
  <c r="AG31" i="7" s="1"/>
  <c r="AF31" i="6"/>
  <c r="AE31" i="6"/>
  <c r="AE31" i="7" s="1"/>
  <c r="AD31" i="6"/>
  <c r="AD31" i="7" s="1"/>
  <c r="AC31" i="6"/>
  <c r="AC31" i="7" s="1"/>
  <c r="AB31" i="6"/>
  <c r="AA31" i="6"/>
  <c r="AA31" i="7" s="1"/>
  <c r="Z31" i="6"/>
  <c r="Z31" i="7" s="1"/>
  <c r="Y31" i="6"/>
  <c r="Y31" i="7" s="1"/>
  <c r="X31" i="6"/>
  <c r="W31" i="6"/>
  <c r="W31" i="7" s="1"/>
  <c r="V31" i="6"/>
  <c r="V31" i="7" s="1"/>
  <c r="U31" i="6"/>
  <c r="U31" i="7" s="1"/>
  <c r="T31" i="6"/>
  <c r="S31" i="6"/>
  <c r="S31" i="7" s="1"/>
  <c r="R31" i="6"/>
  <c r="Q31" i="6"/>
  <c r="Q31" i="7" s="1"/>
  <c r="P31" i="6"/>
  <c r="O31" i="6"/>
  <c r="O31" i="7" s="1"/>
  <c r="N31" i="6"/>
  <c r="N31" i="7" s="1"/>
  <c r="M31" i="6"/>
  <c r="M31" i="7" s="1"/>
  <c r="L31" i="6"/>
  <c r="K31" i="6"/>
  <c r="J31" i="6"/>
  <c r="J31" i="7" s="1"/>
  <c r="I31" i="6"/>
  <c r="I31" i="7" s="1"/>
  <c r="H31" i="6"/>
  <c r="G31" i="6"/>
  <c r="G31" i="7" s="1"/>
  <c r="F31" i="6"/>
  <c r="F31" i="7" s="1"/>
  <c r="E31" i="6"/>
  <c r="E31" i="7" s="1"/>
  <c r="D31" i="6"/>
  <c r="D31" i="7" s="1"/>
  <c r="AQ30" i="6"/>
  <c r="AP30" i="6"/>
  <c r="AP30" i="7" s="1"/>
  <c r="AO30" i="6"/>
  <c r="AN30" i="6"/>
  <c r="AM30" i="6"/>
  <c r="AM30" i="7" s="1"/>
  <c r="AL30" i="6"/>
  <c r="AL30" i="7" s="1"/>
  <c r="AK30" i="6"/>
  <c r="AK30" i="7" s="1"/>
  <c r="AJ30" i="6"/>
  <c r="AI30" i="6"/>
  <c r="AI30" i="7" s="1"/>
  <c r="AH30" i="6"/>
  <c r="AH30" i="7" s="1"/>
  <c r="AG30" i="6"/>
  <c r="AG30" i="7" s="1"/>
  <c r="AF30" i="6"/>
  <c r="AE30" i="6"/>
  <c r="AE30" i="7" s="1"/>
  <c r="AD30" i="6"/>
  <c r="AD30" i="7" s="1"/>
  <c r="AC30" i="6"/>
  <c r="AB30" i="6"/>
  <c r="AA30" i="6"/>
  <c r="AA30" i="7" s="1"/>
  <c r="Z30" i="6"/>
  <c r="Z30" i="7" s="1"/>
  <c r="Y30" i="6"/>
  <c r="Y30" i="7" s="1"/>
  <c r="X30" i="6"/>
  <c r="W30" i="6"/>
  <c r="W30" i="7" s="1"/>
  <c r="V30" i="6"/>
  <c r="V30" i="7" s="1"/>
  <c r="U30" i="6"/>
  <c r="U30" i="7" s="1"/>
  <c r="T30" i="6"/>
  <c r="S30" i="6"/>
  <c r="S30" i="7" s="1"/>
  <c r="R30" i="6"/>
  <c r="R30" i="7" s="1"/>
  <c r="Q30" i="6"/>
  <c r="Q30" i="7" s="1"/>
  <c r="P30" i="6"/>
  <c r="O30" i="6"/>
  <c r="O30" i="7" s="1"/>
  <c r="N30" i="6"/>
  <c r="N30" i="7" s="1"/>
  <c r="M30" i="6"/>
  <c r="L30" i="6"/>
  <c r="K30" i="6"/>
  <c r="J30" i="6"/>
  <c r="J30" i="7" s="1"/>
  <c r="I30" i="6"/>
  <c r="I30" i="7" s="1"/>
  <c r="H30" i="6"/>
  <c r="G30" i="6"/>
  <c r="G30" i="7" s="1"/>
  <c r="F30" i="6"/>
  <c r="F30" i="7" s="1"/>
  <c r="E30" i="6"/>
  <c r="E30" i="7" s="1"/>
  <c r="D30" i="6"/>
  <c r="AQ29" i="6"/>
  <c r="AP29" i="6"/>
  <c r="AP29" i="7" s="1"/>
  <c r="AO29" i="6"/>
  <c r="AO29" i="7" s="1"/>
  <c r="AN29" i="6"/>
  <c r="AM29" i="6"/>
  <c r="AM29" i="7" s="1"/>
  <c r="AL29" i="6"/>
  <c r="AL29" i="7" s="1"/>
  <c r="AK29" i="6"/>
  <c r="AK29" i="7" s="1"/>
  <c r="AJ29" i="6"/>
  <c r="AI29" i="6"/>
  <c r="AI29" i="7" s="1"/>
  <c r="AH29" i="6"/>
  <c r="AH29" i="7" s="1"/>
  <c r="AG29" i="6"/>
  <c r="AG29" i="7" s="1"/>
  <c r="AF29" i="6"/>
  <c r="AE29" i="6"/>
  <c r="AE29" i="7" s="1"/>
  <c r="AD29" i="6"/>
  <c r="AD29" i="7" s="1"/>
  <c r="AC29" i="6"/>
  <c r="AC29" i="7" s="1"/>
  <c r="AB29" i="6"/>
  <c r="AA29" i="6"/>
  <c r="AA29" i="7" s="1"/>
  <c r="Z29" i="6"/>
  <c r="Z29" i="7" s="1"/>
  <c r="Y29" i="6"/>
  <c r="Y29" i="7" s="1"/>
  <c r="X29" i="6"/>
  <c r="W29" i="6"/>
  <c r="W29" i="7" s="1"/>
  <c r="V29" i="6"/>
  <c r="V29" i="7" s="1"/>
  <c r="U29" i="6"/>
  <c r="U29" i="7" s="1"/>
  <c r="T29" i="6"/>
  <c r="S29" i="6"/>
  <c r="S29" i="7" s="1"/>
  <c r="R29" i="6"/>
  <c r="R29" i="7" s="1"/>
  <c r="Q29" i="6"/>
  <c r="Q29" i="7" s="1"/>
  <c r="P29" i="6"/>
  <c r="O29" i="6"/>
  <c r="O29" i="7" s="1"/>
  <c r="N29" i="6"/>
  <c r="N29" i="7" s="1"/>
  <c r="M29" i="6"/>
  <c r="M29" i="7" s="1"/>
  <c r="L29" i="6"/>
  <c r="K29" i="6"/>
  <c r="J29" i="6"/>
  <c r="J29" i="7" s="1"/>
  <c r="I29" i="6"/>
  <c r="I29" i="7" s="1"/>
  <c r="H29" i="6"/>
  <c r="G29" i="6"/>
  <c r="G29" i="7" s="1"/>
  <c r="G34" i="7" s="1"/>
  <c r="G35" i="7" s="1"/>
  <c r="F29" i="6"/>
  <c r="F29" i="7" s="1"/>
  <c r="E29" i="6"/>
  <c r="E29" i="7" s="1"/>
  <c r="D29" i="6"/>
  <c r="AW28" i="6"/>
  <c r="AQ25" i="6"/>
  <c r="AP25" i="6"/>
  <c r="AP26" i="6" s="1"/>
  <c r="AP26" i="7" s="1"/>
  <c r="AO25" i="6"/>
  <c r="AN25" i="6"/>
  <c r="AM25" i="6"/>
  <c r="AM26" i="6" s="1"/>
  <c r="AM26" i="7" s="1"/>
  <c r="AL25" i="6"/>
  <c r="AL26" i="6" s="1"/>
  <c r="AL26" i="7" s="1"/>
  <c r="AL27" i="7" s="1"/>
  <c r="AK25" i="6"/>
  <c r="AK26" i="6" s="1"/>
  <c r="AJ25" i="6"/>
  <c r="AI25" i="6"/>
  <c r="AI26" i="6" s="1"/>
  <c r="AI26" i="7" s="1"/>
  <c r="AH25" i="6"/>
  <c r="AH26" i="6" s="1"/>
  <c r="AH26" i="7" s="1"/>
  <c r="AH27" i="7" s="1"/>
  <c r="AG25" i="6"/>
  <c r="AG26" i="6" s="1"/>
  <c r="AF25" i="6"/>
  <c r="AE25" i="6"/>
  <c r="AE26" i="6" s="1"/>
  <c r="AE26" i="7" s="1"/>
  <c r="AD25" i="6"/>
  <c r="AD26" i="6" s="1"/>
  <c r="AD26" i="7" s="1"/>
  <c r="AD27" i="7" s="1"/>
  <c r="AC25" i="6"/>
  <c r="AC26" i="6" s="1"/>
  <c r="AB25" i="6"/>
  <c r="AA25" i="6"/>
  <c r="AA26" i="6" s="1"/>
  <c r="AA26" i="7" s="1"/>
  <c r="Z25" i="6"/>
  <c r="Z26" i="6" s="1"/>
  <c r="Z26" i="7" s="1"/>
  <c r="Z27" i="7" s="1"/>
  <c r="Y25" i="6"/>
  <c r="Y26" i="6" s="1"/>
  <c r="X25" i="6"/>
  <c r="W25" i="6"/>
  <c r="W26" i="6" s="1"/>
  <c r="W26" i="7" s="1"/>
  <c r="V25" i="6"/>
  <c r="V26" i="6" s="1"/>
  <c r="V26" i="7" s="1"/>
  <c r="U25" i="6"/>
  <c r="U26" i="6" s="1"/>
  <c r="T25" i="6"/>
  <c r="S25" i="6"/>
  <c r="S26" i="6" s="1"/>
  <c r="S26" i="7" s="1"/>
  <c r="R25" i="6"/>
  <c r="R26" i="6" s="1"/>
  <c r="R26" i="7" s="1"/>
  <c r="R27" i="7" s="1"/>
  <c r="Q25" i="6"/>
  <c r="Q26" i="6" s="1"/>
  <c r="P25" i="6"/>
  <c r="O25" i="6"/>
  <c r="O26" i="6" s="1"/>
  <c r="O26" i="7" s="1"/>
  <c r="N25" i="6"/>
  <c r="N26" i="6" s="1"/>
  <c r="N26" i="7" s="1"/>
  <c r="N27" i="7" s="1"/>
  <c r="M25" i="6"/>
  <c r="M26" i="6" s="1"/>
  <c r="L25" i="6"/>
  <c r="K25" i="6"/>
  <c r="J25" i="6"/>
  <c r="J26" i="6" s="1"/>
  <c r="J26" i="7" s="1"/>
  <c r="I25" i="6"/>
  <c r="I26" i="6" s="1"/>
  <c r="H25" i="6"/>
  <c r="G25" i="6"/>
  <c r="G26" i="6" s="1"/>
  <c r="G26" i="7" s="1"/>
  <c r="F25" i="6"/>
  <c r="F26" i="6" s="1"/>
  <c r="F26" i="7" s="1"/>
  <c r="F27" i="7" s="1"/>
  <c r="E25" i="6"/>
  <c r="E26" i="6" s="1"/>
  <c r="D25" i="6"/>
  <c r="D26" i="6" s="1"/>
  <c r="B23" i="6"/>
  <c r="B23" i="7" s="1"/>
  <c r="D22" i="6"/>
  <c r="E22" i="6" s="1"/>
  <c r="E22" i="7" s="1"/>
  <c r="D21" i="6"/>
  <c r="D21" i="7" s="1"/>
  <c r="E20" i="6"/>
  <c r="D20" i="6"/>
  <c r="D20" i="7" s="1"/>
  <c r="AQ19" i="6"/>
  <c r="AP19" i="6"/>
  <c r="AP19" i="7" s="1"/>
  <c r="AO19" i="6"/>
  <c r="AO19" i="7" s="1"/>
  <c r="AN19" i="6"/>
  <c r="AM19" i="6"/>
  <c r="AM19" i="7" s="1"/>
  <c r="AL19" i="6"/>
  <c r="AL19" i="7" s="1"/>
  <c r="AK19" i="6"/>
  <c r="AK19" i="7" s="1"/>
  <c r="AJ19" i="6"/>
  <c r="AI19" i="6"/>
  <c r="AI19" i="7" s="1"/>
  <c r="AH19" i="6"/>
  <c r="AH19" i="7" s="1"/>
  <c r="AG19" i="6"/>
  <c r="AG19" i="7" s="1"/>
  <c r="AF19" i="6"/>
  <c r="AE19" i="6"/>
  <c r="AE19" i="7" s="1"/>
  <c r="AD19" i="6"/>
  <c r="AD19" i="7" s="1"/>
  <c r="AC19" i="6"/>
  <c r="AC19" i="7" s="1"/>
  <c r="AB19" i="6"/>
  <c r="AA19" i="6"/>
  <c r="AA19" i="7" s="1"/>
  <c r="Z19" i="6"/>
  <c r="Z19" i="7" s="1"/>
  <c r="Y19" i="6"/>
  <c r="Y19" i="7" s="1"/>
  <c r="X19" i="6"/>
  <c r="W19" i="6"/>
  <c r="W19" i="7" s="1"/>
  <c r="V19" i="6"/>
  <c r="V19" i="7" s="1"/>
  <c r="U19" i="6"/>
  <c r="U19" i="7" s="1"/>
  <c r="T19" i="6"/>
  <c r="S19" i="6"/>
  <c r="S19" i="7" s="1"/>
  <c r="R19" i="6"/>
  <c r="R19" i="7" s="1"/>
  <c r="Q19" i="6"/>
  <c r="Q19" i="7" s="1"/>
  <c r="P19" i="6"/>
  <c r="O19" i="6"/>
  <c r="O19" i="7" s="1"/>
  <c r="N19" i="6"/>
  <c r="N19" i="7" s="1"/>
  <c r="M19" i="6"/>
  <c r="M19" i="7" s="1"/>
  <c r="L19" i="6"/>
  <c r="K19" i="6"/>
  <c r="J19" i="6"/>
  <c r="J19" i="7" s="1"/>
  <c r="I19" i="6"/>
  <c r="I19" i="7" s="1"/>
  <c r="H19" i="6"/>
  <c r="F19" i="6"/>
  <c r="F19" i="7" s="1"/>
  <c r="D19" i="6"/>
  <c r="D19" i="7" s="1"/>
  <c r="AQ18" i="6"/>
  <c r="AP18" i="6"/>
  <c r="AP18" i="7" s="1"/>
  <c r="AO18" i="6"/>
  <c r="AN18" i="6"/>
  <c r="AM18" i="6"/>
  <c r="AM18" i="7" s="1"/>
  <c r="AL18" i="6"/>
  <c r="AL18" i="7" s="1"/>
  <c r="AK18" i="6"/>
  <c r="AJ18" i="6"/>
  <c r="AI18" i="6"/>
  <c r="AI18" i="7" s="1"/>
  <c r="AH18" i="6"/>
  <c r="AH18" i="7" s="1"/>
  <c r="AG18" i="6"/>
  <c r="AF18" i="6"/>
  <c r="AE18" i="6"/>
  <c r="AE18" i="7" s="1"/>
  <c r="AD18" i="6"/>
  <c r="AD18" i="7" s="1"/>
  <c r="AC18" i="6"/>
  <c r="AB18" i="6"/>
  <c r="AA18" i="6"/>
  <c r="AA18" i="7" s="1"/>
  <c r="Z18" i="6"/>
  <c r="Z18" i="7" s="1"/>
  <c r="Y18" i="6"/>
  <c r="X18" i="6"/>
  <c r="W18" i="6"/>
  <c r="W18" i="7" s="1"/>
  <c r="V18" i="6"/>
  <c r="V18" i="7" s="1"/>
  <c r="U18" i="6"/>
  <c r="T18" i="6"/>
  <c r="S18" i="6"/>
  <c r="S18" i="7" s="1"/>
  <c r="R18" i="6"/>
  <c r="R18" i="7" s="1"/>
  <c r="Q18" i="6"/>
  <c r="P18" i="6"/>
  <c r="O18" i="6"/>
  <c r="O18" i="7" s="1"/>
  <c r="N18" i="6"/>
  <c r="N18" i="7" s="1"/>
  <c r="M18" i="6"/>
  <c r="L18" i="6"/>
  <c r="K18" i="6"/>
  <c r="J18" i="6"/>
  <c r="J18" i="7" s="1"/>
  <c r="I18" i="6"/>
  <c r="H18" i="6"/>
  <c r="G18" i="6"/>
  <c r="G18" i="7" s="1"/>
  <c r="F18" i="6"/>
  <c r="F18" i="7" s="1"/>
  <c r="D18" i="6"/>
  <c r="AW17" i="6"/>
  <c r="G15" i="6"/>
  <c r="G16" i="6" s="1"/>
  <c r="F15" i="6"/>
  <c r="F16" i="6" s="1"/>
  <c r="E15" i="6"/>
  <c r="E16" i="6" s="1"/>
  <c r="D15" i="6"/>
  <c r="B15" i="6"/>
  <c r="B15" i="7" s="1"/>
  <c r="AW14" i="6"/>
  <c r="AW13" i="6"/>
  <c r="AW57" i="6" s="1"/>
  <c r="AQ13" i="6"/>
  <c r="AP13" i="6"/>
  <c r="AO13" i="6"/>
  <c r="AM13" i="6"/>
  <c r="AN13" i="6" s="1"/>
  <c r="AL13" i="6"/>
  <c r="AK13" i="6"/>
  <c r="AI13" i="6"/>
  <c r="AJ13" i="6" s="1"/>
  <c r="AH13" i="6"/>
  <c r="AE13" i="6"/>
  <c r="AF13" i="6" s="1"/>
  <c r="AD13" i="6"/>
  <c r="AC13" i="6"/>
  <c r="AA13" i="6"/>
  <c r="AB13" i="6" s="1"/>
  <c r="Z13" i="6"/>
  <c r="Y13" i="6"/>
  <c r="W13" i="6"/>
  <c r="V13" i="6"/>
  <c r="U13" i="6"/>
  <c r="T13" i="7"/>
  <c r="AW12" i="6"/>
  <c r="AW11" i="6"/>
  <c r="AW10" i="6"/>
  <c r="AW9" i="6"/>
  <c r="AW8" i="6"/>
  <c r="G6" i="6"/>
  <c r="F6" i="6"/>
  <c r="F7" i="6" s="1"/>
  <c r="E6" i="6"/>
  <c r="E7" i="6" s="1"/>
  <c r="D6" i="6"/>
  <c r="B6" i="6"/>
  <c r="B6" i="7" s="1"/>
  <c r="AW5" i="6"/>
  <c r="AW4" i="6"/>
  <c r="AW3" i="6"/>
  <c r="AW3" i="7" s="1"/>
  <c r="BG1" i="6"/>
  <c r="BG1" i="7" s="1"/>
  <c r="L68" i="7" s="1"/>
  <c r="BF1" i="6"/>
  <c r="BF1" i="7" s="1"/>
  <c r="K68" i="7" s="1"/>
  <c r="BE1" i="6"/>
  <c r="BE1" i="7" s="1"/>
  <c r="J68" i="7" s="1"/>
  <c r="BD1" i="6"/>
  <c r="BD1" i="7" s="1"/>
  <c r="I68" i="7" s="1"/>
  <c r="BC1" i="6"/>
  <c r="BC1" i="7" s="1"/>
  <c r="H68" i="7" s="1"/>
  <c r="BB1" i="6"/>
  <c r="BB1" i="7" s="1"/>
  <c r="G68" i="7" s="1"/>
  <c r="BA1" i="6"/>
  <c r="BA1" i="7" s="1"/>
  <c r="F68" i="7" s="1"/>
  <c r="AZ1" i="6"/>
  <c r="AZ1" i="7" s="1"/>
  <c r="E68" i="7" s="1"/>
  <c r="AY1" i="6"/>
  <c r="AY1" i="7" s="1"/>
  <c r="D68" i="7" s="1"/>
  <c r="AX1" i="6"/>
  <c r="AX1" i="7" s="1"/>
  <c r="C68" i="7" s="1"/>
  <c r="AW1" i="6"/>
  <c r="AW1" i="7" s="1"/>
  <c r="B68" i="7" s="1"/>
  <c r="AQ1" i="6"/>
  <c r="AP1" i="6"/>
  <c r="AP1" i="7" s="1"/>
  <c r="AO1" i="6"/>
  <c r="AO59" i="6" s="1"/>
  <c r="AN1" i="6"/>
  <c r="AM1" i="6"/>
  <c r="AL1" i="6"/>
  <c r="AL1" i="7" s="1"/>
  <c r="AK1" i="6"/>
  <c r="AK1" i="7" s="1"/>
  <c r="AJ1" i="6"/>
  <c r="AI1" i="6"/>
  <c r="AH1" i="6"/>
  <c r="AH1" i="7" s="1"/>
  <c r="AG1" i="6"/>
  <c r="AG59" i="6" s="1"/>
  <c r="AF1" i="6"/>
  <c r="AE1" i="6"/>
  <c r="AD1" i="6"/>
  <c r="AD1" i="7" s="1"/>
  <c r="AC1" i="6"/>
  <c r="AC1" i="7" s="1"/>
  <c r="AB1" i="6"/>
  <c r="AA1" i="6"/>
  <c r="Z1" i="6"/>
  <c r="Z1" i="7" s="1"/>
  <c r="Y1" i="6"/>
  <c r="Y59" i="6" s="1"/>
  <c r="X1" i="6"/>
  <c r="W1" i="6"/>
  <c r="V1" i="6"/>
  <c r="V1" i="7" s="1"/>
  <c r="U1" i="6"/>
  <c r="U1" i="7" s="1"/>
  <c r="T1" i="6"/>
  <c r="S1" i="6"/>
  <c r="R1" i="6"/>
  <c r="R1" i="7" s="1"/>
  <c r="Q1" i="6"/>
  <c r="Q59" i="6" s="1"/>
  <c r="P1" i="6"/>
  <c r="O1" i="6"/>
  <c r="N1" i="6"/>
  <c r="N1" i="7" s="1"/>
  <c r="M1" i="6"/>
  <c r="M1" i="7" s="1"/>
  <c r="L1" i="6"/>
  <c r="K1" i="6"/>
  <c r="J1" i="6"/>
  <c r="J1" i="7" s="1"/>
  <c r="I1" i="6"/>
  <c r="I59" i="6" s="1"/>
  <c r="H1" i="6"/>
  <c r="G1" i="6"/>
  <c r="F1" i="6"/>
  <c r="F1" i="7" s="1"/>
  <c r="E1" i="6"/>
  <c r="E1" i="7" s="1"/>
  <c r="D1" i="6"/>
  <c r="X4" i="5"/>
  <c r="T4" i="5"/>
  <c r="P4" i="5"/>
  <c r="Q4" i="5" s="1"/>
  <c r="R4" i="5" s="1"/>
  <c r="S4" i="5" s="1"/>
  <c r="L4" i="5"/>
  <c r="M4" i="5" s="1"/>
  <c r="N4" i="5" s="1"/>
  <c r="O4" i="5" s="1"/>
  <c r="H4" i="5"/>
  <c r="D4" i="5"/>
  <c r="B4" i="5"/>
  <c r="B18" i="5" s="1"/>
  <c r="X3" i="5"/>
  <c r="Y3" i="5" s="1"/>
  <c r="T3" i="5"/>
  <c r="U3" i="5" s="1"/>
  <c r="V3" i="5" s="1"/>
  <c r="W3" i="5" s="1"/>
  <c r="P3" i="5"/>
  <c r="Q3" i="5" s="1"/>
  <c r="L3" i="5"/>
  <c r="M3" i="5" s="1"/>
  <c r="N3" i="5" s="1"/>
  <c r="O3" i="5" s="1"/>
  <c r="K3" i="5"/>
  <c r="H3" i="5"/>
  <c r="I3" i="5" s="1"/>
  <c r="D3" i="5"/>
  <c r="B3" i="5"/>
  <c r="B17" i="5" s="1"/>
  <c r="B2" i="5"/>
  <c r="B16" i="5" s="1"/>
  <c r="I15" i="5"/>
  <c r="G38" i="3" s="1"/>
  <c r="G46" i="3" s="1"/>
  <c r="H15" i="5"/>
  <c r="F38" i="3" s="1"/>
  <c r="F52" i="3" s="1"/>
  <c r="G15" i="5"/>
  <c r="F15" i="5"/>
  <c r="E15" i="5"/>
  <c r="M35" i="4"/>
  <c r="L35" i="4"/>
  <c r="K35" i="4"/>
  <c r="J35" i="4"/>
  <c r="I35" i="4"/>
  <c r="H35" i="4"/>
  <c r="G35" i="4"/>
  <c r="F35" i="4"/>
  <c r="D35" i="4"/>
  <c r="C35" i="4"/>
  <c r="M34" i="4"/>
  <c r="L34" i="4"/>
  <c r="K34" i="4"/>
  <c r="J34" i="4"/>
  <c r="I34" i="4"/>
  <c r="H34" i="4"/>
  <c r="G34" i="4"/>
  <c r="F34" i="4"/>
  <c r="E34" i="4"/>
  <c r="D34" i="4"/>
  <c r="C34" i="4"/>
  <c r="F2" i="5"/>
  <c r="M22" i="4"/>
  <c r="L22" i="4"/>
  <c r="M15" i="5" s="1"/>
  <c r="K38" i="3" s="1"/>
  <c r="K46" i="3" s="1"/>
  <c r="K22" i="4"/>
  <c r="J77" i="6" s="1"/>
  <c r="J22" i="4"/>
  <c r="I22" i="4"/>
  <c r="H22" i="4"/>
  <c r="G77" i="6" s="1"/>
  <c r="G22" i="4"/>
  <c r="F77" i="6" s="1"/>
  <c r="F22" i="4"/>
  <c r="E77" i="6" s="1"/>
  <c r="E22" i="4"/>
  <c r="D77" i="6" s="1"/>
  <c r="D22" i="4"/>
  <c r="C77" i="6" s="1"/>
  <c r="C22" i="4"/>
  <c r="B77" i="6" s="1"/>
  <c r="E35" i="4"/>
  <c r="A16" i="4"/>
  <c r="A23" i="4" s="1"/>
  <c r="L10" i="4"/>
  <c r="AM3" i="29" s="1"/>
  <c r="A10" i="4"/>
  <c r="A3" i="29" s="1"/>
  <c r="M9" i="4"/>
  <c r="L9" i="4"/>
  <c r="Y9" i="4" s="1"/>
  <c r="K9" i="4"/>
  <c r="K15" i="4" s="1"/>
  <c r="J9" i="4"/>
  <c r="J15" i="4" s="1"/>
  <c r="I9" i="4"/>
  <c r="H9" i="4"/>
  <c r="H15" i="4" s="1"/>
  <c r="G9" i="4"/>
  <c r="G15" i="4" s="1"/>
  <c r="F9" i="4"/>
  <c r="F15" i="4" s="1"/>
  <c r="E9" i="4"/>
  <c r="D9" i="4"/>
  <c r="D15" i="4" s="1"/>
  <c r="C9" i="4"/>
  <c r="C15" i="4" s="1"/>
  <c r="AA4" i="4"/>
  <c r="AB4" i="4" s="1"/>
  <c r="Z4" i="4"/>
  <c r="Q4" i="4"/>
  <c r="D10" i="4" s="1"/>
  <c r="P4" i="4"/>
  <c r="P5" i="4" s="1"/>
  <c r="P6" i="4" s="1"/>
  <c r="Z1" i="4"/>
  <c r="Y1" i="4"/>
  <c r="X1" i="4"/>
  <c r="W1" i="4"/>
  <c r="V1" i="4"/>
  <c r="U1" i="4"/>
  <c r="T1" i="4"/>
  <c r="S1" i="4"/>
  <c r="R1" i="4"/>
  <c r="Q1" i="4"/>
  <c r="P1" i="4"/>
  <c r="A53" i="3"/>
  <c r="AS51" i="3"/>
  <c r="AR51" i="3"/>
  <c r="AQ51" i="3"/>
  <c r="AP51" i="3"/>
  <c r="AO51" i="3"/>
  <c r="AN51" i="3"/>
  <c r="AM51" i="3"/>
  <c r="AL51" i="3"/>
  <c r="AK51" i="3"/>
  <c r="AJ51" i="3"/>
  <c r="AI51" i="3"/>
  <c r="AH51" i="3"/>
  <c r="AG51" i="3"/>
  <c r="AF51" i="3"/>
  <c r="AE51" i="3"/>
  <c r="AD51" i="3"/>
  <c r="AC51" i="3"/>
  <c r="AB51" i="3"/>
  <c r="AA51" i="3"/>
  <c r="Z51" i="3"/>
  <c r="Y51" i="3"/>
  <c r="X51" i="3"/>
  <c r="W51" i="3"/>
  <c r="V51" i="3"/>
  <c r="U51" i="3"/>
  <c r="T51" i="3"/>
  <c r="S51" i="3"/>
  <c r="R51" i="3"/>
  <c r="Q51" i="3"/>
  <c r="P51" i="3"/>
  <c r="O51" i="3"/>
  <c r="N51" i="3"/>
  <c r="M51" i="3"/>
  <c r="L51" i="3"/>
  <c r="K51" i="3"/>
  <c r="J51" i="3"/>
  <c r="I51" i="3"/>
  <c r="H51" i="3"/>
  <c r="G51" i="3"/>
  <c r="F51" i="3"/>
  <c r="B51" i="3"/>
  <c r="AS49" i="3"/>
  <c r="AS16" i="12" s="1"/>
  <c r="AR49" i="3"/>
  <c r="AR16" i="12" s="1"/>
  <c r="AQ49" i="3"/>
  <c r="AQ16" i="12" s="1"/>
  <c r="AP49" i="3"/>
  <c r="AP16" i="12" s="1"/>
  <c r="AO49" i="3"/>
  <c r="AO16" i="12" s="1"/>
  <c r="AN49" i="3"/>
  <c r="AN16" i="12" s="1"/>
  <c r="AM49" i="3"/>
  <c r="AM16" i="12" s="1"/>
  <c r="AL49" i="3"/>
  <c r="AL16" i="12" s="1"/>
  <c r="AK49" i="3"/>
  <c r="AK16" i="12" s="1"/>
  <c r="AJ49" i="3"/>
  <c r="AJ16" i="12" s="1"/>
  <c r="AI49" i="3"/>
  <c r="AI16" i="12" s="1"/>
  <c r="AH49" i="3"/>
  <c r="AH16" i="12" s="1"/>
  <c r="AG49" i="3"/>
  <c r="AG16" i="12" s="1"/>
  <c r="AF49" i="3"/>
  <c r="AF16" i="12" s="1"/>
  <c r="AE49" i="3"/>
  <c r="AE16" i="12" s="1"/>
  <c r="AD49" i="3"/>
  <c r="AD16" i="12" s="1"/>
  <c r="AC49" i="3"/>
  <c r="AC16" i="12" s="1"/>
  <c r="AB49" i="3"/>
  <c r="AB16" i="12" s="1"/>
  <c r="AA49" i="3"/>
  <c r="AA16" i="12" s="1"/>
  <c r="Z49" i="3"/>
  <c r="Z16" i="12" s="1"/>
  <c r="Y49" i="3"/>
  <c r="Y16" i="12" s="1"/>
  <c r="X49" i="3"/>
  <c r="X16" i="12" s="1"/>
  <c r="W49" i="3"/>
  <c r="W16" i="12" s="1"/>
  <c r="V16" i="12"/>
  <c r="U49" i="3"/>
  <c r="U16" i="12" s="1"/>
  <c r="T49" i="3"/>
  <c r="T16" i="12" s="1"/>
  <c r="S49" i="3"/>
  <c r="S16" i="12" s="1"/>
  <c r="R49" i="3"/>
  <c r="R16" i="12" s="1"/>
  <c r="Q49" i="3"/>
  <c r="Q16" i="12" s="1"/>
  <c r="P49" i="3"/>
  <c r="P16" i="12" s="1"/>
  <c r="O49" i="3"/>
  <c r="O16" i="12" s="1"/>
  <c r="N49" i="3"/>
  <c r="N16" i="12" s="1"/>
  <c r="M49" i="3"/>
  <c r="M16" i="12" s="1"/>
  <c r="L49" i="3"/>
  <c r="L16" i="12" s="1"/>
  <c r="K49" i="3"/>
  <c r="K16" i="12" s="1"/>
  <c r="J49" i="3"/>
  <c r="J16" i="12" s="1"/>
  <c r="I49" i="3"/>
  <c r="I16" i="12" s="1"/>
  <c r="H49" i="3"/>
  <c r="H16" i="12" s="1"/>
  <c r="G49" i="3"/>
  <c r="G16" i="12" s="1"/>
  <c r="F49" i="3"/>
  <c r="F16" i="12" s="1"/>
  <c r="E49" i="3"/>
  <c r="E16" i="12" s="1"/>
  <c r="D49" i="3"/>
  <c r="D16" i="12" s="1"/>
  <c r="C49" i="3"/>
  <c r="C16" i="12" s="1"/>
  <c r="B49" i="3"/>
  <c r="B16" i="12" s="1"/>
  <c r="A49" i="3"/>
  <c r="F47" i="3"/>
  <c r="E47" i="3"/>
  <c r="D47" i="3"/>
  <c r="C47" i="3"/>
  <c r="B47" i="3"/>
  <c r="A40" i="3"/>
  <c r="A39" i="3"/>
  <c r="D26" i="3"/>
  <c r="D12" i="12" s="1"/>
  <c r="E25" i="29" s="1"/>
  <c r="E27" i="29" s="1"/>
  <c r="C26" i="3"/>
  <c r="C12" i="12" s="1"/>
  <c r="D25" i="29" s="1"/>
  <c r="D27" i="29" s="1"/>
  <c r="B26" i="3"/>
  <c r="B12" i="12" s="1"/>
  <c r="C25" i="29" s="1"/>
  <c r="C27" i="29" s="1"/>
  <c r="AS25" i="3"/>
  <c r="AR25" i="3"/>
  <c r="AR31" i="3" s="1"/>
  <c r="AQ25" i="3"/>
  <c r="AQ48" i="3" s="1"/>
  <c r="AQ50" i="3" s="1"/>
  <c r="AP25" i="3"/>
  <c r="AP48" i="3" s="1"/>
  <c r="AP50" i="3" s="1"/>
  <c r="AO25" i="3"/>
  <c r="AN25" i="3"/>
  <c r="AN31" i="3" s="1"/>
  <c r="AM25" i="3"/>
  <c r="AM31" i="3" s="1"/>
  <c r="AL25" i="3"/>
  <c r="AL48" i="3" s="1"/>
  <c r="AL50" i="3" s="1"/>
  <c r="AK25" i="3"/>
  <c r="AJ25" i="3"/>
  <c r="AJ31" i="3" s="1"/>
  <c r="AI25" i="3"/>
  <c r="AI48" i="3" s="1"/>
  <c r="AI50" i="3" s="1"/>
  <c r="AH25" i="3"/>
  <c r="AH48" i="3" s="1"/>
  <c r="AH50" i="3" s="1"/>
  <c r="AG25" i="3"/>
  <c r="AF25" i="3"/>
  <c r="AF31" i="3" s="1"/>
  <c r="AE25" i="3"/>
  <c r="AE31" i="3" s="1"/>
  <c r="AD25" i="3"/>
  <c r="AD48" i="3" s="1"/>
  <c r="AD50" i="3" s="1"/>
  <c r="AC25" i="3"/>
  <c r="AB25" i="3"/>
  <c r="AB31" i="3" s="1"/>
  <c r="AA25" i="3"/>
  <c r="AA48" i="3" s="1"/>
  <c r="AA50" i="3" s="1"/>
  <c r="Z25" i="3"/>
  <c r="Z48" i="3" s="1"/>
  <c r="Z50" i="3" s="1"/>
  <c r="Y25" i="3"/>
  <c r="X25" i="3"/>
  <c r="X31" i="3" s="1"/>
  <c r="W25" i="3"/>
  <c r="W31" i="3" s="1"/>
  <c r="V25" i="3"/>
  <c r="V48" i="3" s="1"/>
  <c r="V50" i="3" s="1"/>
  <c r="U25" i="3"/>
  <c r="T25" i="3"/>
  <c r="T31" i="3" s="1"/>
  <c r="S25" i="3"/>
  <c r="S48" i="3" s="1"/>
  <c r="S50" i="3" s="1"/>
  <c r="R25" i="3"/>
  <c r="Q24" i="3"/>
  <c r="P24" i="3"/>
  <c r="O24" i="3"/>
  <c r="M24" i="3"/>
  <c r="L24" i="3"/>
  <c r="K24" i="3"/>
  <c r="J24" i="3"/>
  <c r="I24" i="3"/>
  <c r="H24" i="3"/>
  <c r="G24" i="3"/>
  <c r="F24" i="3"/>
  <c r="C24" i="3"/>
  <c r="B24" i="3"/>
  <c r="Q12" i="3"/>
  <c r="Q5" i="13" s="1"/>
  <c r="P12" i="3"/>
  <c r="O12" i="3"/>
  <c r="N12" i="3"/>
  <c r="M12" i="3"/>
  <c r="L12" i="3"/>
  <c r="K12" i="3"/>
  <c r="K15" i="3" s="1"/>
  <c r="J12" i="3"/>
  <c r="J5" i="13" s="1"/>
  <c r="I12" i="3"/>
  <c r="I5" i="13" s="1"/>
  <c r="H12" i="3"/>
  <c r="H5" i="13" s="1"/>
  <c r="G12" i="3"/>
  <c r="G5" i="13" s="1"/>
  <c r="F12" i="3"/>
  <c r="F5" i="13" s="1"/>
  <c r="E12" i="3"/>
  <c r="E5" i="13" s="1"/>
  <c r="AA11" i="3"/>
  <c r="R11" i="3"/>
  <c r="AA10" i="3"/>
  <c r="R10" i="3"/>
  <c r="AA9" i="3"/>
  <c r="R9" i="3"/>
  <c r="R8" i="3"/>
  <c r="R7" i="3"/>
  <c r="R6" i="3"/>
  <c r="Z5" i="3"/>
  <c r="Y5" i="3"/>
  <c r="X5" i="3"/>
  <c r="W5" i="3"/>
  <c r="V5" i="3"/>
  <c r="R5" i="3"/>
  <c r="Z4" i="3"/>
  <c r="Y4" i="3"/>
  <c r="X4" i="3"/>
  <c r="W4" i="3"/>
  <c r="V4" i="3"/>
  <c r="R4" i="3"/>
  <c r="Z3" i="3"/>
  <c r="Y3" i="3"/>
  <c r="X3" i="3"/>
  <c r="V3" i="3"/>
  <c r="Z2" i="3"/>
  <c r="Y2" i="3"/>
  <c r="X2" i="3"/>
  <c r="W2" i="3"/>
  <c r="V2" i="3"/>
  <c r="R2" i="3"/>
  <c r="Z1" i="3"/>
  <c r="E38" i="3" s="1"/>
  <c r="Y1" i="3"/>
  <c r="D38" i="3" s="1"/>
  <c r="X1" i="3"/>
  <c r="C38" i="3" s="1"/>
  <c r="C46" i="3" s="1"/>
  <c r="W1" i="3"/>
  <c r="B38" i="3" s="1"/>
  <c r="B52" i="3" s="1"/>
  <c r="Q1" i="3"/>
  <c r="Q23" i="3" s="1"/>
  <c r="P1" i="3"/>
  <c r="P25" i="3" s="1"/>
  <c r="P31" i="3" s="1"/>
  <c r="O1" i="3"/>
  <c r="O25" i="3" s="1"/>
  <c r="N1" i="3"/>
  <c r="N25" i="3" s="1"/>
  <c r="N48" i="3" s="1"/>
  <c r="N50" i="3" s="1"/>
  <c r="M1" i="3"/>
  <c r="M23" i="3" s="1"/>
  <c r="L1" i="3"/>
  <c r="L25" i="3" s="1"/>
  <c r="L31" i="3" s="1"/>
  <c r="K1" i="3"/>
  <c r="K25" i="3" s="1"/>
  <c r="J1" i="3"/>
  <c r="J25" i="3" s="1"/>
  <c r="J48" i="3" s="1"/>
  <c r="J50" i="3" s="1"/>
  <c r="I1" i="3"/>
  <c r="I25" i="3" s="1"/>
  <c r="H1" i="3"/>
  <c r="H25" i="3" s="1"/>
  <c r="H31" i="3" s="1"/>
  <c r="G1" i="3"/>
  <c r="G25" i="3" s="1"/>
  <c r="F1" i="3"/>
  <c r="F23" i="3" s="1"/>
  <c r="E1" i="3"/>
  <c r="E23" i="3" s="1"/>
  <c r="D1" i="3"/>
  <c r="D25" i="3" s="1"/>
  <c r="D31" i="3" s="1"/>
  <c r="C1" i="3"/>
  <c r="C25" i="3" s="1"/>
  <c r="B1" i="3"/>
  <c r="B25" i="3" s="1"/>
  <c r="B48" i="3" s="1"/>
  <c r="B50" i="3" s="1"/>
  <c r="A24" i="2"/>
  <c r="A23" i="2"/>
  <c r="A22" i="2"/>
  <c r="A20" i="2"/>
  <c r="A19" i="2"/>
  <c r="A18" i="2"/>
  <c r="A17" i="2"/>
  <c r="A16" i="2"/>
  <c r="A15" i="2"/>
  <c r="A11" i="2"/>
  <c r="C43" i="1"/>
  <c r="B2" i="14" s="1"/>
  <c r="C14" i="14" s="1"/>
  <c r="D14" i="14" s="1"/>
  <c r="E14" i="14" s="1"/>
  <c r="F14" i="14" s="1"/>
  <c r="G14" i="14" s="1"/>
  <c r="H14" i="14" s="1"/>
  <c r="I14" i="14" s="1"/>
  <c r="J14" i="14" s="1"/>
  <c r="K14" i="14" s="1"/>
  <c r="L14" i="14" s="1"/>
  <c r="C21" i="13" l="1"/>
  <c r="N5" i="13"/>
  <c r="N15" i="3"/>
  <c r="U9" i="4"/>
  <c r="AZ18" i="6"/>
  <c r="BB18" i="6"/>
  <c r="AQ29" i="7"/>
  <c r="AR29" i="6"/>
  <c r="AQ30" i="7"/>
  <c r="AR30" i="6"/>
  <c r="AQ31" i="7"/>
  <c r="AR31" i="6"/>
  <c r="AQ32" i="7"/>
  <c r="AR32" i="6"/>
  <c r="AQ33" i="7"/>
  <c r="AR33" i="6"/>
  <c r="O5" i="13"/>
  <c r="O15" i="3"/>
  <c r="R48" i="3"/>
  <c r="R50" i="3" s="1"/>
  <c r="R23" i="3"/>
  <c r="BC13" i="6"/>
  <c r="AQ19" i="7"/>
  <c r="AR19" i="6"/>
  <c r="BA29" i="6"/>
  <c r="AW30" i="6"/>
  <c r="AW33" i="7"/>
  <c r="BC33" i="6"/>
  <c r="AQ46" i="7"/>
  <c r="AR46" i="6"/>
  <c r="E7" i="15"/>
  <c r="F7" i="15" s="1"/>
  <c r="E19" i="15"/>
  <c r="E8" i="17"/>
  <c r="G8" i="17" s="1"/>
  <c r="E12" i="17"/>
  <c r="G12" i="17" s="1"/>
  <c r="E16" i="17"/>
  <c r="G16" i="17" s="1"/>
  <c r="E20" i="17"/>
  <c r="G20" i="17" s="1"/>
  <c r="E11" i="18"/>
  <c r="E10" i="19"/>
  <c r="F10" i="19" s="1"/>
  <c r="E14" i="19"/>
  <c r="G14" i="19" s="1"/>
  <c r="E24" i="20"/>
  <c r="E18" i="22"/>
  <c r="E21" i="23"/>
  <c r="F21" i="23" s="1"/>
  <c r="P5" i="13"/>
  <c r="P15" i="3"/>
  <c r="T21" i="12" s="1"/>
  <c r="BC19" i="6"/>
  <c r="AQ18" i="7"/>
  <c r="AR18" i="6"/>
  <c r="E8" i="15"/>
  <c r="E20" i="15"/>
  <c r="F20" i="15" s="1"/>
  <c r="E24" i="15"/>
  <c r="G24" i="15" s="1"/>
  <c r="E14" i="16"/>
  <c r="E18" i="16"/>
  <c r="E22" i="16"/>
  <c r="E9" i="17"/>
  <c r="E25" i="17"/>
  <c r="E16" i="18"/>
  <c r="E24" i="18"/>
  <c r="E19" i="19"/>
  <c r="E23" i="19"/>
  <c r="E18" i="20"/>
  <c r="G18" i="20" s="1"/>
  <c r="E8" i="21"/>
  <c r="E11" i="22"/>
  <c r="E10" i="23"/>
  <c r="G10" i="23" s="1"/>
  <c r="E14" i="23"/>
  <c r="E18" i="23"/>
  <c r="G18" i="23" s="1"/>
  <c r="E22" i="23"/>
  <c r="E9" i="24"/>
  <c r="E13" i="24"/>
  <c r="G13" i="24" s="1"/>
  <c r="E25" i="24"/>
  <c r="AQ13" i="7"/>
  <c r="AR13" i="6"/>
  <c r="AY18" i="6"/>
  <c r="AZ25" i="6"/>
  <c r="K5" i="13"/>
  <c r="E21" i="6"/>
  <c r="E21" i="7" s="1"/>
  <c r="AX29" i="6"/>
  <c r="AZ29" i="6"/>
  <c r="BD29" i="6"/>
  <c r="P30" i="7"/>
  <c r="AZ30" i="7" s="1"/>
  <c r="AZ30" i="6"/>
  <c r="P31" i="7"/>
  <c r="AZ31" i="6"/>
  <c r="P32" i="7"/>
  <c r="AZ32" i="6"/>
  <c r="AZ33" i="6"/>
  <c r="BF33" i="6"/>
  <c r="E9" i="15"/>
  <c r="G9" i="15" s="1"/>
  <c r="E18" i="17"/>
  <c r="E9" i="18"/>
  <c r="E12" i="19"/>
  <c r="E12" i="22"/>
  <c r="F12" i="22" s="1"/>
  <c r="E22" i="24"/>
  <c r="L5" i="13"/>
  <c r="L15" i="3"/>
  <c r="S21" i="12" s="1"/>
  <c r="P19" i="7"/>
  <c r="AZ19" i="6"/>
  <c r="BF19" i="6"/>
  <c r="AZ37" i="6"/>
  <c r="P38" i="7"/>
  <c r="AZ38" i="6"/>
  <c r="P39" i="7"/>
  <c r="AZ39" i="6"/>
  <c r="P40" i="7"/>
  <c r="AZ40" i="6"/>
  <c r="AZ41" i="6"/>
  <c r="P42" i="7"/>
  <c r="AZ42" i="6"/>
  <c r="P43" i="7"/>
  <c r="AZ43" i="6"/>
  <c r="P44" i="7"/>
  <c r="AZ44" i="6"/>
  <c r="AZ45" i="6"/>
  <c r="P46" i="7"/>
  <c r="AZ46" i="6"/>
  <c r="M5" i="13"/>
  <c r="M15" i="3"/>
  <c r="AQ26" i="6"/>
  <c r="AR25" i="6"/>
  <c r="K30" i="13"/>
  <c r="E6" i="15"/>
  <c r="F6" i="15" s="1"/>
  <c r="E18" i="15"/>
  <c r="E15" i="17"/>
  <c r="G15" i="17" s="1"/>
  <c r="E19" i="17"/>
  <c r="E23" i="17"/>
  <c r="G23" i="17" s="1"/>
  <c r="E18" i="18"/>
  <c r="F18" i="18" s="1"/>
  <c r="E25" i="19"/>
  <c r="F25" i="19" s="1"/>
  <c r="E14" i="21"/>
  <c r="G14" i="21" s="1"/>
  <c r="E25" i="22"/>
  <c r="G25" i="22" s="1"/>
  <c r="E8" i="23"/>
  <c r="E12" i="23"/>
  <c r="F12" i="23" s="1"/>
  <c r="E16" i="23"/>
  <c r="E15" i="24"/>
  <c r="E19" i="24"/>
  <c r="AW12" i="7"/>
  <c r="P57" i="7"/>
  <c r="AZ57" i="6"/>
  <c r="BE39" i="7"/>
  <c r="AW5" i="7"/>
  <c r="AW11" i="7"/>
  <c r="BE38" i="7"/>
  <c r="BE42" i="7"/>
  <c r="BC57" i="7"/>
  <c r="BF57" i="7"/>
  <c r="BG57" i="7" s="1"/>
  <c r="AJ48" i="6"/>
  <c r="T32" i="7"/>
  <c r="BA32" i="6"/>
  <c r="K40" i="7"/>
  <c r="Z17" i="12"/>
  <c r="AL17" i="12"/>
  <c r="AA17" i="12"/>
  <c r="AM17" i="12"/>
  <c r="AF17" i="12"/>
  <c r="AB17" i="12"/>
  <c r="AN17" i="12"/>
  <c r="AP17" i="12"/>
  <c r="AR17" i="12"/>
  <c r="AC17" i="12"/>
  <c r="AO17" i="12"/>
  <c r="AD17" i="12"/>
  <c r="AE17" i="12"/>
  <c r="AQ17" i="12"/>
  <c r="AG17" i="12"/>
  <c r="AS17" i="12"/>
  <c r="Y17" i="12"/>
  <c r="AH17" i="12"/>
  <c r="V17" i="12"/>
  <c r="X17" i="12"/>
  <c r="W17" i="12"/>
  <c r="AI17" i="12"/>
  <c r="AJ17" i="12"/>
  <c r="AK17" i="12"/>
  <c r="E21" i="13"/>
  <c r="E9" i="14" s="1"/>
  <c r="E11" i="14" s="1"/>
  <c r="P9" i="4"/>
  <c r="AY19" i="6"/>
  <c r="BB19" i="6"/>
  <c r="AJ19" i="7"/>
  <c r="BE19" i="7" s="1"/>
  <c r="BE19" i="6"/>
  <c r="BC29" i="6"/>
  <c r="BF29" i="6"/>
  <c r="L30" i="7"/>
  <c r="AY30" i="6"/>
  <c r="X30" i="7"/>
  <c r="BB30" i="6"/>
  <c r="AJ30" i="7"/>
  <c r="BE30" i="6"/>
  <c r="H31" i="7"/>
  <c r="AX31" i="6"/>
  <c r="T31" i="7"/>
  <c r="BA31" i="7" s="1"/>
  <c r="BA31" i="6"/>
  <c r="AF31" i="7"/>
  <c r="BD31" i="6"/>
  <c r="AB32" i="7"/>
  <c r="BC32" i="7" s="1"/>
  <c r="BC32" i="6"/>
  <c r="AN32" i="7"/>
  <c r="BF32" i="7" s="1"/>
  <c r="BG32" i="7" s="1"/>
  <c r="BF32" i="6"/>
  <c r="AY33" i="6"/>
  <c r="BB33" i="6"/>
  <c r="AJ33" i="7"/>
  <c r="BE33" i="7" s="1"/>
  <c r="BE33" i="6"/>
  <c r="K38" i="7"/>
  <c r="K41" i="7"/>
  <c r="K44" i="7"/>
  <c r="E10" i="21"/>
  <c r="G10" i="21" s="1"/>
  <c r="Q9" i="4"/>
  <c r="AX37" i="6"/>
  <c r="T37" i="7"/>
  <c r="BA37" i="7" s="1"/>
  <c r="BA37" i="6"/>
  <c r="BD37" i="6"/>
  <c r="L38" i="7"/>
  <c r="AY38" i="6"/>
  <c r="X38" i="7"/>
  <c r="BB38" i="6"/>
  <c r="BC39" i="6"/>
  <c r="H40" i="7"/>
  <c r="AX40" i="6"/>
  <c r="T40" i="7"/>
  <c r="BA40" i="7" s="1"/>
  <c r="BA40" i="6"/>
  <c r="AF40" i="7"/>
  <c r="BD40" i="7" s="1"/>
  <c r="BD40" i="6"/>
  <c r="AY41" i="6"/>
  <c r="BB41" i="6"/>
  <c r="AB42" i="7"/>
  <c r="BC42" i="6"/>
  <c r="H43" i="7"/>
  <c r="AX43" i="6"/>
  <c r="T43" i="7"/>
  <c r="BA43" i="7" s="1"/>
  <c r="BA43" i="6"/>
  <c r="BD43" i="6"/>
  <c r="L44" i="7"/>
  <c r="AY44" i="7" s="1"/>
  <c r="AY44" i="6"/>
  <c r="X44" i="7"/>
  <c r="BB44" i="6"/>
  <c r="BC45" i="6"/>
  <c r="H46" i="7"/>
  <c r="AX46" i="6"/>
  <c r="T46" i="7"/>
  <c r="BA46" i="7" s="1"/>
  <c r="BA46" i="6"/>
  <c r="AF46" i="7"/>
  <c r="BD46" i="6"/>
  <c r="B15" i="13"/>
  <c r="S9" i="4"/>
  <c r="BF13" i="6"/>
  <c r="BC18" i="6"/>
  <c r="BF18" i="6"/>
  <c r="BC25" i="6"/>
  <c r="AN26" i="6"/>
  <c r="AN26" i="7" s="1"/>
  <c r="BF25" i="6"/>
  <c r="E9" i="16"/>
  <c r="G9" i="16" s="1"/>
  <c r="E20" i="16"/>
  <c r="G20" i="16" s="1"/>
  <c r="E11" i="25"/>
  <c r="E23" i="25"/>
  <c r="AJ31" i="7"/>
  <c r="BE31" i="7" s="1"/>
  <c r="BE31" i="6"/>
  <c r="T9" i="4"/>
  <c r="AW6" i="6"/>
  <c r="AW18" i="6"/>
  <c r="K31" i="7"/>
  <c r="AB39" i="7"/>
  <c r="BC39" i="7" s="1"/>
  <c r="E10" i="16"/>
  <c r="F15" i="17"/>
  <c r="E17" i="18"/>
  <c r="E7" i="19"/>
  <c r="E9" i="20"/>
  <c r="F9" i="20" s="1"/>
  <c r="E15" i="20"/>
  <c r="E20" i="20"/>
  <c r="G21" i="21"/>
  <c r="E22" i="22"/>
  <c r="G22" i="22" s="1"/>
  <c r="E25" i="23"/>
  <c r="G25" i="23" s="1"/>
  <c r="E10" i="24"/>
  <c r="G10" i="24" s="1"/>
  <c r="E18" i="25"/>
  <c r="X31" i="7"/>
  <c r="BB31" i="6"/>
  <c r="K37" i="7"/>
  <c r="X9" i="4"/>
  <c r="AY37" i="6"/>
  <c r="BB37" i="6"/>
  <c r="AB38" i="7"/>
  <c r="BC38" i="6"/>
  <c r="H39" i="7"/>
  <c r="AX39" i="6"/>
  <c r="T39" i="7"/>
  <c r="BA39" i="7" s="1"/>
  <c r="BA39" i="6"/>
  <c r="AF39" i="7"/>
  <c r="BD39" i="6"/>
  <c r="L40" i="7"/>
  <c r="AY40" i="7" s="1"/>
  <c r="AY40" i="6"/>
  <c r="X40" i="7"/>
  <c r="BB40" i="6"/>
  <c r="BC41" i="6"/>
  <c r="H42" i="7"/>
  <c r="AX42" i="6"/>
  <c r="T42" i="7"/>
  <c r="BA42" i="7" s="1"/>
  <c r="BA42" i="6"/>
  <c r="AF42" i="7"/>
  <c r="BD42" i="6"/>
  <c r="L43" i="7"/>
  <c r="AY43" i="7" s="1"/>
  <c r="AY43" i="6"/>
  <c r="X43" i="7"/>
  <c r="BB43" i="6"/>
  <c r="AB44" i="7"/>
  <c r="BC44" i="7" s="1"/>
  <c r="BC44" i="6"/>
  <c r="AX45" i="6"/>
  <c r="T45" i="7"/>
  <c r="BA45" i="6"/>
  <c r="BD45" i="6"/>
  <c r="L46" i="7"/>
  <c r="AY46" i="6"/>
  <c r="X46" i="7"/>
  <c r="BB46" i="7" s="1"/>
  <c r="BB46" i="6"/>
  <c r="AJ46" i="7"/>
  <c r="AJ47" i="7" s="1"/>
  <c r="AJ48" i="7" s="1"/>
  <c r="BE46" i="6"/>
  <c r="E14" i="15"/>
  <c r="AB30" i="7"/>
  <c r="BC30" i="6"/>
  <c r="AX18" i="6"/>
  <c r="BA18" i="6"/>
  <c r="BD18" i="6"/>
  <c r="H26" i="6"/>
  <c r="AX25" i="6"/>
  <c r="T26" i="6"/>
  <c r="BA26" i="6" s="1"/>
  <c r="BA25" i="6"/>
  <c r="BD25" i="6"/>
  <c r="E10" i="15"/>
  <c r="F10" i="15" s="1"/>
  <c r="E17" i="17"/>
  <c r="E23" i="22"/>
  <c r="E11" i="24"/>
  <c r="E17" i="24"/>
  <c r="E23" i="24"/>
  <c r="E7" i="25"/>
  <c r="E19" i="25"/>
  <c r="AF32" i="7"/>
  <c r="BD32" i="6"/>
  <c r="K46" i="7"/>
  <c r="K29" i="7"/>
  <c r="K32" i="7"/>
  <c r="L30" i="13"/>
  <c r="G11" i="16"/>
  <c r="E19" i="18"/>
  <c r="E17" i="20"/>
  <c r="F17" i="20" s="1"/>
  <c r="L31" i="7"/>
  <c r="AY31" i="7" s="1"/>
  <c r="AY31" i="6"/>
  <c r="D21" i="13"/>
  <c r="D9" i="14" s="1"/>
  <c r="D11" i="14" s="1"/>
  <c r="AX19" i="6"/>
  <c r="T19" i="7"/>
  <c r="BA19" i="7" s="1"/>
  <c r="BA19" i="6"/>
  <c r="AF19" i="7"/>
  <c r="BD19" i="7" s="1"/>
  <c r="BD19" i="6"/>
  <c r="AY29" i="6"/>
  <c r="BB29" i="6"/>
  <c r="BE29" i="6"/>
  <c r="H30" i="7"/>
  <c r="AX30" i="6"/>
  <c r="BA30" i="6"/>
  <c r="AF30" i="7"/>
  <c r="BD30" i="7" s="1"/>
  <c r="BD30" i="6"/>
  <c r="AB31" i="7"/>
  <c r="BC31" i="7" s="1"/>
  <c r="BC31" i="6"/>
  <c r="AN31" i="7"/>
  <c r="BF31" i="6"/>
  <c r="L32" i="7"/>
  <c r="AY32" i="7" s="1"/>
  <c r="AY32" i="6"/>
  <c r="X32" i="7"/>
  <c r="BB32" i="6"/>
  <c r="AJ32" i="7"/>
  <c r="BE32" i="6"/>
  <c r="AX33" i="6"/>
  <c r="T33" i="7"/>
  <c r="BA33" i="6"/>
  <c r="BD33" i="6"/>
  <c r="K39" i="7"/>
  <c r="K42" i="7"/>
  <c r="K45" i="7"/>
  <c r="BB57" i="7"/>
  <c r="BE57" i="7"/>
  <c r="E11" i="15"/>
  <c r="E14" i="18"/>
  <c r="E15" i="19"/>
  <c r="E21" i="19"/>
  <c r="F21" i="19" s="1"/>
  <c r="E23" i="20"/>
  <c r="F13" i="21"/>
  <c r="E18" i="24"/>
  <c r="G18" i="24" s="1"/>
  <c r="H32" i="7"/>
  <c r="AX32" i="6"/>
  <c r="K43" i="7"/>
  <c r="AX43" i="7" s="1"/>
  <c r="K18" i="7"/>
  <c r="K26" i="6"/>
  <c r="BC37" i="6"/>
  <c r="H38" i="7"/>
  <c r="AX38" i="7" s="1"/>
  <c r="AX38" i="6"/>
  <c r="T38" i="7"/>
  <c r="BA38" i="6"/>
  <c r="AF38" i="7"/>
  <c r="BD38" i="7" s="1"/>
  <c r="BD38" i="6"/>
  <c r="L39" i="7"/>
  <c r="AY39" i="6"/>
  <c r="X39" i="7"/>
  <c r="BB39" i="7" s="1"/>
  <c r="BB39" i="6"/>
  <c r="AB40" i="7"/>
  <c r="BC40" i="6"/>
  <c r="AX41" i="6"/>
  <c r="T41" i="7"/>
  <c r="BA41" i="7" s="1"/>
  <c r="BA41" i="6"/>
  <c r="BD41" i="6"/>
  <c r="L42" i="7"/>
  <c r="AY42" i="6"/>
  <c r="X42" i="7"/>
  <c r="BB42" i="6"/>
  <c r="AB43" i="7"/>
  <c r="BC43" i="7" s="1"/>
  <c r="BC43" i="6"/>
  <c r="H44" i="7"/>
  <c r="AX44" i="6"/>
  <c r="T44" i="7"/>
  <c r="BA44" i="7" s="1"/>
  <c r="BA44" i="6"/>
  <c r="AF44" i="7"/>
  <c r="BD44" i="6"/>
  <c r="AY45" i="6"/>
  <c r="BB45" i="6"/>
  <c r="AB46" i="7"/>
  <c r="BC46" i="6"/>
  <c r="AN46" i="7"/>
  <c r="AN47" i="7" s="1"/>
  <c r="BF46" i="6"/>
  <c r="AF43" i="7"/>
  <c r="E7" i="16"/>
  <c r="BE18" i="6"/>
  <c r="AY25" i="6"/>
  <c r="X26" i="6"/>
  <c r="BB26" i="6" s="1"/>
  <c r="BB25" i="6"/>
  <c r="AJ26" i="6"/>
  <c r="BE26" i="6" s="1"/>
  <c r="BE25" i="6"/>
  <c r="E20" i="18"/>
  <c r="G20" i="18" s="1"/>
  <c r="E22" i="19"/>
  <c r="E9" i="21"/>
  <c r="E7" i="24"/>
  <c r="E15" i="25"/>
  <c r="AN30" i="7"/>
  <c r="BF30" i="6"/>
  <c r="K19" i="7"/>
  <c r="K30" i="7"/>
  <c r="K33" i="7"/>
  <c r="E5" i="19"/>
  <c r="E11" i="19"/>
  <c r="E7" i="20"/>
  <c r="E13" i="20"/>
  <c r="E20" i="21"/>
  <c r="E25" i="21"/>
  <c r="F25" i="21" s="1"/>
  <c r="E20" i="22"/>
  <c r="F20" i="22" s="1"/>
  <c r="E5" i="23"/>
  <c r="F5" i="23" s="1"/>
  <c r="E17" i="23"/>
  <c r="G17" i="23" s="1"/>
  <c r="E14" i="24"/>
  <c r="E10" i="25"/>
  <c r="G10" i="25" s="1"/>
  <c r="E22" i="25"/>
  <c r="G22" i="25" s="1"/>
  <c r="I4" i="4"/>
  <c r="M5" i="4"/>
  <c r="M24" i="4" s="1"/>
  <c r="AR3" i="5" s="1"/>
  <c r="AS3" i="5" s="1"/>
  <c r="AT3" i="5" s="1"/>
  <c r="AU3" i="5" s="1"/>
  <c r="L24" i="4"/>
  <c r="AN3" i="5" s="1"/>
  <c r="AO3" i="5" s="1"/>
  <c r="AP3" i="5" s="1"/>
  <c r="AQ3" i="5" s="1"/>
  <c r="M6" i="4"/>
  <c r="M25" i="4" s="1"/>
  <c r="AR4" i="5" s="1"/>
  <c r="AS4" i="5" s="1"/>
  <c r="AT4" i="5" s="1"/>
  <c r="AU4" i="5" s="1"/>
  <c r="L25" i="4"/>
  <c r="AN4" i="5" s="1"/>
  <c r="AO4" i="5" s="1"/>
  <c r="AP4" i="5" s="1"/>
  <c r="AQ4" i="5" s="1"/>
  <c r="T9" i="12"/>
  <c r="T24" i="29"/>
  <c r="H57" i="7"/>
  <c r="AX57" i="6"/>
  <c r="L57" i="7"/>
  <c r="AY57" i="7" s="1"/>
  <c r="AY57" i="6"/>
  <c r="K57" i="7"/>
  <c r="H11" i="7"/>
  <c r="H12" i="7"/>
  <c r="BE13" i="6"/>
  <c r="H14" i="7"/>
  <c r="BA13" i="6"/>
  <c r="H2" i="7"/>
  <c r="H3" i="7"/>
  <c r="I2" i="7"/>
  <c r="J18" i="5"/>
  <c r="E6" i="25"/>
  <c r="G6" i="25" s="1"/>
  <c r="E6" i="20"/>
  <c r="G6" i="20" s="1"/>
  <c r="E6" i="23"/>
  <c r="F6" i="23" s="1"/>
  <c r="E5" i="24"/>
  <c r="G5" i="24" s="1"/>
  <c r="E5" i="25"/>
  <c r="G5" i="25" s="1"/>
  <c r="AN3" i="29"/>
  <c r="AM4" i="12" s="1"/>
  <c r="E5" i="17"/>
  <c r="G5" i="17" s="1"/>
  <c r="E6" i="22"/>
  <c r="G6" i="22" s="1"/>
  <c r="E6" i="24"/>
  <c r="F6" i="24" s="1"/>
  <c r="E5" i="16"/>
  <c r="G5" i="16" s="1"/>
  <c r="E5" i="18"/>
  <c r="F5" i="18" s="1"/>
  <c r="G14" i="25"/>
  <c r="F14" i="25"/>
  <c r="G22" i="23"/>
  <c r="F22" i="23"/>
  <c r="G18" i="25"/>
  <c r="F18" i="25"/>
  <c r="G14" i="23"/>
  <c r="F14" i="23"/>
  <c r="G11" i="19"/>
  <c r="F11" i="19"/>
  <c r="O27" i="7"/>
  <c r="E23" i="21"/>
  <c r="F25" i="22"/>
  <c r="G12" i="23"/>
  <c r="L15" i="4"/>
  <c r="AG34" i="6"/>
  <c r="AG35" i="6" s="1"/>
  <c r="AJ24" i="7"/>
  <c r="BF43" i="7"/>
  <c r="BG43" i="7" s="1"/>
  <c r="AA13" i="8"/>
  <c r="E8" i="16"/>
  <c r="F12" i="16"/>
  <c r="F20" i="16"/>
  <c r="E13" i="18"/>
  <c r="G13" i="18" s="1"/>
  <c r="E6" i="19"/>
  <c r="G10" i="19"/>
  <c r="F14" i="19"/>
  <c r="E12" i="20"/>
  <c r="G12" i="20" s="1"/>
  <c r="G21" i="20"/>
  <c r="E6" i="21"/>
  <c r="F6" i="21" s="1"/>
  <c r="E11" i="21"/>
  <c r="E15" i="21"/>
  <c r="G15" i="21" s="1"/>
  <c r="E19" i="21"/>
  <c r="G19" i="21" s="1"/>
  <c r="E24" i="21"/>
  <c r="E7" i="22"/>
  <c r="E17" i="22"/>
  <c r="E21" i="22"/>
  <c r="E9" i="23"/>
  <c r="E13" i="23"/>
  <c r="F13" i="25"/>
  <c r="F21" i="25"/>
  <c r="AM27" i="7"/>
  <c r="E15" i="7"/>
  <c r="E16" i="7" s="1"/>
  <c r="AK24" i="7"/>
  <c r="F24" i="15"/>
  <c r="G17" i="20"/>
  <c r="F17" i="23"/>
  <c r="G21" i="23"/>
  <c r="F13" i="24"/>
  <c r="G9" i="25"/>
  <c r="G17" i="25"/>
  <c r="I11" i="7"/>
  <c r="V27" i="7"/>
  <c r="W9" i="4"/>
  <c r="G7" i="6"/>
  <c r="W34" i="7"/>
  <c r="W35" i="7" s="1"/>
  <c r="B82" i="6"/>
  <c r="C82" i="6" s="1"/>
  <c r="F15" i="7"/>
  <c r="F16" i="7" s="1"/>
  <c r="AZ13" i="7"/>
  <c r="AL24" i="7"/>
  <c r="D30" i="7"/>
  <c r="AW30" i="7" s="1"/>
  <c r="BF42" i="7"/>
  <c r="BG42" i="7" s="1"/>
  <c r="E13" i="17"/>
  <c r="G13" i="17" s="1"/>
  <c r="E6" i="18"/>
  <c r="F6" i="18" s="1"/>
  <c r="E10" i="18"/>
  <c r="E24" i="19"/>
  <c r="G24" i="19" s="1"/>
  <c r="E12" i="21"/>
  <c r="F18" i="21"/>
  <c r="G27" i="7"/>
  <c r="S27" i="7"/>
  <c r="AE27" i="7"/>
  <c r="AX30" i="7"/>
  <c r="L47" i="6"/>
  <c r="AW45" i="7"/>
  <c r="AM24" i="7"/>
  <c r="T30" i="7"/>
  <c r="BA30" i="7" s="1"/>
  <c r="G20" i="15"/>
  <c r="E15" i="18"/>
  <c r="G18" i="18"/>
  <c r="E8" i="20"/>
  <c r="E14" i="20"/>
  <c r="G16" i="21"/>
  <c r="E9" i="22"/>
  <c r="E13" i="22"/>
  <c r="G13" i="22" s="1"/>
  <c r="G5" i="23"/>
  <c r="D16" i="6"/>
  <c r="B90" i="6"/>
  <c r="AX13" i="7"/>
  <c r="AN24" i="7"/>
  <c r="G6" i="15"/>
  <c r="F23" i="17"/>
  <c r="E7" i="18"/>
  <c r="F18" i="20"/>
  <c r="E17" i="21"/>
  <c r="AY13" i="7"/>
  <c r="AF47" i="6"/>
  <c r="AF48" i="6" s="1"/>
  <c r="E13" i="15"/>
  <c r="F13" i="15" s="1"/>
  <c r="E21" i="17"/>
  <c r="G21" i="17" s="1"/>
  <c r="E21" i="18"/>
  <c r="E3" i="5"/>
  <c r="X13" i="6"/>
  <c r="BB13" i="6" s="1"/>
  <c r="BA33" i="7"/>
  <c r="I34" i="6"/>
  <c r="I35" i="6" s="1"/>
  <c r="AW41" i="7"/>
  <c r="D22" i="7"/>
  <c r="AO24" i="7"/>
  <c r="BE37" i="7"/>
  <c r="E16" i="19"/>
  <c r="G25" i="19"/>
  <c r="G25" i="21"/>
  <c r="X12" i="3"/>
  <c r="F12" i="18"/>
  <c r="E16" i="20"/>
  <c r="AA27" i="7"/>
  <c r="AG34" i="7"/>
  <c r="AG35" i="7" s="1"/>
  <c r="F10" i="21"/>
  <c r="N15" i="5"/>
  <c r="L38" i="3" s="1"/>
  <c r="L46" i="3" s="1"/>
  <c r="L77" i="6"/>
  <c r="AL4" i="12"/>
  <c r="AO26" i="6"/>
  <c r="AO27" i="6" s="1"/>
  <c r="AM34" i="7"/>
  <c r="AM35" i="7" s="1"/>
  <c r="Y34" i="6"/>
  <c r="Y35" i="6" s="1"/>
  <c r="AP24" i="7"/>
  <c r="BF39" i="7"/>
  <c r="BG39" i="7" s="1"/>
  <c r="BF40" i="7"/>
  <c r="BG40" i="7" s="1"/>
  <c r="BD57" i="7"/>
  <c r="E22" i="15"/>
  <c r="E10" i="17"/>
  <c r="E17" i="19"/>
  <c r="E5" i="20"/>
  <c r="E10" i="20"/>
  <c r="E5" i="22"/>
  <c r="G5" i="22" s="1"/>
  <c r="W27" i="7"/>
  <c r="AI27" i="7"/>
  <c r="J27" i="7"/>
  <c r="AP27" i="7"/>
  <c r="BB30" i="7"/>
  <c r="AO34" i="6"/>
  <c r="AO35" i="6" s="1"/>
  <c r="BA45" i="7"/>
  <c r="AW14" i="7"/>
  <c r="BA57" i="7"/>
  <c r="M10" i="4"/>
  <c r="AW56" i="6"/>
  <c r="AW58" i="6" s="1"/>
  <c r="B10" i="9" s="1"/>
  <c r="B39" i="9" s="1"/>
  <c r="Q34" i="7"/>
  <c r="Q35" i="7" s="1"/>
  <c r="M34" i="6"/>
  <c r="M35" i="6" s="1"/>
  <c r="BF38" i="7"/>
  <c r="BG38" i="7" s="1"/>
  <c r="BE43" i="7"/>
  <c r="E17" i="15"/>
  <c r="E23" i="15"/>
  <c r="E6" i="16"/>
  <c r="F6" i="16" s="1"/>
  <c r="E15" i="16"/>
  <c r="E23" i="16"/>
  <c r="E7" i="17"/>
  <c r="E11" i="17"/>
  <c r="G11" i="17" s="1"/>
  <c r="E13" i="19"/>
  <c r="E18" i="19"/>
  <c r="E25" i="20"/>
  <c r="E11" i="23"/>
  <c r="E15" i="23"/>
  <c r="E20" i="23"/>
  <c r="E24" i="23"/>
  <c r="E21" i="24"/>
  <c r="E8" i="25"/>
  <c r="E12" i="25"/>
  <c r="F12" i="25" s="1"/>
  <c r="E16" i="25"/>
  <c r="E20" i="25"/>
  <c r="F20" i="25" s="1"/>
  <c r="E24" i="25"/>
  <c r="G3" i="29"/>
  <c r="K26" i="29"/>
  <c r="C26" i="4"/>
  <c r="G2" i="5"/>
  <c r="D16" i="5" s="1"/>
  <c r="E3" i="29"/>
  <c r="E26" i="3"/>
  <c r="E12" i="12" s="1"/>
  <c r="J17" i="5"/>
  <c r="K17" i="5"/>
  <c r="K18" i="5"/>
  <c r="L18" i="5"/>
  <c r="X48" i="3"/>
  <c r="X50" i="3" s="1"/>
  <c r="M18" i="5"/>
  <c r="AF48" i="3"/>
  <c r="AF50" i="3" s="1"/>
  <c r="F46" i="3"/>
  <c r="AN48" i="3"/>
  <c r="AN50" i="3" s="1"/>
  <c r="AC59" i="6"/>
  <c r="I1" i="7"/>
  <c r="G2" i="13" s="1"/>
  <c r="AO1" i="7"/>
  <c r="AM2" i="13" s="1"/>
  <c r="E25" i="3"/>
  <c r="E48" i="3" s="1"/>
  <c r="E50" i="3" s="1"/>
  <c r="S31" i="3"/>
  <c r="AA31" i="3"/>
  <c r="AI31" i="3"/>
  <c r="Y12" i="3"/>
  <c r="W3" i="3"/>
  <c r="AA3" i="3" s="1"/>
  <c r="AA5" i="3"/>
  <c r="D12" i="3"/>
  <c r="D5" i="13" s="1"/>
  <c r="M25" i="3"/>
  <c r="M31" i="3" s="1"/>
  <c r="S28" i="3"/>
  <c r="T28" i="3" s="1"/>
  <c r="U28" i="3" s="1"/>
  <c r="V28" i="3" s="1"/>
  <c r="W28" i="3" s="1"/>
  <c r="X28" i="3" s="1"/>
  <c r="Y28" i="3" s="1"/>
  <c r="Z28" i="3" s="1"/>
  <c r="AA28" i="3" s="1"/>
  <c r="AB28" i="3" s="1"/>
  <c r="AC28" i="3" s="1"/>
  <c r="AD28" i="3" s="1"/>
  <c r="AE28" i="3" s="1"/>
  <c r="AF28" i="3" s="1"/>
  <c r="AG28" i="3" s="1"/>
  <c r="AH28" i="3" s="1"/>
  <c r="AI28" i="3" s="1"/>
  <c r="AJ28" i="3" s="1"/>
  <c r="AK28" i="3" s="1"/>
  <c r="AL28" i="3" s="1"/>
  <c r="AM28" i="3" s="1"/>
  <c r="AN28" i="3" s="1"/>
  <c r="AO28" i="3" s="1"/>
  <c r="AP28" i="3" s="1"/>
  <c r="AQ28" i="3" s="1"/>
  <c r="AR28" i="3" s="1"/>
  <c r="AS28" i="3" s="1"/>
  <c r="V31" i="3"/>
  <c r="AD31" i="3"/>
  <c r="AL31" i="3"/>
  <c r="W48" i="3"/>
  <c r="W50" i="3" s="1"/>
  <c r="AE48" i="3"/>
  <c r="AE50" i="3" s="1"/>
  <c r="AM48" i="3"/>
  <c r="AM50" i="3" s="1"/>
  <c r="AQ31" i="3"/>
  <c r="Z12" i="3"/>
  <c r="Q25" i="3"/>
  <c r="Q31" i="3" s="1"/>
  <c r="B31" i="3"/>
  <c r="C52" i="3"/>
  <c r="AA4" i="3"/>
  <c r="R31" i="3"/>
  <c r="Z31" i="3"/>
  <c r="AH31" i="3"/>
  <c r="AP31" i="3"/>
  <c r="T48" i="3"/>
  <c r="T50" i="3" s="1"/>
  <c r="AB48" i="3"/>
  <c r="AB50" i="3" s="1"/>
  <c r="AJ48" i="3"/>
  <c r="AJ50" i="3" s="1"/>
  <c r="AR48" i="3"/>
  <c r="AR50" i="3" s="1"/>
  <c r="C51" i="3"/>
  <c r="D51" i="3" s="1"/>
  <c r="E51" i="3" s="1"/>
  <c r="I31" i="3"/>
  <c r="I48" i="3"/>
  <c r="I50" i="3" s="1"/>
  <c r="E46" i="3"/>
  <c r="E52" i="3"/>
  <c r="D46" i="3"/>
  <c r="D52" i="3"/>
  <c r="D48" i="3"/>
  <c r="D50" i="3" s="1"/>
  <c r="C4" i="16"/>
  <c r="E31" i="3"/>
  <c r="I23" i="3"/>
  <c r="H48" i="3"/>
  <c r="H50" i="3" s="1"/>
  <c r="G52" i="3"/>
  <c r="J3" i="5"/>
  <c r="E17" i="5" s="1"/>
  <c r="E4" i="5"/>
  <c r="F4" i="5" s="1"/>
  <c r="G4" i="5" s="1"/>
  <c r="D5" i="5"/>
  <c r="B22" i="12" s="1"/>
  <c r="E26" i="7"/>
  <c r="E27" i="7" s="1"/>
  <c r="E27" i="6"/>
  <c r="M26" i="7"/>
  <c r="M27" i="7" s="1"/>
  <c r="M27" i="6"/>
  <c r="U26" i="7"/>
  <c r="U27" i="7" s="1"/>
  <c r="U27" i="6"/>
  <c r="AC26" i="7"/>
  <c r="AC27" i="7" s="1"/>
  <c r="AC27" i="6"/>
  <c r="AK26" i="7"/>
  <c r="AK27" i="7" s="1"/>
  <c r="AK27" i="6"/>
  <c r="J31" i="3"/>
  <c r="B46" i="3"/>
  <c r="G47" i="3"/>
  <c r="L48" i="3"/>
  <c r="L50" i="3" s="1"/>
  <c r="K52" i="3"/>
  <c r="S4" i="4"/>
  <c r="R9" i="4"/>
  <c r="E15" i="4"/>
  <c r="V9" i="4"/>
  <c r="I15" i="4"/>
  <c r="Z9" i="4"/>
  <c r="M15" i="4"/>
  <c r="I77" i="6"/>
  <c r="K15" i="5"/>
  <c r="I38" i="3" s="1"/>
  <c r="R3" i="5"/>
  <c r="S3" i="5" s="1"/>
  <c r="Z3" i="5"/>
  <c r="AA3" i="5" s="1"/>
  <c r="G18" i="5"/>
  <c r="C48" i="3"/>
  <c r="C50" i="3" s="1"/>
  <c r="C31" i="3"/>
  <c r="G48" i="3"/>
  <c r="G50" i="3" s="1"/>
  <c r="G31" i="3"/>
  <c r="K48" i="3"/>
  <c r="K50" i="3" s="1"/>
  <c r="K31" i="3"/>
  <c r="O48" i="3"/>
  <c r="O50" i="3" s="1"/>
  <c r="O31" i="3"/>
  <c r="U31" i="3"/>
  <c r="U48" i="3"/>
  <c r="U50" i="3" s="1"/>
  <c r="Y31" i="3"/>
  <c r="Y48" i="3"/>
  <c r="Y50" i="3" s="1"/>
  <c r="AC31" i="3"/>
  <c r="AC48" i="3"/>
  <c r="AC50" i="3" s="1"/>
  <c r="AG31" i="3"/>
  <c r="AG48" i="3"/>
  <c r="AG50" i="3" s="1"/>
  <c r="AK31" i="3"/>
  <c r="AK48" i="3"/>
  <c r="AK50" i="3" s="1"/>
  <c r="AO31" i="3"/>
  <c r="AO48" i="3"/>
  <c r="AO50" i="3" s="1"/>
  <c r="AS31" i="3"/>
  <c r="AS48" i="3"/>
  <c r="AS50" i="3" s="1"/>
  <c r="N31" i="3"/>
  <c r="P48" i="3"/>
  <c r="P50" i="3" s="1"/>
  <c r="F17" i="5"/>
  <c r="U4" i="5"/>
  <c r="V4" i="5" s="1"/>
  <c r="W4" i="5" s="1"/>
  <c r="D59" i="6"/>
  <c r="D1" i="7"/>
  <c r="H59" i="6"/>
  <c r="H1" i="7"/>
  <c r="L59" i="6"/>
  <c r="L1" i="7"/>
  <c r="P59" i="6"/>
  <c r="P1" i="7"/>
  <c r="T59" i="6"/>
  <c r="T1" i="7"/>
  <c r="X59" i="6"/>
  <c r="X1" i="7"/>
  <c r="AG13" i="6"/>
  <c r="BD13" i="6" s="1"/>
  <c r="E20" i="7"/>
  <c r="E23" i="7" s="1"/>
  <c r="E24" i="7" s="1"/>
  <c r="E23" i="6"/>
  <c r="E24" i="6" s="1"/>
  <c r="F20" i="6"/>
  <c r="H33" i="7"/>
  <c r="AX33" i="7" s="1"/>
  <c r="L33" i="7"/>
  <c r="AY33" i="7" s="1"/>
  <c r="AB33" i="7"/>
  <c r="BC33" i="7" s="1"/>
  <c r="AN33" i="7"/>
  <c r="BF33" i="7" s="1"/>
  <c r="BG33" i="7" s="1"/>
  <c r="H37" i="7"/>
  <c r="P37" i="7"/>
  <c r="AB37" i="7"/>
  <c r="R39" i="7"/>
  <c r="AZ39" i="7" s="1"/>
  <c r="AB41" i="7"/>
  <c r="BC41" i="7" s="1"/>
  <c r="R43" i="7"/>
  <c r="AZ43" i="7" s="1"/>
  <c r="AB45" i="7"/>
  <c r="BC45" i="7" s="1"/>
  <c r="AW45" i="6"/>
  <c r="AB47" i="6"/>
  <c r="AW4" i="7"/>
  <c r="D6" i="7"/>
  <c r="AB59" i="6"/>
  <c r="AB1" i="7"/>
  <c r="AJ59" i="6"/>
  <c r="AJ1" i="7"/>
  <c r="AN59" i="6"/>
  <c r="AN1" i="7"/>
  <c r="S27" i="6"/>
  <c r="AI27" i="6"/>
  <c r="AQ27" i="6"/>
  <c r="X33" i="7"/>
  <c r="BB33" i="7" s="1"/>
  <c r="AF33" i="7"/>
  <c r="BD33" i="7" s="1"/>
  <c r="AW33" i="6"/>
  <c r="AW37" i="6"/>
  <c r="AH39" i="7"/>
  <c r="BD39" i="7" s="1"/>
  <c r="H41" i="7"/>
  <c r="P41" i="7"/>
  <c r="AZ41" i="7" s="1"/>
  <c r="AW41" i="6"/>
  <c r="H45" i="7"/>
  <c r="P45" i="7"/>
  <c r="AZ45" i="7" s="1"/>
  <c r="X45" i="7"/>
  <c r="BB45" i="7" s="1"/>
  <c r="AF45" i="7"/>
  <c r="BD45" i="7" s="1"/>
  <c r="B23" i="3"/>
  <c r="J23" i="3"/>
  <c r="N23" i="3"/>
  <c r="F25" i="3"/>
  <c r="R4" i="4"/>
  <c r="E10" i="4" s="1"/>
  <c r="K3" i="29" s="1"/>
  <c r="L15" i="5"/>
  <c r="J38" i="3" s="1"/>
  <c r="C2" i="13"/>
  <c r="E60" i="7"/>
  <c r="AI2" i="13"/>
  <c r="AK60" i="7"/>
  <c r="H5" i="7"/>
  <c r="F22" i="6"/>
  <c r="D26" i="7"/>
  <c r="AW26" i="6"/>
  <c r="D27" i="6"/>
  <c r="L26" i="6"/>
  <c r="AY26" i="6" s="1"/>
  <c r="AB26" i="6"/>
  <c r="BC26" i="6" s="1"/>
  <c r="AW25" i="6"/>
  <c r="I26" i="7"/>
  <c r="I27" i="7" s="1"/>
  <c r="I27" i="6"/>
  <c r="Y26" i="7"/>
  <c r="Y27" i="7" s="1"/>
  <c r="Y27" i="6"/>
  <c r="F27" i="6"/>
  <c r="V27" i="6"/>
  <c r="AL27" i="6"/>
  <c r="H29" i="7"/>
  <c r="H34" i="6"/>
  <c r="P29" i="7"/>
  <c r="P34" i="6"/>
  <c r="X29" i="7"/>
  <c r="X34" i="6"/>
  <c r="AF29" i="7"/>
  <c r="AF34" i="6"/>
  <c r="AN29" i="7"/>
  <c r="AN34" i="6"/>
  <c r="AC30" i="7"/>
  <c r="AC34" i="7" s="1"/>
  <c r="AC35" i="7" s="1"/>
  <c r="AH31" i="7"/>
  <c r="AH34" i="7" s="1"/>
  <c r="AH35" i="7" s="1"/>
  <c r="AC34" i="6"/>
  <c r="AC35" i="6" s="1"/>
  <c r="P47" i="6"/>
  <c r="E59" i="6"/>
  <c r="AK59" i="6"/>
  <c r="K77" i="6"/>
  <c r="Q1" i="7"/>
  <c r="P33" i="7"/>
  <c r="AZ33" i="7" s="1"/>
  <c r="AF59" i="6"/>
  <c r="AF1" i="7"/>
  <c r="AW15" i="6"/>
  <c r="K27" i="6"/>
  <c r="AA27" i="6"/>
  <c r="AW37" i="7"/>
  <c r="D47" i="7"/>
  <c r="L37" i="7"/>
  <c r="X37" i="7"/>
  <c r="AF37" i="7"/>
  <c r="L41" i="7"/>
  <c r="AY41" i="7" s="1"/>
  <c r="X41" i="7"/>
  <c r="BB41" i="7" s="1"/>
  <c r="AF41" i="7"/>
  <c r="BD41" i="7" s="1"/>
  <c r="AH43" i="7"/>
  <c r="BD43" i="7" s="1"/>
  <c r="L45" i="7"/>
  <c r="AY45" i="7" s="1"/>
  <c r="L52" i="3"/>
  <c r="K2" i="13"/>
  <c r="M60" i="7"/>
  <c r="S2" i="13"/>
  <c r="U60" i="7"/>
  <c r="AA2" i="13"/>
  <c r="AC60" i="7"/>
  <c r="H4" i="7"/>
  <c r="H26" i="7"/>
  <c r="H27" i="6"/>
  <c r="P26" i="6"/>
  <c r="AZ26" i="6" s="1"/>
  <c r="X27" i="6"/>
  <c r="AF26" i="6"/>
  <c r="BD26" i="6" s="1"/>
  <c r="AN27" i="6"/>
  <c r="Q26" i="7"/>
  <c r="Q27" i="7" s="1"/>
  <c r="Q27" i="6"/>
  <c r="AG26" i="7"/>
  <c r="AG27" i="7" s="1"/>
  <c r="AG27" i="6"/>
  <c r="N27" i="6"/>
  <c r="AD27" i="6"/>
  <c r="D29" i="7"/>
  <c r="D34" i="6"/>
  <c r="L29" i="7"/>
  <c r="L34" i="6"/>
  <c r="T29" i="7"/>
  <c r="T34" i="6"/>
  <c r="AB29" i="7"/>
  <c r="AB34" i="6"/>
  <c r="AJ29" i="7"/>
  <c r="AJ34" i="6"/>
  <c r="AW29" i="6"/>
  <c r="M30" i="7"/>
  <c r="M34" i="7" s="1"/>
  <c r="M35" i="7" s="1"/>
  <c r="AO30" i="7"/>
  <c r="BF30" i="7" s="1"/>
  <c r="BG30" i="7" s="1"/>
  <c r="R31" i="7"/>
  <c r="AZ31" i="7" s="1"/>
  <c r="R3" i="3"/>
  <c r="C9" i="14"/>
  <c r="C11" i="14" s="1"/>
  <c r="C23" i="3"/>
  <c r="G23" i="3"/>
  <c r="K23" i="3"/>
  <c r="O23" i="3"/>
  <c r="D7" i="6"/>
  <c r="H6" i="6"/>
  <c r="H10" i="7"/>
  <c r="H15" i="6"/>
  <c r="H18" i="7"/>
  <c r="L18" i="7"/>
  <c r="P18" i="7"/>
  <c r="X18" i="7"/>
  <c r="AB18" i="7"/>
  <c r="AF18" i="7"/>
  <c r="AN18" i="7"/>
  <c r="H19" i="7"/>
  <c r="L19" i="7"/>
  <c r="AY19" i="7" s="1"/>
  <c r="AZ19" i="7"/>
  <c r="X19" i="7"/>
  <c r="BB19" i="7" s="1"/>
  <c r="AB19" i="7"/>
  <c r="BC19" i="7" s="1"/>
  <c r="AN19" i="7"/>
  <c r="BF19" i="7" s="1"/>
  <c r="BG19" i="7" s="1"/>
  <c r="AW19" i="6"/>
  <c r="G27" i="6"/>
  <c r="O27" i="6"/>
  <c r="W27" i="6"/>
  <c r="AE27" i="6"/>
  <c r="AM27" i="6"/>
  <c r="E34" i="7"/>
  <c r="E35" i="7" s="1"/>
  <c r="I34" i="7"/>
  <c r="I35" i="7" s="1"/>
  <c r="U34" i="7"/>
  <c r="U35" i="7" s="1"/>
  <c r="Y34" i="7"/>
  <c r="Y35" i="7" s="1"/>
  <c r="AK34" i="7"/>
  <c r="AK35" i="7" s="1"/>
  <c r="AX32" i="7"/>
  <c r="Q34" i="6"/>
  <c r="Q35" i="6" s="1"/>
  <c r="F47" i="7"/>
  <c r="F48" i="7" s="1"/>
  <c r="V47" i="7"/>
  <c r="V48" i="7" s="1"/>
  <c r="M38" i="7"/>
  <c r="AC38" i="7"/>
  <c r="AY39" i="7"/>
  <c r="M42" i="7"/>
  <c r="AC42" i="7"/>
  <c r="M46" i="7"/>
  <c r="AY46" i="7" s="1"/>
  <c r="AC46" i="7"/>
  <c r="BC46" i="7" s="1"/>
  <c r="AK46" i="7"/>
  <c r="BE46" i="7" s="1"/>
  <c r="AK47" i="6"/>
  <c r="AK48" i="6" s="1"/>
  <c r="AO46" i="7"/>
  <c r="AO47" i="7" s="1"/>
  <c r="AO48" i="7" s="1"/>
  <c r="AO47" i="6"/>
  <c r="D47" i="6"/>
  <c r="T47" i="6"/>
  <c r="M59" i="6"/>
  <c r="Y1" i="7"/>
  <c r="T18" i="7"/>
  <c r="BE30" i="7"/>
  <c r="AA2" i="3"/>
  <c r="D23" i="3"/>
  <c r="H23" i="3"/>
  <c r="L23" i="3"/>
  <c r="P23" i="3"/>
  <c r="B39" i="12"/>
  <c r="C39" i="12"/>
  <c r="D39" i="12"/>
  <c r="E39" i="12"/>
  <c r="F39" i="12"/>
  <c r="G39" i="12"/>
  <c r="H39" i="12"/>
  <c r="I39" i="12"/>
  <c r="J39" i="12"/>
  <c r="K39" i="12"/>
  <c r="L39" i="12"/>
  <c r="H77" i="6"/>
  <c r="J15" i="5"/>
  <c r="H38" i="3" s="1"/>
  <c r="H17" i="5"/>
  <c r="I4" i="5"/>
  <c r="J4" i="5" s="1"/>
  <c r="K4" i="5" s="1"/>
  <c r="Y4" i="5"/>
  <c r="Z4" i="5" s="1"/>
  <c r="AA4" i="5" s="1"/>
  <c r="F18" i="5"/>
  <c r="L17" i="5"/>
  <c r="N18" i="5"/>
  <c r="H9" i="7"/>
  <c r="U13" i="7"/>
  <c r="V13" i="7" s="1"/>
  <c r="W13" i="7" s="1"/>
  <c r="X13" i="7" s="1"/>
  <c r="D18" i="7"/>
  <c r="D23" i="6"/>
  <c r="I18" i="7"/>
  <c r="M18" i="7"/>
  <c r="Q18" i="7"/>
  <c r="U18" i="7"/>
  <c r="Y18" i="7"/>
  <c r="AC18" i="7"/>
  <c r="AG18" i="7"/>
  <c r="AK18" i="7"/>
  <c r="AO18" i="7"/>
  <c r="F21" i="6"/>
  <c r="J27" i="6"/>
  <c r="R27" i="6"/>
  <c r="Z27" i="6"/>
  <c r="AH27" i="6"/>
  <c r="AP27" i="6"/>
  <c r="E34" i="6"/>
  <c r="E35" i="6" s="1"/>
  <c r="U34" i="6"/>
  <c r="U35" i="6" s="1"/>
  <c r="AK34" i="6"/>
  <c r="AK35" i="6" s="1"/>
  <c r="H47" i="6"/>
  <c r="X47" i="6"/>
  <c r="AN48" i="6"/>
  <c r="U59" i="6"/>
  <c r="AG1" i="7"/>
  <c r="F6" i="7"/>
  <c r="AW2" i="7"/>
  <c r="AJ18" i="7"/>
  <c r="AW32" i="7"/>
  <c r="AZ32" i="7"/>
  <c r="BA32" i="7"/>
  <c r="BB32" i="7"/>
  <c r="BD32" i="7"/>
  <c r="BE32" i="7"/>
  <c r="AW32" i="6"/>
  <c r="F34" i="6"/>
  <c r="F35" i="6" s="1"/>
  <c r="J34" i="6"/>
  <c r="J35" i="6" s="1"/>
  <c r="N34" i="6"/>
  <c r="N35" i="6" s="1"/>
  <c r="R34" i="6"/>
  <c r="R35" i="6" s="1"/>
  <c r="V34" i="6"/>
  <c r="V35" i="6" s="1"/>
  <c r="Z34" i="6"/>
  <c r="Z35" i="6" s="1"/>
  <c r="AD34" i="6"/>
  <c r="AD35" i="6" s="1"/>
  <c r="AH34" i="6"/>
  <c r="AH35" i="6" s="1"/>
  <c r="AL34" i="6"/>
  <c r="AL35" i="6" s="1"/>
  <c r="AP34" i="6"/>
  <c r="AP35" i="6" s="1"/>
  <c r="E47" i="7"/>
  <c r="E48" i="7" s="1"/>
  <c r="I47" i="7"/>
  <c r="I48" i="7" s="1"/>
  <c r="Q47" i="7"/>
  <c r="Q48" i="7" s="1"/>
  <c r="U47" i="7"/>
  <c r="U48" i="7" s="1"/>
  <c r="Y47" i="7"/>
  <c r="Y48" i="7" s="1"/>
  <c r="AG47" i="7"/>
  <c r="AG48" i="7" s="1"/>
  <c r="AW40" i="7"/>
  <c r="AX40" i="7"/>
  <c r="AZ40" i="7"/>
  <c r="BB40" i="7"/>
  <c r="BC40" i="7"/>
  <c r="AW40" i="6"/>
  <c r="AW44" i="7"/>
  <c r="AZ44" i="7"/>
  <c r="BB44" i="7"/>
  <c r="BD44" i="7"/>
  <c r="AW44" i="6"/>
  <c r="E47" i="6"/>
  <c r="E48" i="6" s="1"/>
  <c r="I47" i="6"/>
  <c r="I48" i="6" s="1"/>
  <c r="M47" i="6"/>
  <c r="M48" i="6" s="1"/>
  <c r="Q47" i="6"/>
  <c r="Q48" i="6" s="1"/>
  <c r="U47" i="6"/>
  <c r="U48" i="6" s="1"/>
  <c r="Y47" i="6"/>
  <c r="Y48" i="6" s="1"/>
  <c r="AC47" i="6"/>
  <c r="AC48" i="6" s="1"/>
  <c r="AG47" i="6"/>
  <c r="AG48" i="6" s="1"/>
  <c r="AW57" i="7"/>
  <c r="AZ57" i="7"/>
  <c r="F59" i="6"/>
  <c r="N59" i="6"/>
  <c r="V59" i="6"/>
  <c r="AD59" i="6"/>
  <c r="AL59" i="6"/>
  <c r="B66" i="6"/>
  <c r="AW10" i="7"/>
  <c r="D15" i="7"/>
  <c r="D2" i="13"/>
  <c r="F60" i="7"/>
  <c r="H2" i="13"/>
  <c r="J60" i="7"/>
  <c r="L2" i="13"/>
  <c r="N60" i="7"/>
  <c r="P2" i="13"/>
  <c r="R60" i="7"/>
  <c r="T2" i="13"/>
  <c r="V60" i="7"/>
  <c r="X2" i="13"/>
  <c r="Z60" i="7"/>
  <c r="AB2" i="13"/>
  <c r="AD60" i="7"/>
  <c r="AF2" i="13"/>
  <c r="AH60" i="7"/>
  <c r="AJ2" i="13"/>
  <c r="AL60" i="7"/>
  <c r="AN2" i="13"/>
  <c r="AP60" i="7"/>
  <c r="F34" i="7"/>
  <c r="F35" i="7" s="1"/>
  <c r="J34" i="7"/>
  <c r="J35" i="7" s="1"/>
  <c r="N34" i="7"/>
  <c r="N35" i="7" s="1"/>
  <c r="V34" i="7"/>
  <c r="V35" i="7" s="1"/>
  <c r="Z34" i="7"/>
  <c r="Z35" i="7" s="1"/>
  <c r="AD34" i="7"/>
  <c r="AD35" i="7" s="1"/>
  <c r="AL34" i="7"/>
  <c r="AL35" i="7" s="1"/>
  <c r="AP34" i="7"/>
  <c r="AP35" i="7" s="1"/>
  <c r="AW31" i="7"/>
  <c r="BB31" i="7"/>
  <c r="BF31" i="7"/>
  <c r="BG31" i="7" s="1"/>
  <c r="AW31" i="6"/>
  <c r="G34" i="6"/>
  <c r="G35" i="6" s="1"/>
  <c r="K34" i="6"/>
  <c r="O34" i="6"/>
  <c r="O35" i="6" s="1"/>
  <c r="S34" i="6"/>
  <c r="S35" i="6" s="1"/>
  <c r="W34" i="6"/>
  <c r="W35" i="6" s="1"/>
  <c r="AA34" i="6"/>
  <c r="AA35" i="6" s="1"/>
  <c r="AE34" i="6"/>
  <c r="AE35" i="6" s="1"/>
  <c r="AI34" i="6"/>
  <c r="AI35" i="6" s="1"/>
  <c r="AM34" i="6"/>
  <c r="AM35" i="6" s="1"/>
  <c r="AQ34" i="6"/>
  <c r="J47" i="7"/>
  <c r="J48" i="7" s="1"/>
  <c r="N47" i="7"/>
  <c r="N48" i="7" s="1"/>
  <c r="Z47" i="7"/>
  <c r="Z48" i="7" s="1"/>
  <c r="AD47" i="7"/>
  <c r="AD48" i="7" s="1"/>
  <c r="AH47" i="7"/>
  <c r="AH48" i="7" s="1"/>
  <c r="AW39" i="7"/>
  <c r="AX39" i="7"/>
  <c r="AW39" i="6"/>
  <c r="AW43" i="7"/>
  <c r="BB43" i="7"/>
  <c r="AW43" i="6"/>
  <c r="F47" i="6"/>
  <c r="F48" i="6" s="1"/>
  <c r="J47" i="6"/>
  <c r="J48" i="6" s="1"/>
  <c r="N47" i="6"/>
  <c r="N48" i="6" s="1"/>
  <c r="R47" i="6"/>
  <c r="R48" i="6" s="1"/>
  <c r="V47" i="6"/>
  <c r="V48" i="6" s="1"/>
  <c r="Z47" i="6"/>
  <c r="Z48" i="6" s="1"/>
  <c r="AD47" i="6"/>
  <c r="AD48" i="6" s="1"/>
  <c r="AH47" i="6"/>
  <c r="AH48" i="6" s="1"/>
  <c r="AL47" i="6"/>
  <c r="AL48" i="6" s="1"/>
  <c r="AP47" i="6"/>
  <c r="AP48" i="6" s="1"/>
  <c r="AW13" i="7"/>
  <c r="G1" i="7"/>
  <c r="G59" i="6"/>
  <c r="K1" i="7"/>
  <c r="K59" i="6"/>
  <c r="O1" i="7"/>
  <c r="O59" i="6"/>
  <c r="S1" i="7"/>
  <c r="S59" i="6"/>
  <c r="W1" i="7"/>
  <c r="W59" i="6"/>
  <c r="AA1" i="7"/>
  <c r="AA59" i="6"/>
  <c r="AE1" i="7"/>
  <c r="AE59" i="6"/>
  <c r="AI1" i="7"/>
  <c r="AI59" i="6"/>
  <c r="AM1" i="7"/>
  <c r="AM59" i="6"/>
  <c r="AQ1" i="7"/>
  <c r="AQ60" i="7" s="1"/>
  <c r="AQ59" i="6"/>
  <c r="AW19" i="7"/>
  <c r="O34" i="7"/>
  <c r="O35" i="7" s="1"/>
  <c r="S34" i="7"/>
  <c r="S35" i="7" s="1"/>
  <c r="AA34" i="7"/>
  <c r="AA35" i="7" s="1"/>
  <c r="AE34" i="7"/>
  <c r="AE35" i="7" s="1"/>
  <c r="AI34" i="7"/>
  <c r="AI35" i="7" s="1"/>
  <c r="G47" i="7"/>
  <c r="G48" i="7" s="1"/>
  <c r="O47" i="7"/>
  <c r="O48" i="7" s="1"/>
  <c r="S47" i="7"/>
  <c r="S48" i="7" s="1"/>
  <c r="W47" i="7"/>
  <c r="W48" i="7" s="1"/>
  <c r="AA47" i="7"/>
  <c r="AA48" i="7" s="1"/>
  <c r="AE47" i="7"/>
  <c r="AE48" i="7" s="1"/>
  <c r="AI47" i="7"/>
  <c r="AI48" i="7" s="1"/>
  <c r="AW38" i="7"/>
  <c r="AZ38" i="7"/>
  <c r="BA38" i="7"/>
  <c r="BB38" i="7"/>
  <c r="AW38" i="6"/>
  <c r="AW42" i="7"/>
  <c r="AZ42" i="7"/>
  <c r="BB42" i="7"/>
  <c r="BD42" i="7"/>
  <c r="AW42" i="6"/>
  <c r="AW46" i="7"/>
  <c r="AZ46" i="7"/>
  <c r="BD46" i="7"/>
  <c r="AW46" i="6"/>
  <c r="G47" i="6"/>
  <c r="G48" i="6" s="1"/>
  <c r="K47" i="6"/>
  <c r="O47" i="6"/>
  <c r="O48" i="6" s="1"/>
  <c r="S47" i="6"/>
  <c r="S48" i="6" s="1"/>
  <c r="W47" i="6"/>
  <c r="W48" i="6" s="1"/>
  <c r="AA47" i="6"/>
  <c r="AA48" i="6" s="1"/>
  <c r="AE47" i="6"/>
  <c r="AE48" i="6" s="1"/>
  <c r="AI47" i="6"/>
  <c r="AI48" i="6" s="1"/>
  <c r="AM47" i="6"/>
  <c r="AM48" i="6" s="1"/>
  <c r="AQ47" i="6"/>
  <c r="J59" i="6"/>
  <c r="R59" i="6"/>
  <c r="Z59" i="6"/>
  <c r="AH59" i="6"/>
  <c r="AP59" i="6"/>
  <c r="E6" i="7"/>
  <c r="G7" i="7"/>
  <c r="AW9" i="7"/>
  <c r="E4" i="8"/>
  <c r="AL47" i="7"/>
  <c r="AL48" i="7" s="1"/>
  <c r="AP47" i="7"/>
  <c r="AP48" i="7" s="1"/>
  <c r="BE44" i="7"/>
  <c r="BE45" i="7"/>
  <c r="BF45" i="7"/>
  <c r="BG45" i="7" s="1"/>
  <c r="AM47" i="7"/>
  <c r="AM48" i="7" s="1"/>
  <c r="BE40" i="7"/>
  <c r="BE41" i="7"/>
  <c r="BF41" i="7"/>
  <c r="BG41" i="7" s="1"/>
  <c r="BF44" i="7"/>
  <c r="BG44" i="7" s="1"/>
  <c r="BF37" i="7"/>
  <c r="BG37" i="7" s="1"/>
  <c r="E5" i="8"/>
  <c r="C25" i="8"/>
  <c r="C32" i="8" s="1"/>
  <c r="G25" i="8"/>
  <c r="G32" i="8" s="1"/>
  <c r="K25" i="8"/>
  <c r="K32" i="8" s="1"/>
  <c r="B2" i="9"/>
  <c r="B27" i="9" s="1"/>
  <c r="F2" i="9"/>
  <c r="F27" i="9" s="1"/>
  <c r="J2" i="9"/>
  <c r="J27" i="9" s="1"/>
  <c r="D25" i="8"/>
  <c r="D32" i="8" s="1"/>
  <c r="H25" i="8"/>
  <c r="H32" i="8" s="1"/>
  <c r="L25" i="8"/>
  <c r="L32" i="8" s="1"/>
  <c r="E25" i="8"/>
  <c r="E32" i="8" s="1"/>
  <c r="I25" i="8"/>
  <c r="I32" i="8" s="1"/>
  <c r="E2" i="12"/>
  <c r="B9" i="11"/>
  <c r="C9" i="11" s="1"/>
  <c r="J9" i="11" s="1"/>
  <c r="P4" i="10" s="1"/>
  <c r="E9" i="11"/>
  <c r="F3" i="14"/>
  <c r="G3" i="14" s="1"/>
  <c r="H3" i="14" s="1"/>
  <c r="I3" i="14" s="1"/>
  <c r="J3" i="14" s="1"/>
  <c r="K3" i="14" s="1"/>
  <c r="L3" i="14" s="1"/>
  <c r="G25" i="15"/>
  <c r="F25" i="15"/>
  <c r="F10" i="16"/>
  <c r="G10" i="16"/>
  <c r="G17" i="16"/>
  <c r="F17" i="16"/>
  <c r="G19" i="17"/>
  <c r="F19" i="17"/>
  <c r="G5" i="18"/>
  <c r="G9" i="18"/>
  <c r="F9" i="18"/>
  <c r="F11" i="18"/>
  <c r="G11" i="18"/>
  <c r="G14" i="24"/>
  <c r="F14" i="24"/>
  <c r="G23" i="24"/>
  <c r="F23" i="24"/>
  <c r="G8" i="15"/>
  <c r="F8" i="15"/>
  <c r="G13" i="15"/>
  <c r="F22" i="15"/>
  <c r="G22" i="15"/>
  <c r="G7" i="16"/>
  <c r="F7" i="16"/>
  <c r="G16" i="16"/>
  <c r="F16" i="16"/>
  <c r="G24" i="16"/>
  <c r="F24" i="16"/>
  <c r="F5" i="19"/>
  <c r="G5" i="19"/>
  <c r="G10" i="20"/>
  <c r="F10" i="20"/>
  <c r="F11" i="20"/>
  <c r="G11" i="20"/>
  <c r="G7" i="23"/>
  <c r="F7" i="23"/>
  <c r="F16" i="23"/>
  <c r="G16" i="23"/>
  <c r="F11" i="14"/>
  <c r="J11" i="14"/>
  <c r="G19" i="15"/>
  <c r="F19" i="15"/>
  <c r="F14" i="16"/>
  <c r="G14" i="16"/>
  <c r="F18" i="16"/>
  <c r="G18" i="16"/>
  <c r="G25" i="17"/>
  <c r="F25" i="17"/>
  <c r="F21" i="18"/>
  <c r="G21" i="18"/>
  <c r="G24" i="18"/>
  <c r="F24" i="18"/>
  <c r="F14" i="15"/>
  <c r="G14" i="15"/>
  <c r="G13" i="16"/>
  <c r="F13" i="16"/>
  <c r="G24" i="17"/>
  <c r="F24" i="17"/>
  <c r="G17" i="18"/>
  <c r="F17" i="18"/>
  <c r="F19" i="18"/>
  <c r="G19" i="18"/>
  <c r="L8" i="14"/>
  <c r="G17" i="15"/>
  <c r="F17" i="15"/>
  <c r="G22" i="16"/>
  <c r="F22" i="16"/>
  <c r="G17" i="17"/>
  <c r="F17" i="17"/>
  <c r="G8" i="18"/>
  <c r="F8" i="18"/>
  <c r="F14" i="18"/>
  <c r="G14" i="18"/>
  <c r="G16" i="18"/>
  <c r="F16" i="18"/>
  <c r="G23" i="18"/>
  <c r="F23" i="18"/>
  <c r="G8" i="19"/>
  <c r="F8" i="19"/>
  <c r="F15" i="19"/>
  <c r="G15" i="19"/>
  <c r="G8" i="20"/>
  <c r="F8" i="20"/>
  <c r="G24" i="20"/>
  <c r="F24" i="20"/>
  <c r="F5" i="21"/>
  <c r="G5" i="21"/>
  <c r="F12" i="21"/>
  <c r="G12" i="21"/>
  <c r="G18" i="22"/>
  <c r="F18" i="22"/>
  <c r="G23" i="22"/>
  <c r="F23" i="22"/>
  <c r="F8" i="23"/>
  <c r="G8" i="23"/>
  <c r="G9" i="24"/>
  <c r="F9" i="24"/>
  <c r="G22" i="24"/>
  <c r="F22" i="24"/>
  <c r="F18" i="15"/>
  <c r="G18" i="15"/>
  <c r="F21" i="16"/>
  <c r="F23" i="16"/>
  <c r="G23" i="16"/>
  <c r="G9" i="17"/>
  <c r="F9" i="17"/>
  <c r="F16" i="17"/>
  <c r="F18" i="17"/>
  <c r="G18" i="17"/>
  <c r="F21" i="17"/>
  <c r="F13" i="19"/>
  <c r="G13" i="19"/>
  <c r="E5" i="15"/>
  <c r="G7" i="15"/>
  <c r="F9" i="15"/>
  <c r="G10" i="15"/>
  <c r="F12" i="15"/>
  <c r="G16" i="15"/>
  <c r="F16" i="15"/>
  <c r="F21" i="15"/>
  <c r="F9" i="16"/>
  <c r="F8" i="17"/>
  <c r="F10" i="17"/>
  <c r="G10" i="17"/>
  <c r="G7" i="19"/>
  <c r="F7" i="19"/>
  <c r="F19" i="19"/>
  <c r="G19" i="19"/>
  <c r="F15" i="20"/>
  <c r="G15" i="20"/>
  <c r="F25" i="20"/>
  <c r="G25" i="20"/>
  <c r="F9" i="21"/>
  <c r="G9" i="21"/>
  <c r="G23" i="21"/>
  <c r="F23" i="21"/>
  <c r="E15" i="15"/>
  <c r="E19" i="16"/>
  <c r="F25" i="16"/>
  <c r="E6" i="17"/>
  <c r="F12" i="17"/>
  <c r="E14" i="17"/>
  <c r="F20" i="17"/>
  <c r="E22" i="17"/>
  <c r="F17" i="19"/>
  <c r="G17" i="19"/>
  <c r="F13" i="20"/>
  <c r="G13" i="20"/>
  <c r="G20" i="20"/>
  <c r="F20" i="20"/>
  <c r="G22" i="20"/>
  <c r="F22" i="20"/>
  <c r="F7" i="21"/>
  <c r="G7" i="21"/>
  <c r="E25" i="18"/>
  <c r="E9" i="19"/>
  <c r="G20" i="19"/>
  <c r="F20" i="19"/>
  <c r="F7" i="20"/>
  <c r="G7" i="20"/>
  <c r="G16" i="20"/>
  <c r="F16" i="20"/>
  <c r="F23" i="20"/>
  <c r="G23" i="20"/>
  <c r="G11" i="21"/>
  <c r="F11" i="21"/>
  <c r="G7" i="22"/>
  <c r="F7" i="22"/>
  <c r="G11" i="22"/>
  <c r="F11" i="22"/>
  <c r="G21" i="22"/>
  <c r="F21" i="22"/>
  <c r="G19" i="23"/>
  <c r="F19" i="23"/>
  <c r="G23" i="23"/>
  <c r="F23" i="23"/>
  <c r="G7" i="24"/>
  <c r="F7" i="24"/>
  <c r="G17" i="24"/>
  <c r="F17" i="24"/>
  <c r="E22" i="18"/>
  <c r="G12" i="19"/>
  <c r="F12" i="19"/>
  <c r="G16" i="19"/>
  <c r="F16" i="19"/>
  <c r="F23" i="19"/>
  <c r="G23" i="19"/>
  <c r="F19" i="20"/>
  <c r="G19" i="20"/>
  <c r="G8" i="21"/>
  <c r="F8" i="21"/>
  <c r="F20" i="21"/>
  <c r="G20" i="21"/>
  <c r="G10" i="22"/>
  <c r="F10" i="22"/>
  <c r="G15" i="22"/>
  <c r="F15" i="22"/>
  <c r="G19" i="22"/>
  <c r="F19" i="22"/>
  <c r="G11" i="23"/>
  <c r="F11" i="23"/>
  <c r="G15" i="23"/>
  <c r="F15" i="23"/>
  <c r="F24" i="23"/>
  <c r="G24" i="23"/>
  <c r="G15" i="24"/>
  <c r="F15" i="24"/>
  <c r="G25" i="24"/>
  <c r="F25" i="24"/>
  <c r="G7" i="25"/>
  <c r="F7" i="25"/>
  <c r="G11" i="25"/>
  <c r="F11" i="25"/>
  <c r="G15" i="25"/>
  <c r="F15" i="25"/>
  <c r="G19" i="25"/>
  <c r="F19" i="25"/>
  <c r="G23" i="25"/>
  <c r="F23" i="25"/>
  <c r="F14" i="21"/>
  <c r="F22" i="21"/>
  <c r="F10" i="23"/>
  <c r="F18" i="23"/>
  <c r="G11" i="24"/>
  <c r="F11" i="24"/>
  <c r="G19" i="24"/>
  <c r="F19" i="24"/>
  <c r="F24" i="25"/>
  <c r="G24" i="25"/>
  <c r="E8" i="22"/>
  <c r="G12" i="22"/>
  <c r="F14" i="22"/>
  <c r="E16" i="22"/>
  <c r="G20" i="22"/>
  <c r="F22" i="22"/>
  <c r="E24" i="22"/>
  <c r="F10" i="24"/>
  <c r="E12" i="24"/>
  <c r="F18" i="24"/>
  <c r="E20" i="24"/>
  <c r="G25" i="25"/>
  <c r="F25" i="25"/>
  <c r="E8" i="24"/>
  <c r="E16" i="24"/>
  <c r="E24" i="24"/>
  <c r="AQ27" i="7" l="1"/>
  <c r="AR27" i="6"/>
  <c r="AQ48" i="6"/>
  <c r="AQ47" i="7"/>
  <c r="AR47" i="6"/>
  <c r="AR33" i="7"/>
  <c r="AS33" i="6"/>
  <c r="AR29" i="7"/>
  <c r="AS29" i="6"/>
  <c r="AK47" i="7"/>
  <c r="AK48" i="7" s="1"/>
  <c r="AQ35" i="6"/>
  <c r="AQ34" i="7"/>
  <c r="AR34" i="6"/>
  <c r="AR19" i="7"/>
  <c r="AS19" i="6"/>
  <c r="G21" i="19"/>
  <c r="AS25" i="6"/>
  <c r="AT25" i="6" s="1"/>
  <c r="AU25" i="6" s="1"/>
  <c r="AR13" i="7"/>
  <c r="AS13" i="6"/>
  <c r="AR18" i="7"/>
  <c r="AS18" i="6"/>
  <c r="AR32" i="7"/>
  <c r="AS32" i="6"/>
  <c r="AQ26" i="7"/>
  <c r="AR26" i="6"/>
  <c r="AR46" i="7"/>
  <c r="AS46" i="6"/>
  <c r="AR31" i="7"/>
  <c r="AS31" i="6"/>
  <c r="N24" i="3"/>
  <c r="R24" i="3"/>
  <c r="N32" i="3"/>
  <c r="N33" i="3" s="1"/>
  <c r="AL10" i="12"/>
  <c r="F25" i="23"/>
  <c r="AR30" i="7"/>
  <c r="AS30" i="6"/>
  <c r="K34" i="7"/>
  <c r="K35" i="7" s="1"/>
  <c r="AY42" i="7"/>
  <c r="AX42" i="7"/>
  <c r="K47" i="7"/>
  <c r="K48" i="7" s="1"/>
  <c r="X26" i="7"/>
  <c r="X27" i="7" s="1"/>
  <c r="BB27" i="7" s="1"/>
  <c r="T26" i="7"/>
  <c r="BA26" i="7" s="1"/>
  <c r="AO26" i="7"/>
  <c r="AO27" i="7" s="1"/>
  <c r="AX19" i="7"/>
  <c r="T47" i="7"/>
  <c r="T48" i="7" s="1"/>
  <c r="BA48" i="7" s="1"/>
  <c r="AX57" i="7"/>
  <c r="BF47" i="6"/>
  <c r="T27" i="6"/>
  <c r="AX41" i="7"/>
  <c r="AX46" i="7"/>
  <c r="BC42" i="7"/>
  <c r="AX44" i="7"/>
  <c r="BD31" i="7"/>
  <c r="AX31" i="7"/>
  <c r="BF46" i="7"/>
  <c r="BG46" i="7" s="1"/>
  <c r="BC38" i="7"/>
  <c r="BC30" i="7"/>
  <c r="AZ34" i="6"/>
  <c r="AZ47" i="6"/>
  <c r="AX34" i="6"/>
  <c r="AJ27" i="6"/>
  <c r="AX45" i="7"/>
  <c r="AO34" i="7"/>
  <c r="AO35" i="7" s="1"/>
  <c r="AJ26" i="7"/>
  <c r="F13" i="17"/>
  <c r="BA34" i="6"/>
  <c r="BF27" i="6"/>
  <c r="BB34" i="6"/>
  <c r="G6" i="23"/>
  <c r="BC47" i="6"/>
  <c r="Q48" i="3"/>
  <c r="Q50" i="3" s="1"/>
  <c r="C14" i="29"/>
  <c r="C15" i="29"/>
  <c r="C12" i="29"/>
  <c r="AY34" i="6"/>
  <c r="K26" i="7"/>
  <c r="K27" i="7" s="1"/>
  <c r="K35" i="6"/>
  <c r="BA47" i="6"/>
  <c r="B14" i="3"/>
  <c r="B15" i="3" s="1"/>
  <c r="B16" i="3" s="1"/>
  <c r="BB27" i="6"/>
  <c r="G11" i="15"/>
  <c r="F11" i="15"/>
  <c r="BD48" i="6"/>
  <c r="L48" i="6"/>
  <c r="AY48" i="6" s="1"/>
  <c r="AY47" i="6"/>
  <c r="F12" i="20"/>
  <c r="G9" i="20"/>
  <c r="AX27" i="6"/>
  <c r="BD47" i="6"/>
  <c r="F6" i="25"/>
  <c r="BA27" i="6"/>
  <c r="AX26" i="6"/>
  <c r="B21" i="13"/>
  <c r="B9" i="14" s="1"/>
  <c r="F23" i="6"/>
  <c r="F24" i="6" s="1"/>
  <c r="F51" i="6" s="1"/>
  <c r="F61" i="6" s="1"/>
  <c r="BE34" i="6"/>
  <c r="BF34" i="6"/>
  <c r="F22" i="25"/>
  <c r="G22" i="19"/>
  <c r="F22" i="19"/>
  <c r="K48" i="6"/>
  <c r="BB47" i="6"/>
  <c r="AA12" i="3"/>
  <c r="AX47" i="6"/>
  <c r="BC34" i="6"/>
  <c r="BD34" i="6"/>
  <c r="F10" i="25"/>
  <c r="F20" i="18"/>
  <c r="BF26" i="6"/>
  <c r="BE47" i="6"/>
  <c r="BE27" i="6"/>
  <c r="BE48" i="6"/>
  <c r="N17" i="5"/>
  <c r="M17" i="5"/>
  <c r="J4" i="4"/>
  <c r="U9" i="12"/>
  <c r="U24" i="29"/>
  <c r="B91" i="6"/>
  <c r="AX11" i="6"/>
  <c r="J11" i="7"/>
  <c r="AX2" i="6"/>
  <c r="F5" i="25"/>
  <c r="F6" i="20"/>
  <c r="G6" i="16"/>
  <c r="AO3" i="29"/>
  <c r="AN4" i="12" s="1"/>
  <c r="I18" i="5"/>
  <c r="E5" i="5"/>
  <c r="C22" i="12" s="1"/>
  <c r="F5" i="17"/>
  <c r="F5" i="24"/>
  <c r="F6" i="22"/>
  <c r="G6" i="21"/>
  <c r="B28" i="9"/>
  <c r="C31" i="4"/>
  <c r="F3" i="5"/>
  <c r="G3" i="5" s="1"/>
  <c r="G5" i="5" s="1"/>
  <c r="E22" i="12" s="1"/>
  <c r="F5" i="16"/>
  <c r="G6" i="24"/>
  <c r="AC47" i="7"/>
  <c r="AC48" i="7" s="1"/>
  <c r="G18" i="19"/>
  <c r="F18" i="19"/>
  <c r="G17" i="22"/>
  <c r="F17" i="22"/>
  <c r="H18" i="5"/>
  <c r="F24" i="21"/>
  <c r="G24" i="21"/>
  <c r="B11" i="9"/>
  <c r="F13" i="18"/>
  <c r="G12" i="25"/>
  <c r="R47" i="7"/>
  <c r="R48" i="7" s="1"/>
  <c r="B12" i="9"/>
  <c r="F8" i="25"/>
  <c r="G8" i="25"/>
  <c r="G15" i="16"/>
  <c r="F15" i="16"/>
  <c r="G9" i="22"/>
  <c r="F9" i="22"/>
  <c r="G21" i="24"/>
  <c r="F21" i="24"/>
  <c r="F5" i="20"/>
  <c r="G5" i="20"/>
  <c r="G7" i="18"/>
  <c r="F7" i="18"/>
  <c r="BE24" i="7"/>
  <c r="G20" i="25"/>
  <c r="F8" i="16"/>
  <c r="G8" i="16"/>
  <c r="F19" i="21"/>
  <c r="G6" i="18"/>
  <c r="G11" i="14"/>
  <c r="F23" i="15"/>
  <c r="G23" i="15"/>
  <c r="G14" i="20"/>
  <c r="F14" i="20"/>
  <c r="BE18" i="7"/>
  <c r="F16" i="25"/>
  <c r="G16" i="25"/>
  <c r="F10" i="18"/>
  <c r="G10" i="18"/>
  <c r="J2" i="7"/>
  <c r="K11" i="14"/>
  <c r="F15" i="21"/>
  <c r="F5" i="22"/>
  <c r="F20" i="23"/>
  <c r="G20" i="23"/>
  <c r="AQ3" i="29"/>
  <c r="F17" i="21"/>
  <c r="G17" i="21"/>
  <c r="E51" i="6"/>
  <c r="E61" i="6" s="1"/>
  <c r="F13" i="23"/>
  <c r="G13" i="23"/>
  <c r="D18" i="5"/>
  <c r="M47" i="7"/>
  <c r="M48" i="7" s="1"/>
  <c r="F13" i="22"/>
  <c r="F11" i="17"/>
  <c r="G15" i="18"/>
  <c r="F15" i="18"/>
  <c r="G9" i="23"/>
  <c r="F9" i="23"/>
  <c r="F7" i="17"/>
  <c r="G7" i="17"/>
  <c r="F24" i="19"/>
  <c r="I17" i="5"/>
  <c r="G6" i="19"/>
  <c r="F6" i="19"/>
  <c r="F10" i="12"/>
  <c r="H3" i="29"/>
  <c r="J10" i="12"/>
  <c r="L3" i="29"/>
  <c r="F22" i="29"/>
  <c r="B40" i="29" s="1"/>
  <c r="B25" i="12"/>
  <c r="B24" i="8" s="1"/>
  <c r="L26" i="29"/>
  <c r="B35" i="12"/>
  <c r="F25" i="29"/>
  <c r="B43" i="29" s="1"/>
  <c r="AM10" i="12"/>
  <c r="F3" i="29"/>
  <c r="F26" i="3"/>
  <c r="F12" i="12" s="1"/>
  <c r="G25" i="29" s="1"/>
  <c r="BA13" i="7"/>
  <c r="W12" i="3"/>
  <c r="AO60" i="7"/>
  <c r="I60" i="7"/>
  <c r="M48" i="3"/>
  <c r="M50" i="3" s="1"/>
  <c r="B53" i="3"/>
  <c r="E36" i="3"/>
  <c r="B40" i="3" s="1"/>
  <c r="F2" i="12"/>
  <c r="G22" i="29" s="1"/>
  <c r="BF47" i="7"/>
  <c r="BG47" i="7" s="1"/>
  <c r="AN48" i="7"/>
  <c r="AY38" i="7"/>
  <c r="I3" i="7"/>
  <c r="AK2" i="13"/>
  <c r="AM60" i="7"/>
  <c r="AC2" i="13"/>
  <c r="AE60" i="7"/>
  <c r="U2" i="13"/>
  <c r="W60" i="7"/>
  <c r="M2" i="13"/>
  <c r="O60" i="7"/>
  <c r="E2" i="13"/>
  <c r="G60" i="7"/>
  <c r="W2" i="13"/>
  <c r="Y60" i="7"/>
  <c r="T48" i="6"/>
  <c r="BA48" i="6" s="1"/>
  <c r="AO48" i="6"/>
  <c r="BF48" i="6" s="1"/>
  <c r="BD18" i="7"/>
  <c r="BB18" i="7"/>
  <c r="AY18" i="7"/>
  <c r="I14" i="7"/>
  <c r="I5" i="7"/>
  <c r="AJ34" i="7"/>
  <c r="BE29" i="7"/>
  <c r="T35" i="6"/>
  <c r="BA35" i="6" s="1"/>
  <c r="L34" i="7"/>
  <c r="AY29" i="7"/>
  <c r="AN27" i="7"/>
  <c r="BF26" i="7"/>
  <c r="BG26" i="7" s="1"/>
  <c r="BB26" i="7"/>
  <c r="H27" i="7"/>
  <c r="L11" i="14"/>
  <c r="D48" i="7"/>
  <c r="AW48" i="7" s="1"/>
  <c r="AW47" i="7"/>
  <c r="AY30" i="7"/>
  <c r="BE47" i="7"/>
  <c r="X35" i="6"/>
  <c r="BB35" i="6" s="1"/>
  <c r="P34" i="7"/>
  <c r="AZ29" i="7"/>
  <c r="AJ27" i="7"/>
  <c r="BE27" i="7" s="1"/>
  <c r="BE26" i="7"/>
  <c r="AW27" i="6"/>
  <c r="J52" i="3"/>
  <c r="J46" i="3"/>
  <c r="B40" i="9"/>
  <c r="P11" i="8"/>
  <c r="AH2" i="13"/>
  <c r="AJ60" i="7"/>
  <c r="BA47" i="7"/>
  <c r="D7" i="7"/>
  <c r="AW6" i="7"/>
  <c r="H2" i="5"/>
  <c r="D26" i="4"/>
  <c r="D31" i="4" s="1"/>
  <c r="BB37" i="7"/>
  <c r="X47" i="7"/>
  <c r="AD2" i="13"/>
  <c r="AF60" i="7"/>
  <c r="BE48" i="7"/>
  <c r="AF35" i="6"/>
  <c r="BD35" i="6" s="1"/>
  <c r="X34" i="7"/>
  <c r="BB29" i="7"/>
  <c r="T27" i="7"/>
  <c r="BA27" i="7" s="1"/>
  <c r="F48" i="3"/>
  <c r="F50" i="3" s="1"/>
  <c r="F31" i="3"/>
  <c r="AB47" i="7"/>
  <c r="BC37" i="7"/>
  <c r="AX37" i="7"/>
  <c r="H47" i="7"/>
  <c r="K11" i="7"/>
  <c r="AX11" i="7" s="1"/>
  <c r="V2" i="13"/>
  <c r="X60" i="7"/>
  <c r="N2" i="13"/>
  <c r="P60" i="7"/>
  <c r="F2" i="13"/>
  <c r="H60" i="7"/>
  <c r="B3" i="13"/>
  <c r="F12" i="24"/>
  <c r="G12" i="24"/>
  <c r="F8" i="22"/>
  <c r="G8" i="22"/>
  <c r="F25" i="18"/>
  <c r="G25" i="18"/>
  <c r="G15" i="15"/>
  <c r="F15" i="15"/>
  <c r="F24" i="24"/>
  <c r="G24" i="24"/>
  <c r="F16" i="22"/>
  <c r="G16" i="22"/>
  <c r="F22" i="17"/>
  <c r="G22" i="17"/>
  <c r="F6" i="17"/>
  <c r="G6" i="17"/>
  <c r="F16" i="24"/>
  <c r="G16" i="24"/>
  <c r="F20" i="24"/>
  <c r="G20" i="24"/>
  <c r="F24" i="22"/>
  <c r="G24" i="22"/>
  <c r="G22" i="18"/>
  <c r="F22" i="18"/>
  <c r="F5" i="15"/>
  <c r="G5" i="15"/>
  <c r="F5" i="8"/>
  <c r="C66" i="6"/>
  <c r="B6" i="2" s="1"/>
  <c r="B5" i="2"/>
  <c r="X48" i="6"/>
  <c r="BB48" i="6" s="1"/>
  <c r="F21" i="7"/>
  <c r="G21" i="6"/>
  <c r="I10" i="7"/>
  <c r="H15" i="7"/>
  <c r="D48" i="6"/>
  <c r="AW48" i="6" s="1"/>
  <c r="AW47" i="6"/>
  <c r="AZ18" i="7"/>
  <c r="AX18" i="7"/>
  <c r="H7" i="6"/>
  <c r="T34" i="7"/>
  <c r="BA29" i="7"/>
  <c r="AW34" i="6"/>
  <c r="D35" i="6"/>
  <c r="AW35" i="6" s="1"/>
  <c r="F8" i="24"/>
  <c r="G8" i="24"/>
  <c r="F9" i="19"/>
  <c r="G9" i="19"/>
  <c r="F14" i="17"/>
  <c r="G14" i="17"/>
  <c r="F19" i="16"/>
  <c r="G19" i="16"/>
  <c r="E49" i="7"/>
  <c r="E7" i="7"/>
  <c r="E51" i="7" s="1"/>
  <c r="E62" i="7" s="1"/>
  <c r="I12" i="7"/>
  <c r="AO2" i="13"/>
  <c r="AG2" i="13"/>
  <c r="AI60" i="7"/>
  <c r="Y2" i="13"/>
  <c r="AA60" i="7"/>
  <c r="Q2" i="13"/>
  <c r="S60" i="7"/>
  <c r="I2" i="13"/>
  <c r="K60" i="7"/>
  <c r="R34" i="7"/>
  <c r="R35" i="7" s="1"/>
  <c r="F7" i="7"/>
  <c r="H48" i="6"/>
  <c r="AX48" i="6" s="1"/>
  <c r="D24" i="6"/>
  <c r="D51" i="6" s="1"/>
  <c r="D61" i="6" s="1"/>
  <c r="I6" i="6"/>
  <c r="H6" i="7"/>
  <c r="H46" i="3"/>
  <c r="H52" i="3"/>
  <c r="D49" i="6"/>
  <c r="D56" i="6" s="1"/>
  <c r="AB35" i="6"/>
  <c r="BC35" i="6" s="1"/>
  <c r="D34" i="7"/>
  <c r="AW29" i="7"/>
  <c r="AF26" i="7"/>
  <c r="AF27" i="6"/>
  <c r="BD27" i="6" s="1"/>
  <c r="P26" i="7"/>
  <c r="P27" i="6"/>
  <c r="AZ27" i="6" s="1"/>
  <c r="H11" i="14"/>
  <c r="AN35" i="6"/>
  <c r="BF35" i="6" s="1"/>
  <c r="AF34" i="7"/>
  <c r="BD29" i="7"/>
  <c r="H35" i="6"/>
  <c r="AX35" i="6" s="1"/>
  <c r="AB26" i="7"/>
  <c r="AB27" i="6"/>
  <c r="BC27" i="6" s="1"/>
  <c r="D27" i="7"/>
  <c r="AW27" i="7" s="1"/>
  <c r="AW26" i="7"/>
  <c r="B22" i="9"/>
  <c r="P22" i="8" s="1"/>
  <c r="B41" i="9"/>
  <c r="P12" i="8"/>
  <c r="AL2" i="13"/>
  <c r="AN60" i="7"/>
  <c r="Z2" i="13"/>
  <c r="AB60" i="7"/>
  <c r="AB48" i="6"/>
  <c r="BC48" i="6" s="1"/>
  <c r="G20" i="6"/>
  <c r="F20" i="7"/>
  <c r="G17" i="5"/>
  <c r="D4" i="25"/>
  <c r="E4" i="25" s="1"/>
  <c r="D4" i="23"/>
  <c r="D4" i="22"/>
  <c r="D4" i="18"/>
  <c r="D4" i="19"/>
  <c r="D4" i="20"/>
  <c r="D4" i="24"/>
  <c r="D4" i="21"/>
  <c r="F10" i="4"/>
  <c r="O3" i="29" s="1"/>
  <c r="H18" i="9"/>
  <c r="V18" i="8" s="1"/>
  <c r="H47" i="3"/>
  <c r="G26" i="3"/>
  <c r="G12" i="12" s="1"/>
  <c r="H25" i="29" s="1"/>
  <c r="R12" i="3"/>
  <c r="D9" i="11"/>
  <c r="E10" i="11"/>
  <c r="L9" i="11"/>
  <c r="F4" i="8"/>
  <c r="D16" i="7"/>
  <c r="AW16" i="7" s="1"/>
  <c r="AW15" i="7"/>
  <c r="AE2" i="13"/>
  <c r="AG60" i="7"/>
  <c r="D23" i="7"/>
  <c r="AW18" i="7"/>
  <c r="Y13" i="7"/>
  <c r="Z13" i="7" s="1"/>
  <c r="AA13" i="7" s="1"/>
  <c r="AB13" i="7" s="1"/>
  <c r="I9" i="7"/>
  <c r="I15" i="6"/>
  <c r="I16" i="6" s="1"/>
  <c r="E49" i="6"/>
  <c r="E56" i="6" s="1"/>
  <c r="E18" i="5"/>
  <c r="BA18" i="7"/>
  <c r="BF18" i="7"/>
  <c r="BG18" i="7" s="1"/>
  <c r="BC18" i="7"/>
  <c r="H16" i="6"/>
  <c r="AW7" i="6"/>
  <c r="AJ35" i="6"/>
  <c r="BE35" i="6" s="1"/>
  <c r="AB34" i="7"/>
  <c r="BC29" i="7"/>
  <c r="L35" i="6"/>
  <c r="AY35" i="6" s="1"/>
  <c r="I4" i="7"/>
  <c r="J6" i="6"/>
  <c r="I11" i="14"/>
  <c r="BD37" i="7"/>
  <c r="AF47" i="7"/>
  <c r="L47" i="7"/>
  <c r="AY37" i="7"/>
  <c r="AW16" i="6"/>
  <c r="AW49" i="6"/>
  <c r="O2" i="13"/>
  <c r="Q60" i="7"/>
  <c r="P48" i="6"/>
  <c r="AZ48" i="6" s="1"/>
  <c r="AN34" i="7"/>
  <c r="BF29" i="7"/>
  <c r="BG29" i="7" s="1"/>
  <c r="P35" i="6"/>
  <c r="AZ35" i="6" s="1"/>
  <c r="H34" i="7"/>
  <c r="AX29" i="7"/>
  <c r="L26" i="7"/>
  <c r="L27" i="6"/>
  <c r="AY27" i="6" s="1"/>
  <c r="F22" i="7"/>
  <c r="G22" i="6"/>
  <c r="AZ37" i="7"/>
  <c r="P47" i="7"/>
  <c r="R2" i="13"/>
  <c r="T60" i="7"/>
  <c r="J2" i="13"/>
  <c r="L60" i="7"/>
  <c r="B2" i="13"/>
  <c r="D60" i="7"/>
  <c r="F5" i="5"/>
  <c r="D22" i="12" s="1"/>
  <c r="I46" i="3"/>
  <c r="I52" i="3"/>
  <c r="T4" i="4"/>
  <c r="C4" i="17"/>
  <c r="AS32" i="7" l="1"/>
  <c r="AT32" i="6"/>
  <c r="AS33" i="7"/>
  <c r="AT33" i="6"/>
  <c r="BF48" i="7"/>
  <c r="BG48" i="7" s="1"/>
  <c r="AS30" i="7"/>
  <c r="AT30" i="6"/>
  <c r="AS46" i="7"/>
  <c r="AT46" i="6"/>
  <c r="AT18" i="6"/>
  <c r="AS18" i="7"/>
  <c r="BG25" i="6"/>
  <c r="AQ35" i="7"/>
  <c r="AR35" i="6"/>
  <c r="AR47" i="7"/>
  <c r="AS47" i="6"/>
  <c r="B17" i="9"/>
  <c r="E65" i="7"/>
  <c r="E64" i="7"/>
  <c r="E66" i="7"/>
  <c r="AT19" i="6"/>
  <c r="AS19" i="7"/>
  <c r="AS29" i="7"/>
  <c r="AT29" i="6"/>
  <c r="AQ48" i="7"/>
  <c r="AR48" i="6"/>
  <c r="AR26" i="7"/>
  <c r="AS26" i="6"/>
  <c r="AS13" i="7"/>
  <c r="AT13" i="6"/>
  <c r="AR27" i="7"/>
  <c r="AS27" i="6"/>
  <c r="AR34" i="7"/>
  <c r="AS34" i="6"/>
  <c r="D56" i="7"/>
  <c r="D58" i="6"/>
  <c r="D58" i="7" s="1"/>
  <c r="AS31" i="7"/>
  <c r="AT31" i="6"/>
  <c r="M9" i="14"/>
  <c r="N9" i="14"/>
  <c r="BF27" i="7"/>
  <c r="BG27" i="7" s="1"/>
  <c r="F49" i="6"/>
  <c r="F56" i="6" s="1"/>
  <c r="F56" i="7" s="1"/>
  <c r="F58" i="6"/>
  <c r="F58" i="7" s="1"/>
  <c r="E56" i="7"/>
  <c r="E58" i="6"/>
  <c r="E58" i="7" s="1"/>
  <c r="B11" i="14"/>
  <c r="B6" i="12"/>
  <c r="E3" i="13"/>
  <c r="F12" i="29"/>
  <c r="F14" i="29"/>
  <c r="F15" i="29"/>
  <c r="AP3" i="29"/>
  <c r="AO4" i="12" s="1"/>
  <c r="C3" i="13"/>
  <c r="D14" i="29"/>
  <c r="D15" i="29"/>
  <c r="D12" i="29"/>
  <c r="AX26" i="7"/>
  <c r="AX27" i="7"/>
  <c r="D3" i="13"/>
  <c r="E14" i="29"/>
  <c r="E15" i="29"/>
  <c r="D6" i="12" s="1"/>
  <c r="E12" i="29"/>
  <c r="P16" i="8"/>
  <c r="K4" i="4"/>
  <c r="V9" i="12"/>
  <c r="V24" i="29"/>
  <c r="F32" i="12"/>
  <c r="AX14" i="6"/>
  <c r="AX3" i="6"/>
  <c r="B45" i="29"/>
  <c r="D17" i="5"/>
  <c r="D20" i="5" s="1"/>
  <c r="F36" i="3"/>
  <c r="AP4" i="12"/>
  <c r="AR3" i="29"/>
  <c r="K2" i="7"/>
  <c r="G10" i="12"/>
  <c r="I3" i="29"/>
  <c r="N10" i="12"/>
  <c r="P3" i="29"/>
  <c r="K10" i="12"/>
  <c r="M3" i="29"/>
  <c r="I15" i="7"/>
  <c r="I16" i="7" s="1"/>
  <c r="F27" i="29"/>
  <c r="D40" i="12"/>
  <c r="M26" i="29"/>
  <c r="AN10" i="12"/>
  <c r="B19" i="9"/>
  <c r="C53" i="3"/>
  <c r="D24" i="7"/>
  <c r="D51" i="7" s="1"/>
  <c r="I18" i="9"/>
  <c r="W18" i="8" s="1"/>
  <c r="I47" i="3"/>
  <c r="T35" i="7"/>
  <c r="BA35" i="7" s="1"/>
  <c r="BA34" i="7"/>
  <c r="G21" i="7"/>
  <c r="AW21" i="7" s="1"/>
  <c r="H21" i="6"/>
  <c r="AX47" i="7"/>
  <c r="H48" i="7"/>
  <c r="AX48" i="7" s="1"/>
  <c r="C42" i="12"/>
  <c r="C17" i="8"/>
  <c r="C20" i="8" s="1"/>
  <c r="P35" i="7"/>
  <c r="AZ35" i="7" s="1"/>
  <c r="AZ34" i="7"/>
  <c r="J5" i="7"/>
  <c r="AX5" i="6"/>
  <c r="AW21" i="6"/>
  <c r="D7" i="13"/>
  <c r="D35" i="7"/>
  <c r="AW35" i="7" s="1"/>
  <c r="AW34" i="7"/>
  <c r="E26" i="4"/>
  <c r="E31" i="4" s="1"/>
  <c r="L2" i="5"/>
  <c r="L35" i="7"/>
  <c r="AY35" i="7" s="1"/>
  <c r="AY34" i="7"/>
  <c r="J14" i="7"/>
  <c r="I6" i="7"/>
  <c r="U4" i="4"/>
  <c r="E65" i="6"/>
  <c r="E64" i="6"/>
  <c r="E63" i="6"/>
  <c r="E52" i="6"/>
  <c r="E53" i="6"/>
  <c r="E60" i="6" s="1"/>
  <c r="K9" i="11"/>
  <c r="P5" i="10" s="1"/>
  <c r="B10" i="11"/>
  <c r="H7" i="7"/>
  <c r="C4" i="18"/>
  <c r="E4" i="18" s="1"/>
  <c r="D4" i="17"/>
  <c r="E4" i="17" s="1"/>
  <c r="G10" i="4"/>
  <c r="AW50" i="6"/>
  <c r="AW51" i="6"/>
  <c r="AW52" i="6" s="1"/>
  <c r="AW53" i="6"/>
  <c r="AY47" i="7"/>
  <c r="L48" i="7"/>
  <c r="AY48" i="7" s="1"/>
  <c r="J4" i="7"/>
  <c r="AX4" i="6"/>
  <c r="AB35" i="7"/>
  <c r="BC35" i="7" s="1"/>
  <c r="BC34" i="7"/>
  <c r="BB13" i="7"/>
  <c r="H26" i="3"/>
  <c r="H12" i="12" s="1"/>
  <c r="I25" i="29" s="1"/>
  <c r="F23" i="4"/>
  <c r="F4" i="25"/>
  <c r="F27" i="25" s="1"/>
  <c r="G4" i="25"/>
  <c r="G27" i="25" s="1"/>
  <c r="B29" i="9"/>
  <c r="F23" i="7"/>
  <c r="AF27" i="7"/>
  <c r="BD27" i="7" s="1"/>
  <c r="BD26" i="7"/>
  <c r="I7" i="6"/>
  <c r="E53" i="7"/>
  <c r="E61" i="7" s="1"/>
  <c r="E52" i="7"/>
  <c r="H16" i="7"/>
  <c r="L11" i="7"/>
  <c r="H5" i="5"/>
  <c r="F22" i="12" s="1"/>
  <c r="I2" i="5"/>
  <c r="AW7" i="7"/>
  <c r="G2" i="12"/>
  <c r="H22" i="29" s="1"/>
  <c r="F35" i="3"/>
  <c r="F65" i="6"/>
  <c r="F64" i="6"/>
  <c r="F63" i="6"/>
  <c r="F52" i="6"/>
  <c r="F53" i="6"/>
  <c r="F60" i="6" s="1"/>
  <c r="AB27" i="7"/>
  <c r="BC27" i="7" s="1"/>
  <c r="BC26" i="7"/>
  <c r="D65" i="6"/>
  <c r="D64" i="6"/>
  <c r="D63" i="6"/>
  <c r="D52" i="6"/>
  <c r="D53" i="6"/>
  <c r="D60" i="6" s="1"/>
  <c r="BC47" i="7"/>
  <c r="AB48" i="7"/>
  <c r="BC48" i="7" s="1"/>
  <c r="AJ35" i="7"/>
  <c r="BE35" i="7" s="1"/>
  <c r="BE34" i="7"/>
  <c r="AC13" i="7"/>
  <c r="AD13" i="7" s="1"/>
  <c r="AE13" i="7" s="1"/>
  <c r="AF13" i="7" s="1"/>
  <c r="AF35" i="7"/>
  <c r="BD35" i="7" s="1"/>
  <c r="BD34" i="7"/>
  <c r="P48" i="7"/>
  <c r="AZ48" i="7" s="1"/>
  <c r="AZ47" i="7"/>
  <c r="J7" i="6"/>
  <c r="G22" i="7"/>
  <c r="AW22" i="7" s="1"/>
  <c r="H22" i="6"/>
  <c r="AW22" i="6"/>
  <c r="L27" i="7"/>
  <c r="AY27" i="7" s="1"/>
  <c r="AY26" i="7"/>
  <c r="H35" i="7"/>
  <c r="AX35" i="7" s="1"/>
  <c r="AX34" i="7"/>
  <c r="AN35" i="7"/>
  <c r="BF35" i="7" s="1"/>
  <c r="BG35" i="7" s="1"/>
  <c r="BF34" i="7"/>
  <c r="BG34" i="7" s="1"/>
  <c r="AF48" i="7"/>
  <c r="BD48" i="7" s="1"/>
  <c r="BD47" i="7"/>
  <c r="J9" i="7"/>
  <c r="J15" i="6"/>
  <c r="E11" i="11"/>
  <c r="G20" i="7"/>
  <c r="H20" i="6"/>
  <c r="G23" i="6"/>
  <c r="AW20" i="6"/>
  <c r="P27" i="7"/>
  <c r="AZ27" i="7" s="1"/>
  <c r="AZ26" i="7"/>
  <c r="J12" i="7"/>
  <c r="J10" i="7"/>
  <c r="G6" i="5"/>
  <c r="X35" i="7"/>
  <c r="BB35" i="7" s="1"/>
  <c r="BB34" i="7"/>
  <c r="BB47" i="7"/>
  <c r="X48" i="7"/>
  <c r="BB48" i="7" s="1"/>
  <c r="D49" i="7"/>
  <c r="J3" i="7"/>
  <c r="E35" i="3"/>
  <c r="B39" i="3" s="1"/>
  <c r="B6" i="9"/>
  <c r="AT33" i="7" l="1"/>
  <c r="AU33" i="6"/>
  <c r="AU33" i="7" s="1"/>
  <c r="BG33" i="6"/>
  <c r="AT13" i="7"/>
  <c r="AU13" i="6"/>
  <c r="AU13" i="7" s="1"/>
  <c r="BG13" i="6"/>
  <c r="AU29" i="6"/>
  <c r="AT29" i="7"/>
  <c r="AP10" i="12"/>
  <c r="AS34" i="7"/>
  <c r="AT34" i="6"/>
  <c r="AU18" i="6"/>
  <c r="AU18" i="7" s="1"/>
  <c r="AT18" i="7"/>
  <c r="AT32" i="7"/>
  <c r="AU32" i="6"/>
  <c r="AU32" i="7" s="1"/>
  <c r="BG32" i="6"/>
  <c r="AT26" i="6"/>
  <c r="AS26" i="7"/>
  <c r="AT47" i="6"/>
  <c r="AS47" i="7"/>
  <c r="AU46" i="6"/>
  <c r="AU46" i="7" s="1"/>
  <c r="AT46" i="7"/>
  <c r="B17" i="8"/>
  <c r="B20" i="8" s="1"/>
  <c r="B42" i="12"/>
  <c r="AU19" i="6"/>
  <c r="AU19" i="7" s="1"/>
  <c r="AT19" i="7"/>
  <c r="BG19" i="6"/>
  <c r="B32" i="29"/>
  <c r="AT31" i="7"/>
  <c r="AU31" i="6"/>
  <c r="AT27" i="6"/>
  <c r="AS27" i="7"/>
  <c r="BG18" i="6"/>
  <c r="AU30" i="6"/>
  <c r="AT30" i="7"/>
  <c r="AR35" i="7"/>
  <c r="AS35" i="6"/>
  <c r="D66" i="7"/>
  <c r="D64" i="7"/>
  <c r="AR48" i="7"/>
  <c r="AS48" i="6"/>
  <c r="M11" i="14"/>
  <c r="N11" i="14"/>
  <c r="B34" i="29"/>
  <c r="C6" i="12"/>
  <c r="E6" i="12"/>
  <c r="D54" i="6"/>
  <c r="G12" i="29"/>
  <c r="G14" i="29"/>
  <c r="G15" i="29"/>
  <c r="B19" i="13"/>
  <c r="B5" i="14" s="1"/>
  <c r="B35" i="29"/>
  <c r="S3" i="29"/>
  <c r="T3" i="29" s="1"/>
  <c r="G23" i="4"/>
  <c r="E54" i="7"/>
  <c r="C5" i="12" s="1"/>
  <c r="L4" i="4"/>
  <c r="W24" i="29"/>
  <c r="W9" i="12"/>
  <c r="P7" i="10"/>
  <c r="P6" i="10"/>
  <c r="BC13" i="7"/>
  <c r="AX12" i="6"/>
  <c r="AX9" i="6"/>
  <c r="AX10" i="6"/>
  <c r="P17" i="8"/>
  <c r="AQ4" i="12"/>
  <c r="AS3" i="29"/>
  <c r="G23" i="7"/>
  <c r="G49" i="7" s="1"/>
  <c r="L2" i="7"/>
  <c r="G36" i="3"/>
  <c r="AW54" i="6"/>
  <c r="J6" i="7"/>
  <c r="J7" i="7" s="1"/>
  <c r="R4" i="12"/>
  <c r="J3" i="29"/>
  <c r="O10" i="12"/>
  <c r="Q3" i="29"/>
  <c r="L10" i="12"/>
  <c r="N3" i="29"/>
  <c r="N26" i="29"/>
  <c r="D44" i="29" s="1"/>
  <c r="F8" i="12"/>
  <c r="G16" i="29" s="1"/>
  <c r="F7" i="12"/>
  <c r="AO10" i="12"/>
  <c r="C19" i="9"/>
  <c r="D53" i="3"/>
  <c r="B38" i="9"/>
  <c r="B37" i="9" s="1"/>
  <c r="P19" i="8"/>
  <c r="B18" i="9"/>
  <c r="P18" i="8" s="1"/>
  <c r="B23" i="9"/>
  <c r="P23" i="8" s="1"/>
  <c r="D65" i="7"/>
  <c r="D53" i="7"/>
  <c r="D52" i="7"/>
  <c r="K12" i="7"/>
  <c r="AX12" i="7" s="1"/>
  <c r="E12" i="11"/>
  <c r="F12" i="11" s="1"/>
  <c r="G9" i="11"/>
  <c r="G4" i="17"/>
  <c r="G26" i="17" s="1"/>
  <c r="F4" i="17"/>
  <c r="F26" i="17" s="1"/>
  <c r="D62" i="7"/>
  <c r="AW20" i="7"/>
  <c r="K3" i="7"/>
  <c r="AX3" i="7" s="1"/>
  <c r="K9" i="7"/>
  <c r="K15" i="6"/>
  <c r="AG13" i="7"/>
  <c r="AH13" i="7" s="1"/>
  <c r="AI13" i="7" s="1"/>
  <c r="AJ13" i="7" s="1"/>
  <c r="B34" i="9"/>
  <c r="B33" i="9" s="1"/>
  <c r="B7" i="9"/>
  <c r="H20" i="7"/>
  <c r="I20" i="6"/>
  <c r="H23" i="6"/>
  <c r="J15" i="7"/>
  <c r="G35" i="3"/>
  <c r="G15" i="12" s="1"/>
  <c r="J2" i="5"/>
  <c r="I5" i="5"/>
  <c r="G22" i="12" s="1"/>
  <c r="F24" i="7"/>
  <c r="F51" i="7" s="1"/>
  <c r="F62" i="7" s="1"/>
  <c r="F49" i="7"/>
  <c r="D4" i="16"/>
  <c r="E4" i="16" s="1"/>
  <c r="H10" i="4"/>
  <c r="C28" i="9"/>
  <c r="C17" i="9"/>
  <c r="Q16" i="8"/>
  <c r="H21" i="7"/>
  <c r="I21" i="6"/>
  <c r="AW55" i="6"/>
  <c r="C4" i="19"/>
  <c r="E4" i="19" s="1"/>
  <c r="C10" i="11"/>
  <c r="E54" i="6"/>
  <c r="V4" i="4"/>
  <c r="K14" i="7"/>
  <c r="AX14" i="7" s="1"/>
  <c r="I26" i="3"/>
  <c r="I12" i="12" s="1"/>
  <c r="G4" i="18"/>
  <c r="G26" i="18" s="1"/>
  <c r="F4" i="18"/>
  <c r="F26" i="18" s="1"/>
  <c r="I7" i="7"/>
  <c r="M2" i="5"/>
  <c r="L5" i="5"/>
  <c r="J22" i="12" s="1"/>
  <c r="K5" i="7"/>
  <c r="AX5" i="7" s="1"/>
  <c r="AX2" i="7"/>
  <c r="E15" i="12"/>
  <c r="B38" i="12" s="1"/>
  <c r="B8" i="9" s="1"/>
  <c r="B7" i="8"/>
  <c r="F3" i="13"/>
  <c r="K10" i="7"/>
  <c r="AX10" i="7" s="1"/>
  <c r="G24" i="6"/>
  <c r="G49" i="6"/>
  <c r="G56" i="6" s="1"/>
  <c r="AW23" i="6"/>
  <c r="J16" i="6"/>
  <c r="I22" i="6"/>
  <c r="H22" i="7"/>
  <c r="F54" i="6"/>
  <c r="F15" i="12"/>
  <c r="H2" i="12"/>
  <c r="I22" i="29" s="1"/>
  <c r="M11" i="7"/>
  <c r="E63" i="7"/>
  <c r="F26" i="4"/>
  <c r="F31" i="4" s="1"/>
  <c r="P2" i="5"/>
  <c r="K4" i="7"/>
  <c r="AX4" i="7" s="1"/>
  <c r="K6" i="6"/>
  <c r="D42" i="12"/>
  <c r="D17" i="8"/>
  <c r="D20" i="8" s="1"/>
  <c r="D26" i="8" s="1"/>
  <c r="J18" i="9"/>
  <c r="X18" i="8" s="1"/>
  <c r="J47" i="3"/>
  <c r="K27" i="12"/>
  <c r="C21" i="12" l="1"/>
  <c r="C14" i="12" s="1"/>
  <c r="AU47" i="6"/>
  <c r="AT47" i="7"/>
  <c r="B29" i="12"/>
  <c r="AU34" i="6"/>
  <c r="AU34" i="7" s="1"/>
  <c r="AT34" i="7"/>
  <c r="AU29" i="7"/>
  <c r="BG29" i="6"/>
  <c r="AU27" i="6"/>
  <c r="AU27" i="7" s="1"/>
  <c r="AT27" i="7"/>
  <c r="BG27" i="6"/>
  <c r="AU26" i="6"/>
  <c r="AT26" i="7"/>
  <c r="G65" i="7"/>
  <c r="G64" i="7"/>
  <c r="G66" i="7"/>
  <c r="AT35" i="6"/>
  <c r="AS35" i="7"/>
  <c r="AU31" i="7"/>
  <c r="BG31" i="6"/>
  <c r="BG34" i="6"/>
  <c r="F65" i="7"/>
  <c r="F64" i="7"/>
  <c r="F66" i="7"/>
  <c r="AQ10" i="12"/>
  <c r="R10" i="12"/>
  <c r="AT48" i="6"/>
  <c r="AS48" i="7"/>
  <c r="AU30" i="7"/>
  <c r="BG30" i="6"/>
  <c r="BG46" i="6"/>
  <c r="G56" i="7"/>
  <c r="AW56" i="7" s="1"/>
  <c r="G58" i="6"/>
  <c r="G58" i="7" s="1"/>
  <c r="AW58" i="7" s="1"/>
  <c r="B10" i="8" s="1"/>
  <c r="P10" i="8" s="1"/>
  <c r="F6" i="12"/>
  <c r="W3" i="29"/>
  <c r="H23" i="4"/>
  <c r="G24" i="7"/>
  <c r="G51" i="7" s="1"/>
  <c r="G62" i="7" s="1"/>
  <c r="H12" i="29"/>
  <c r="H14" i="29"/>
  <c r="H15" i="29"/>
  <c r="D13" i="29"/>
  <c r="D17" i="29" s="1"/>
  <c r="C18" i="12"/>
  <c r="C4" i="13" s="1"/>
  <c r="C6" i="13" s="1"/>
  <c r="C8" i="13" s="1"/>
  <c r="AW23" i="7"/>
  <c r="K14" i="29"/>
  <c r="K15" i="29"/>
  <c r="K12" i="29"/>
  <c r="M4" i="4"/>
  <c r="M23" i="4" s="1"/>
  <c r="AR2" i="5" s="1"/>
  <c r="L23" i="4"/>
  <c r="X9" i="12"/>
  <c r="X24" i="29"/>
  <c r="K16" i="6"/>
  <c r="AX16" i="6" s="1"/>
  <c r="AX15" i="6"/>
  <c r="AX6" i="6"/>
  <c r="AR4" i="12"/>
  <c r="AT3" i="29"/>
  <c r="M2" i="7"/>
  <c r="V4" i="12"/>
  <c r="X3" i="29"/>
  <c r="S4" i="12"/>
  <c r="U3" i="29"/>
  <c r="I10" i="12"/>
  <c r="H10" i="12"/>
  <c r="P10" i="12"/>
  <c r="R3" i="29"/>
  <c r="H36" i="3"/>
  <c r="K6" i="7"/>
  <c r="K7" i="7" s="1"/>
  <c r="AX7" i="7" s="1"/>
  <c r="O26" i="29"/>
  <c r="C35" i="12"/>
  <c r="J25" i="29"/>
  <c r="C43" i="29" s="1"/>
  <c r="J8" i="12"/>
  <c r="K16" i="29" s="1"/>
  <c r="J7" i="12"/>
  <c r="G8" i="12"/>
  <c r="H16" i="29" s="1"/>
  <c r="G7" i="12"/>
  <c r="BD13" i="7"/>
  <c r="D19" i="9"/>
  <c r="E53" i="3"/>
  <c r="Q19" i="8"/>
  <c r="C23" i="9"/>
  <c r="Q23" i="8" s="1"/>
  <c r="C38" i="9"/>
  <c r="C37" i="9" s="1"/>
  <c r="C18" i="9"/>
  <c r="Q18" i="8" s="1"/>
  <c r="K7" i="6"/>
  <c r="N11" i="7"/>
  <c r="AY11" i="6"/>
  <c r="D4" i="15"/>
  <c r="E4" i="15" s="1"/>
  <c r="I10" i="4"/>
  <c r="D10" i="11"/>
  <c r="G4" i="19"/>
  <c r="G27" i="19" s="1"/>
  <c r="F4" i="19"/>
  <c r="F27" i="19" s="1"/>
  <c r="F53" i="7"/>
  <c r="F61" i="7" s="1"/>
  <c r="F52" i="7"/>
  <c r="J5" i="5"/>
  <c r="H22" i="12" s="1"/>
  <c r="K2" i="5"/>
  <c r="H23" i="7"/>
  <c r="L3" i="7"/>
  <c r="G53" i="7"/>
  <c r="G61" i="7" s="1"/>
  <c r="G52" i="7"/>
  <c r="G50" i="7"/>
  <c r="AW50" i="7" s="1"/>
  <c r="G65" i="6"/>
  <c r="B73" i="6" s="1"/>
  <c r="G64" i="6"/>
  <c r="B72" i="6" s="1"/>
  <c r="G63" i="6"/>
  <c r="B71" i="6" s="1"/>
  <c r="G53" i="6"/>
  <c r="G60" i="6" s="1"/>
  <c r="B68" i="6" s="1"/>
  <c r="G50" i="6"/>
  <c r="L10" i="7"/>
  <c r="B21" i="8"/>
  <c r="B6" i="8"/>
  <c r="P6" i="8" s="1"/>
  <c r="B48" i="12" s="1"/>
  <c r="L5" i="7"/>
  <c r="D11" i="13"/>
  <c r="T2" i="5"/>
  <c r="G26" i="4"/>
  <c r="G31" i="4" s="1"/>
  <c r="L6" i="6"/>
  <c r="J26" i="3"/>
  <c r="J12" i="12" s="1"/>
  <c r="K25" i="29" s="1"/>
  <c r="L14" i="7"/>
  <c r="X4" i="4"/>
  <c r="K10" i="4" s="1"/>
  <c r="W4" i="4"/>
  <c r="J10" i="4" s="1"/>
  <c r="I21" i="7"/>
  <c r="J21" i="6"/>
  <c r="H24" i="6"/>
  <c r="H49" i="6"/>
  <c r="H56" i="6" s="1"/>
  <c r="P7" i="8"/>
  <c r="C91" i="6"/>
  <c r="B70" i="7"/>
  <c r="D54" i="7"/>
  <c r="B5" i="12" s="1"/>
  <c r="B21" i="12" s="1"/>
  <c r="B14" i="12" s="1"/>
  <c r="D63" i="7"/>
  <c r="D28" i="9"/>
  <c r="D17" i="9"/>
  <c r="R16" i="8"/>
  <c r="L4" i="7"/>
  <c r="P5" i="5"/>
  <c r="N22" i="12" s="1"/>
  <c r="Q2" i="5"/>
  <c r="I2" i="12"/>
  <c r="I22" i="7"/>
  <c r="J22" i="6"/>
  <c r="G51" i="6"/>
  <c r="G61" i="6" s="1"/>
  <c r="B69" i="6" s="1"/>
  <c r="AW24" i="6"/>
  <c r="B9" i="9"/>
  <c r="P8" i="8"/>
  <c r="J3" i="13"/>
  <c r="C29" i="9"/>
  <c r="Q17" i="8"/>
  <c r="J16" i="7"/>
  <c r="AK13" i="7"/>
  <c r="AL13" i="7" s="1"/>
  <c r="AM13" i="7" s="1"/>
  <c r="AN13" i="7" s="1"/>
  <c r="K15" i="7"/>
  <c r="K16" i="7" s="1"/>
  <c r="AX9" i="7"/>
  <c r="E13" i="11"/>
  <c r="D61" i="7"/>
  <c r="K18" i="9"/>
  <c r="Y18" i="8" s="1"/>
  <c r="K47" i="3"/>
  <c r="E42" i="12"/>
  <c r="E17" i="8"/>
  <c r="E20" i="8" s="1"/>
  <c r="E26" i="8" s="1"/>
  <c r="N2" i="5"/>
  <c r="M5" i="5"/>
  <c r="K22" i="12" s="1"/>
  <c r="C4" i="20"/>
  <c r="E4" i="20" s="1"/>
  <c r="G4" i="16"/>
  <c r="G26" i="16" s="1"/>
  <c r="F4" i="16"/>
  <c r="F26" i="16" s="1"/>
  <c r="G3" i="13"/>
  <c r="L10" i="11"/>
  <c r="I20" i="7"/>
  <c r="J20" i="6"/>
  <c r="I23" i="6"/>
  <c r="L9" i="7"/>
  <c r="L15" i="6"/>
  <c r="L12" i="7"/>
  <c r="AW49" i="7"/>
  <c r="S10" i="12" l="1"/>
  <c r="AU48" i="6"/>
  <c r="AU48" i="7" s="1"/>
  <c r="AT48" i="7"/>
  <c r="C9" i="13"/>
  <c r="C10" i="13" s="1"/>
  <c r="C12" i="13" s="1"/>
  <c r="V10" i="12"/>
  <c r="AU26" i="7"/>
  <c r="BG26" i="6"/>
  <c r="AU35" i="6"/>
  <c r="AU35" i="7" s="1"/>
  <c r="AT35" i="7"/>
  <c r="AU47" i="7"/>
  <c r="BG47" i="6"/>
  <c r="BG48" i="6"/>
  <c r="J6" i="12"/>
  <c r="AW24" i="7"/>
  <c r="B72" i="7"/>
  <c r="AW52" i="7"/>
  <c r="B73" i="7"/>
  <c r="H58" i="6"/>
  <c r="H58" i="7" s="1"/>
  <c r="H56" i="7"/>
  <c r="AW51" i="7"/>
  <c r="B14" i="8" s="1"/>
  <c r="P14" i="8" s="1"/>
  <c r="B43" i="12" s="1"/>
  <c r="F54" i="7"/>
  <c r="D5" i="12" s="1"/>
  <c r="D21" i="12" s="1"/>
  <c r="D14" i="12" s="1"/>
  <c r="G6" i="12"/>
  <c r="B74" i="7"/>
  <c r="L14" i="29"/>
  <c r="L12" i="29"/>
  <c r="L15" i="29"/>
  <c r="I23" i="7"/>
  <c r="I49" i="7" s="1"/>
  <c r="AW53" i="7"/>
  <c r="B15" i="8" s="1"/>
  <c r="P15" i="8" s="1"/>
  <c r="AE3" i="29"/>
  <c r="AD4" i="12" s="1"/>
  <c r="J23" i="4"/>
  <c r="AA3" i="29"/>
  <c r="I23" i="4"/>
  <c r="B69" i="7"/>
  <c r="B75" i="7" s="1"/>
  <c r="AI3" i="29"/>
  <c r="AH4" i="12" s="1"/>
  <c r="K23" i="4"/>
  <c r="C13" i="29"/>
  <c r="B18" i="12"/>
  <c r="B4" i="13" s="1"/>
  <c r="B6" i="13" s="1"/>
  <c r="B8" i="13" s="1"/>
  <c r="B9" i="13" s="1"/>
  <c r="I15" i="29"/>
  <c r="I14" i="29"/>
  <c r="I12" i="29"/>
  <c r="O15" i="29"/>
  <c r="O14" i="29"/>
  <c r="O12" i="29"/>
  <c r="Y9" i="12"/>
  <c r="G32" i="12" s="1"/>
  <c r="Y24" i="29"/>
  <c r="M6" i="6"/>
  <c r="M7" i="6" s="1"/>
  <c r="AX7" i="6"/>
  <c r="L6" i="7"/>
  <c r="L7" i="7" s="1"/>
  <c r="H35" i="3"/>
  <c r="AR10" i="12"/>
  <c r="AY2" i="6"/>
  <c r="N2" i="7"/>
  <c r="C27" i="12"/>
  <c r="AS4" i="12"/>
  <c r="G63" i="7"/>
  <c r="AX6" i="7"/>
  <c r="AF3" i="29"/>
  <c r="Z4" i="12"/>
  <c r="AB3" i="29"/>
  <c r="W4" i="12"/>
  <c r="Y3" i="29"/>
  <c r="T4" i="12"/>
  <c r="V3" i="29"/>
  <c r="C33" i="12"/>
  <c r="D27" i="12"/>
  <c r="M10" i="12"/>
  <c r="AX15" i="7"/>
  <c r="AX16" i="7"/>
  <c r="C25" i="12"/>
  <c r="C24" i="8" s="1"/>
  <c r="J22" i="29"/>
  <c r="C40" i="29" s="1"/>
  <c r="P26" i="29"/>
  <c r="N8" i="12"/>
  <c r="O16" i="29" s="1"/>
  <c r="N7" i="12"/>
  <c r="K5" i="5"/>
  <c r="I22" i="12" s="1"/>
  <c r="E16" i="5"/>
  <c r="E20" i="5" s="1"/>
  <c r="K8" i="12"/>
  <c r="L16" i="29" s="1"/>
  <c r="K7" i="12"/>
  <c r="H8" i="12"/>
  <c r="I16" i="29" s="1"/>
  <c r="H7" i="12"/>
  <c r="E19" i="9"/>
  <c r="F53" i="3"/>
  <c r="D23" i="9"/>
  <c r="R23" i="8" s="1"/>
  <c r="R19" i="8"/>
  <c r="D18" i="9"/>
  <c r="R18" i="8" s="1"/>
  <c r="D38" i="9"/>
  <c r="D37" i="9" s="1"/>
  <c r="I24" i="6"/>
  <c r="I51" i="6" s="1"/>
  <c r="I61" i="6" s="1"/>
  <c r="I49" i="6"/>
  <c r="I56" i="6" s="1"/>
  <c r="J20" i="7"/>
  <c r="K20" i="6"/>
  <c r="J23" i="6"/>
  <c r="C4" i="21"/>
  <c r="E4" i="21" s="1"/>
  <c r="E14" i="11"/>
  <c r="G12" i="11" s="1"/>
  <c r="X2" i="5"/>
  <c r="H26" i="4"/>
  <c r="H31" i="4" s="1"/>
  <c r="J2" i="12"/>
  <c r="K22" i="29" s="1"/>
  <c r="H65" i="6"/>
  <c r="H64" i="6"/>
  <c r="H63" i="6"/>
  <c r="H53" i="6"/>
  <c r="U2" i="5"/>
  <c r="T5" i="5"/>
  <c r="B74" i="6"/>
  <c r="M3" i="7"/>
  <c r="H24" i="7"/>
  <c r="H49" i="7"/>
  <c r="G4" i="15"/>
  <c r="G26" i="15" s="1"/>
  <c r="F4" i="15"/>
  <c r="F26" i="15" s="1"/>
  <c r="L16" i="6"/>
  <c r="M9" i="7"/>
  <c r="M15" i="6"/>
  <c r="M16" i="6" s="1"/>
  <c r="M12" i="7"/>
  <c r="L15" i="7"/>
  <c r="G4" i="20"/>
  <c r="G27" i="20" s="1"/>
  <c r="F4" i="20"/>
  <c r="F27" i="20" s="1"/>
  <c r="K3" i="13"/>
  <c r="J22" i="7"/>
  <c r="K22" i="6"/>
  <c r="AX22" i="6" s="1"/>
  <c r="M4" i="7"/>
  <c r="H51" i="6"/>
  <c r="K26" i="3"/>
  <c r="K12" i="12" s="1"/>
  <c r="L25" i="29" s="1"/>
  <c r="M5" i="7"/>
  <c r="G54" i="7"/>
  <c r="F63" i="7"/>
  <c r="B11" i="11"/>
  <c r="N5" i="5"/>
  <c r="L22" i="12" s="1"/>
  <c r="O2" i="5"/>
  <c r="O5" i="5" s="1"/>
  <c r="M22" i="12" s="1"/>
  <c r="L18" i="9"/>
  <c r="Z18" i="8" s="1"/>
  <c r="L47" i="3"/>
  <c r="BE13" i="7"/>
  <c r="P9" i="8"/>
  <c r="R2" i="5"/>
  <c r="Q5" i="5"/>
  <c r="O22" i="12" s="1"/>
  <c r="D29" i="9"/>
  <c r="R17" i="8"/>
  <c r="L7" i="6"/>
  <c r="M10" i="7"/>
  <c r="H3" i="13"/>
  <c r="E28" i="9"/>
  <c r="E17" i="9"/>
  <c r="S16" i="8"/>
  <c r="AO13" i="7"/>
  <c r="AP13" i="7" s="1"/>
  <c r="N3" i="13"/>
  <c r="J21" i="7"/>
  <c r="K21" i="6"/>
  <c r="AX21" i="6" s="1"/>
  <c r="M14" i="7"/>
  <c r="F42" i="12"/>
  <c r="F17" i="8"/>
  <c r="F20" i="8" s="1"/>
  <c r="F26" i="8" s="1"/>
  <c r="D13" i="13"/>
  <c r="D14" i="13"/>
  <c r="G52" i="6"/>
  <c r="G54" i="6" s="1"/>
  <c r="G55" i="6" s="1"/>
  <c r="O11" i="7"/>
  <c r="AY11" i="7" s="1"/>
  <c r="AD10" i="12" l="1"/>
  <c r="AS10" i="12"/>
  <c r="W10" i="12"/>
  <c r="Z10" i="12"/>
  <c r="I66" i="7"/>
  <c r="I65" i="7"/>
  <c r="I64" i="7"/>
  <c r="H66" i="7"/>
  <c r="H65" i="7"/>
  <c r="H64" i="7"/>
  <c r="AH10" i="12"/>
  <c r="H15" i="12"/>
  <c r="T10" i="12"/>
  <c r="BG35" i="6"/>
  <c r="H6" i="12"/>
  <c r="I24" i="7"/>
  <c r="I51" i="7" s="1"/>
  <c r="I62" i="7" s="1"/>
  <c r="I56" i="7"/>
  <c r="I58" i="6"/>
  <c r="I58" i="7" s="1"/>
  <c r="G55" i="7"/>
  <c r="AW55" i="7" s="1"/>
  <c r="E5" i="12"/>
  <c r="B2" i="2"/>
  <c r="T24" i="4"/>
  <c r="E13" i="29"/>
  <c r="E17" i="29" s="1"/>
  <c r="D18" i="12"/>
  <c r="D4" i="13" s="1"/>
  <c r="D6" i="13" s="1"/>
  <c r="D8" i="13" s="1"/>
  <c r="D9" i="13" s="1"/>
  <c r="D10" i="13" s="1"/>
  <c r="D12" i="13" s="1"/>
  <c r="AJ3" i="29"/>
  <c r="AI4" i="12" s="1"/>
  <c r="N15" i="29"/>
  <c r="N12" i="29"/>
  <c r="N14" i="29"/>
  <c r="M14" i="29"/>
  <c r="M12" i="29"/>
  <c r="D32" i="29" s="1"/>
  <c r="M15" i="29"/>
  <c r="B28" i="12"/>
  <c r="K6" i="12"/>
  <c r="AX20" i="6"/>
  <c r="B10" i="13"/>
  <c r="B12" i="13" s="1"/>
  <c r="C17" i="29"/>
  <c r="S14" i="29"/>
  <c r="S12" i="29"/>
  <c r="I3" i="13"/>
  <c r="C19" i="13" s="1"/>
  <c r="C5" i="14" s="1"/>
  <c r="J15" i="29"/>
  <c r="J14" i="29"/>
  <c r="C34" i="29" s="1"/>
  <c r="J12" i="29"/>
  <c r="C32" i="29" s="1"/>
  <c r="P15" i="29"/>
  <c r="P14" i="29"/>
  <c r="P12" i="29"/>
  <c r="N6" i="12"/>
  <c r="Z9" i="12"/>
  <c r="Z24" i="29"/>
  <c r="H60" i="6"/>
  <c r="H61" i="6"/>
  <c r="I36" i="3"/>
  <c r="C40" i="3" s="1"/>
  <c r="C7" i="9" s="1"/>
  <c r="I35" i="3"/>
  <c r="I15" i="12" s="1"/>
  <c r="L27" i="12"/>
  <c r="O2" i="7"/>
  <c r="AY2" i="7" s="1"/>
  <c r="AE4" i="12"/>
  <c r="AG3" i="29"/>
  <c r="AA4" i="12"/>
  <c r="AC3" i="29"/>
  <c r="X4" i="12"/>
  <c r="Z3" i="29"/>
  <c r="U4" i="12"/>
  <c r="Q10" i="12"/>
  <c r="E27" i="12"/>
  <c r="D33" i="12"/>
  <c r="E40" i="12"/>
  <c r="Q26" i="29"/>
  <c r="K6" i="5"/>
  <c r="O8" i="12"/>
  <c r="P16" i="29" s="1"/>
  <c r="O7" i="12"/>
  <c r="L8" i="12"/>
  <c r="M16" i="29" s="1"/>
  <c r="L7" i="12"/>
  <c r="I8" i="12"/>
  <c r="J16" i="29" s="1"/>
  <c r="C36" i="29" s="1"/>
  <c r="I7" i="12"/>
  <c r="F16" i="5"/>
  <c r="F20" i="5" s="1"/>
  <c r="R8" i="12"/>
  <c r="M8" i="12"/>
  <c r="N16" i="29" s="1"/>
  <c r="M7" i="12"/>
  <c r="M6" i="7"/>
  <c r="M7" i="7" s="1"/>
  <c r="F19" i="9"/>
  <c r="G53" i="3"/>
  <c r="E38" i="9"/>
  <c r="E37" i="9" s="1"/>
  <c r="E23" i="9"/>
  <c r="S23" i="8" s="1"/>
  <c r="E18" i="9"/>
  <c r="S18" i="8" s="1"/>
  <c r="S19" i="8"/>
  <c r="E29" i="9"/>
  <c r="S17" i="8"/>
  <c r="O3" i="13"/>
  <c r="L3" i="13"/>
  <c r="D19" i="13" s="1"/>
  <c r="L26" i="3"/>
  <c r="L12" i="12" s="1"/>
  <c r="M25" i="29" s="1"/>
  <c r="N12" i="7"/>
  <c r="M15" i="7"/>
  <c r="M16" i="7" s="1"/>
  <c r="N3" i="7"/>
  <c r="R3" i="13"/>
  <c r="H52" i="6"/>
  <c r="K2" i="12"/>
  <c r="L22" i="29" s="1"/>
  <c r="N6" i="6"/>
  <c r="E15" i="11"/>
  <c r="L13" i="11" s="1"/>
  <c r="J23" i="7"/>
  <c r="D15" i="13"/>
  <c r="F17" i="9"/>
  <c r="F28" i="9"/>
  <c r="T16" i="8"/>
  <c r="K21" i="7"/>
  <c r="AX21" i="7" s="1"/>
  <c r="L21" i="6"/>
  <c r="BF13" i="7"/>
  <c r="BG13" i="7" s="1"/>
  <c r="R5" i="5"/>
  <c r="P22" i="12" s="1"/>
  <c r="S2" i="5"/>
  <c r="S5" i="5" s="1"/>
  <c r="Q22" i="12" s="1"/>
  <c r="B26" i="12"/>
  <c r="AW54" i="7"/>
  <c r="N4" i="7"/>
  <c r="H53" i="7"/>
  <c r="V2" i="5"/>
  <c r="U5" i="5"/>
  <c r="S22" i="12" s="1"/>
  <c r="C38" i="12"/>
  <c r="C4" i="22"/>
  <c r="E4" i="22" s="1"/>
  <c r="I52" i="6"/>
  <c r="I53" i="6"/>
  <c r="I60" i="6" s="1"/>
  <c r="I65" i="6"/>
  <c r="I64" i="6"/>
  <c r="I63" i="6"/>
  <c r="P11" i="7"/>
  <c r="I26" i="4"/>
  <c r="I31" i="4" s="1"/>
  <c r="AB2" i="5"/>
  <c r="N10" i="7"/>
  <c r="O6" i="5"/>
  <c r="C11" i="11"/>
  <c r="N5" i="7"/>
  <c r="K22" i="7"/>
  <c r="AX22" i="7" s="1"/>
  <c r="L22" i="6"/>
  <c r="G42" i="12"/>
  <c r="G17" i="8"/>
  <c r="G4" i="21"/>
  <c r="G27" i="21" s="1"/>
  <c r="F4" i="21"/>
  <c r="F27" i="21" s="1"/>
  <c r="J24" i="6"/>
  <c r="J49" i="6"/>
  <c r="J56" i="6" s="1"/>
  <c r="N14" i="7"/>
  <c r="M3" i="13"/>
  <c r="AF2" i="5"/>
  <c r="J26" i="4"/>
  <c r="J31" i="4" s="1"/>
  <c r="L16" i="7"/>
  <c r="N9" i="7"/>
  <c r="N15" i="6"/>
  <c r="H51" i="7"/>
  <c r="X5" i="5"/>
  <c r="V22" i="12" s="1"/>
  <c r="Y2" i="5"/>
  <c r="I53" i="7"/>
  <c r="I61" i="7" s="1"/>
  <c r="I52" i="7"/>
  <c r="K20" i="7"/>
  <c r="L20" i="6"/>
  <c r="K23" i="6"/>
  <c r="AX23" i="6" s="1"/>
  <c r="AA10" i="12" l="1"/>
  <c r="AE10" i="12"/>
  <c r="AI10" i="12"/>
  <c r="C39" i="3"/>
  <c r="C7" i="8" s="1"/>
  <c r="D36" i="29"/>
  <c r="U10" i="12"/>
  <c r="X10" i="12"/>
  <c r="F13" i="29"/>
  <c r="F17" i="29" s="1"/>
  <c r="E21" i="12"/>
  <c r="E14" i="12" s="1"/>
  <c r="B37" i="12" s="1"/>
  <c r="J58" i="6"/>
  <c r="J58" i="7" s="1"/>
  <c r="J56" i="7"/>
  <c r="D34" i="29"/>
  <c r="T27" i="4"/>
  <c r="U24" i="4" s="1"/>
  <c r="C6" i="9"/>
  <c r="C34" i="9" s="1"/>
  <c r="C33" i="9" s="1"/>
  <c r="AK3" i="29"/>
  <c r="AJ4" i="12" s="1"/>
  <c r="L6" i="12"/>
  <c r="D35" i="29"/>
  <c r="R21" i="12"/>
  <c r="B33" i="29"/>
  <c r="B37" i="29" s="1"/>
  <c r="B46" i="29" s="1"/>
  <c r="M6" i="12"/>
  <c r="T12" i="29"/>
  <c r="T15" i="29"/>
  <c r="T14" i="29"/>
  <c r="S3" i="13"/>
  <c r="W15" i="29"/>
  <c r="W14" i="29"/>
  <c r="W12" i="29"/>
  <c r="V3" i="13"/>
  <c r="R15" i="29"/>
  <c r="R14" i="29"/>
  <c r="R12" i="29"/>
  <c r="C35" i="29"/>
  <c r="I6" i="12"/>
  <c r="C29" i="12" s="1"/>
  <c r="Q15" i="29"/>
  <c r="Q14" i="29"/>
  <c r="Q12" i="29"/>
  <c r="O6" i="12"/>
  <c r="AA24" i="29"/>
  <c r="AA9" i="12"/>
  <c r="AY12" i="6"/>
  <c r="AY14" i="6"/>
  <c r="AY9" i="6"/>
  <c r="AY10" i="6"/>
  <c r="H54" i="6"/>
  <c r="P2" i="7"/>
  <c r="AY4" i="6"/>
  <c r="AY3" i="6"/>
  <c r="AY5" i="6"/>
  <c r="J36" i="3"/>
  <c r="J35" i="3"/>
  <c r="J15" i="12" s="1"/>
  <c r="F33" i="12"/>
  <c r="O6" i="6"/>
  <c r="AY6" i="6" s="1"/>
  <c r="D42" i="29"/>
  <c r="AF4" i="12"/>
  <c r="AH3" i="29"/>
  <c r="AB4" i="12"/>
  <c r="AD3" i="29"/>
  <c r="Y4" i="12"/>
  <c r="F27" i="12"/>
  <c r="E33" i="12"/>
  <c r="K36" i="3"/>
  <c r="N6" i="7"/>
  <c r="N7" i="7" s="1"/>
  <c r="I54" i="6"/>
  <c r="R26" i="29"/>
  <c r="E44" i="29" s="1"/>
  <c r="C30" i="12"/>
  <c r="C31" i="12"/>
  <c r="V8" i="12"/>
  <c r="W16" i="29" s="1"/>
  <c r="V7" i="12"/>
  <c r="S7" i="12"/>
  <c r="S8" i="12"/>
  <c r="T16" i="29" s="1"/>
  <c r="P8" i="12"/>
  <c r="Q16" i="29" s="1"/>
  <c r="P7" i="12"/>
  <c r="Q8" i="12"/>
  <c r="R16" i="29" s="1"/>
  <c r="Q7" i="12"/>
  <c r="G16" i="5"/>
  <c r="G20" i="5" s="1"/>
  <c r="D5" i="14"/>
  <c r="H53" i="3"/>
  <c r="G19" i="9"/>
  <c r="T19" i="8"/>
  <c r="F18" i="9"/>
  <c r="F38" i="9"/>
  <c r="F37" i="9" s="1"/>
  <c r="F23" i="9"/>
  <c r="T23" i="8" s="1"/>
  <c r="I54" i="7"/>
  <c r="G5" i="12" s="1"/>
  <c r="G21" i="12" s="1"/>
  <c r="G14" i="12" s="1"/>
  <c r="H62" i="7"/>
  <c r="N15" i="7"/>
  <c r="O14" i="7"/>
  <c r="AY14" i="7" s="1"/>
  <c r="J65" i="6"/>
  <c r="J64" i="6"/>
  <c r="J63" i="6"/>
  <c r="J53" i="6"/>
  <c r="J60" i="6" s="1"/>
  <c r="Q11" i="7"/>
  <c r="C8" i="9"/>
  <c r="V5" i="5"/>
  <c r="T22" i="12" s="1"/>
  <c r="W2" i="5"/>
  <c r="W5" i="5" s="1"/>
  <c r="U22" i="12" s="1"/>
  <c r="L21" i="7"/>
  <c r="M21" i="6"/>
  <c r="F29" i="9"/>
  <c r="T17" i="8"/>
  <c r="C6" i="8"/>
  <c r="J51" i="6"/>
  <c r="G28" i="9"/>
  <c r="G17" i="9"/>
  <c r="U16" i="8"/>
  <c r="D11" i="11"/>
  <c r="AC2" i="5"/>
  <c r="AB5" i="5"/>
  <c r="Z22" i="12" s="1"/>
  <c r="H52" i="7"/>
  <c r="O4" i="7"/>
  <c r="AY4" i="7" s="1"/>
  <c r="Q3" i="13"/>
  <c r="N7" i="6"/>
  <c r="D30" i="12"/>
  <c r="L20" i="7"/>
  <c r="M20" i="6"/>
  <c r="L23" i="6"/>
  <c r="Q2" i="7"/>
  <c r="O9" i="7"/>
  <c r="O15" i="6"/>
  <c r="O16" i="6" s="1"/>
  <c r="M22" i="6"/>
  <c r="L22" i="7"/>
  <c r="O5" i="7"/>
  <c r="AY5" i="7" s="1"/>
  <c r="H42" i="12"/>
  <c r="H17" i="8"/>
  <c r="C4" i="23"/>
  <c r="E4" i="23" s="1"/>
  <c r="P3" i="13"/>
  <c r="S6" i="5"/>
  <c r="J24" i="7"/>
  <c r="J49" i="7"/>
  <c r="E16" i="11"/>
  <c r="O3" i="7"/>
  <c r="D31" i="12"/>
  <c r="K24" i="6"/>
  <c r="K49" i="6"/>
  <c r="K56" i="6" s="1"/>
  <c r="AX56" i="6" s="1"/>
  <c r="I63" i="7"/>
  <c r="Z2" i="5"/>
  <c r="Y5" i="5"/>
  <c r="W22" i="12" s="1"/>
  <c r="I42" i="12"/>
  <c r="I17" i="8"/>
  <c r="Q7" i="8"/>
  <c r="K23" i="7"/>
  <c r="AX20" i="7"/>
  <c r="N16" i="6"/>
  <c r="AG2" i="5"/>
  <c r="AF5" i="5"/>
  <c r="AD22" i="12" s="1"/>
  <c r="O10" i="7"/>
  <c r="AY10" i="7" s="1"/>
  <c r="F4" i="22"/>
  <c r="F27" i="22" s="1"/>
  <c r="G4" i="22"/>
  <c r="G27" i="22" s="1"/>
  <c r="H61" i="7"/>
  <c r="H63" i="7"/>
  <c r="L2" i="12"/>
  <c r="M22" i="29" s="1"/>
  <c r="O12" i="7"/>
  <c r="AY12" i="7" s="1"/>
  <c r="M26" i="3"/>
  <c r="M12" i="12" s="1"/>
  <c r="AF10" i="12" l="1"/>
  <c r="AJ10" i="12"/>
  <c r="E32" i="29"/>
  <c r="J64" i="7"/>
  <c r="J66" i="7"/>
  <c r="J65" i="7"/>
  <c r="AB10" i="12"/>
  <c r="E18" i="12"/>
  <c r="Q6" i="8"/>
  <c r="C48" i="12" s="1"/>
  <c r="K58" i="6"/>
  <c r="K56" i="7"/>
  <c r="AX56" i="7" s="1"/>
  <c r="V6" i="12"/>
  <c r="E34" i="29"/>
  <c r="D29" i="12"/>
  <c r="S6" i="12"/>
  <c r="AL3" i="29"/>
  <c r="K51" i="6"/>
  <c r="AX51" i="6" s="1"/>
  <c r="U25" i="4"/>
  <c r="U26" i="4"/>
  <c r="Q6" i="12"/>
  <c r="AX24" i="6"/>
  <c r="E19" i="13"/>
  <c r="E36" i="29"/>
  <c r="U15" i="29"/>
  <c r="U14" i="29"/>
  <c r="U12" i="29"/>
  <c r="T3" i="13"/>
  <c r="AD3" i="13"/>
  <c r="AE15" i="29"/>
  <c r="AE14" i="29"/>
  <c r="AE12" i="29"/>
  <c r="X12" i="29"/>
  <c r="X15" i="29"/>
  <c r="X14" i="29"/>
  <c r="W3" i="13"/>
  <c r="Z3" i="13"/>
  <c r="AA15" i="29"/>
  <c r="AA14" i="29"/>
  <c r="AA12" i="29"/>
  <c r="E35" i="29"/>
  <c r="P6" i="12"/>
  <c r="E29" i="12" s="1"/>
  <c r="V15" i="29"/>
  <c r="V14" i="29"/>
  <c r="V12" i="29"/>
  <c r="U3" i="13"/>
  <c r="AB9" i="12"/>
  <c r="AB24" i="29"/>
  <c r="AY16" i="6"/>
  <c r="AY15" i="6"/>
  <c r="J61" i="6"/>
  <c r="O7" i="6"/>
  <c r="AY7" i="6" s="1"/>
  <c r="AX49" i="6"/>
  <c r="K35" i="3"/>
  <c r="K15" i="12" s="1"/>
  <c r="D82" i="6"/>
  <c r="AK4" i="12"/>
  <c r="AG4" i="12"/>
  <c r="AC4" i="12"/>
  <c r="Y10" i="12"/>
  <c r="G27" i="12"/>
  <c r="C42" i="29"/>
  <c r="H13" i="29"/>
  <c r="H17" i="29" s="1"/>
  <c r="H23" i="29"/>
  <c r="H27" i="29" s="1"/>
  <c r="S26" i="29"/>
  <c r="D35" i="12"/>
  <c r="N25" i="29"/>
  <c r="D43" i="29" s="1"/>
  <c r="E30" i="12"/>
  <c r="E42" i="29"/>
  <c r="W6" i="5"/>
  <c r="H16" i="5"/>
  <c r="H20" i="5" s="1"/>
  <c r="E5" i="14"/>
  <c r="Z8" i="12"/>
  <c r="AA16" i="29" s="1"/>
  <c r="Z7" i="12"/>
  <c r="U8" i="12"/>
  <c r="V16" i="29" s="1"/>
  <c r="U7" i="12"/>
  <c r="AD8" i="12"/>
  <c r="AE16" i="29" s="1"/>
  <c r="AD7" i="12"/>
  <c r="W8" i="12"/>
  <c r="X16" i="29" s="1"/>
  <c r="W7" i="12"/>
  <c r="T8" i="12"/>
  <c r="U16" i="29" s="1"/>
  <c r="T7" i="12"/>
  <c r="O6" i="7"/>
  <c r="AY6" i="7" s="1"/>
  <c r="AY3" i="7"/>
  <c r="P6" i="6"/>
  <c r="E31" i="12"/>
  <c r="T18" i="8"/>
  <c r="G18" i="9"/>
  <c r="U18" i="8" s="1"/>
  <c r="U19" i="8"/>
  <c r="G38" i="9"/>
  <c r="G37" i="9" s="1"/>
  <c r="G23" i="9"/>
  <c r="U23" i="8" s="1"/>
  <c r="H19" i="9"/>
  <c r="I53" i="3"/>
  <c r="N26" i="3"/>
  <c r="N12" i="12" s="1"/>
  <c r="O25" i="29" s="1"/>
  <c r="AH2" i="5"/>
  <c r="AG5" i="5"/>
  <c r="AE22" i="12" s="1"/>
  <c r="K24" i="7"/>
  <c r="K51" i="7" s="1"/>
  <c r="K62" i="7" s="1"/>
  <c r="K49" i="7"/>
  <c r="I28" i="9"/>
  <c r="I17" i="9"/>
  <c r="W16" i="8"/>
  <c r="Z5" i="5"/>
  <c r="X22" i="12" s="1"/>
  <c r="AA2" i="5"/>
  <c r="AA5" i="5" s="1"/>
  <c r="Y22" i="12" s="1"/>
  <c r="K65" i="6"/>
  <c r="C73" i="6" s="1"/>
  <c r="C45" i="9" s="1"/>
  <c r="K64" i="6"/>
  <c r="C72" i="6" s="1"/>
  <c r="C44" i="9" s="1"/>
  <c r="K63" i="6"/>
  <c r="C71" i="6" s="1"/>
  <c r="C43" i="9" s="1"/>
  <c r="K53" i="6"/>
  <c r="P5" i="7"/>
  <c r="AD2" i="5"/>
  <c r="AC5" i="5"/>
  <c r="AA22" i="12" s="1"/>
  <c r="C9" i="9"/>
  <c r="Q8" i="8"/>
  <c r="K50" i="6"/>
  <c r="P10" i="7"/>
  <c r="P3" i="7"/>
  <c r="AX23" i="7"/>
  <c r="AJ2" i="5"/>
  <c r="K26" i="4"/>
  <c r="K31" i="4" s="1"/>
  <c r="H28" i="9"/>
  <c r="V16" i="8"/>
  <c r="H17" i="9"/>
  <c r="M22" i="7"/>
  <c r="N22" i="6"/>
  <c r="O15" i="7"/>
  <c r="O16" i="7" s="1"/>
  <c r="L23" i="7"/>
  <c r="AY9" i="7"/>
  <c r="P14" i="7"/>
  <c r="E17" i="11"/>
  <c r="J53" i="7"/>
  <c r="C4" i="24"/>
  <c r="E4" i="24" s="1"/>
  <c r="B4" i="2"/>
  <c r="D90" i="6"/>
  <c r="D91" i="6" s="1"/>
  <c r="L24" i="6"/>
  <c r="L49" i="6"/>
  <c r="L56" i="6" s="1"/>
  <c r="P4" i="7"/>
  <c r="G29" i="9"/>
  <c r="U17" i="8"/>
  <c r="R11" i="7"/>
  <c r="J52" i="6"/>
  <c r="N16" i="7"/>
  <c r="P12" i="7"/>
  <c r="M2" i="12"/>
  <c r="J51" i="7"/>
  <c r="J52" i="7" s="1"/>
  <c r="F4" i="23"/>
  <c r="F27" i="23" s="1"/>
  <c r="G4" i="23"/>
  <c r="G27" i="23" s="1"/>
  <c r="P9" i="7"/>
  <c r="P15" i="6"/>
  <c r="R2" i="7"/>
  <c r="M20" i="7"/>
  <c r="N20" i="6"/>
  <c r="M23" i="6"/>
  <c r="H54" i="7"/>
  <c r="F5" i="12" s="1"/>
  <c r="F21" i="12" s="1"/>
  <c r="F14" i="12" s="1"/>
  <c r="H9" i="11"/>
  <c r="B12" i="11"/>
  <c r="M21" i="7"/>
  <c r="N21" i="6"/>
  <c r="F32" i="29" l="1"/>
  <c r="AX24" i="7"/>
  <c r="K50" i="7"/>
  <c r="AX50" i="7" s="1"/>
  <c r="K64" i="7"/>
  <c r="K66" i="7"/>
  <c r="K65" i="7"/>
  <c r="C73" i="7" s="1"/>
  <c r="B41" i="12"/>
  <c r="E4" i="13"/>
  <c r="E19" i="12"/>
  <c r="F36" i="29"/>
  <c r="L58" i="6"/>
  <c r="L58" i="7" s="1"/>
  <c r="L56" i="7"/>
  <c r="P7" i="6"/>
  <c r="AX58" i="6"/>
  <c r="C10" i="9" s="1"/>
  <c r="K58" i="7"/>
  <c r="AX58" i="7" s="1"/>
  <c r="C10" i="8" s="1"/>
  <c r="F34" i="29"/>
  <c r="AY15" i="7"/>
  <c r="K61" i="6"/>
  <c r="C69" i="6" s="1"/>
  <c r="C14" i="9" s="1"/>
  <c r="K52" i="6"/>
  <c r="K54" i="6" s="1"/>
  <c r="U6" i="12"/>
  <c r="AE3" i="13"/>
  <c r="AF14" i="29"/>
  <c r="AF15" i="29"/>
  <c r="AE6" i="12" s="1"/>
  <c r="AF12" i="29"/>
  <c r="Z15" i="29"/>
  <c r="Z14" i="29"/>
  <c r="Z12" i="29"/>
  <c r="Y3" i="13"/>
  <c r="Y15" i="29"/>
  <c r="Y14" i="29"/>
  <c r="G34" i="29" s="1"/>
  <c r="Y12" i="29"/>
  <c r="X3" i="13"/>
  <c r="Z6" i="12"/>
  <c r="W6" i="12"/>
  <c r="F35" i="29"/>
  <c r="T6" i="12"/>
  <c r="F29" i="12" s="1"/>
  <c r="AD6" i="12"/>
  <c r="AA3" i="13"/>
  <c r="AB15" i="29"/>
  <c r="AB14" i="29"/>
  <c r="AB12" i="29"/>
  <c r="F19" i="13"/>
  <c r="AC9" i="12"/>
  <c r="H32" i="12" s="1"/>
  <c r="AC24" i="29"/>
  <c r="K60" i="6"/>
  <c r="C68" i="6" s="1"/>
  <c r="AX53" i="6"/>
  <c r="C15" i="9" s="1"/>
  <c r="C46" i="9" s="1"/>
  <c r="J54" i="6"/>
  <c r="P6" i="7"/>
  <c r="P7" i="7" s="1"/>
  <c r="AX50" i="6"/>
  <c r="L36" i="3"/>
  <c r="L35" i="3"/>
  <c r="L15" i="12" s="1"/>
  <c r="Q6" i="6"/>
  <c r="Q7" i="6" s="1"/>
  <c r="F42" i="29"/>
  <c r="AK10" i="12"/>
  <c r="J27" i="12"/>
  <c r="AG10" i="12"/>
  <c r="I27" i="12"/>
  <c r="AC10" i="12"/>
  <c r="H27" i="12"/>
  <c r="G33" i="12"/>
  <c r="M36" i="3"/>
  <c r="O7" i="7"/>
  <c r="AY7" i="7" s="1"/>
  <c r="G18" i="12"/>
  <c r="G4" i="13" s="1"/>
  <c r="G6" i="13" s="1"/>
  <c r="AX49" i="7"/>
  <c r="D25" i="12"/>
  <c r="D24" i="8" s="1"/>
  <c r="N22" i="29"/>
  <c r="D40" i="29" s="1"/>
  <c r="T26" i="29"/>
  <c r="F31" i="12"/>
  <c r="F5" i="14"/>
  <c r="Y8" i="12"/>
  <c r="Z16" i="29" s="1"/>
  <c r="Y7" i="12"/>
  <c r="I16" i="5"/>
  <c r="I20" i="5" s="1"/>
  <c r="X8" i="12"/>
  <c r="Y16" i="29" s="1"/>
  <c r="G36" i="29" s="1"/>
  <c r="X7" i="12"/>
  <c r="AA8" i="12"/>
  <c r="AB16" i="29" s="1"/>
  <c r="AA7" i="12"/>
  <c r="AE8" i="12"/>
  <c r="AF16" i="29" s="1"/>
  <c r="AE7" i="12"/>
  <c r="AY16" i="7"/>
  <c r="F30" i="12"/>
  <c r="AA18" i="8"/>
  <c r="I19" i="9"/>
  <c r="J53" i="3"/>
  <c r="H38" i="9"/>
  <c r="H37" i="9" s="1"/>
  <c r="H23" i="9"/>
  <c r="V23" i="8" s="1"/>
  <c r="V19" i="8"/>
  <c r="Q18" i="9"/>
  <c r="J54" i="7"/>
  <c r="H5" i="12" s="1"/>
  <c r="H21" i="12" s="1"/>
  <c r="H14" i="12" s="1"/>
  <c r="C12" i="11"/>
  <c r="Q9" i="7"/>
  <c r="Q15" i="6"/>
  <c r="Q16" i="6" s="1"/>
  <c r="AN2" i="5"/>
  <c r="M26" i="4"/>
  <c r="M31" i="4" s="1"/>
  <c r="L31" i="4"/>
  <c r="AD5" i="5"/>
  <c r="AB22" i="12" s="1"/>
  <c r="AE2" i="5"/>
  <c r="J16" i="5" s="1"/>
  <c r="AA6" i="5"/>
  <c r="M24" i="6"/>
  <c r="M51" i="6" s="1"/>
  <c r="M61" i="6" s="1"/>
  <c r="M49" i="6"/>
  <c r="M56" i="6" s="1"/>
  <c r="O20" i="6"/>
  <c r="AY20" i="6" s="1"/>
  <c r="N23" i="6"/>
  <c r="N20" i="7"/>
  <c r="P15" i="7"/>
  <c r="Q4" i="7"/>
  <c r="E18" i="11"/>
  <c r="G15" i="11"/>
  <c r="J42" i="12"/>
  <c r="J17" i="8"/>
  <c r="Q10" i="7"/>
  <c r="O26" i="3"/>
  <c r="O12" i="12" s="1"/>
  <c r="P25" i="29" s="1"/>
  <c r="Q12" i="7"/>
  <c r="S11" i="7"/>
  <c r="AZ11" i="7" s="1"/>
  <c r="L65" i="6"/>
  <c r="L64" i="6"/>
  <c r="L63" i="6"/>
  <c r="L53" i="6"/>
  <c r="F4" i="24"/>
  <c r="F27" i="24" s="1"/>
  <c r="G4" i="24"/>
  <c r="G27" i="24" s="1"/>
  <c r="J61" i="7"/>
  <c r="Q14" i="7"/>
  <c r="L24" i="7"/>
  <c r="L49" i="7"/>
  <c r="H29" i="9"/>
  <c r="V17" i="8"/>
  <c r="AK2" i="5"/>
  <c r="AJ5" i="5"/>
  <c r="AH22" i="12" s="1"/>
  <c r="Q3" i="7"/>
  <c r="M35" i="3"/>
  <c r="I29" i="9"/>
  <c r="W17" i="8"/>
  <c r="K53" i="7"/>
  <c r="K61" i="7" s="1"/>
  <c r="K52" i="7"/>
  <c r="C74" i="7"/>
  <c r="AH5" i="5"/>
  <c r="AF22" i="12" s="1"/>
  <c r="AI2" i="5"/>
  <c r="AI5" i="5" s="1"/>
  <c r="AG22" i="12" s="1"/>
  <c r="M23" i="7"/>
  <c r="N21" i="7"/>
  <c r="O21" i="6"/>
  <c r="AY21" i="6" s="1"/>
  <c r="AZ2" i="6"/>
  <c r="P16" i="6"/>
  <c r="J62" i="7"/>
  <c r="C70" i="7" s="1"/>
  <c r="AX51" i="7"/>
  <c r="C14" i="8" s="1"/>
  <c r="N2" i="12"/>
  <c r="O22" i="29" s="1"/>
  <c r="L51" i="6"/>
  <c r="J63" i="7"/>
  <c r="N22" i="7"/>
  <c r="O22" i="6"/>
  <c r="AY22" i="6" s="1"/>
  <c r="Q9" i="8"/>
  <c r="Q5" i="7"/>
  <c r="B20" i="13" l="1"/>
  <c r="B6" i="14" s="1"/>
  <c r="E6" i="13"/>
  <c r="B22" i="13" s="1"/>
  <c r="L64" i="7"/>
  <c r="L66" i="7"/>
  <c r="L65" i="7"/>
  <c r="C43" i="12"/>
  <c r="C74" i="6"/>
  <c r="C12" i="9"/>
  <c r="C11" i="9"/>
  <c r="C39" i="9"/>
  <c r="Q10" i="8"/>
  <c r="C12" i="8"/>
  <c r="C22" i="8" s="1"/>
  <c r="C11" i="8"/>
  <c r="C21" i="8" s="1"/>
  <c r="AX52" i="6"/>
  <c r="M56" i="7"/>
  <c r="M58" i="6"/>
  <c r="G19" i="13"/>
  <c r="G32" i="29"/>
  <c r="AF3" i="13"/>
  <c r="AG15" i="29"/>
  <c r="AG14" i="29"/>
  <c r="AG12" i="29"/>
  <c r="AG3" i="13"/>
  <c r="AH15" i="29"/>
  <c r="AH14" i="29"/>
  <c r="AH12" i="29"/>
  <c r="AH3" i="13"/>
  <c r="AI15" i="29"/>
  <c r="AI14" i="29"/>
  <c r="AI12" i="29"/>
  <c r="AB3" i="13"/>
  <c r="AC15" i="29"/>
  <c r="AC14" i="29"/>
  <c r="AC12" i="29"/>
  <c r="AA6" i="12"/>
  <c r="X6" i="12"/>
  <c r="G35" i="29"/>
  <c r="Y6" i="12"/>
  <c r="AD9" i="12"/>
  <c r="AD24" i="29"/>
  <c r="K55" i="6"/>
  <c r="AX54" i="6"/>
  <c r="L61" i="6"/>
  <c r="L60" i="6"/>
  <c r="D40" i="3"/>
  <c r="G42" i="29"/>
  <c r="S2" i="7"/>
  <c r="AZ2" i="7" s="1"/>
  <c r="I33" i="12"/>
  <c r="H33" i="12"/>
  <c r="N36" i="3"/>
  <c r="U11" i="6"/>
  <c r="T11" i="7"/>
  <c r="I13" i="29"/>
  <c r="I17" i="29" s="1"/>
  <c r="I23" i="29"/>
  <c r="I27" i="29" s="1"/>
  <c r="K63" i="7"/>
  <c r="G23" i="29"/>
  <c r="G13" i="29"/>
  <c r="F40" i="12"/>
  <c r="U26" i="29"/>
  <c r="AH8" i="12"/>
  <c r="AI16" i="29" s="1"/>
  <c r="AH7" i="12"/>
  <c r="AG8" i="12"/>
  <c r="AH16" i="29" s="1"/>
  <c r="AG7" i="12"/>
  <c r="AB8" i="12"/>
  <c r="AC16" i="29" s="1"/>
  <c r="AB7" i="12"/>
  <c r="K16" i="5"/>
  <c r="K20" i="5" s="1"/>
  <c r="AF8" i="12"/>
  <c r="AG16" i="29" s="1"/>
  <c r="AF7" i="12"/>
  <c r="AX53" i="7"/>
  <c r="C15" i="8" s="1"/>
  <c r="Q15" i="8" s="1"/>
  <c r="K54" i="7"/>
  <c r="R6" i="6"/>
  <c r="R7" i="6" s="1"/>
  <c r="Q6" i="7"/>
  <c r="Q7" i="7" s="1"/>
  <c r="G5" i="14"/>
  <c r="G31" i="12"/>
  <c r="G30" i="12"/>
  <c r="K53" i="3"/>
  <c r="J19" i="9"/>
  <c r="W19" i="8"/>
  <c r="I38" i="9"/>
  <c r="I37" i="9" s="1"/>
  <c r="I23" i="9"/>
  <c r="W23" i="8" s="1"/>
  <c r="J33" i="12"/>
  <c r="C72" i="7"/>
  <c r="AI6" i="5"/>
  <c r="AL2" i="5"/>
  <c r="AK5" i="5"/>
  <c r="AI22" i="12" s="1"/>
  <c r="L53" i="7"/>
  <c r="R14" i="7"/>
  <c r="C69" i="7"/>
  <c r="C75" i="7" s="1"/>
  <c r="L52" i="6"/>
  <c r="L42" i="12"/>
  <c r="L17" i="8"/>
  <c r="Q15" i="7"/>
  <c r="Q16" i="7" s="1"/>
  <c r="R5" i="7"/>
  <c r="O21" i="7"/>
  <c r="AY21" i="7" s="1"/>
  <c r="P21" i="6"/>
  <c r="M24" i="7"/>
  <c r="M51" i="7" s="1"/>
  <c r="M62" i="7" s="1"/>
  <c r="M49" i="7"/>
  <c r="N35" i="3"/>
  <c r="R3" i="7"/>
  <c r="L51" i="7"/>
  <c r="E19" i="11"/>
  <c r="L16" i="11"/>
  <c r="R4" i="7"/>
  <c r="N23" i="7"/>
  <c r="C42" i="9"/>
  <c r="Q14" i="8"/>
  <c r="AO2" i="5"/>
  <c r="AN5" i="5"/>
  <c r="AL22" i="12" s="1"/>
  <c r="AX52" i="7"/>
  <c r="D7" i="9"/>
  <c r="D6" i="9"/>
  <c r="O2" i="12"/>
  <c r="P22" i="29" s="1"/>
  <c r="M15" i="12"/>
  <c r="D38" i="12" s="1"/>
  <c r="D39" i="3"/>
  <c r="D7" i="8" s="1"/>
  <c r="R12" i="7"/>
  <c r="R10" i="7"/>
  <c r="J17" i="9"/>
  <c r="J28" i="9"/>
  <c r="X16" i="8"/>
  <c r="P16" i="7"/>
  <c r="N24" i="6"/>
  <c r="N49" i="6"/>
  <c r="N56" i="6" s="1"/>
  <c r="O22" i="7"/>
  <c r="AY22" i="7" s="1"/>
  <c r="P22" i="6"/>
  <c r="P26" i="3"/>
  <c r="P12" i="12" s="1"/>
  <c r="Q25" i="29" s="1"/>
  <c r="O20" i="7"/>
  <c r="P20" i="6"/>
  <c r="O23" i="6"/>
  <c r="AY23" i="6" s="1"/>
  <c r="M65" i="6"/>
  <c r="M64" i="6"/>
  <c r="M63" i="6"/>
  <c r="M52" i="6"/>
  <c r="M53" i="6"/>
  <c r="M60" i="6" s="1"/>
  <c r="AE5" i="5"/>
  <c r="AC22" i="12" s="1"/>
  <c r="J20" i="5"/>
  <c r="K42" i="12"/>
  <c r="K17" i="8"/>
  <c r="B3" i="2"/>
  <c r="R15" i="6"/>
  <c r="R9" i="7"/>
  <c r="D12" i="11"/>
  <c r="J10" i="11"/>
  <c r="Q4" i="10" s="1"/>
  <c r="M65" i="7" l="1"/>
  <c r="M64" i="7"/>
  <c r="M66" i="7"/>
  <c r="AB6" i="12"/>
  <c r="AF6" i="12"/>
  <c r="N56" i="7"/>
  <c r="N58" i="6"/>
  <c r="N58" i="7" s="1"/>
  <c r="M58" i="7"/>
  <c r="C40" i="9"/>
  <c r="Q11" i="8"/>
  <c r="C41" i="9"/>
  <c r="C22" i="9"/>
  <c r="Q22" i="8" s="1"/>
  <c r="Q12" i="8"/>
  <c r="I32" i="29"/>
  <c r="G29" i="12"/>
  <c r="I34" i="29"/>
  <c r="I19" i="13"/>
  <c r="I36" i="29"/>
  <c r="C26" i="12"/>
  <c r="I5" i="12"/>
  <c r="I21" i="12" s="1"/>
  <c r="I14" i="12" s="1"/>
  <c r="C37" i="12" s="1"/>
  <c r="AI3" i="13"/>
  <c r="AJ15" i="29"/>
  <c r="AJ14" i="29"/>
  <c r="AJ12" i="29"/>
  <c r="AH6" i="12"/>
  <c r="AC3" i="13"/>
  <c r="AD15" i="29"/>
  <c r="H35" i="29" s="1"/>
  <c r="AD14" i="29"/>
  <c r="H34" i="29" s="1"/>
  <c r="AD12" i="29"/>
  <c r="H32" i="29" s="1"/>
  <c r="H19" i="13"/>
  <c r="H5" i="14" s="1"/>
  <c r="AG6" i="12"/>
  <c r="AL3" i="13"/>
  <c r="AM15" i="29"/>
  <c r="AM14" i="29"/>
  <c r="AM12" i="29"/>
  <c r="I35" i="29"/>
  <c r="AE24" i="29"/>
  <c r="AE9" i="12"/>
  <c r="Q7" i="13"/>
  <c r="K55" i="7"/>
  <c r="AX55" i="7" s="1"/>
  <c r="T2" i="7"/>
  <c r="L54" i="6"/>
  <c r="AX55" i="6"/>
  <c r="U5" i="6"/>
  <c r="T5" i="7"/>
  <c r="T3" i="7"/>
  <c r="U3" i="6"/>
  <c r="U2" i="6"/>
  <c r="U2" i="7" s="1"/>
  <c r="T6" i="6"/>
  <c r="G17" i="29"/>
  <c r="G27" i="29"/>
  <c r="N34" i="3"/>
  <c r="O36" i="3" s="1"/>
  <c r="U4" i="6"/>
  <c r="T4" i="7"/>
  <c r="R6" i="7"/>
  <c r="R7" i="7" s="1"/>
  <c r="AX54" i="7"/>
  <c r="T15" i="6"/>
  <c r="H18" i="12"/>
  <c r="H4" i="13" s="1"/>
  <c r="H6" i="13" s="1"/>
  <c r="V11" i="6"/>
  <c r="U11" i="7"/>
  <c r="T14" i="7"/>
  <c r="U14" i="6"/>
  <c r="T12" i="7"/>
  <c r="U12" i="6"/>
  <c r="U10" i="6"/>
  <c r="T10" i="7"/>
  <c r="J23" i="29"/>
  <c r="J27" i="29" s="1"/>
  <c r="V26" i="29"/>
  <c r="F44" i="29" s="1"/>
  <c r="AL8" i="12"/>
  <c r="AM16" i="29" s="1"/>
  <c r="AL7" i="12"/>
  <c r="AI8" i="12"/>
  <c r="AJ16" i="29" s="1"/>
  <c r="AI7" i="12"/>
  <c r="AE6" i="5"/>
  <c r="AC8" i="12"/>
  <c r="AD16" i="29" s="1"/>
  <c r="H36" i="29" s="1"/>
  <c r="AC7" i="12"/>
  <c r="H42" i="29" s="1"/>
  <c r="I31" i="12"/>
  <c r="J23" i="9"/>
  <c r="X23" i="8" s="1"/>
  <c r="J38" i="9"/>
  <c r="J37" i="9" s="1"/>
  <c r="X19" i="8"/>
  <c r="K19" i="9"/>
  <c r="L53" i="3"/>
  <c r="L19" i="9" s="1"/>
  <c r="O23" i="7"/>
  <c r="AY23" i="7" s="1"/>
  <c r="AY20" i="7"/>
  <c r="Q26" i="3"/>
  <c r="Q12" i="12" s="1"/>
  <c r="S10" i="7"/>
  <c r="AZ10" i="7" s="1"/>
  <c r="D8" i="9"/>
  <c r="R7" i="8"/>
  <c r="AP2" i="5"/>
  <c r="AO5" i="5"/>
  <c r="AM22" i="12" s="1"/>
  <c r="E20" i="11"/>
  <c r="G18" i="11" s="1"/>
  <c r="S5" i="7"/>
  <c r="AZ5" i="7" s="1"/>
  <c r="S14" i="7"/>
  <c r="AZ14" i="7" s="1"/>
  <c r="L61" i="7"/>
  <c r="R16" i="6"/>
  <c r="J29" i="9"/>
  <c r="X17" i="8"/>
  <c r="N24" i="7"/>
  <c r="N51" i="7" s="1"/>
  <c r="N62" i="7" s="1"/>
  <c r="N49" i="7"/>
  <c r="S3" i="7"/>
  <c r="AZ3" i="7" s="1"/>
  <c r="L28" i="9"/>
  <c r="L17" i="9"/>
  <c r="Z16" i="8"/>
  <c r="M54" i="6"/>
  <c r="O24" i="6"/>
  <c r="O51" i="6" s="1"/>
  <c r="O61" i="6" s="1"/>
  <c r="O49" i="6"/>
  <c r="N65" i="6"/>
  <c r="N64" i="6"/>
  <c r="N63" i="6"/>
  <c r="N53" i="6"/>
  <c r="N60" i="6" s="1"/>
  <c r="L62" i="7"/>
  <c r="L52" i="7"/>
  <c r="L63" i="7"/>
  <c r="AL5" i="5"/>
  <c r="AJ22" i="12" s="1"/>
  <c r="AM2" i="5"/>
  <c r="AM5" i="5" s="1"/>
  <c r="AK22" i="12" s="1"/>
  <c r="I30" i="12"/>
  <c r="K33" i="12"/>
  <c r="S6" i="6"/>
  <c r="AZ6" i="6" s="1"/>
  <c r="R15" i="7"/>
  <c r="K10" i="11"/>
  <c r="Q5" i="10" s="1"/>
  <c r="Q7" i="10" s="1"/>
  <c r="B13" i="11"/>
  <c r="K28" i="9"/>
  <c r="K17" i="9"/>
  <c r="Y16" i="8"/>
  <c r="Q16" i="9"/>
  <c r="S9" i="7"/>
  <c r="S15" i="6"/>
  <c r="S16" i="6" s="1"/>
  <c r="P20" i="7"/>
  <c r="Q20" i="6"/>
  <c r="P23" i="6"/>
  <c r="P22" i="7"/>
  <c r="Q22" i="6"/>
  <c r="F18" i="12"/>
  <c r="N51" i="6"/>
  <c r="S12" i="7"/>
  <c r="AZ12" i="7" s="1"/>
  <c r="D6" i="8"/>
  <c r="R6" i="8" s="1"/>
  <c r="D48" i="12" s="1"/>
  <c r="P2" i="12"/>
  <c r="Q22" i="29" s="1"/>
  <c r="D34" i="9"/>
  <c r="D33" i="9" s="1"/>
  <c r="S4" i="7"/>
  <c r="N15" i="12"/>
  <c r="M53" i="7"/>
  <c r="M61" i="7" s="1"/>
  <c r="M52" i="7"/>
  <c r="P21" i="7"/>
  <c r="Q21" i="6"/>
  <c r="I5" i="14"/>
  <c r="N65" i="7" l="1"/>
  <c r="N64" i="7"/>
  <c r="N66" i="7"/>
  <c r="I29" i="12"/>
  <c r="O50" i="6"/>
  <c r="AY50" i="6" s="1"/>
  <c r="O56" i="6"/>
  <c r="AZ16" i="6"/>
  <c r="AZ15" i="6"/>
  <c r="AI6" i="12"/>
  <c r="AY24" i="6"/>
  <c r="AJ3" i="13"/>
  <c r="AK15" i="29"/>
  <c r="AK14" i="29"/>
  <c r="AK12" i="29"/>
  <c r="H30" i="12"/>
  <c r="AM3" i="13"/>
  <c r="AN12" i="29"/>
  <c r="AN15" i="29"/>
  <c r="AN14" i="29"/>
  <c r="AL6" i="12"/>
  <c r="AC6" i="12"/>
  <c r="H29" i="12" s="1"/>
  <c r="AK3" i="13"/>
  <c r="AL15" i="29"/>
  <c r="AL14" i="29"/>
  <c r="AL12" i="29"/>
  <c r="AF9" i="12"/>
  <c r="AF24" i="29"/>
  <c r="Q6" i="10"/>
  <c r="N61" i="6"/>
  <c r="D69" i="6" s="1"/>
  <c r="D14" i="9" s="1"/>
  <c r="AY51" i="6"/>
  <c r="T7" i="6"/>
  <c r="AY49" i="6"/>
  <c r="O35" i="3"/>
  <c r="O15" i="12" s="1"/>
  <c r="O33" i="3"/>
  <c r="O34" i="3" s="1"/>
  <c r="P36" i="3" s="1"/>
  <c r="U3" i="7"/>
  <c r="V3" i="6"/>
  <c r="U6" i="6"/>
  <c r="U7" i="6" s="1"/>
  <c r="V2" i="6"/>
  <c r="V2" i="7" s="1"/>
  <c r="V5" i="6"/>
  <c r="U5" i="7"/>
  <c r="E82" i="6"/>
  <c r="C41" i="29"/>
  <c r="C45" i="29" s="1"/>
  <c r="T6" i="7"/>
  <c r="T7" i="7" s="1"/>
  <c r="V4" i="6"/>
  <c r="U4" i="7"/>
  <c r="T9" i="7"/>
  <c r="T15" i="7" s="1"/>
  <c r="U9" i="6"/>
  <c r="U15" i="6" s="1"/>
  <c r="U16" i="6" s="1"/>
  <c r="W11" i="6"/>
  <c r="BA11" i="6" s="1"/>
  <c r="V11" i="7"/>
  <c r="U14" i="7"/>
  <c r="V14" i="6"/>
  <c r="V12" i="6"/>
  <c r="U12" i="7"/>
  <c r="J13" i="29"/>
  <c r="I18" i="12"/>
  <c r="I4" i="13" s="1"/>
  <c r="I6" i="13" s="1"/>
  <c r="C28" i="12"/>
  <c r="U10" i="7"/>
  <c r="V10" i="6"/>
  <c r="T16" i="6"/>
  <c r="W26" i="29"/>
  <c r="E35" i="12"/>
  <c r="R25" i="29"/>
  <c r="E43" i="29" s="1"/>
  <c r="H31" i="12"/>
  <c r="AM8" i="12"/>
  <c r="AN16" i="29" s="1"/>
  <c r="AM7" i="12"/>
  <c r="L16" i="5"/>
  <c r="L20" i="5" s="1"/>
  <c r="AJ8" i="12"/>
  <c r="AK16" i="29" s="1"/>
  <c r="AJ7" i="12"/>
  <c r="AK8" i="12"/>
  <c r="AL16" i="29" s="1"/>
  <c r="AK7" i="12"/>
  <c r="S15" i="7"/>
  <c r="S16" i="7" s="1"/>
  <c r="S6" i="7"/>
  <c r="S7" i="7" s="1"/>
  <c r="AZ7" i="7" s="1"/>
  <c r="K38" i="9"/>
  <c r="K37" i="9" s="1"/>
  <c r="Y19" i="8"/>
  <c r="K23" i="9"/>
  <c r="Y23" i="8" s="1"/>
  <c r="Z19" i="8"/>
  <c r="L38" i="9"/>
  <c r="L37" i="9" s="1"/>
  <c r="L23" i="9"/>
  <c r="Z23" i="8" s="1"/>
  <c r="L33" i="12"/>
  <c r="M54" i="7"/>
  <c r="K5" i="12" s="1"/>
  <c r="K21" i="12" s="1"/>
  <c r="K14" i="12" s="1"/>
  <c r="E90" i="6"/>
  <c r="K29" i="9"/>
  <c r="Y17" i="8"/>
  <c r="Q17" i="9"/>
  <c r="AZ4" i="7"/>
  <c r="O65" i="6"/>
  <c r="D73" i="6" s="1"/>
  <c r="D45" i="9" s="1"/>
  <c r="O64" i="6"/>
  <c r="D72" i="6" s="1"/>
  <c r="D44" i="9" s="1"/>
  <c r="O63" i="6"/>
  <c r="D71" i="6" s="1"/>
  <c r="D43" i="9" s="1"/>
  <c r="O53" i="6"/>
  <c r="O52" i="6"/>
  <c r="L29" i="9"/>
  <c r="Z17" i="8"/>
  <c r="D9" i="9"/>
  <c r="R8" i="8"/>
  <c r="Q21" i="7"/>
  <c r="R21" i="6"/>
  <c r="Q2" i="12"/>
  <c r="P23" i="7"/>
  <c r="AZ9" i="7"/>
  <c r="N52" i="6"/>
  <c r="E21" i="11"/>
  <c r="AP5" i="5"/>
  <c r="AN22" i="12" s="1"/>
  <c r="AQ2" i="5"/>
  <c r="M16" i="5" s="1"/>
  <c r="M63" i="7"/>
  <c r="Q22" i="7"/>
  <c r="R22" i="6"/>
  <c r="P24" i="6"/>
  <c r="P49" i="6"/>
  <c r="C13" i="11"/>
  <c r="R16" i="7"/>
  <c r="S7" i="6"/>
  <c r="AZ7" i="6" s="1"/>
  <c r="L54" i="7"/>
  <c r="J5" i="12" s="1"/>
  <c r="J21" i="12" s="1"/>
  <c r="J14" i="12" s="1"/>
  <c r="N53" i="7"/>
  <c r="N61" i="7" s="1"/>
  <c r="N52" i="7"/>
  <c r="S27" i="3"/>
  <c r="R26" i="3"/>
  <c r="R12" i="12" s="1"/>
  <c r="S25" i="29" s="1"/>
  <c r="O24" i="7"/>
  <c r="O49" i="7"/>
  <c r="E7" i="13"/>
  <c r="B23" i="13" s="1"/>
  <c r="F4" i="13"/>
  <c r="Q20" i="7"/>
  <c r="R20" i="6"/>
  <c r="Q23" i="6"/>
  <c r="W13" i="3"/>
  <c r="AM6" i="5"/>
  <c r="AA16" i="8"/>
  <c r="O65" i="7" l="1"/>
  <c r="O64" i="7"/>
  <c r="O66" i="7"/>
  <c r="AM6" i="12"/>
  <c r="O58" i="6"/>
  <c r="O56" i="7"/>
  <c r="AY56" i="7" s="1"/>
  <c r="AY56" i="6"/>
  <c r="P56" i="6"/>
  <c r="J19" i="13"/>
  <c r="J32" i="29"/>
  <c r="J36" i="29"/>
  <c r="AN3" i="13"/>
  <c r="AO15" i="29"/>
  <c r="AO14" i="29"/>
  <c r="AO12" i="29"/>
  <c r="AK6" i="12"/>
  <c r="J34" i="29"/>
  <c r="AJ6" i="12"/>
  <c r="J29" i="12" s="1"/>
  <c r="J35" i="29"/>
  <c r="AG9" i="12"/>
  <c r="AG24" i="29"/>
  <c r="C20" i="13"/>
  <c r="C6" i="14" s="1"/>
  <c r="U6" i="7"/>
  <c r="U7" i="7" s="1"/>
  <c r="O60" i="6"/>
  <c r="D68" i="6" s="1"/>
  <c r="D74" i="6" s="1"/>
  <c r="AY53" i="6"/>
  <c r="D15" i="9" s="1"/>
  <c r="D46" i="9" s="1"/>
  <c r="N54" i="6"/>
  <c r="AY52" i="6"/>
  <c r="P35" i="3"/>
  <c r="P15" i="12" s="1"/>
  <c r="P33" i="3"/>
  <c r="P34" i="3" s="1"/>
  <c r="Q36" i="3" s="1"/>
  <c r="E40" i="3" s="1"/>
  <c r="W5" i="6"/>
  <c r="BA5" i="6" s="1"/>
  <c r="V5" i="7"/>
  <c r="E91" i="6"/>
  <c r="V6" i="6"/>
  <c r="Q23" i="7"/>
  <c r="Q24" i="7" s="1"/>
  <c r="Q51" i="7" s="1"/>
  <c r="Q62" i="7" s="1"/>
  <c r="V3" i="7"/>
  <c r="W3" i="6"/>
  <c r="BA3" i="6" s="1"/>
  <c r="W2" i="6"/>
  <c r="W2" i="7" s="1"/>
  <c r="BA2" i="7" s="1"/>
  <c r="C41" i="12"/>
  <c r="J17" i="29"/>
  <c r="C37" i="29" s="1"/>
  <c r="C33" i="29"/>
  <c r="W4" i="6"/>
  <c r="BA4" i="6" s="1"/>
  <c r="V4" i="7"/>
  <c r="AZ16" i="7"/>
  <c r="U9" i="7"/>
  <c r="U15" i="7" s="1"/>
  <c r="U16" i="7" s="1"/>
  <c r="V9" i="6"/>
  <c r="V15" i="6" s="1"/>
  <c r="W11" i="7"/>
  <c r="BA11" i="7" s="1"/>
  <c r="X11" i="6"/>
  <c r="V14" i="7"/>
  <c r="W14" i="6"/>
  <c r="BA14" i="6" s="1"/>
  <c r="AZ15" i="7"/>
  <c r="W12" i="6"/>
  <c r="BA12" i="6" s="1"/>
  <c r="V12" i="7"/>
  <c r="T16" i="7"/>
  <c r="I19" i="12"/>
  <c r="L13" i="29"/>
  <c r="L17" i="29" s="1"/>
  <c r="L23" i="29"/>
  <c r="L27" i="29" s="1"/>
  <c r="V10" i="7"/>
  <c r="W10" i="6"/>
  <c r="BA10" i="6" s="1"/>
  <c r="E25" i="12"/>
  <c r="E24" i="8" s="1"/>
  <c r="R22" i="29"/>
  <c r="E40" i="29" s="1"/>
  <c r="X26" i="29"/>
  <c r="J30" i="12"/>
  <c r="AN8" i="12"/>
  <c r="AO16" i="29" s="1"/>
  <c r="AN7" i="12"/>
  <c r="AA17" i="8"/>
  <c r="AZ6" i="7"/>
  <c r="J31" i="12"/>
  <c r="J5" i="14"/>
  <c r="N54" i="7"/>
  <c r="AA23" i="8"/>
  <c r="AA19" i="8"/>
  <c r="W14" i="3"/>
  <c r="F6" i="13"/>
  <c r="C22" i="13" s="1"/>
  <c r="E8" i="13"/>
  <c r="B24" i="13" s="1"/>
  <c r="S26" i="3"/>
  <c r="S12" i="12" s="1"/>
  <c r="T25" i="29" s="1"/>
  <c r="T27" i="3"/>
  <c r="D13" i="11"/>
  <c r="P51" i="6"/>
  <c r="P24" i="7"/>
  <c r="P49" i="7"/>
  <c r="R9" i="8"/>
  <c r="R22" i="7"/>
  <c r="S22" i="6"/>
  <c r="AZ22" i="6" s="1"/>
  <c r="E22" i="11"/>
  <c r="L19" i="11"/>
  <c r="Q24" i="6"/>
  <c r="Q51" i="6" s="1"/>
  <c r="Q61" i="6" s="1"/>
  <c r="Q49" i="6"/>
  <c r="Q56" i="6" s="1"/>
  <c r="S20" i="6"/>
  <c r="AZ20" i="6" s="1"/>
  <c r="R20" i="7"/>
  <c r="R23" i="6"/>
  <c r="D74" i="7"/>
  <c r="D72" i="7"/>
  <c r="D73" i="7"/>
  <c r="O53" i="7"/>
  <c r="O61" i="7" s="1"/>
  <c r="D69" i="7" s="1"/>
  <c r="O50" i="7"/>
  <c r="AY50" i="7" s="1"/>
  <c r="Q49" i="7"/>
  <c r="O51" i="7"/>
  <c r="AY24" i="7"/>
  <c r="N63" i="7"/>
  <c r="P65" i="6"/>
  <c r="P64" i="6"/>
  <c r="P63" i="6"/>
  <c r="P53" i="6"/>
  <c r="AQ5" i="5"/>
  <c r="AO22" i="12" s="1"/>
  <c r="M20" i="5"/>
  <c r="E11" i="13"/>
  <c r="B27" i="13" s="1"/>
  <c r="AY49" i="7"/>
  <c r="D42" i="9"/>
  <c r="S22" i="29"/>
  <c r="R21" i="7"/>
  <c r="S21" i="6"/>
  <c r="AZ21" i="6" s="1"/>
  <c r="O54" i="6"/>
  <c r="Q66" i="7" l="1"/>
  <c r="Q65" i="7"/>
  <c r="Q64" i="7"/>
  <c r="P66" i="7"/>
  <c r="P65" i="7"/>
  <c r="P64" i="7"/>
  <c r="P60" i="6"/>
  <c r="P61" i="6"/>
  <c r="Q56" i="7"/>
  <c r="Q58" i="6"/>
  <c r="Q58" i="7" s="1"/>
  <c r="P56" i="7"/>
  <c r="P58" i="6"/>
  <c r="O58" i="7"/>
  <c r="AY58" i="7" s="1"/>
  <c r="D10" i="8" s="1"/>
  <c r="AY58" i="6"/>
  <c r="D10" i="9" s="1"/>
  <c r="M23" i="29"/>
  <c r="M27" i="29" s="1"/>
  <c r="L5" i="12"/>
  <c r="L21" i="12" s="1"/>
  <c r="L14" i="12" s="1"/>
  <c r="AN6" i="12"/>
  <c r="AO3" i="13"/>
  <c r="K19" i="13" s="1"/>
  <c r="AP15" i="29"/>
  <c r="AP14" i="29"/>
  <c r="K34" i="29" s="1"/>
  <c r="AP12" i="29"/>
  <c r="K32" i="29" s="1"/>
  <c r="AH9" i="12"/>
  <c r="AH24" i="29"/>
  <c r="I42" i="29" s="1"/>
  <c r="I32" i="12"/>
  <c r="BA2" i="6"/>
  <c r="V7" i="6"/>
  <c r="AY54" i="6"/>
  <c r="O55" i="6"/>
  <c r="AY55" i="6" s="1"/>
  <c r="Q35" i="3"/>
  <c r="Q15" i="12" s="1"/>
  <c r="E38" i="12" s="1"/>
  <c r="Q33" i="3"/>
  <c r="Q34" i="3" s="1"/>
  <c r="X3" i="6"/>
  <c r="W3" i="7"/>
  <c r="BA3" i="7" s="1"/>
  <c r="W6" i="6"/>
  <c r="BA6" i="6" s="1"/>
  <c r="X2" i="6"/>
  <c r="V6" i="7"/>
  <c r="V7" i="7" s="1"/>
  <c r="X5" i="6"/>
  <c r="W5" i="7"/>
  <c r="BA5" i="7" s="1"/>
  <c r="C46" i="29"/>
  <c r="W4" i="7"/>
  <c r="BA4" i="7" s="1"/>
  <c r="X4" i="6"/>
  <c r="V9" i="7"/>
  <c r="V15" i="7" s="1"/>
  <c r="V16" i="7" s="1"/>
  <c r="W9" i="6"/>
  <c r="BA9" i="6" s="1"/>
  <c r="K18" i="12"/>
  <c r="K4" i="13" s="1"/>
  <c r="K6" i="13" s="1"/>
  <c r="X11" i="7"/>
  <c r="Y11" i="6"/>
  <c r="X14" i="6"/>
  <c r="W14" i="7"/>
  <c r="BA14" i="7" s="1"/>
  <c r="W12" i="7"/>
  <c r="BA12" i="7" s="1"/>
  <c r="X12" i="6"/>
  <c r="K13" i="29"/>
  <c r="K23" i="29"/>
  <c r="V16" i="6"/>
  <c r="X10" i="6"/>
  <c r="W10" i="7"/>
  <c r="BA10" i="7" s="1"/>
  <c r="G40" i="12"/>
  <c r="Y26" i="29"/>
  <c r="AO8" i="12"/>
  <c r="AP16" i="29" s="1"/>
  <c r="K36" i="29" s="1"/>
  <c r="AO7" i="12"/>
  <c r="AQ6" i="5"/>
  <c r="E14" i="13"/>
  <c r="B8" i="14"/>
  <c r="P52" i="6"/>
  <c r="O63" i="7"/>
  <c r="O62" i="7"/>
  <c r="D70" i="7" s="1"/>
  <c r="D43" i="12" s="1"/>
  <c r="AY51" i="7"/>
  <c r="D14" i="8" s="1"/>
  <c r="R24" i="6"/>
  <c r="R51" i="6" s="1"/>
  <c r="R61" i="6" s="1"/>
  <c r="R49" i="6"/>
  <c r="AY53" i="7"/>
  <c r="D15" i="8" s="1"/>
  <c r="R15" i="8" s="1"/>
  <c r="S22" i="7"/>
  <c r="AZ22" i="7" s="1"/>
  <c r="T22" i="6"/>
  <c r="P53" i="7"/>
  <c r="T26" i="3"/>
  <c r="T12" i="12" s="1"/>
  <c r="U25" i="29" s="1"/>
  <c r="U27" i="3"/>
  <c r="S21" i="7"/>
  <c r="AZ21" i="7" s="1"/>
  <c r="T21" i="6"/>
  <c r="Q53" i="7"/>
  <c r="Q61" i="7" s="1"/>
  <c r="Q52" i="7"/>
  <c r="R23" i="7"/>
  <c r="W16" i="3"/>
  <c r="W20" i="3"/>
  <c r="E7" i="9"/>
  <c r="E6" i="9"/>
  <c r="S20" i="7"/>
  <c r="T20" i="6"/>
  <c r="S23" i="6"/>
  <c r="AZ23" i="6" s="1"/>
  <c r="Q52" i="6"/>
  <c r="Q53" i="6"/>
  <c r="Q60" i="6" s="1"/>
  <c r="Q64" i="6"/>
  <c r="Q63" i="6"/>
  <c r="Q65" i="6"/>
  <c r="E23" i="11"/>
  <c r="G21" i="11" s="1"/>
  <c r="P51" i="7"/>
  <c r="B14" i="11"/>
  <c r="E9" i="13"/>
  <c r="B3" i="9"/>
  <c r="B49" i="12" s="1"/>
  <c r="E13" i="13"/>
  <c r="B29" i="13" s="1"/>
  <c r="S2" i="12"/>
  <c r="T22" i="29" s="1"/>
  <c r="AS2" i="5"/>
  <c r="AR5" i="5"/>
  <c r="AP22" i="12" s="1"/>
  <c r="O52" i="7"/>
  <c r="B47" i="12" l="1"/>
  <c r="P58" i="7"/>
  <c r="R56" i="6"/>
  <c r="D12" i="8"/>
  <c r="D22" i="8" s="1"/>
  <c r="D28" i="8" s="1"/>
  <c r="D11" i="8"/>
  <c r="D21" i="8" s="1"/>
  <c r="D27" i="8" s="1"/>
  <c r="P54" i="6"/>
  <c r="R10" i="8"/>
  <c r="D39" i="9"/>
  <c r="D11" i="9"/>
  <c r="D12" i="9"/>
  <c r="R36" i="3"/>
  <c r="R33" i="3"/>
  <c r="R34" i="3" s="1"/>
  <c r="S36" i="3" s="1"/>
  <c r="R35" i="3"/>
  <c r="R15" i="12" s="1"/>
  <c r="E15" i="13"/>
  <c r="B31" i="13" s="1"/>
  <c r="B30" i="13"/>
  <c r="AO6" i="12"/>
  <c r="K29" i="12" s="1"/>
  <c r="K35" i="29"/>
  <c r="S23" i="7"/>
  <c r="E39" i="3"/>
  <c r="E7" i="8" s="1"/>
  <c r="E6" i="8" s="1"/>
  <c r="S6" i="8" s="1"/>
  <c r="E48" i="12" s="1"/>
  <c r="AP3" i="13"/>
  <c r="AQ15" i="29"/>
  <c r="AQ14" i="29"/>
  <c r="AQ12" i="29"/>
  <c r="AI24" i="29"/>
  <c r="AI9" i="12"/>
  <c r="B25" i="13"/>
  <c r="W7" i="6"/>
  <c r="BA7" i="6" s="1"/>
  <c r="X2" i="7"/>
  <c r="F82" i="6"/>
  <c r="X6" i="6"/>
  <c r="X7" i="6" s="1"/>
  <c r="X5" i="7"/>
  <c r="Y5" i="6"/>
  <c r="W6" i="7"/>
  <c r="W7" i="7" s="1"/>
  <c r="BA7" i="7" s="1"/>
  <c r="Y2" i="6"/>
  <c r="Y2" i="7" s="1"/>
  <c r="X3" i="7"/>
  <c r="Y3" i="6"/>
  <c r="K17" i="29"/>
  <c r="K27" i="29"/>
  <c r="X4" i="7"/>
  <c r="Y4" i="6"/>
  <c r="W9" i="7"/>
  <c r="W15" i="7" s="1"/>
  <c r="X9" i="6"/>
  <c r="F90" i="6"/>
  <c r="W15" i="6"/>
  <c r="Z11" i="6"/>
  <c r="Y11" i="7"/>
  <c r="X14" i="7"/>
  <c r="Y14" i="6"/>
  <c r="X12" i="7"/>
  <c r="Y12" i="6"/>
  <c r="X10" i="7"/>
  <c r="Y10" i="6"/>
  <c r="L18" i="12"/>
  <c r="L4" i="13" s="1"/>
  <c r="L6" i="13" s="1"/>
  <c r="M13" i="29"/>
  <c r="M17" i="29" s="1"/>
  <c r="Z26" i="29"/>
  <c r="G44" i="29" s="1"/>
  <c r="K31" i="12"/>
  <c r="K30" i="12"/>
  <c r="AP8" i="12"/>
  <c r="AQ16" i="29" s="1"/>
  <c r="AP7" i="12"/>
  <c r="E8" i="9"/>
  <c r="S8" i="8" s="1"/>
  <c r="Q63" i="7"/>
  <c r="Q54" i="6"/>
  <c r="E10" i="13"/>
  <c r="B26" i="13" s="1"/>
  <c r="B45" i="12" s="1"/>
  <c r="B51" i="12" s="1"/>
  <c r="AT2" i="5"/>
  <c r="AS5" i="5"/>
  <c r="AQ22" i="12" s="1"/>
  <c r="O54" i="7"/>
  <c r="M5" i="12" s="1"/>
  <c r="M14" i="12" s="1"/>
  <c r="D37" i="12" s="1"/>
  <c r="AY52" i="7"/>
  <c r="T2" i="12"/>
  <c r="U22" i="29" s="1"/>
  <c r="P62" i="7"/>
  <c r="E24" i="11"/>
  <c r="L22" i="11" s="1"/>
  <c r="T20" i="7"/>
  <c r="U20" i="6"/>
  <c r="T23" i="6"/>
  <c r="R65" i="6"/>
  <c r="R64" i="6"/>
  <c r="R63" i="6"/>
  <c r="R52" i="6"/>
  <c r="R53" i="6"/>
  <c r="R60" i="6" s="1"/>
  <c r="B30" i="9"/>
  <c r="B4" i="9"/>
  <c r="B5" i="9" s="1"/>
  <c r="C14" i="11"/>
  <c r="S24" i="7"/>
  <c r="S51" i="7" s="1"/>
  <c r="S62" i="7" s="1"/>
  <c r="S49" i="7"/>
  <c r="V27" i="3"/>
  <c r="U26" i="3"/>
  <c r="U12" i="12" s="1"/>
  <c r="P52" i="7"/>
  <c r="P63" i="7"/>
  <c r="E34" i="9"/>
  <c r="E33" i="9" s="1"/>
  <c r="AZ20" i="7"/>
  <c r="T21" i="7"/>
  <c r="U21" i="6"/>
  <c r="P61" i="7"/>
  <c r="U22" i="6"/>
  <c r="T22" i="7"/>
  <c r="D29" i="8"/>
  <c r="R14" i="8"/>
  <c r="D75" i="7"/>
  <c r="K5" i="14"/>
  <c r="J18" i="12"/>
  <c r="S24" i="6"/>
  <c r="AZ24" i="6" s="1"/>
  <c r="S49" i="6"/>
  <c r="S56" i="6" s="1"/>
  <c r="R24" i="7"/>
  <c r="R49" i="7"/>
  <c r="AZ23" i="7"/>
  <c r="Q54" i="7"/>
  <c r="O5" i="12" s="1"/>
  <c r="O21" i="12" s="1"/>
  <c r="O14" i="12" s="1"/>
  <c r="S64" i="7" l="1"/>
  <c r="S66" i="7"/>
  <c r="S65" i="7"/>
  <c r="R64" i="7"/>
  <c r="R66" i="7"/>
  <c r="R65" i="7"/>
  <c r="B3" i="8"/>
  <c r="P3" i="8" s="1"/>
  <c r="B44" i="12"/>
  <c r="B50" i="12" s="1"/>
  <c r="AZ49" i="6"/>
  <c r="D30" i="8"/>
  <c r="R58" i="6"/>
  <c r="R56" i="7"/>
  <c r="AZ56" i="6"/>
  <c r="S56" i="7"/>
  <c r="S58" i="6"/>
  <c r="S58" i="7" s="1"/>
  <c r="R12" i="8"/>
  <c r="D41" i="9"/>
  <c r="D22" i="9"/>
  <c r="R22" i="8" s="1"/>
  <c r="D40" i="9"/>
  <c r="R11" i="8"/>
  <c r="S7" i="8"/>
  <c r="S33" i="3"/>
  <c r="AP6" i="12"/>
  <c r="AQ3" i="13"/>
  <c r="AR14" i="29"/>
  <c r="AR15" i="29"/>
  <c r="AQ6" i="12" s="1"/>
  <c r="AR12" i="29"/>
  <c r="BA6" i="7"/>
  <c r="AJ9" i="12"/>
  <c r="AJ24" i="29"/>
  <c r="B7" i="14"/>
  <c r="B13" i="14" s="1"/>
  <c r="B15" i="14" s="1"/>
  <c r="E12" i="13"/>
  <c r="B28" i="13" s="1"/>
  <c r="F91" i="6"/>
  <c r="W16" i="6"/>
  <c r="BA16" i="6" s="1"/>
  <c r="BA15" i="6"/>
  <c r="BA9" i="7"/>
  <c r="X15" i="6"/>
  <c r="E9" i="9"/>
  <c r="S9" i="8" s="1"/>
  <c r="S35" i="3"/>
  <c r="S15" i="12" s="1"/>
  <c r="Y3" i="7"/>
  <c r="Z3" i="6"/>
  <c r="X6" i="7"/>
  <c r="X7" i="7" s="1"/>
  <c r="Y6" i="6"/>
  <c r="Y7" i="6" s="1"/>
  <c r="Z5" i="6"/>
  <c r="Y5" i="7"/>
  <c r="Z2" i="6"/>
  <c r="S34" i="3"/>
  <c r="T36" i="3" s="1"/>
  <c r="Z4" i="6"/>
  <c r="Y4" i="7"/>
  <c r="W16" i="7"/>
  <c r="BA16" i="7" s="1"/>
  <c r="BA15" i="7"/>
  <c r="X9" i="7"/>
  <c r="Y9" i="6"/>
  <c r="Y15" i="6" s="1"/>
  <c r="Y16" i="6" s="1"/>
  <c r="AA11" i="6"/>
  <c r="BB11" i="6" s="1"/>
  <c r="Z11" i="7"/>
  <c r="Y14" i="7"/>
  <c r="Z14" i="6"/>
  <c r="Z12" i="6"/>
  <c r="Y12" i="7"/>
  <c r="X16" i="6"/>
  <c r="P13" i="29"/>
  <c r="P17" i="29" s="1"/>
  <c r="P23" i="29"/>
  <c r="P27" i="29" s="1"/>
  <c r="Y10" i="7"/>
  <c r="Z10" i="6"/>
  <c r="AA26" i="29"/>
  <c r="F35" i="12"/>
  <c r="V25" i="29"/>
  <c r="F43" i="29" s="1"/>
  <c r="AQ8" i="12"/>
  <c r="AR16" i="29" s="1"/>
  <c r="AQ7" i="12"/>
  <c r="R54" i="6"/>
  <c r="J4" i="13"/>
  <c r="P54" i="7"/>
  <c r="N5" i="12" s="1"/>
  <c r="N14" i="12" s="1"/>
  <c r="D14" i="11"/>
  <c r="B21" i="9"/>
  <c r="P21" i="8" s="1"/>
  <c r="B32" i="9"/>
  <c r="P5" i="8"/>
  <c r="T24" i="6"/>
  <c r="T49" i="6"/>
  <c r="T56" i="6" s="1"/>
  <c r="E25" i="11"/>
  <c r="F24" i="11"/>
  <c r="AT5" i="5"/>
  <c r="AR22" i="12" s="1"/>
  <c r="AU2" i="5"/>
  <c r="N16" i="5" s="1"/>
  <c r="U22" i="7"/>
  <c r="V22" i="6"/>
  <c r="U20" i="7"/>
  <c r="V20" i="6"/>
  <c r="U23" i="6"/>
  <c r="R53" i="7"/>
  <c r="S50" i="7"/>
  <c r="AZ50" i="7" s="1"/>
  <c r="AZ49" i="7"/>
  <c r="S65" i="6"/>
  <c r="E73" i="6" s="1"/>
  <c r="E45" i="9" s="1"/>
  <c r="S64" i="6"/>
  <c r="E72" i="6" s="1"/>
  <c r="E44" i="9" s="1"/>
  <c r="S63" i="6"/>
  <c r="E71" i="6" s="1"/>
  <c r="E43" i="9" s="1"/>
  <c r="S53" i="6"/>
  <c r="S60" i="6" s="1"/>
  <c r="E68" i="6" s="1"/>
  <c r="U21" i="7"/>
  <c r="V21" i="6"/>
  <c r="W27" i="3"/>
  <c r="V26" i="3"/>
  <c r="V12" i="12" s="1"/>
  <c r="W25" i="29" s="1"/>
  <c r="S53" i="7"/>
  <c r="S61" i="7" s="1"/>
  <c r="S52" i="7"/>
  <c r="B20" i="9"/>
  <c r="B31" i="9"/>
  <c r="P4" i="8"/>
  <c r="O55" i="7"/>
  <c r="AY55" i="7" s="1"/>
  <c r="AY54" i="7"/>
  <c r="R51" i="7"/>
  <c r="AZ24" i="7"/>
  <c r="S51" i="6"/>
  <c r="S50" i="6"/>
  <c r="AZ50" i="6" s="1"/>
  <c r="T23" i="7"/>
  <c r="U2" i="12"/>
  <c r="V22" i="29" s="1"/>
  <c r="F40" i="29" s="1"/>
  <c r="P20" i="8" l="1"/>
  <c r="B24" i="9"/>
  <c r="B38" i="14"/>
  <c r="AZ53" i="6"/>
  <c r="E15" i="9" s="1"/>
  <c r="E46" i="9" s="1"/>
  <c r="R58" i="7"/>
  <c r="AZ58" i="7" s="1"/>
  <c r="E10" i="8" s="1"/>
  <c r="AZ58" i="6"/>
  <c r="E10" i="9" s="1"/>
  <c r="S61" i="6"/>
  <c r="E69" i="6" s="1"/>
  <c r="E74" i="6" s="1"/>
  <c r="AZ51" i="6"/>
  <c r="AZ56" i="7"/>
  <c r="T58" i="6"/>
  <c r="T56" i="7"/>
  <c r="T33" i="3"/>
  <c r="T35" i="3"/>
  <c r="T15" i="12" s="1"/>
  <c r="AR3" i="13"/>
  <c r="AS15" i="29"/>
  <c r="AS14" i="29"/>
  <c r="AS12" i="29"/>
  <c r="AK9" i="12"/>
  <c r="J32" i="12" s="1"/>
  <c r="AK24" i="29"/>
  <c r="B12" i="14"/>
  <c r="B16" i="14" s="1"/>
  <c r="B18" i="14"/>
  <c r="B34" i="14" s="1"/>
  <c r="Z2" i="7"/>
  <c r="Y6" i="7"/>
  <c r="Y7" i="7" s="1"/>
  <c r="AA5" i="6"/>
  <c r="BB5" i="6" s="1"/>
  <c r="Z5" i="7"/>
  <c r="AA2" i="6"/>
  <c r="BB2" i="6" s="1"/>
  <c r="Z6" i="6"/>
  <c r="Z3" i="7"/>
  <c r="AA3" i="6"/>
  <c r="BB3" i="6" s="1"/>
  <c r="AA2" i="7"/>
  <c r="AB2" i="6"/>
  <c r="T34" i="3"/>
  <c r="U36" i="3" s="1"/>
  <c r="F40" i="3" s="1"/>
  <c r="AA4" i="6"/>
  <c r="BB4" i="6" s="1"/>
  <c r="Z4" i="7"/>
  <c r="Y9" i="7"/>
  <c r="Y15" i="7" s="1"/>
  <c r="Y16" i="7" s="1"/>
  <c r="Z9" i="6"/>
  <c r="X15" i="7"/>
  <c r="X16" i="7" s="1"/>
  <c r="AA11" i="7"/>
  <c r="BB11" i="7" s="1"/>
  <c r="AB11" i="6"/>
  <c r="Z14" i="7"/>
  <c r="AA14" i="6"/>
  <c r="BB14" i="6" s="1"/>
  <c r="AA12" i="6"/>
  <c r="BB12" i="6" s="1"/>
  <c r="Z12" i="7"/>
  <c r="Z10" i="7"/>
  <c r="AA10" i="6"/>
  <c r="BB10" i="6" s="1"/>
  <c r="N13" i="29"/>
  <c r="D33" i="29" s="1"/>
  <c r="D37" i="29" s="1"/>
  <c r="N23" i="29"/>
  <c r="D41" i="29" s="1"/>
  <c r="D45" i="29" s="1"/>
  <c r="O18" i="12"/>
  <c r="O4" i="13" s="1"/>
  <c r="O6" i="13" s="1"/>
  <c r="AB26" i="29"/>
  <c r="AR8" i="12"/>
  <c r="AS16" i="29" s="1"/>
  <c r="AR7" i="12"/>
  <c r="S63" i="7"/>
  <c r="V21" i="7"/>
  <c r="W21" i="6"/>
  <c r="BA21" i="6" s="1"/>
  <c r="S52" i="6"/>
  <c r="R61" i="7"/>
  <c r="E69" i="7" s="1"/>
  <c r="AZ53" i="7"/>
  <c r="E15" i="8" s="1"/>
  <c r="W20" i="6"/>
  <c r="BA20" i="6" s="1"/>
  <c r="V20" i="7"/>
  <c r="V23" i="6"/>
  <c r="E26" i="11"/>
  <c r="T51" i="6"/>
  <c r="R63" i="7"/>
  <c r="E72" i="7"/>
  <c r="U23" i="7"/>
  <c r="J6" i="13"/>
  <c r="R62" i="7"/>
  <c r="E70" i="7" s="1"/>
  <c r="AZ51" i="7"/>
  <c r="E14" i="8" s="1"/>
  <c r="V2" i="12"/>
  <c r="W22" i="29" s="1"/>
  <c r="F25" i="12"/>
  <c r="T24" i="7"/>
  <c r="T49" i="7"/>
  <c r="D26" i="12"/>
  <c r="S54" i="7"/>
  <c r="Q5" i="12" s="1"/>
  <c r="Q21" i="12" s="1"/>
  <c r="Q14" i="12" s="1"/>
  <c r="E73" i="7"/>
  <c r="AU5" i="5"/>
  <c r="AS22" i="12" s="1"/>
  <c r="N20" i="5"/>
  <c r="W26" i="3"/>
  <c r="W12" i="12" s="1"/>
  <c r="X25" i="29" s="1"/>
  <c r="X27" i="3"/>
  <c r="R52" i="7"/>
  <c r="E74" i="7"/>
  <c r="U24" i="6"/>
  <c r="U51" i="6" s="1"/>
  <c r="U61" i="6" s="1"/>
  <c r="U49" i="6"/>
  <c r="U56" i="6" s="1"/>
  <c r="V22" i="7"/>
  <c r="W22" i="6"/>
  <c r="BA22" i="6" s="1"/>
  <c r="T65" i="6"/>
  <c r="T64" i="6"/>
  <c r="T63" i="6"/>
  <c r="T53" i="6"/>
  <c r="H12" i="11"/>
  <c r="B15" i="11"/>
  <c r="T64" i="7" l="1"/>
  <c r="T66" i="7"/>
  <c r="T65" i="7"/>
  <c r="B17" i="14"/>
  <c r="S15" i="8"/>
  <c r="E14" i="9"/>
  <c r="E43" i="12"/>
  <c r="E11" i="8"/>
  <c r="E12" i="8"/>
  <c r="E22" i="8" s="1"/>
  <c r="E28" i="8" s="1"/>
  <c r="B20" i="14"/>
  <c r="S54" i="6"/>
  <c r="AZ52" i="6"/>
  <c r="B19" i="14"/>
  <c r="E39" i="9"/>
  <c r="E12" i="9"/>
  <c r="E11" i="9"/>
  <c r="E40" i="9" s="1"/>
  <c r="S10" i="8"/>
  <c r="U56" i="7"/>
  <c r="U58" i="6"/>
  <c r="U58" i="7" s="1"/>
  <c r="BB2" i="7"/>
  <c r="T58" i="7"/>
  <c r="AS3" i="13"/>
  <c r="AT15" i="29"/>
  <c r="L35" i="29" s="1"/>
  <c r="AT14" i="29"/>
  <c r="L34" i="29" s="1"/>
  <c r="AT12" i="29"/>
  <c r="L32" i="29" s="1"/>
  <c r="AR6" i="12"/>
  <c r="AL9" i="12"/>
  <c r="AL24" i="29"/>
  <c r="J42" i="29" s="1"/>
  <c r="Z15" i="6"/>
  <c r="AB2" i="7"/>
  <c r="Z7" i="6"/>
  <c r="T60" i="6"/>
  <c r="T61" i="6"/>
  <c r="AB3" i="6"/>
  <c r="AA3" i="7"/>
  <c r="BB3" i="7" s="1"/>
  <c r="U33" i="3"/>
  <c r="U34" i="3" s="1"/>
  <c r="U35" i="3"/>
  <c r="U15" i="12" s="1"/>
  <c r="F38" i="12" s="1"/>
  <c r="AA5" i="7"/>
  <c r="BB5" i="7" s="1"/>
  <c r="AB5" i="6"/>
  <c r="D46" i="29"/>
  <c r="N17" i="29"/>
  <c r="N27" i="29"/>
  <c r="AA4" i="7"/>
  <c r="BB4" i="7" s="1"/>
  <c r="AB4" i="6"/>
  <c r="Z6" i="7"/>
  <c r="Z7" i="7" s="1"/>
  <c r="AA6" i="6"/>
  <c r="AA7" i="6" s="1"/>
  <c r="Z9" i="7"/>
  <c r="Z15" i="7" s="1"/>
  <c r="AA9" i="6"/>
  <c r="AA15" i="6" s="1"/>
  <c r="AA16" i="6" s="1"/>
  <c r="AB11" i="7"/>
  <c r="AC11" i="6"/>
  <c r="AA14" i="7"/>
  <c r="BB14" i="7" s="1"/>
  <c r="AB14" i="6"/>
  <c r="AB12" i="6"/>
  <c r="AA12" i="7"/>
  <c r="BB12" i="7" s="1"/>
  <c r="T52" i="6"/>
  <c r="D28" i="12"/>
  <c r="E29" i="8"/>
  <c r="O13" i="29"/>
  <c r="O23" i="29"/>
  <c r="R13" i="29"/>
  <c r="R17" i="29" s="1"/>
  <c r="R23" i="29"/>
  <c r="R27" i="29" s="1"/>
  <c r="AB10" i="6"/>
  <c r="AA10" i="7"/>
  <c r="H40" i="12"/>
  <c r="AC26" i="29"/>
  <c r="AS8" i="12"/>
  <c r="AT16" i="29" s="1"/>
  <c r="L36" i="29" s="1"/>
  <c r="AS7" i="12"/>
  <c r="M18" i="12"/>
  <c r="M4" i="13" s="1"/>
  <c r="M6" i="13" s="1"/>
  <c r="M8" i="13" s="1"/>
  <c r="AC2" i="6"/>
  <c r="AC2" i="7" s="1"/>
  <c r="R54" i="7"/>
  <c r="P5" i="12" s="1"/>
  <c r="P21" i="12" s="1"/>
  <c r="P14" i="12" s="1"/>
  <c r="E37" i="12" s="1"/>
  <c r="AZ52" i="7"/>
  <c r="T51" i="7"/>
  <c r="T52" i="7" s="1"/>
  <c r="W22" i="7"/>
  <c r="BA22" i="7" s="1"/>
  <c r="X22" i="6"/>
  <c r="X26" i="3"/>
  <c r="X12" i="12" s="1"/>
  <c r="Y25" i="29" s="1"/>
  <c r="Y27" i="3"/>
  <c r="E27" i="11"/>
  <c r="L25" i="11" s="1"/>
  <c r="G24" i="11"/>
  <c r="V24" i="6"/>
  <c r="V51" i="6" s="1"/>
  <c r="V61" i="6" s="1"/>
  <c r="V49" i="6"/>
  <c r="V56" i="6" s="1"/>
  <c r="C15" i="11"/>
  <c r="T53" i="7"/>
  <c r="W2" i="12"/>
  <c r="X22" i="29" s="1"/>
  <c r="U24" i="7"/>
  <c r="U51" i="7" s="1"/>
  <c r="U62" i="7" s="1"/>
  <c r="U49" i="7"/>
  <c r="V23" i="7"/>
  <c r="W21" i="7"/>
  <c r="BA21" i="7" s="1"/>
  <c r="X21" i="6"/>
  <c r="F7" i="9"/>
  <c r="F6" i="9"/>
  <c r="U65" i="6"/>
  <c r="U64" i="6"/>
  <c r="U63" i="6"/>
  <c r="U52" i="6"/>
  <c r="U53" i="6"/>
  <c r="U60" i="6" s="1"/>
  <c r="E42" i="9"/>
  <c r="S14" i="8"/>
  <c r="L19" i="13"/>
  <c r="L5" i="14" s="1"/>
  <c r="F24" i="8"/>
  <c r="AU6" i="5"/>
  <c r="W20" i="7"/>
  <c r="X20" i="6"/>
  <c r="W23" i="6"/>
  <c r="BA23" i="6" s="1"/>
  <c r="E75" i="7"/>
  <c r="U65" i="7" l="1"/>
  <c r="U64" i="7"/>
  <c r="U66" i="7"/>
  <c r="N5" i="14"/>
  <c r="M5" i="14"/>
  <c r="S55" i="6"/>
  <c r="AZ55" i="6" s="1"/>
  <c r="AZ54" i="6"/>
  <c r="W23" i="7"/>
  <c r="W24" i="7" s="1"/>
  <c r="W51" i="7" s="1"/>
  <c r="W62" i="7" s="1"/>
  <c r="E41" i="9"/>
  <c r="E22" i="9"/>
  <c r="S22" i="8" s="1"/>
  <c r="S12" i="8"/>
  <c r="S11" i="8"/>
  <c r="E21" i="8"/>
  <c r="E27" i="8" s="1"/>
  <c r="E30" i="8" s="1"/>
  <c r="V58" i="6"/>
  <c r="V56" i="7"/>
  <c r="V36" i="3"/>
  <c r="V33" i="3"/>
  <c r="V34" i="3" s="1"/>
  <c r="W36" i="3" s="1"/>
  <c r="AS6" i="12"/>
  <c r="L29" i="12" s="1"/>
  <c r="AM24" i="29"/>
  <c r="AM9" i="12"/>
  <c r="BB15" i="6"/>
  <c r="Z16" i="6"/>
  <c r="BB16" i="6" s="1"/>
  <c r="BB9" i="6"/>
  <c r="T54" i="6"/>
  <c r="BB7" i="6"/>
  <c r="AA6" i="7"/>
  <c r="AA7" i="7" s="1"/>
  <c r="BB7" i="7" s="1"/>
  <c r="AB6" i="6"/>
  <c r="BB6" i="6"/>
  <c r="F39" i="3"/>
  <c r="F7" i="8" s="1"/>
  <c r="F6" i="8" s="1"/>
  <c r="T6" i="8" s="1"/>
  <c r="F48" i="12" s="1"/>
  <c r="F8" i="9"/>
  <c r="F9" i="9" s="1"/>
  <c r="V35" i="3"/>
  <c r="V15" i="12" s="1"/>
  <c r="AB5" i="7"/>
  <c r="AC5" i="6"/>
  <c r="G82" i="6"/>
  <c r="AB3" i="7"/>
  <c r="AC3" i="6"/>
  <c r="D41" i="12"/>
  <c r="O27" i="29"/>
  <c r="O17" i="29"/>
  <c r="L30" i="12"/>
  <c r="AB4" i="7"/>
  <c r="AC4" i="6"/>
  <c r="AA9" i="7"/>
  <c r="BB9" i="7" s="1"/>
  <c r="AB9" i="6"/>
  <c r="G90" i="6"/>
  <c r="AD11" i="6"/>
  <c r="AC11" i="7"/>
  <c r="AB14" i="7"/>
  <c r="AC14" i="6"/>
  <c r="AB12" i="7"/>
  <c r="AC12" i="6"/>
  <c r="AB10" i="7"/>
  <c r="AC10" i="6"/>
  <c r="N18" i="12"/>
  <c r="N4" i="13" s="1"/>
  <c r="BB10" i="7"/>
  <c r="Z16" i="7"/>
  <c r="Q18" i="12"/>
  <c r="Q4" i="13" s="1"/>
  <c r="Q6" i="13" s="1"/>
  <c r="AD26" i="29"/>
  <c r="H44" i="29" s="1"/>
  <c r="L31" i="12"/>
  <c r="M19" i="12"/>
  <c r="AD2" i="6"/>
  <c r="T61" i="7"/>
  <c r="U54" i="6"/>
  <c r="F34" i="9"/>
  <c r="F33" i="9" s="1"/>
  <c r="X21" i="7"/>
  <c r="Y21" i="6"/>
  <c r="U53" i="7"/>
  <c r="U61" i="7" s="1"/>
  <c r="U52" i="7"/>
  <c r="X2" i="12"/>
  <c r="Y22" i="29" s="1"/>
  <c r="D15" i="11"/>
  <c r="J13" i="11"/>
  <c r="R4" i="10" s="1"/>
  <c r="Y22" i="6"/>
  <c r="X22" i="7"/>
  <c r="V24" i="7"/>
  <c r="V49" i="7"/>
  <c r="W24" i="6"/>
  <c r="W51" i="6" s="1"/>
  <c r="W61" i="6" s="1"/>
  <c r="F69" i="6" s="1"/>
  <c r="W49" i="6"/>
  <c r="X20" i="7"/>
  <c r="Y20" i="6"/>
  <c r="X23" i="6"/>
  <c r="S55" i="7"/>
  <c r="AZ55" i="7" s="1"/>
  <c r="AZ54" i="7"/>
  <c r="BA20" i="7"/>
  <c r="T54" i="7"/>
  <c r="R5" i="12" s="1"/>
  <c r="R14" i="12" s="1"/>
  <c r="T63" i="7"/>
  <c r="V65" i="6"/>
  <c r="V64" i="6"/>
  <c r="V63" i="6"/>
  <c r="V52" i="6"/>
  <c r="V53" i="6"/>
  <c r="V60" i="6" s="1"/>
  <c r="E28" i="11"/>
  <c r="Z27" i="3"/>
  <c r="Y26" i="3"/>
  <c r="Y12" i="12" s="1"/>
  <c r="T62" i="7"/>
  <c r="V65" i="7" l="1"/>
  <c r="V64" i="7"/>
  <c r="V66" i="7"/>
  <c r="BA23" i="7"/>
  <c r="BA24" i="6"/>
  <c r="W49" i="7"/>
  <c r="W50" i="6"/>
  <c r="BA50" i="6" s="1"/>
  <c r="W56" i="6"/>
  <c r="V58" i="7"/>
  <c r="T8" i="8"/>
  <c r="AA8" i="8" s="1"/>
  <c r="Q8" i="9"/>
  <c r="AN9" i="12"/>
  <c r="AN24" i="29"/>
  <c r="R7" i="13"/>
  <c r="D22" i="13"/>
  <c r="D20" i="13"/>
  <c r="D6" i="14" s="1"/>
  <c r="AB15" i="6"/>
  <c r="AB16" i="6" s="1"/>
  <c r="AC6" i="6"/>
  <c r="AC7" i="6" s="1"/>
  <c r="G91" i="6"/>
  <c r="AB6" i="7"/>
  <c r="AB7" i="7" s="1"/>
  <c r="BB6" i="7"/>
  <c r="BA51" i="6"/>
  <c r="AD2" i="7"/>
  <c r="AB7" i="6"/>
  <c r="BA49" i="6"/>
  <c r="T7" i="8"/>
  <c r="W35" i="3"/>
  <c r="W15" i="12" s="1"/>
  <c r="W33" i="3"/>
  <c r="W34" i="3" s="1"/>
  <c r="X36" i="3" s="1"/>
  <c r="AA15" i="7"/>
  <c r="AA16" i="7" s="1"/>
  <c r="BB16" i="7" s="1"/>
  <c r="AC3" i="7"/>
  <c r="AD3" i="6"/>
  <c r="AD5" i="6"/>
  <c r="AC5" i="7"/>
  <c r="AD4" i="6"/>
  <c r="AC4" i="7"/>
  <c r="AB9" i="7"/>
  <c r="AB15" i="7" s="1"/>
  <c r="AC9" i="6"/>
  <c r="AC15" i="6" s="1"/>
  <c r="AC16" i="6" s="1"/>
  <c r="AE11" i="6"/>
  <c r="BC11" i="6" s="1"/>
  <c r="AD11" i="7"/>
  <c r="AC14" i="7"/>
  <c r="AD14" i="6"/>
  <c r="AD12" i="6"/>
  <c r="AC12" i="7"/>
  <c r="Q13" i="29"/>
  <c r="E33" i="29" s="1"/>
  <c r="Q23" i="29"/>
  <c r="AC10" i="7"/>
  <c r="AD10" i="6"/>
  <c r="AE26" i="29"/>
  <c r="G35" i="12"/>
  <c r="Z25" i="29"/>
  <c r="G43" i="29" s="1"/>
  <c r="AE2" i="6"/>
  <c r="AE2" i="7" s="1"/>
  <c r="U63" i="7"/>
  <c r="F14" i="9"/>
  <c r="Y20" i="7"/>
  <c r="Z20" i="6"/>
  <c r="Y23" i="6"/>
  <c r="Y21" i="7"/>
  <c r="Z21" i="6"/>
  <c r="AA27" i="3"/>
  <c r="Z26" i="3"/>
  <c r="Z12" i="12" s="1"/>
  <c r="AA25" i="29" s="1"/>
  <c r="T9" i="8"/>
  <c r="AA9" i="8" s="1"/>
  <c r="Q9" i="9"/>
  <c r="Y2" i="12"/>
  <c r="Z22" i="29" s="1"/>
  <c r="G40" i="29" s="1"/>
  <c r="V51" i="7"/>
  <c r="V52" i="7" s="1"/>
  <c r="BA24" i="7"/>
  <c r="V54" i="6"/>
  <c r="X23" i="7"/>
  <c r="Y22" i="7"/>
  <c r="Z22" i="6"/>
  <c r="R3" i="12"/>
  <c r="K13" i="11"/>
  <c r="R5" i="10" s="1"/>
  <c r="R7" i="10" s="1"/>
  <c r="B16" i="11"/>
  <c r="E29" i="11"/>
  <c r="N6" i="13"/>
  <c r="E26" i="12"/>
  <c r="X24" i="6"/>
  <c r="X49" i="6"/>
  <c r="X56" i="6" s="1"/>
  <c r="W65" i="6"/>
  <c r="F73" i="6" s="1"/>
  <c r="F45" i="9" s="1"/>
  <c r="W64" i="6"/>
  <c r="F72" i="6" s="1"/>
  <c r="F44" i="9" s="1"/>
  <c r="W63" i="6"/>
  <c r="F71" i="6" s="1"/>
  <c r="F43" i="9" s="1"/>
  <c r="W53" i="6"/>
  <c r="W60" i="6" s="1"/>
  <c r="F68" i="6" s="1"/>
  <c r="F74" i="6" s="1"/>
  <c r="W52" i="6"/>
  <c r="BA52" i="6" s="1"/>
  <c r="V53" i="7"/>
  <c r="V61" i="7" s="1"/>
  <c r="U54" i="7"/>
  <c r="W50" i="7" l="1"/>
  <c r="BA50" i="7" s="1"/>
  <c r="W65" i="7"/>
  <c r="W64" i="7"/>
  <c r="W66" i="7"/>
  <c r="F74" i="7"/>
  <c r="W63" i="7"/>
  <c r="BA49" i="7"/>
  <c r="W52" i="7"/>
  <c r="W53" i="7"/>
  <c r="W61" i="7" s="1"/>
  <c r="F69" i="7" s="1"/>
  <c r="W58" i="6"/>
  <c r="W56" i="7"/>
  <c r="BA56" i="7" s="1"/>
  <c r="BA56" i="6"/>
  <c r="X56" i="7"/>
  <c r="X58" i="6"/>
  <c r="S3" i="12"/>
  <c r="T23" i="29" s="1"/>
  <c r="T27" i="29" s="1"/>
  <c r="S5" i="12"/>
  <c r="S14" i="12" s="1"/>
  <c r="BB15" i="7"/>
  <c r="AO9" i="12"/>
  <c r="AO24" i="29"/>
  <c r="K32" i="12"/>
  <c r="R6" i="10"/>
  <c r="AD6" i="6"/>
  <c r="BA53" i="6"/>
  <c r="F15" i="9" s="1"/>
  <c r="F46" i="9" s="1"/>
  <c r="BC2" i="6"/>
  <c r="X35" i="3"/>
  <c r="X33" i="3"/>
  <c r="X34" i="3" s="1"/>
  <c r="Y36" i="3" s="1"/>
  <c r="Y35" i="3" s="1"/>
  <c r="Y15" i="12" s="1"/>
  <c r="AE5" i="6"/>
  <c r="BC5" i="6" s="1"/>
  <c r="AD5" i="7"/>
  <c r="AC6" i="7"/>
  <c r="AC7" i="7" s="1"/>
  <c r="AD3" i="7"/>
  <c r="AE3" i="6"/>
  <c r="BC3" i="6" s="1"/>
  <c r="Q17" i="29"/>
  <c r="Q27" i="29"/>
  <c r="E41" i="29"/>
  <c r="E45" i="29" s="1"/>
  <c r="AE4" i="6"/>
  <c r="AD4" i="7"/>
  <c r="AC9" i="7"/>
  <c r="AC15" i="7" s="1"/>
  <c r="AC16" i="7" s="1"/>
  <c r="AD9" i="6"/>
  <c r="AD15" i="6" s="1"/>
  <c r="AD16" i="6" s="1"/>
  <c r="AF11" i="6"/>
  <c r="AE11" i="7"/>
  <c r="BC11" i="7" s="1"/>
  <c r="AD14" i="7"/>
  <c r="AE14" i="6"/>
  <c r="BC14" i="6" s="1"/>
  <c r="AE12" i="6"/>
  <c r="BC12" i="6" s="1"/>
  <c r="AD12" i="7"/>
  <c r="E28" i="12"/>
  <c r="E41" i="12" s="1"/>
  <c r="AB16" i="7"/>
  <c r="T13" i="29"/>
  <c r="T17" i="29" s="1"/>
  <c r="T19" i="29" s="1"/>
  <c r="S13" i="29"/>
  <c r="S23" i="29"/>
  <c r="AD10" i="7"/>
  <c r="AE10" i="6"/>
  <c r="BC10" i="6" s="1"/>
  <c r="AF26" i="29"/>
  <c r="AF2" i="6"/>
  <c r="W54" i="6"/>
  <c r="P18" i="12"/>
  <c r="V54" i="7"/>
  <c r="BA52" i="7"/>
  <c r="AA26" i="3"/>
  <c r="AA12" i="12" s="1"/>
  <c r="AB25" i="29" s="1"/>
  <c r="AB27" i="3"/>
  <c r="E30" i="11"/>
  <c r="L28" i="11" s="1"/>
  <c r="G27" i="11"/>
  <c r="X24" i="7"/>
  <c r="X49" i="7"/>
  <c r="Z2" i="12"/>
  <c r="AA22" i="29" s="1"/>
  <c r="G25" i="12"/>
  <c r="Y24" i="6"/>
  <c r="Y51" i="6" s="1"/>
  <c r="Y61" i="6" s="1"/>
  <c r="Y49" i="6"/>
  <c r="Y56" i="6" s="1"/>
  <c r="X65" i="6"/>
  <c r="X64" i="6"/>
  <c r="X63" i="6"/>
  <c r="X53" i="6"/>
  <c r="V63" i="7"/>
  <c r="F72" i="7"/>
  <c r="X51" i="6"/>
  <c r="Z22" i="7"/>
  <c r="AA22" i="6"/>
  <c r="BB22" i="6" s="1"/>
  <c r="Z20" i="7"/>
  <c r="AA20" i="6"/>
  <c r="BB20" i="6" s="1"/>
  <c r="Z23" i="6"/>
  <c r="F42" i="9"/>
  <c r="F7" i="13"/>
  <c r="C16" i="11"/>
  <c r="V62" i="7"/>
  <c r="F70" i="7" s="1"/>
  <c r="F43" i="12" s="1"/>
  <c r="BA51" i="7"/>
  <c r="F14" i="8" s="1"/>
  <c r="Z21" i="7"/>
  <c r="AA21" i="6"/>
  <c r="BB21" i="6" s="1"/>
  <c r="Y23" i="7"/>
  <c r="X66" i="7" l="1"/>
  <c r="X65" i="7"/>
  <c r="X64" i="7"/>
  <c r="F73" i="7"/>
  <c r="W54" i="7"/>
  <c r="U3" i="12" s="1"/>
  <c r="V23" i="29" s="1"/>
  <c r="V27" i="29" s="1"/>
  <c r="BA53" i="7"/>
  <c r="F15" i="8" s="1"/>
  <c r="F29" i="8" s="1"/>
  <c r="Y56" i="7"/>
  <c r="Y58" i="6"/>
  <c r="Y58" i="7" s="1"/>
  <c r="X58" i="7"/>
  <c r="W58" i="7"/>
  <c r="BA58" i="7" s="1"/>
  <c r="F10" i="8" s="1"/>
  <c r="BA58" i="6"/>
  <c r="F10" i="9" s="1"/>
  <c r="AD6" i="7"/>
  <c r="AD7" i="7" s="1"/>
  <c r="X15" i="12"/>
  <c r="G38" i="12" s="1"/>
  <c r="T3" i="12"/>
  <c r="U23" i="29" s="1"/>
  <c r="U27" i="29" s="1"/>
  <c r="T5" i="12"/>
  <c r="T14" i="12" s="1"/>
  <c r="AE6" i="6"/>
  <c r="AE7" i="6" s="1"/>
  <c r="AP9" i="12"/>
  <c r="AP24" i="29"/>
  <c r="K42" i="29" s="1"/>
  <c r="X60" i="6"/>
  <c r="W55" i="6"/>
  <c r="BA55" i="6" s="1"/>
  <c r="BA54" i="6"/>
  <c r="AD7" i="6"/>
  <c r="X61" i="6"/>
  <c r="AF2" i="7"/>
  <c r="BC4" i="6"/>
  <c r="AE3" i="7"/>
  <c r="BC3" i="7" s="1"/>
  <c r="AF3" i="6"/>
  <c r="Y33" i="3"/>
  <c r="Y34" i="3" s="1"/>
  <c r="AF5" i="6"/>
  <c r="AE5" i="7"/>
  <c r="BC5" i="7" s="1"/>
  <c r="E37" i="29"/>
  <c r="S27" i="29"/>
  <c r="S17" i="29"/>
  <c r="S19" i="29" s="1"/>
  <c r="AE4" i="7"/>
  <c r="BC4" i="7" s="1"/>
  <c r="AF4" i="6"/>
  <c r="AD9" i="7"/>
  <c r="AE9" i="6"/>
  <c r="AE15" i="6" s="1"/>
  <c r="BC15" i="6" s="1"/>
  <c r="R18" i="12"/>
  <c r="R4" i="13" s="1"/>
  <c r="T28" i="29"/>
  <c r="AF11" i="7"/>
  <c r="AG11" i="6"/>
  <c r="AF14" i="6"/>
  <c r="AE14" i="7"/>
  <c r="BC14" i="7" s="1"/>
  <c r="AF12" i="6"/>
  <c r="AE12" i="7"/>
  <c r="BC12" i="7" s="1"/>
  <c r="S18" i="12"/>
  <c r="S4" i="13" s="1"/>
  <c r="S6" i="13" s="1"/>
  <c r="AF10" i="6"/>
  <c r="AE10" i="7"/>
  <c r="I40" i="12"/>
  <c r="AG26" i="29"/>
  <c r="P4" i="13"/>
  <c r="Q19" i="12"/>
  <c r="BC2" i="7"/>
  <c r="AG2" i="6"/>
  <c r="AG2" i="7" s="1"/>
  <c r="BA54" i="7"/>
  <c r="W55" i="7"/>
  <c r="BA55" i="7" s="1"/>
  <c r="G40" i="3"/>
  <c r="G7" i="9" s="1"/>
  <c r="G39" i="3"/>
  <c r="G7" i="8" s="1"/>
  <c r="G6" i="8" s="1"/>
  <c r="D16" i="11"/>
  <c r="F11" i="13"/>
  <c r="Z24" i="6"/>
  <c r="Z51" i="6" s="1"/>
  <c r="Z61" i="6" s="1"/>
  <c r="Z49" i="6"/>
  <c r="Z56" i="6" s="1"/>
  <c r="X52" i="6"/>
  <c r="G24" i="8"/>
  <c r="Y24" i="7"/>
  <c r="Y51" i="7" s="1"/>
  <c r="Y62" i="7" s="1"/>
  <c r="Y49" i="7"/>
  <c r="AA21" i="7"/>
  <c r="BB21" i="7" s="1"/>
  <c r="AB21" i="6"/>
  <c r="F8" i="13"/>
  <c r="AA20" i="7"/>
  <c r="BB20" i="7" s="1"/>
  <c r="AB20" i="6"/>
  <c r="AA23" i="6"/>
  <c r="BB23" i="6" s="1"/>
  <c r="AA2" i="12"/>
  <c r="AB22" i="29" s="1"/>
  <c r="X51" i="7"/>
  <c r="X52" i="7" s="1"/>
  <c r="AB26" i="3"/>
  <c r="AB12" i="12" s="1"/>
  <c r="AC25" i="29" s="1"/>
  <c r="AC27" i="3"/>
  <c r="Y52" i="6"/>
  <c r="Y53" i="6"/>
  <c r="Y60" i="6" s="1"/>
  <c r="Y63" i="6"/>
  <c r="Y65" i="6"/>
  <c r="Y64" i="6"/>
  <c r="X53" i="7"/>
  <c r="T14" i="8"/>
  <c r="Z23" i="7"/>
  <c r="AA22" i="7"/>
  <c r="BB22" i="7" s="1"/>
  <c r="AB22" i="6"/>
  <c r="E31" i="11"/>
  <c r="F75" i="7"/>
  <c r="Y66" i="7" l="1"/>
  <c r="Y65" i="7"/>
  <c r="Y64" i="7"/>
  <c r="U5" i="12"/>
  <c r="U14" i="12" s="1"/>
  <c r="F37" i="12" s="1"/>
  <c r="T15" i="8"/>
  <c r="T10" i="8"/>
  <c r="F39" i="9"/>
  <c r="F12" i="9"/>
  <c r="F11" i="9"/>
  <c r="F12" i="8"/>
  <c r="F22" i="8" s="1"/>
  <c r="F28" i="8" s="1"/>
  <c r="F11" i="8"/>
  <c r="F21" i="8" s="1"/>
  <c r="F27" i="8" s="1"/>
  <c r="Z56" i="7"/>
  <c r="Z58" i="6"/>
  <c r="F26" i="12"/>
  <c r="BC6" i="6"/>
  <c r="F14" i="13"/>
  <c r="AQ24" i="29"/>
  <c r="AQ9" i="12"/>
  <c r="P6" i="13"/>
  <c r="E22" i="13" s="1"/>
  <c r="E20" i="13"/>
  <c r="E6" i="14" s="1"/>
  <c r="BC9" i="6"/>
  <c r="X54" i="6"/>
  <c r="BC7" i="6"/>
  <c r="Z36" i="3"/>
  <c r="Z35" i="3" s="1"/>
  <c r="Z33" i="3"/>
  <c r="Z34" i="3" s="1"/>
  <c r="AF5" i="7"/>
  <c r="AG5" i="6"/>
  <c r="H82" i="6"/>
  <c r="AF3" i="7"/>
  <c r="AG3" i="6"/>
  <c r="G6" i="9"/>
  <c r="G34" i="9" s="1"/>
  <c r="G33" i="9" s="1"/>
  <c r="S28" i="29"/>
  <c r="E46" i="29"/>
  <c r="AE6" i="7"/>
  <c r="BC6" i="7" s="1"/>
  <c r="F41" i="29"/>
  <c r="F45" i="29" s="1"/>
  <c r="AF4" i="7"/>
  <c r="AG4" i="6"/>
  <c r="AF6" i="6"/>
  <c r="AD15" i="7"/>
  <c r="AD16" i="7" s="1"/>
  <c r="AE9" i="7"/>
  <c r="BC9" i="7" s="1"/>
  <c r="AF9" i="6"/>
  <c r="H90" i="6"/>
  <c r="AH11" i="6"/>
  <c r="AG11" i="7"/>
  <c r="AF14" i="7"/>
  <c r="AG14" i="6"/>
  <c r="V13" i="29"/>
  <c r="V17" i="29" s="1"/>
  <c r="V19" i="29" s="1"/>
  <c r="AF12" i="7"/>
  <c r="AG12" i="6"/>
  <c r="AF10" i="7"/>
  <c r="AG10" i="6"/>
  <c r="AE16" i="6"/>
  <c r="BC16" i="6" s="1"/>
  <c r="BC10" i="7"/>
  <c r="F28" i="12"/>
  <c r="F41" i="12" s="1"/>
  <c r="U13" i="29"/>
  <c r="AH26" i="29"/>
  <c r="I44" i="29" s="1"/>
  <c r="U7" i="8"/>
  <c r="AH2" i="6"/>
  <c r="AH2" i="7" s="1"/>
  <c r="Y54" i="6"/>
  <c r="T18" i="12"/>
  <c r="X54" i="7"/>
  <c r="V5" i="12" s="1"/>
  <c r="V21" i="12" s="1"/>
  <c r="V14" i="12" s="1"/>
  <c r="AC22" i="6"/>
  <c r="AB22" i="7"/>
  <c r="AD27" i="3"/>
  <c r="AC26" i="3"/>
  <c r="AC12" i="12" s="1"/>
  <c r="AA23" i="7"/>
  <c r="Z65" i="6"/>
  <c r="Z64" i="6"/>
  <c r="Z63" i="6"/>
  <c r="Z52" i="6"/>
  <c r="Z53" i="6"/>
  <c r="Z60" i="6" s="1"/>
  <c r="F13" i="13"/>
  <c r="R6" i="13"/>
  <c r="AB20" i="7"/>
  <c r="AC20" i="6"/>
  <c r="AB23" i="6"/>
  <c r="B17" i="11"/>
  <c r="Z24" i="7"/>
  <c r="Z49" i="7"/>
  <c r="E32" i="11"/>
  <c r="X61" i="7"/>
  <c r="X63" i="7"/>
  <c r="X62" i="7"/>
  <c r="AB2" i="12"/>
  <c r="AC22" i="29" s="1"/>
  <c r="AA24" i="6"/>
  <c r="BB24" i="6" s="1"/>
  <c r="AA49" i="6"/>
  <c r="F9" i="13"/>
  <c r="AB21" i="7"/>
  <c r="AC21" i="6"/>
  <c r="Y53" i="7"/>
  <c r="Y61" i="7" s="1"/>
  <c r="Y52" i="7"/>
  <c r="U18" i="12" l="1"/>
  <c r="U4" i="13" s="1"/>
  <c r="U6" i="13" s="1"/>
  <c r="Z64" i="7"/>
  <c r="Z66" i="7"/>
  <c r="Z65" i="7"/>
  <c r="F30" i="8"/>
  <c r="T12" i="8"/>
  <c r="F41" i="9"/>
  <c r="F22" i="9"/>
  <c r="T22" i="8" s="1"/>
  <c r="AA50" i="6"/>
  <c r="BB50" i="6" s="1"/>
  <c r="AA56" i="6"/>
  <c r="Z58" i="7"/>
  <c r="F40" i="9"/>
  <c r="T11" i="8"/>
  <c r="F15" i="13"/>
  <c r="AE7" i="7"/>
  <c r="BC7" i="7" s="1"/>
  <c r="AR9" i="12"/>
  <c r="AR24" i="29"/>
  <c r="F10" i="13"/>
  <c r="H91" i="6"/>
  <c r="AF15" i="6"/>
  <c r="BB49" i="6"/>
  <c r="AA36" i="3"/>
  <c r="AA35" i="3" s="1"/>
  <c r="AA15" i="12" s="1"/>
  <c r="AA33" i="3"/>
  <c r="AA34" i="3" s="1"/>
  <c r="AB36" i="3" s="1"/>
  <c r="AB35" i="3" s="1"/>
  <c r="U6" i="8"/>
  <c r="G48" i="12" s="1"/>
  <c r="AF7" i="6"/>
  <c r="AE15" i="7"/>
  <c r="AE16" i="7" s="1"/>
  <c r="BC16" i="7" s="1"/>
  <c r="AG3" i="7"/>
  <c r="AH3" i="6"/>
  <c r="AG6" i="6"/>
  <c r="AG7" i="6" s="1"/>
  <c r="AF6" i="7"/>
  <c r="AF7" i="7" s="1"/>
  <c r="AH5" i="6"/>
  <c r="AG5" i="7"/>
  <c r="F33" i="29"/>
  <c r="U17" i="29"/>
  <c r="F37" i="29" s="1"/>
  <c r="AH4" i="6"/>
  <c r="AG4" i="7"/>
  <c r="V28" i="29"/>
  <c r="AF9" i="7"/>
  <c r="AG9" i="6"/>
  <c r="AG15" i="6" s="1"/>
  <c r="AG16" i="6" s="1"/>
  <c r="AI11" i="6"/>
  <c r="BD11" i="6" s="1"/>
  <c r="AH11" i="7"/>
  <c r="AG14" i="7"/>
  <c r="AH14" i="6"/>
  <c r="AH12" i="6"/>
  <c r="AG12" i="7"/>
  <c r="AG10" i="7"/>
  <c r="AH10" i="6"/>
  <c r="AI26" i="29"/>
  <c r="H35" i="12"/>
  <c r="AD25" i="29"/>
  <c r="H43" i="29" s="1"/>
  <c r="T4" i="13"/>
  <c r="AI2" i="6"/>
  <c r="BD2" i="6" s="1"/>
  <c r="Z54" i="6"/>
  <c r="Y63" i="7"/>
  <c r="AC21" i="7"/>
  <c r="AD21" i="6"/>
  <c r="AC2" i="12"/>
  <c r="Z53" i="7"/>
  <c r="Z61" i="7" s="1"/>
  <c r="AB23" i="7"/>
  <c r="AE27" i="3"/>
  <c r="AD26" i="3"/>
  <c r="AD12" i="12" s="1"/>
  <c r="AE25" i="29" s="1"/>
  <c r="AC22" i="7"/>
  <c r="AD22" i="6"/>
  <c r="Z15" i="12"/>
  <c r="AA65" i="6"/>
  <c r="G73" i="6" s="1"/>
  <c r="G45" i="9" s="1"/>
  <c r="AA64" i="6"/>
  <c r="G72" i="6" s="1"/>
  <c r="G44" i="9" s="1"/>
  <c r="AA63" i="6"/>
  <c r="G71" i="6" s="1"/>
  <c r="G43" i="9" s="1"/>
  <c r="AA53" i="6"/>
  <c r="AA60" i="6" s="1"/>
  <c r="G68" i="6" s="1"/>
  <c r="Z51" i="7"/>
  <c r="Z52" i="7" s="1"/>
  <c r="AB24" i="6"/>
  <c r="AB49" i="6"/>
  <c r="AB56" i="6" s="1"/>
  <c r="Y54" i="7"/>
  <c r="AA51" i="6"/>
  <c r="E33" i="11"/>
  <c r="G30" i="11"/>
  <c r="AC20" i="7"/>
  <c r="AD20" i="6"/>
  <c r="AC23" i="6"/>
  <c r="V3" i="12"/>
  <c r="C17" i="11"/>
  <c r="AA24" i="7"/>
  <c r="AA51" i="7" s="1"/>
  <c r="AA62" i="7" s="1"/>
  <c r="AA49" i="7"/>
  <c r="BB23" i="7"/>
  <c r="U19" i="12" l="1"/>
  <c r="AA64" i="7"/>
  <c r="AA66" i="7"/>
  <c r="AA65" i="7"/>
  <c r="BC15" i="7"/>
  <c r="AB56" i="7"/>
  <c r="AB58" i="6"/>
  <c r="AA58" i="6"/>
  <c r="AA56" i="7"/>
  <c r="BB56" i="7" s="1"/>
  <c r="BB56" i="6"/>
  <c r="W3" i="12"/>
  <c r="X23" i="29" s="1"/>
  <c r="X27" i="29" s="1"/>
  <c r="W5" i="12"/>
  <c r="AS9" i="12"/>
  <c r="AT24" i="29" s="1"/>
  <c r="AS24" i="29"/>
  <c r="T6" i="13"/>
  <c r="F22" i="13" s="1"/>
  <c r="F20" i="13"/>
  <c r="F6" i="14" s="1"/>
  <c r="F12" i="13"/>
  <c r="AF16" i="6"/>
  <c r="AG6" i="7"/>
  <c r="AG7" i="7" s="1"/>
  <c r="AA61" i="6"/>
  <c r="G69" i="6" s="1"/>
  <c r="G14" i="9" s="1"/>
  <c r="BB51" i="6"/>
  <c r="BB53" i="6"/>
  <c r="G15" i="9" s="1"/>
  <c r="G46" i="9" s="1"/>
  <c r="U28" i="29"/>
  <c r="U19" i="29"/>
  <c r="AB33" i="3"/>
  <c r="AB34" i="3" s="1"/>
  <c r="AC36" i="3" s="1"/>
  <c r="AC35" i="3" s="1"/>
  <c r="AC15" i="12" s="1"/>
  <c r="AI5" i="6"/>
  <c r="BD5" i="6" s="1"/>
  <c r="AH5" i="7"/>
  <c r="AH6" i="6"/>
  <c r="AH7" i="6" s="1"/>
  <c r="AH3" i="7"/>
  <c r="AI3" i="6"/>
  <c r="BD3" i="6" s="1"/>
  <c r="AC23" i="7"/>
  <c r="AC49" i="7" s="1"/>
  <c r="AI2" i="7"/>
  <c r="BD2" i="7" s="1"/>
  <c r="AJ2" i="6"/>
  <c r="F46" i="29"/>
  <c r="AI4" i="6"/>
  <c r="BD4" i="6" s="1"/>
  <c r="AH4" i="7"/>
  <c r="AG9" i="7"/>
  <c r="AH9" i="6"/>
  <c r="AF15" i="7"/>
  <c r="AF16" i="7" s="1"/>
  <c r="AI11" i="7"/>
  <c r="BD11" i="7" s="1"/>
  <c r="AJ11" i="6"/>
  <c r="AH14" i="7"/>
  <c r="AI14" i="6"/>
  <c r="BD14" i="6" s="1"/>
  <c r="AI12" i="6"/>
  <c r="BD12" i="6" s="1"/>
  <c r="AH12" i="7"/>
  <c r="AH10" i="7"/>
  <c r="AI10" i="6"/>
  <c r="BD10" i="6" s="1"/>
  <c r="W13" i="29"/>
  <c r="W23" i="29"/>
  <c r="H25" i="12"/>
  <c r="H24" i="8" s="1"/>
  <c r="AD22" i="29"/>
  <c r="H40" i="29" s="1"/>
  <c r="AJ26" i="29"/>
  <c r="Z54" i="7"/>
  <c r="AA52" i="6"/>
  <c r="AC24" i="6"/>
  <c r="AC51" i="6" s="1"/>
  <c r="AC61" i="6" s="1"/>
  <c r="AC49" i="6"/>
  <c r="AC56" i="6" s="1"/>
  <c r="AB51" i="6"/>
  <c r="AB24" i="7"/>
  <c r="AB49" i="7"/>
  <c r="AE20" i="6"/>
  <c r="BC20" i="6" s="1"/>
  <c r="AD23" i="6"/>
  <c r="AD20" i="7"/>
  <c r="E34" i="11"/>
  <c r="G73" i="7"/>
  <c r="AA53" i="7"/>
  <c r="AA52" i="7"/>
  <c r="BB52" i="7" s="1"/>
  <c r="G74" i="7"/>
  <c r="BB24" i="7"/>
  <c r="BB49" i="7"/>
  <c r="Z63" i="7"/>
  <c r="AD2" i="12"/>
  <c r="AE22" i="29" s="1"/>
  <c r="L31" i="11"/>
  <c r="AD22" i="7"/>
  <c r="AE22" i="6"/>
  <c r="BC22" i="6" s="1"/>
  <c r="AD21" i="7"/>
  <c r="AE21" i="6"/>
  <c r="BC21" i="6" s="1"/>
  <c r="D17" i="11"/>
  <c r="AB65" i="6"/>
  <c r="AB64" i="6"/>
  <c r="AB63" i="6"/>
  <c r="AB53" i="6"/>
  <c r="Z62" i="7"/>
  <c r="G70" i="7" s="1"/>
  <c r="BB51" i="7"/>
  <c r="G14" i="8" s="1"/>
  <c r="AE26" i="3"/>
  <c r="AE12" i="12" s="1"/>
  <c r="AF25" i="29" s="1"/>
  <c r="AF27" i="3"/>
  <c r="AA50" i="7"/>
  <c r="BB50" i="7" s="1"/>
  <c r="AC65" i="7" l="1"/>
  <c r="AC64" i="7"/>
  <c r="AC66" i="7"/>
  <c r="X13" i="29"/>
  <c r="X17" i="29" s="1"/>
  <c r="X19" i="29" s="1"/>
  <c r="W21" i="12"/>
  <c r="W14" i="12" s="1"/>
  <c r="AB64" i="7"/>
  <c r="AB66" i="7"/>
  <c r="AB65" i="7"/>
  <c r="AC56" i="7"/>
  <c r="AC58" i="6"/>
  <c r="AC58" i="7" s="1"/>
  <c r="AB58" i="7"/>
  <c r="AA58" i="7"/>
  <c r="BB58" i="7" s="1"/>
  <c r="G10" i="8" s="1"/>
  <c r="BB58" i="6"/>
  <c r="G10" i="9" s="1"/>
  <c r="AC24" i="7"/>
  <c r="AC51" i="7" s="1"/>
  <c r="AC62" i="7" s="1"/>
  <c r="L32" i="12"/>
  <c r="X3" i="12"/>
  <c r="X5" i="12"/>
  <c r="X21" i="12" s="1"/>
  <c r="X14" i="12" s="1"/>
  <c r="L42" i="29"/>
  <c r="G43" i="12"/>
  <c r="AB60" i="6"/>
  <c r="G74" i="6"/>
  <c r="AJ2" i="7"/>
  <c r="AA54" i="6"/>
  <c r="BB52" i="6"/>
  <c r="AB61" i="6"/>
  <c r="AC33" i="3"/>
  <c r="AC34" i="3" s="1"/>
  <c r="AD36" i="3" s="1"/>
  <c r="AD35" i="3" s="1"/>
  <c r="AJ3" i="6"/>
  <c r="AI3" i="7"/>
  <c r="BD3" i="7" s="1"/>
  <c r="AI6" i="6"/>
  <c r="AI7" i="6" s="1"/>
  <c r="BD7" i="6" s="1"/>
  <c r="AH6" i="7"/>
  <c r="AH7" i="7" s="1"/>
  <c r="AJ5" i="6"/>
  <c r="AI5" i="7"/>
  <c r="F47" i="29"/>
  <c r="W27" i="29"/>
  <c r="W17" i="29"/>
  <c r="AJ4" i="6"/>
  <c r="AI4" i="7"/>
  <c r="BD4" i="7" s="1"/>
  <c r="AH9" i="7"/>
  <c r="AH15" i="7" s="1"/>
  <c r="AI9" i="6"/>
  <c r="AI15" i="6" s="1"/>
  <c r="AI16" i="6" s="1"/>
  <c r="AG15" i="7"/>
  <c r="AG16" i="7" s="1"/>
  <c r="AH15" i="6"/>
  <c r="W18" i="12"/>
  <c r="W4" i="13" s="1"/>
  <c r="W6" i="13" s="1"/>
  <c r="AJ11" i="7"/>
  <c r="AK11" i="6"/>
  <c r="AJ14" i="6"/>
  <c r="AI14" i="7"/>
  <c r="BD14" i="7" s="1"/>
  <c r="X28" i="29"/>
  <c r="AJ12" i="6"/>
  <c r="AI12" i="7"/>
  <c r="BD12" i="7" s="1"/>
  <c r="AI10" i="7"/>
  <c r="AJ10" i="6"/>
  <c r="Y23" i="29"/>
  <c r="Y27" i="29" s="1"/>
  <c r="J40" i="12"/>
  <c r="AK26" i="29"/>
  <c r="H40" i="3"/>
  <c r="H6" i="9" s="1"/>
  <c r="AK2" i="6"/>
  <c r="AK2" i="7" s="1"/>
  <c r="AB52" i="6"/>
  <c r="AB15" i="12"/>
  <c r="H38" i="12" s="1"/>
  <c r="H39" i="3"/>
  <c r="H7" i="8" s="1"/>
  <c r="H6" i="8" s="1"/>
  <c r="AA63" i="7"/>
  <c r="G72" i="7"/>
  <c r="AD24" i="6"/>
  <c r="AD49" i="6"/>
  <c r="AD56" i="6" s="1"/>
  <c r="AB51" i="7"/>
  <c r="AB52" i="7" s="1"/>
  <c r="AA61" i="7"/>
  <c r="G69" i="7" s="1"/>
  <c r="G75" i="7" s="1"/>
  <c r="BB53" i="7"/>
  <c r="G15" i="8" s="1"/>
  <c r="U15" i="8" s="1"/>
  <c r="AD23" i="7"/>
  <c r="AB53" i="7"/>
  <c r="AF26" i="3"/>
  <c r="AF12" i="12" s="1"/>
  <c r="AG25" i="29" s="1"/>
  <c r="AG27" i="3"/>
  <c r="H15" i="11"/>
  <c r="B18" i="11"/>
  <c r="AE21" i="7"/>
  <c r="BC21" i="7" s="1"/>
  <c r="AF21" i="6"/>
  <c r="AE2" i="12"/>
  <c r="AF22" i="29" s="1"/>
  <c r="G42" i="9"/>
  <c r="U14" i="8"/>
  <c r="AC53" i="7"/>
  <c r="AC61" i="7" s="1"/>
  <c r="AC52" i="7"/>
  <c r="E35" i="11"/>
  <c r="AE20" i="7"/>
  <c r="AF20" i="6"/>
  <c r="AE23" i="6"/>
  <c r="BC23" i="6" s="1"/>
  <c r="AE22" i="7"/>
  <c r="BC22" i="7" s="1"/>
  <c r="AF22" i="6"/>
  <c r="AA54" i="7"/>
  <c r="Y5" i="12" s="1"/>
  <c r="Y21" i="12" s="1"/>
  <c r="Y14" i="12" s="1"/>
  <c r="V18" i="12"/>
  <c r="AC65" i="6"/>
  <c r="AC64" i="6"/>
  <c r="AC63" i="6"/>
  <c r="AC52" i="6"/>
  <c r="AC53" i="6"/>
  <c r="AC60" i="6" s="1"/>
  <c r="G37" i="12" l="1"/>
  <c r="G39" i="9"/>
  <c r="G12" i="9"/>
  <c r="U10" i="8"/>
  <c r="G11" i="9"/>
  <c r="AD58" i="6"/>
  <c r="AD58" i="7" s="1"/>
  <c r="AD56" i="7"/>
  <c r="G12" i="8"/>
  <c r="G22" i="8" s="1"/>
  <c r="G28" i="8" s="1"/>
  <c r="G11" i="8"/>
  <c r="AH16" i="6"/>
  <c r="BD16" i="6" s="1"/>
  <c r="BD15" i="6"/>
  <c r="BD9" i="6"/>
  <c r="AA55" i="6"/>
  <c r="BB55" i="6" s="1"/>
  <c r="BB54" i="6"/>
  <c r="AB54" i="6"/>
  <c r="AI6" i="7"/>
  <c r="AI7" i="7" s="1"/>
  <c r="BD7" i="7" s="1"/>
  <c r="BD6" i="6"/>
  <c r="BD5" i="7"/>
  <c r="I82" i="6"/>
  <c r="AJ5" i="7"/>
  <c r="AK5" i="6"/>
  <c r="AJ6" i="6"/>
  <c r="AJ3" i="7"/>
  <c r="AK3" i="6"/>
  <c r="H7" i="9"/>
  <c r="V7" i="8" s="1"/>
  <c r="AD33" i="3"/>
  <c r="AD34" i="3" s="1"/>
  <c r="AE36" i="3" s="1"/>
  <c r="AE35" i="3" s="1"/>
  <c r="AE15" i="12" s="1"/>
  <c r="W19" i="29"/>
  <c r="W28" i="29"/>
  <c r="AJ4" i="7"/>
  <c r="AK4" i="6"/>
  <c r="AI9" i="7"/>
  <c r="BD9" i="7" s="1"/>
  <c r="AJ9" i="6"/>
  <c r="I90" i="6"/>
  <c r="BD10" i="7"/>
  <c r="AL11" i="6"/>
  <c r="AK11" i="7"/>
  <c r="AJ14" i="7"/>
  <c r="AK14" i="6"/>
  <c r="AJ12" i="7"/>
  <c r="AK12" i="6"/>
  <c r="AH16" i="7"/>
  <c r="Y13" i="29"/>
  <c r="X18" i="12"/>
  <c r="X4" i="13" s="1"/>
  <c r="X6" i="13" s="1"/>
  <c r="AJ10" i="7"/>
  <c r="AK10" i="6"/>
  <c r="AL26" i="29"/>
  <c r="J44" i="29" s="1"/>
  <c r="AL2" i="6"/>
  <c r="AL2" i="7" s="1"/>
  <c r="G29" i="8"/>
  <c r="AB61" i="7"/>
  <c r="AE23" i="7"/>
  <c r="E36" i="11"/>
  <c r="G33" i="11"/>
  <c r="BC20" i="7"/>
  <c r="AC54" i="7"/>
  <c r="AF2" i="12"/>
  <c r="AG22" i="29" s="1"/>
  <c r="AB62" i="7"/>
  <c r="V4" i="13"/>
  <c r="AF20" i="7"/>
  <c r="AG20" i="6"/>
  <c r="AF23" i="6"/>
  <c r="H34" i="9"/>
  <c r="H33" i="9" s="1"/>
  <c r="V6" i="8"/>
  <c r="H48" i="12" s="1"/>
  <c r="C18" i="11"/>
  <c r="AB54" i="7"/>
  <c r="Z5" i="12" s="1"/>
  <c r="Z21" i="12" s="1"/>
  <c r="Z14" i="12" s="1"/>
  <c r="AB63" i="7"/>
  <c r="AD24" i="7"/>
  <c r="AD49" i="7"/>
  <c r="BC23" i="7"/>
  <c r="AD65" i="6"/>
  <c r="AD64" i="6"/>
  <c r="AD63" i="6"/>
  <c r="AD53" i="6"/>
  <c r="AD60" i="6" s="1"/>
  <c r="AF21" i="7"/>
  <c r="AG21" i="6"/>
  <c r="AH27" i="3"/>
  <c r="AG26" i="3"/>
  <c r="AG12" i="12" s="1"/>
  <c r="AF22" i="7"/>
  <c r="AG22" i="6"/>
  <c r="AC54" i="6"/>
  <c r="Y3" i="12"/>
  <c r="BB54" i="7"/>
  <c r="AA55" i="7"/>
  <c r="BB55" i="7" s="1"/>
  <c r="AE24" i="6"/>
  <c r="AE51" i="6" s="1"/>
  <c r="AE61" i="6" s="1"/>
  <c r="AE49" i="6"/>
  <c r="AC63" i="7"/>
  <c r="AD51" i="6"/>
  <c r="AD65" i="7" l="1"/>
  <c r="AD64" i="7"/>
  <c r="AD66" i="7"/>
  <c r="G40" i="9"/>
  <c r="U11" i="8"/>
  <c r="AE50" i="6"/>
  <c r="BC50" i="6" s="1"/>
  <c r="AE56" i="6"/>
  <c r="U12" i="8"/>
  <c r="G41" i="9"/>
  <c r="G22" i="9"/>
  <c r="U22" i="8" s="1"/>
  <c r="BC24" i="6"/>
  <c r="BD6" i="7"/>
  <c r="AA3" i="12"/>
  <c r="AB23" i="29" s="1"/>
  <c r="AB27" i="29" s="1"/>
  <c r="AA5" i="12"/>
  <c r="AJ6" i="7"/>
  <c r="AJ7" i="7" s="1"/>
  <c r="AI15" i="7"/>
  <c r="AI16" i="7" s="1"/>
  <c r="BD16" i="7" s="1"/>
  <c r="AJ15" i="6"/>
  <c r="AJ16" i="6" s="1"/>
  <c r="I91" i="6"/>
  <c r="AD61" i="6"/>
  <c r="H69" i="6" s="1"/>
  <c r="BC51" i="6"/>
  <c r="BC49" i="6"/>
  <c r="AJ7" i="6"/>
  <c r="AK3" i="7"/>
  <c r="AL3" i="6"/>
  <c r="AL5" i="6"/>
  <c r="AK5" i="7"/>
  <c r="AE33" i="3"/>
  <c r="AE34" i="3" s="1"/>
  <c r="AK6" i="6"/>
  <c r="AK7" i="6" s="1"/>
  <c r="Y17" i="29"/>
  <c r="Y19" i="29" s="1"/>
  <c r="AL4" i="6"/>
  <c r="AK4" i="7"/>
  <c r="AJ9" i="7"/>
  <c r="AJ15" i="7" s="1"/>
  <c r="AK9" i="6"/>
  <c r="AK15" i="6" s="1"/>
  <c r="AK16" i="6" s="1"/>
  <c r="AM11" i="6"/>
  <c r="BE11" i="6" s="1"/>
  <c r="AL11" i="7"/>
  <c r="AK14" i="7"/>
  <c r="AL14" i="6"/>
  <c r="AL12" i="6"/>
  <c r="AK12" i="7"/>
  <c r="AK10" i="7"/>
  <c r="AL10" i="6"/>
  <c r="Z13" i="29"/>
  <c r="Z17" i="29" s="1"/>
  <c r="Z19" i="29" s="1"/>
  <c r="Z23" i="29"/>
  <c r="AM26" i="29"/>
  <c r="I35" i="12"/>
  <c r="AH25" i="29"/>
  <c r="I43" i="29" s="1"/>
  <c r="AM2" i="6"/>
  <c r="AD53" i="7"/>
  <c r="Z3" i="12"/>
  <c r="AG2" i="12"/>
  <c r="AD15" i="12"/>
  <c r="AI27" i="3"/>
  <c r="AH26" i="3"/>
  <c r="AH12" i="12" s="1"/>
  <c r="AI25" i="29" s="1"/>
  <c r="AD51" i="7"/>
  <c r="AF23" i="7"/>
  <c r="AG22" i="7"/>
  <c r="AH22" i="6"/>
  <c r="AF24" i="6"/>
  <c r="AF49" i="6"/>
  <c r="AF56" i="6" s="1"/>
  <c r="E37" i="11"/>
  <c r="F36" i="11"/>
  <c r="L34" i="11"/>
  <c r="AG21" i="7"/>
  <c r="AH21" i="6"/>
  <c r="AE65" i="6"/>
  <c r="H73" i="6" s="1"/>
  <c r="H45" i="9" s="1"/>
  <c r="AE64" i="6"/>
  <c r="H72" i="6" s="1"/>
  <c r="H44" i="9" s="1"/>
  <c r="AE63" i="6"/>
  <c r="H71" i="6" s="1"/>
  <c r="H43" i="9" s="1"/>
  <c r="AE53" i="6"/>
  <c r="AE52" i="6"/>
  <c r="G26" i="12"/>
  <c r="AD52" i="6"/>
  <c r="D18" i="11"/>
  <c r="J16" i="11"/>
  <c r="S4" i="10" s="1"/>
  <c r="AG20" i="7"/>
  <c r="AH20" i="6"/>
  <c r="AG23" i="6"/>
  <c r="V6" i="13"/>
  <c r="AE24" i="7"/>
  <c r="AE51" i="7" s="1"/>
  <c r="AE62" i="7" s="1"/>
  <c r="AE49" i="7"/>
  <c r="AE50" i="7" l="1"/>
  <c r="BC50" i="7" s="1"/>
  <c r="AE65" i="7"/>
  <c r="H73" i="7" s="1"/>
  <c r="AE64" i="7"/>
  <c r="AE66" i="7"/>
  <c r="H74" i="7" s="1"/>
  <c r="BE2" i="6"/>
  <c r="AN2" i="6"/>
  <c r="AB13" i="29"/>
  <c r="AB17" i="29" s="1"/>
  <c r="AB19" i="29" s="1"/>
  <c r="AA21" i="12"/>
  <c r="AA14" i="12" s="1"/>
  <c r="AE56" i="7"/>
  <c r="BC56" i="7" s="1"/>
  <c r="AE58" i="6"/>
  <c r="BC56" i="6"/>
  <c r="AF56" i="7"/>
  <c r="AF58" i="6"/>
  <c r="AG23" i="7"/>
  <c r="BD15" i="7"/>
  <c r="AJ49" i="7"/>
  <c r="S7" i="13"/>
  <c r="AL6" i="6"/>
  <c r="AL7" i="6" s="1"/>
  <c r="AE60" i="6"/>
  <c r="H68" i="6" s="1"/>
  <c r="H74" i="6" s="1"/>
  <c r="BC53" i="6"/>
  <c r="H15" i="9" s="1"/>
  <c r="H46" i="9" s="1"/>
  <c r="AD54" i="6"/>
  <c r="BC52" i="6"/>
  <c r="AF36" i="3"/>
  <c r="AF35" i="3" s="1"/>
  <c r="AF33" i="3"/>
  <c r="AF34" i="3" s="1"/>
  <c r="AG36" i="3" s="1"/>
  <c r="AG35" i="3" s="1"/>
  <c r="AG15" i="12" s="1"/>
  <c r="AK6" i="7"/>
  <c r="AK7" i="7" s="1"/>
  <c r="AM5" i="6"/>
  <c r="BE5" i="6" s="1"/>
  <c r="AL5" i="7"/>
  <c r="AL3" i="7"/>
  <c r="AM3" i="6"/>
  <c r="AM2" i="7"/>
  <c r="G37" i="29"/>
  <c r="Z27" i="29"/>
  <c r="Z28" i="29" s="1"/>
  <c r="G41" i="29"/>
  <c r="G45" i="29" s="1"/>
  <c r="G33" i="29"/>
  <c r="Y28" i="29"/>
  <c r="AM4" i="6"/>
  <c r="BE4" i="6" s="1"/>
  <c r="AL4" i="7"/>
  <c r="AK9" i="7"/>
  <c r="AK15" i="7" s="1"/>
  <c r="AK16" i="7" s="1"/>
  <c r="AL9" i="6"/>
  <c r="G28" i="12"/>
  <c r="G41" i="12" s="1"/>
  <c r="AM11" i="7"/>
  <c r="BE11" i="7" s="1"/>
  <c r="AN11" i="6"/>
  <c r="AB28" i="29"/>
  <c r="AL14" i="7"/>
  <c r="AM14" i="6"/>
  <c r="BE14" i="6" s="1"/>
  <c r="AM12" i="6"/>
  <c r="BE12" i="6" s="1"/>
  <c r="AL12" i="7"/>
  <c r="AA13" i="29"/>
  <c r="AA23" i="29"/>
  <c r="AL10" i="7"/>
  <c r="AM10" i="6"/>
  <c r="BE10" i="6" s="1"/>
  <c r="AJ16" i="7"/>
  <c r="AJ51" i="7" s="1"/>
  <c r="I25" i="12"/>
  <c r="I24" i="8" s="1"/>
  <c r="AH22" i="29"/>
  <c r="I40" i="29" s="1"/>
  <c r="AN26" i="29"/>
  <c r="Y18" i="12"/>
  <c r="AE54" i="6"/>
  <c r="BC24" i="7"/>
  <c r="AH2" i="12"/>
  <c r="AI22" i="29" s="1"/>
  <c r="H72" i="7"/>
  <c r="AE53" i="7"/>
  <c r="AE61" i="7" s="1"/>
  <c r="AE52" i="7"/>
  <c r="AG24" i="6"/>
  <c r="AG51" i="6" s="1"/>
  <c r="AG61" i="6" s="1"/>
  <c r="AG49" i="6"/>
  <c r="AG56" i="6" s="1"/>
  <c r="K16" i="11"/>
  <c r="S5" i="10" s="1"/>
  <c r="B19" i="11"/>
  <c r="H14" i="9"/>
  <c r="AF51" i="6"/>
  <c r="AH22" i="7"/>
  <c r="AI22" i="6"/>
  <c r="BD22" i="6" s="1"/>
  <c r="AF24" i="7"/>
  <c r="AF49" i="7"/>
  <c r="AD62" i="7"/>
  <c r="H70" i="7" s="1"/>
  <c r="H43" i="12" s="1"/>
  <c r="BC51" i="7"/>
  <c r="H14" i="8" s="1"/>
  <c r="AD52" i="7"/>
  <c r="AI20" i="6"/>
  <c r="BD20" i="6" s="1"/>
  <c r="AH20" i="7"/>
  <c r="AH23" i="6"/>
  <c r="AH21" i="7"/>
  <c r="AI21" i="6"/>
  <c r="BD21" i="6" s="1"/>
  <c r="E38" i="11"/>
  <c r="G36" i="11" s="1"/>
  <c r="AD61" i="7"/>
  <c r="AG24" i="7"/>
  <c r="AG51" i="7" s="1"/>
  <c r="AG62" i="7" s="1"/>
  <c r="AG49" i="7"/>
  <c r="AF65" i="6"/>
  <c r="AF64" i="6"/>
  <c r="AF63" i="6"/>
  <c r="AF53" i="6"/>
  <c r="AI26" i="3"/>
  <c r="AI12" i="12" s="1"/>
  <c r="AJ25" i="29" s="1"/>
  <c r="AJ27" i="3"/>
  <c r="BC49" i="7"/>
  <c r="AD63" i="7"/>
  <c r="AJ64" i="7" l="1"/>
  <c r="AJ66" i="7"/>
  <c r="AJ65" i="7"/>
  <c r="AA18" i="12"/>
  <c r="AA4" i="13" s="1"/>
  <c r="AA6" i="13" s="1"/>
  <c r="AG66" i="7"/>
  <c r="AG65" i="7"/>
  <c r="AG64" i="7"/>
  <c r="AF66" i="7"/>
  <c r="AF65" i="7"/>
  <c r="AF64" i="7"/>
  <c r="AJ53" i="7"/>
  <c r="AG56" i="7"/>
  <c r="AG58" i="6"/>
  <c r="AG58" i="7" s="1"/>
  <c r="AE58" i="7"/>
  <c r="BC58" i="7" s="1"/>
  <c r="H10" i="8" s="1"/>
  <c r="BC58" i="6"/>
  <c r="H10" i="9" s="1"/>
  <c r="AF58" i="7"/>
  <c r="AJ52" i="7"/>
  <c r="AH23" i="7"/>
  <c r="AH49" i="7" s="1"/>
  <c r="S11" i="13"/>
  <c r="S7" i="10"/>
  <c r="S6" i="10"/>
  <c r="AE55" i="6"/>
  <c r="BC55" i="6" s="1"/>
  <c r="AL15" i="6"/>
  <c r="AM6" i="6"/>
  <c r="AM7" i="6" s="1"/>
  <c r="BE7" i="6" s="1"/>
  <c r="AN2" i="7"/>
  <c r="BC54" i="6"/>
  <c r="I40" i="3"/>
  <c r="I7" i="9" s="1"/>
  <c r="AG33" i="3"/>
  <c r="AG34" i="3" s="1"/>
  <c r="AH36" i="3" s="1"/>
  <c r="AH35" i="3" s="1"/>
  <c r="AL6" i="7"/>
  <c r="AL7" i="7" s="1"/>
  <c r="AF60" i="6"/>
  <c r="AF61" i="6"/>
  <c r="BE3" i="6"/>
  <c r="AM5" i="7"/>
  <c r="BE5" i="7" s="1"/>
  <c r="AN5" i="6"/>
  <c r="AM3" i="7"/>
  <c r="BE3" i="7" s="1"/>
  <c r="AN3" i="6"/>
  <c r="G46" i="29"/>
  <c r="AA27" i="29"/>
  <c r="AA17" i="29"/>
  <c r="AM4" i="7"/>
  <c r="BE4" i="7" s="1"/>
  <c r="AN4" i="6"/>
  <c r="AK51" i="7"/>
  <c r="AK62" i="7" s="1"/>
  <c r="AL9" i="7"/>
  <c r="AL15" i="7" s="1"/>
  <c r="AL16" i="7" s="1"/>
  <c r="AM9" i="6"/>
  <c r="AM15" i="6" s="1"/>
  <c r="AM16" i="6" s="1"/>
  <c r="AN11" i="7"/>
  <c r="AO11" i="6"/>
  <c r="AK49" i="7"/>
  <c r="AN14" i="6"/>
  <c r="AM14" i="7"/>
  <c r="BE14" i="7" s="1"/>
  <c r="AM12" i="7"/>
  <c r="BE12" i="7" s="1"/>
  <c r="AN12" i="6"/>
  <c r="AN10" i="6"/>
  <c r="AM10" i="7"/>
  <c r="K40" i="12"/>
  <c r="AO26" i="29"/>
  <c r="Y4" i="13"/>
  <c r="H69" i="7"/>
  <c r="H75" i="7" s="1"/>
  <c r="Y19" i="12"/>
  <c r="AF52" i="6"/>
  <c r="AJ62" i="7"/>
  <c r="BE2" i="7"/>
  <c r="AJ61" i="7"/>
  <c r="AO2" i="6"/>
  <c r="AO2" i="7" s="1"/>
  <c r="BC53" i="7"/>
  <c r="H15" i="8" s="1"/>
  <c r="V15" i="8" s="1"/>
  <c r="AE63" i="7"/>
  <c r="AH24" i="7"/>
  <c r="AH51" i="7" s="1"/>
  <c r="AH62" i="7" s="1"/>
  <c r="AI20" i="7"/>
  <c r="BD20" i="7" s="1"/>
  <c r="AJ20" i="6"/>
  <c r="AI23" i="6"/>
  <c r="BD23" i="6" s="1"/>
  <c r="AF51" i="7"/>
  <c r="AF52" i="7" s="1"/>
  <c r="AG52" i="6"/>
  <c r="AG53" i="6"/>
  <c r="AG60" i="6" s="1"/>
  <c r="AG65" i="6"/>
  <c r="AG64" i="6"/>
  <c r="AG63" i="6"/>
  <c r="AI2" i="12"/>
  <c r="AJ22" i="29" s="1"/>
  <c r="AF15" i="12"/>
  <c r="I38" i="12" s="1"/>
  <c r="I39" i="3"/>
  <c r="I7" i="8" s="1"/>
  <c r="I6" i="8" s="1"/>
  <c r="AG53" i="7"/>
  <c r="AG61" i="7" s="1"/>
  <c r="AG52" i="7"/>
  <c r="AI21" i="7"/>
  <c r="BD21" i="7" s="1"/>
  <c r="AJ21" i="6"/>
  <c r="C19" i="11"/>
  <c r="G7" i="13"/>
  <c r="E39" i="11"/>
  <c r="L37" i="11" s="1"/>
  <c r="AI22" i="7"/>
  <c r="BD22" i="7" s="1"/>
  <c r="AJ22" i="6"/>
  <c r="AJ26" i="3"/>
  <c r="AJ12" i="12" s="1"/>
  <c r="AK25" i="29" s="1"/>
  <c r="AK27" i="3"/>
  <c r="Z18" i="12"/>
  <c r="AH24" i="6"/>
  <c r="AH49" i="6"/>
  <c r="AH56" i="6" s="1"/>
  <c r="AD54" i="7"/>
  <c r="AB5" i="12" s="1"/>
  <c r="AB21" i="12" s="1"/>
  <c r="AB14" i="12" s="1"/>
  <c r="BC52" i="7"/>
  <c r="AF53" i="7"/>
  <c r="H42" i="9"/>
  <c r="V14" i="8"/>
  <c r="AE54" i="7"/>
  <c r="I6" i="9" l="1"/>
  <c r="I34" i="9" s="1"/>
  <c r="I33" i="9" s="1"/>
  <c r="AH64" i="7"/>
  <c r="AH66" i="7"/>
  <c r="AH65" i="7"/>
  <c r="AJ54" i="7"/>
  <c r="AH5" i="12" s="1"/>
  <c r="AH21" i="12" s="1"/>
  <c r="AH14" i="12" s="1"/>
  <c r="AK65" i="7"/>
  <c r="AK64" i="7"/>
  <c r="AK66" i="7"/>
  <c r="AJ63" i="7"/>
  <c r="AH56" i="7"/>
  <c r="AH58" i="6"/>
  <c r="H11" i="8"/>
  <c r="H12" i="8"/>
  <c r="H22" i="8" s="1"/>
  <c r="H28" i="8" s="1"/>
  <c r="H11" i="9"/>
  <c r="H40" i="9" s="1"/>
  <c r="H39" i="9"/>
  <c r="V10" i="8"/>
  <c r="H12" i="9"/>
  <c r="BE6" i="6"/>
  <c r="AC3" i="12"/>
  <c r="AD23" i="29" s="1"/>
  <c r="AD27" i="29" s="1"/>
  <c r="AC5" i="12"/>
  <c r="Y6" i="13"/>
  <c r="G22" i="13" s="1"/>
  <c r="G20" i="13"/>
  <c r="G6" i="14" s="1"/>
  <c r="BE9" i="6"/>
  <c r="AL16" i="6"/>
  <c r="BE16" i="6" s="1"/>
  <c r="BE15" i="6"/>
  <c r="AF54" i="6"/>
  <c r="AN3" i="7"/>
  <c r="AO3" i="6"/>
  <c r="J82" i="6"/>
  <c r="AN5" i="7"/>
  <c r="AO5" i="6"/>
  <c r="AN6" i="6"/>
  <c r="AM6" i="7"/>
  <c r="AM7" i="7" s="1"/>
  <c r="AH33" i="3"/>
  <c r="AH34" i="3" s="1"/>
  <c r="G47" i="29"/>
  <c r="AA19" i="29"/>
  <c r="AA28" i="29"/>
  <c r="W7" i="8"/>
  <c r="AN4" i="7"/>
  <c r="AO4" i="6"/>
  <c r="AL51" i="7"/>
  <c r="AL62" i="7" s="1"/>
  <c r="AM9" i="7"/>
  <c r="AM15" i="7" s="1"/>
  <c r="AN9" i="6"/>
  <c r="J90" i="6"/>
  <c r="J91" i="6" s="1"/>
  <c r="AL49" i="7"/>
  <c r="AK53" i="7"/>
  <c r="AK61" i="7" s="1"/>
  <c r="AO11" i="7"/>
  <c r="AP11" i="6"/>
  <c r="AK52" i="7"/>
  <c r="AN14" i="7"/>
  <c r="AO14" i="6"/>
  <c r="AN12" i="7"/>
  <c r="AO12" i="6"/>
  <c r="BE10" i="7"/>
  <c r="AN10" i="7"/>
  <c r="AO10" i="6"/>
  <c r="AP26" i="29"/>
  <c r="K44" i="29" s="1"/>
  <c r="H29" i="8"/>
  <c r="AP2" i="6"/>
  <c r="AP2" i="7" s="1"/>
  <c r="AH3" i="12"/>
  <c r="AG54" i="7"/>
  <c r="AH65" i="6"/>
  <c r="AH64" i="6"/>
  <c r="AH63" i="6"/>
  <c r="AH53" i="6"/>
  <c r="AH60" i="6" s="1"/>
  <c r="D19" i="11"/>
  <c r="AJ2" i="12"/>
  <c r="AK22" i="29" s="1"/>
  <c r="AI23" i="7"/>
  <c r="AH53" i="7"/>
  <c r="AH61" i="7" s="1"/>
  <c r="AH52" i="7"/>
  <c r="AF61" i="7"/>
  <c r="AL27" i="3"/>
  <c r="AK26" i="3"/>
  <c r="AK12" i="12" s="1"/>
  <c r="AG54" i="6"/>
  <c r="AI24" i="6"/>
  <c r="AI51" i="6" s="1"/>
  <c r="AI61" i="6" s="1"/>
  <c r="AI49" i="6"/>
  <c r="G11" i="13"/>
  <c r="AH51" i="6"/>
  <c r="E40" i="11"/>
  <c r="AF54" i="7"/>
  <c r="AD5" i="12" s="1"/>
  <c r="AD21" i="12" s="1"/>
  <c r="AD14" i="12" s="1"/>
  <c r="AF63" i="7"/>
  <c r="AB3" i="12"/>
  <c r="AE55" i="7"/>
  <c r="BC55" i="7" s="1"/>
  <c r="BC54" i="7"/>
  <c r="Z4" i="13"/>
  <c r="AK22" i="6"/>
  <c r="AJ22" i="7"/>
  <c r="G8" i="13"/>
  <c r="AJ21" i="7"/>
  <c r="AK21" i="6"/>
  <c r="AG63" i="7"/>
  <c r="AF62" i="7"/>
  <c r="AJ20" i="7"/>
  <c r="AK20" i="6"/>
  <c r="AJ23" i="6"/>
  <c r="W6" i="8" l="1"/>
  <c r="I48" i="12" s="1"/>
  <c r="BE9" i="7"/>
  <c r="AL65" i="7"/>
  <c r="AL64" i="7"/>
  <c r="AL66" i="7"/>
  <c r="AD13" i="29"/>
  <c r="AD17" i="29" s="1"/>
  <c r="AD19" i="29" s="1"/>
  <c r="AC21" i="12"/>
  <c r="AC14" i="12" s="1"/>
  <c r="H37" i="12" s="1"/>
  <c r="V11" i="8"/>
  <c r="AH58" i="7"/>
  <c r="BD49" i="6"/>
  <c r="AI56" i="6"/>
  <c r="H22" i="9"/>
  <c r="V22" i="8" s="1"/>
  <c r="H41" i="9"/>
  <c r="V12" i="8"/>
  <c r="AO6" i="6"/>
  <c r="AO7" i="6" s="1"/>
  <c r="BD24" i="6"/>
  <c r="AE3" i="12"/>
  <c r="AE5" i="12"/>
  <c r="AN15" i="6"/>
  <c r="AH61" i="6"/>
  <c r="I69" i="6" s="1"/>
  <c r="I14" i="9" s="1"/>
  <c r="BD51" i="6"/>
  <c r="BE6" i="7"/>
  <c r="AN7" i="6"/>
  <c r="AI36" i="3"/>
  <c r="AI35" i="3" s="1"/>
  <c r="AI15" i="12" s="1"/>
  <c r="AI33" i="3"/>
  <c r="AI34" i="3" s="1"/>
  <c r="AP5" i="6"/>
  <c r="AO5" i="7"/>
  <c r="AN6" i="7"/>
  <c r="AN7" i="7" s="1"/>
  <c r="AO3" i="7"/>
  <c r="AP3" i="6"/>
  <c r="AK54" i="7"/>
  <c r="AK63" i="7"/>
  <c r="AL52" i="7"/>
  <c r="AP4" i="6"/>
  <c r="AO4" i="7"/>
  <c r="AL53" i="7"/>
  <c r="AL61" i="7" s="1"/>
  <c r="AN9" i="7"/>
  <c r="AN15" i="7" s="1"/>
  <c r="AO9" i="6"/>
  <c r="AC18" i="12"/>
  <c r="AC4" i="13" s="1"/>
  <c r="AC6" i="13" s="1"/>
  <c r="AQ11" i="6"/>
  <c r="AP11" i="7"/>
  <c r="AD28" i="29"/>
  <c r="AO14" i="7"/>
  <c r="AP14" i="6"/>
  <c r="AO12" i="7"/>
  <c r="AP12" i="6"/>
  <c r="AI13" i="29"/>
  <c r="AI23" i="29"/>
  <c r="AM16" i="7"/>
  <c r="BE16" i="7" s="1"/>
  <c r="BE15" i="7"/>
  <c r="AF23" i="29"/>
  <c r="AF27" i="29" s="1"/>
  <c r="AC13" i="29"/>
  <c r="H33" i="29" s="1"/>
  <c r="AC23" i="29"/>
  <c r="AM49" i="7"/>
  <c r="AO10" i="7"/>
  <c r="AP10" i="6"/>
  <c r="AQ26" i="29"/>
  <c r="J35" i="12"/>
  <c r="AL25" i="29"/>
  <c r="J43" i="29" s="1"/>
  <c r="BE7" i="7"/>
  <c r="AQ2" i="6"/>
  <c r="AH54" i="7"/>
  <c r="E41" i="11"/>
  <c r="G39" i="11" s="1"/>
  <c r="AI65" i="6"/>
  <c r="I73" i="6" s="1"/>
  <c r="I45" i="9" s="1"/>
  <c r="AI64" i="6"/>
  <c r="I72" i="6" s="1"/>
  <c r="I44" i="9" s="1"/>
  <c r="AI63" i="6"/>
  <c r="I71" i="6" s="1"/>
  <c r="I43" i="9" s="1"/>
  <c r="AI53" i="6"/>
  <c r="AI60" i="6" s="1"/>
  <c r="I68" i="6" s="1"/>
  <c r="AI52" i="6"/>
  <c r="AK20" i="7"/>
  <c r="AL20" i="6"/>
  <c r="AK23" i="6"/>
  <c r="G9" i="13"/>
  <c r="G13" i="13"/>
  <c r="AM27" i="3"/>
  <c r="AL26" i="3"/>
  <c r="AL12" i="12" s="1"/>
  <c r="AM25" i="29" s="1"/>
  <c r="AK2" i="12"/>
  <c r="AL22" i="29" s="1"/>
  <c r="J40" i="29" s="1"/>
  <c r="B20" i="11"/>
  <c r="AH52" i="6"/>
  <c r="AI24" i="7"/>
  <c r="AI49" i="7"/>
  <c r="BD23" i="7"/>
  <c r="AK21" i="7"/>
  <c r="AL21" i="6"/>
  <c r="AK22" i="7"/>
  <c r="AL22" i="6"/>
  <c r="AH15" i="12"/>
  <c r="G14" i="13"/>
  <c r="H26" i="12"/>
  <c r="AD3" i="12"/>
  <c r="AJ24" i="6"/>
  <c r="AJ49" i="6"/>
  <c r="AJ56" i="6" s="1"/>
  <c r="Z6" i="13"/>
  <c r="AH63" i="7"/>
  <c r="AI50" i="6"/>
  <c r="BD50" i="6" s="1"/>
  <c r="AM50" i="7" l="1"/>
  <c r="BE50" i="7" s="1"/>
  <c r="AM65" i="7"/>
  <c r="AM64" i="7"/>
  <c r="AM66" i="7"/>
  <c r="AQ2" i="7"/>
  <c r="AR2" i="6"/>
  <c r="AF13" i="29"/>
  <c r="AF17" i="29" s="1"/>
  <c r="AF19" i="29" s="1"/>
  <c r="AE21" i="12"/>
  <c r="AE14" i="12" s="1"/>
  <c r="AI64" i="7"/>
  <c r="AI66" i="7"/>
  <c r="AI65" i="7"/>
  <c r="BF11" i="6"/>
  <c r="AQ11" i="7"/>
  <c r="AR11" i="6"/>
  <c r="AJ56" i="7"/>
  <c r="AJ58" i="6"/>
  <c r="AI58" i="6"/>
  <c r="AI56" i="7"/>
  <c r="BD56" i="7" s="1"/>
  <c r="BD56" i="6"/>
  <c r="AF3" i="12"/>
  <c r="AG23" i="29" s="1"/>
  <c r="AG27" i="29" s="1"/>
  <c r="AF5" i="12"/>
  <c r="AF21" i="12" s="1"/>
  <c r="AF14" i="12" s="1"/>
  <c r="AI3" i="12"/>
  <c r="AI5" i="12"/>
  <c r="AI21" i="12" s="1"/>
  <c r="AI14" i="12" s="1"/>
  <c r="AN16" i="6"/>
  <c r="AO6" i="7"/>
  <c r="AO7" i="7" s="1"/>
  <c r="BF2" i="6"/>
  <c r="AJ36" i="3"/>
  <c r="AJ35" i="3" s="1"/>
  <c r="AJ33" i="3"/>
  <c r="AJ34" i="3" s="1"/>
  <c r="AK36" i="3" s="1"/>
  <c r="AK35" i="3" s="1"/>
  <c r="AK15" i="12" s="1"/>
  <c r="BD53" i="6"/>
  <c r="I15" i="9" s="1"/>
  <c r="I46" i="9" s="1"/>
  <c r="AH54" i="6"/>
  <c r="BD52" i="6"/>
  <c r="AP3" i="7"/>
  <c r="AQ3" i="6"/>
  <c r="AL63" i="7"/>
  <c r="AP6" i="6"/>
  <c r="AQ5" i="6"/>
  <c r="AP5" i="7"/>
  <c r="AL54" i="7"/>
  <c r="AI27" i="29"/>
  <c r="AC27" i="29"/>
  <c r="H41" i="29"/>
  <c r="H45" i="29" s="1"/>
  <c r="AC17" i="29"/>
  <c r="AI17" i="29"/>
  <c r="AM53" i="7"/>
  <c r="AM61" i="7" s="1"/>
  <c r="J69" i="7" s="1"/>
  <c r="AQ4" i="6"/>
  <c r="AP4" i="7"/>
  <c r="BE49" i="7"/>
  <c r="AO9" i="7"/>
  <c r="AO15" i="7" s="1"/>
  <c r="AO16" i="7" s="1"/>
  <c r="AP9" i="6"/>
  <c r="AP15" i="6" s="1"/>
  <c r="AP16" i="6" s="1"/>
  <c r="J72" i="7"/>
  <c r="AO15" i="6"/>
  <c r="AO16" i="6" s="1"/>
  <c r="AF28" i="29"/>
  <c r="BF11" i="7"/>
  <c r="BG11" i="7" s="1"/>
  <c r="J74" i="7"/>
  <c r="AE18" i="12"/>
  <c r="AE4" i="13" s="1"/>
  <c r="AE6" i="13" s="1"/>
  <c r="AP14" i="7"/>
  <c r="AQ14" i="6"/>
  <c r="J73" i="7"/>
  <c r="AQ12" i="6"/>
  <c r="AP12" i="7"/>
  <c r="H28" i="12"/>
  <c r="H41" i="12" s="1"/>
  <c r="AM51" i="7"/>
  <c r="AE13" i="29"/>
  <c r="AE23" i="29"/>
  <c r="AP10" i="7"/>
  <c r="AQ10" i="6"/>
  <c r="AN16" i="7"/>
  <c r="AN49" i="7"/>
  <c r="AR26" i="29"/>
  <c r="I74" i="6"/>
  <c r="AB18" i="12"/>
  <c r="AI51" i="7"/>
  <c r="AI52" i="7" s="1"/>
  <c r="BD24" i="7"/>
  <c r="E42" i="11"/>
  <c r="L40" i="11" s="1"/>
  <c r="AJ65" i="6"/>
  <c r="AJ64" i="6"/>
  <c r="AJ63" i="6"/>
  <c r="AJ53" i="6"/>
  <c r="AH18" i="12"/>
  <c r="AJ51" i="6"/>
  <c r="AL22" i="7"/>
  <c r="AM22" i="6"/>
  <c r="BE22" i="6" s="1"/>
  <c r="G10" i="13"/>
  <c r="AI54" i="6"/>
  <c r="I42" i="9"/>
  <c r="G15" i="13"/>
  <c r="AL2" i="12"/>
  <c r="AM22" i="29" s="1"/>
  <c r="J25" i="12"/>
  <c r="AK24" i="6"/>
  <c r="AK51" i="6" s="1"/>
  <c r="AK61" i="6" s="1"/>
  <c r="AK49" i="6"/>
  <c r="AK56" i="6" s="1"/>
  <c r="AL21" i="7"/>
  <c r="AM21" i="6"/>
  <c r="BE21" i="6" s="1"/>
  <c r="I74" i="7"/>
  <c r="AI53" i="7"/>
  <c r="I73" i="7"/>
  <c r="BD49" i="7"/>
  <c r="AI50" i="7"/>
  <c r="BD50" i="7" s="1"/>
  <c r="C20" i="11"/>
  <c r="AM26" i="3"/>
  <c r="AM12" i="12" s="1"/>
  <c r="AN25" i="29" s="1"/>
  <c r="AN27" i="3"/>
  <c r="AM20" i="6"/>
  <c r="BE20" i="6" s="1"/>
  <c r="AL20" i="7"/>
  <c r="AL23" i="6"/>
  <c r="AR11" i="7" l="1"/>
  <c r="AS11" i="6"/>
  <c r="AR2" i="7"/>
  <c r="AS2" i="6"/>
  <c r="BF4" i="6"/>
  <c r="AQ4" i="7"/>
  <c r="AR4" i="6"/>
  <c r="AN66" i="7"/>
  <c r="AN65" i="7"/>
  <c r="AN64" i="7"/>
  <c r="BF5" i="6"/>
  <c r="AQ5" i="7"/>
  <c r="AR5" i="6"/>
  <c r="BF12" i="6"/>
  <c r="AQ12" i="7"/>
  <c r="AR12" i="6"/>
  <c r="BF10" i="6"/>
  <c r="AQ10" i="7"/>
  <c r="AR10" i="6"/>
  <c r="BF14" i="6"/>
  <c r="AQ14" i="7"/>
  <c r="BF14" i="7" s="1"/>
  <c r="BG14" i="7" s="1"/>
  <c r="AR14" i="6"/>
  <c r="BF3" i="6"/>
  <c r="AQ3" i="7"/>
  <c r="AR3" i="6"/>
  <c r="AK58" i="6"/>
  <c r="AK58" i="7" s="1"/>
  <c r="AK56" i="7"/>
  <c r="AJ58" i="7"/>
  <c r="AI58" i="7"/>
  <c r="BD58" i="7" s="1"/>
  <c r="I10" i="8" s="1"/>
  <c r="BD58" i="6"/>
  <c r="I10" i="9" s="1"/>
  <c r="AJ13" i="29"/>
  <c r="AJ17" i="29" s="1"/>
  <c r="AJ19" i="29" s="1"/>
  <c r="AI18" i="12"/>
  <c r="AI4" i="13" s="1"/>
  <c r="AI6" i="13" s="1"/>
  <c r="AJ23" i="29"/>
  <c r="AJ27" i="29" s="1"/>
  <c r="AJ3" i="12"/>
  <c r="AK23" i="29" s="1"/>
  <c r="AJ5" i="12"/>
  <c r="G12" i="13"/>
  <c r="AI55" i="6"/>
  <c r="BD55" i="6" s="1"/>
  <c r="AK33" i="3"/>
  <c r="AK34" i="3" s="1"/>
  <c r="AL36" i="3" s="1"/>
  <c r="AL35" i="3" s="1"/>
  <c r="AJ61" i="6"/>
  <c r="BD54" i="6"/>
  <c r="AJ60" i="6"/>
  <c r="AI28" i="29"/>
  <c r="AP7" i="6"/>
  <c r="BF5" i="7"/>
  <c r="BG5" i="7" s="1"/>
  <c r="BF3" i="7"/>
  <c r="BG3" i="7" s="1"/>
  <c r="AQ6" i="6"/>
  <c r="AO49" i="7"/>
  <c r="AO51" i="7"/>
  <c r="AO62" i="7" s="1"/>
  <c r="BE53" i="7"/>
  <c r="J15" i="8" s="1"/>
  <c r="AE27" i="29"/>
  <c r="AI19" i="29"/>
  <c r="AC19" i="29"/>
  <c r="H37" i="29"/>
  <c r="AE17" i="29"/>
  <c r="AC28" i="29"/>
  <c r="AP6" i="7"/>
  <c r="AP7" i="7" s="1"/>
  <c r="AP9" i="7"/>
  <c r="AP15" i="7" s="1"/>
  <c r="AP16" i="7" s="1"/>
  <c r="AQ9" i="6"/>
  <c r="AM63" i="7"/>
  <c r="AN53" i="7"/>
  <c r="AN61" i="7" s="1"/>
  <c r="J70" i="7"/>
  <c r="J75" i="7" s="1"/>
  <c r="AM62" i="7"/>
  <c r="AM52" i="7"/>
  <c r="BE51" i="7"/>
  <c r="J14" i="8" s="1"/>
  <c r="BF12" i="7"/>
  <c r="BG12" i="7" s="1"/>
  <c r="AD18" i="12"/>
  <c r="AD4" i="13" s="1"/>
  <c r="AN51" i="7"/>
  <c r="AN52" i="7" s="1"/>
  <c r="AT26" i="29"/>
  <c r="AS26" i="29"/>
  <c r="AF18" i="12"/>
  <c r="AF4" i="13" s="1"/>
  <c r="AF6" i="13" s="1"/>
  <c r="AG13" i="29"/>
  <c r="AG17" i="29" s="1"/>
  <c r="AC19" i="12"/>
  <c r="AB4" i="13"/>
  <c r="J40" i="3"/>
  <c r="J7" i="9" s="1"/>
  <c r="BF2" i="7"/>
  <c r="BG2" i="7" s="1"/>
  <c r="AI54" i="7"/>
  <c r="AG5" i="12" s="1"/>
  <c r="AG21" i="12" s="1"/>
  <c r="AG14" i="12" s="1"/>
  <c r="I37" i="12" s="1"/>
  <c r="BD52" i="7"/>
  <c r="AM21" i="7"/>
  <c r="BE21" i="7" s="1"/>
  <c r="AN21" i="6"/>
  <c r="J24" i="8"/>
  <c r="AK65" i="6"/>
  <c r="AK64" i="6"/>
  <c r="AK63" i="6"/>
  <c r="AK52" i="6"/>
  <c r="AK53" i="6"/>
  <c r="AK60" i="6" s="1"/>
  <c r="AM2" i="12"/>
  <c r="AN22" i="29" s="1"/>
  <c r="AH4" i="13"/>
  <c r="AI61" i="7"/>
  <c r="I69" i="7" s="1"/>
  <c r="BD53" i="7"/>
  <c r="I15" i="8" s="1"/>
  <c r="W15" i="8" s="1"/>
  <c r="AL24" i="6"/>
  <c r="AL51" i="6" s="1"/>
  <c r="AL61" i="6" s="1"/>
  <c r="AL49" i="6"/>
  <c r="AL56" i="6" s="1"/>
  <c r="AJ15" i="12"/>
  <c r="J39" i="3"/>
  <c r="J7" i="8" s="1"/>
  <c r="J6" i="8" s="1"/>
  <c r="AI62" i="7"/>
  <c r="I70" i="7" s="1"/>
  <c r="I43" i="12" s="1"/>
  <c r="BD51" i="7"/>
  <c r="I14" i="8" s="1"/>
  <c r="AM20" i="7"/>
  <c r="BE20" i="7" s="1"/>
  <c r="AN20" i="6"/>
  <c r="AM23" i="6"/>
  <c r="BE23" i="6" s="1"/>
  <c r="AN26" i="3"/>
  <c r="AN12" i="12" s="1"/>
  <c r="AO25" i="29" s="1"/>
  <c r="AO27" i="3"/>
  <c r="AI63" i="7"/>
  <c r="I72" i="7"/>
  <c r="D20" i="11"/>
  <c r="AM22" i="7"/>
  <c r="BE22" i="7" s="1"/>
  <c r="AN22" i="6"/>
  <c r="AJ52" i="6"/>
  <c r="E43" i="11"/>
  <c r="AR5" i="7" l="1"/>
  <c r="AS5" i="6"/>
  <c r="AT2" i="6"/>
  <c r="AS2" i="7"/>
  <c r="AK13" i="29"/>
  <c r="AJ21" i="12"/>
  <c r="AJ14" i="12" s="1"/>
  <c r="J37" i="12" s="1"/>
  <c r="AR10" i="7"/>
  <c r="AS10" i="6"/>
  <c r="BF9" i="6"/>
  <c r="AQ9" i="7"/>
  <c r="AR9" i="6"/>
  <c r="AR12" i="7"/>
  <c r="AS12" i="6"/>
  <c r="AO53" i="7"/>
  <c r="AO61" i="7" s="1"/>
  <c r="AO66" i="7"/>
  <c r="AO65" i="7"/>
  <c r="AO64" i="7"/>
  <c r="AR4" i="7"/>
  <c r="AS4" i="6"/>
  <c r="AR3" i="7"/>
  <c r="AS3" i="6"/>
  <c r="AS11" i="7"/>
  <c r="AT11" i="6"/>
  <c r="BF6" i="6"/>
  <c r="AQ6" i="7"/>
  <c r="AR6" i="6"/>
  <c r="AS14" i="6"/>
  <c r="AR14" i="7"/>
  <c r="AL58" i="6"/>
  <c r="AL58" i="7" s="1"/>
  <c r="AL56" i="7"/>
  <c r="AJ28" i="29"/>
  <c r="I11" i="8"/>
  <c r="I12" i="8"/>
  <c r="I22" i="8" s="1"/>
  <c r="I28" i="8" s="1"/>
  <c r="I11" i="9"/>
  <c r="I39" i="9"/>
  <c r="I12" i="9"/>
  <c r="W10" i="8"/>
  <c r="AB6" i="13"/>
  <c r="H22" i="13" s="1"/>
  <c r="H20" i="13"/>
  <c r="H6" i="14" s="1"/>
  <c r="AQ7" i="6"/>
  <c r="AL33" i="3"/>
  <c r="AL34" i="3" s="1"/>
  <c r="AM36" i="3" s="1"/>
  <c r="AM35" i="3" s="1"/>
  <c r="AM15" i="12" s="1"/>
  <c r="AE28" i="29"/>
  <c r="AJ54" i="6"/>
  <c r="AO52" i="7"/>
  <c r="AO54" i="7" s="1"/>
  <c r="AN63" i="7"/>
  <c r="L40" i="12"/>
  <c r="K82" i="6"/>
  <c r="L82" i="6" s="1"/>
  <c r="AQ15" i="6"/>
  <c r="J29" i="8"/>
  <c r="H46" i="29"/>
  <c r="AP51" i="7"/>
  <c r="AP62" i="7" s="1"/>
  <c r="AE19" i="29"/>
  <c r="L44" i="29"/>
  <c r="AK27" i="29"/>
  <c r="AK17" i="29"/>
  <c r="AP49" i="7"/>
  <c r="J6" i="9"/>
  <c r="J34" i="9" s="1"/>
  <c r="J33" i="9" s="1"/>
  <c r="BF4" i="7"/>
  <c r="BG4" i="7" s="1"/>
  <c r="BF9" i="7"/>
  <c r="BG9" i="7" s="1"/>
  <c r="AN62" i="7"/>
  <c r="AM54" i="7"/>
  <c r="AK5" i="12" s="1"/>
  <c r="AK21" i="12" s="1"/>
  <c r="AK14" i="12" s="1"/>
  <c r="BE52" i="7"/>
  <c r="BF10" i="7"/>
  <c r="BG10" i="7" s="1"/>
  <c r="AG19" i="29"/>
  <c r="AG28" i="29"/>
  <c r="AN54" i="7"/>
  <c r="AL5" i="12" s="1"/>
  <c r="AL21" i="12" s="1"/>
  <c r="AL14" i="12" s="1"/>
  <c r="X7" i="8"/>
  <c r="I29" i="8"/>
  <c r="W14" i="8"/>
  <c r="AD6" i="13"/>
  <c r="AG3" i="12"/>
  <c r="BD54" i="7"/>
  <c r="AI55" i="7"/>
  <c r="BD55" i="7" s="1"/>
  <c r="E44" i="11"/>
  <c r="G42" i="11" s="1"/>
  <c r="AM24" i="6"/>
  <c r="AM51" i="6" s="1"/>
  <c r="AM61" i="6" s="1"/>
  <c r="J69" i="6" s="1"/>
  <c r="AM49" i="6"/>
  <c r="J38" i="12"/>
  <c r="I75" i="7"/>
  <c r="AH6" i="13"/>
  <c r="AK54" i="6"/>
  <c r="AN21" i="7"/>
  <c r="AO21" i="6"/>
  <c r="AO22" i="6"/>
  <c r="AN22" i="7"/>
  <c r="H18" i="11"/>
  <c r="B21" i="11"/>
  <c r="AP27" i="3"/>
  <c r="AO26" i="3"/>
  <c r="AO12" i="12" s="1"/>
  <c r="AN20" i="7"/>
  <c r="AO20" i="6"/>
  <c r="AN23" i="6"/>
  <c r="AL65" i="6"/>
  <c r="AL64" i="6"/>
  <c r="AL63" i="6"/>
  <c r="AL52" i="6"/>
  <c r="AL53" i="6"/>
  <c r="AL60" i="6" s="1"/>
  <c r="AN2" i="12"/>
  <c r="AO22" i="29" s="1"/>
  <c r="BF7" i="6" l="1"/>
  <c r="AQ7" i="7"/>
  <c r="BF7" i="7" s="1"/>
  <c r="BG7" i="7" s="1"/>
  <c r="AR7" i="6"/>
  <c r="AT11" i="7"/>
  <c r="AU11" i="6"/>
  <c r="AU11" i="7" s="1"/>
  <c r="AR9" i="7"/>
  <c r="AS9" i="6"/>
  <c r="AU2" i="6"/>
  <c r="AT2" i="7"/>
  <c r="AT3" i="6"/>
  <c r="AS3" i="7"/>
  <c r="AS5" i="7"/>
  <c r="AT5" i="6"/>
  <c r="AS14" i="7"/>
  <c r="AT14" i="6"/>
  <c r="AT10" i="6"/>
  <c r="AS10" i="7"/>
  <c r="AJ18" i="12"/>
  <c r="AJ4" i="13" s="1"/>
  <c r="AT12" i="6"/>
  <c r="AS12" i="7"/>
  <c r="AP64" i="7"/>
  <c r="AP66" i="7"/>
  <c r="AP65" i="7"/>
  <c r="AQ15" i="7"/>
  <c r="AR15" i="6"/>
  <c r="AR6" i="7"/>
  <c r="AS6" i="6"/>
  <c r="AS4" i="7"/>
  <c r="AT4" i="6"/>
  <c r="BG11" i="6"/>
  <c r="W12" i="8"/>
  <c r="I41" i="9"/>
  <c r="I22" i="9"/>
  <c r="W22" i="8" s="1"/>
  <c r="I40" i="9"/>
  <c r="W11" i="8"/>
  <c r="BE49" i="6"/>
  <c r="AM56" i="6"/>
  <c r="BE24" i="6"/>
  <c r="AM3" i="12"/>
  <c r="AN23" i="29" s="1"/>
  <c r="AN27" i="29" s="1"/>
  <c r="AM5" i="12"/>
  <c r="AQ16" i="6"/>
  <c r="BF15" i="6"/>
  <c r="BE51" i="6"/>
  <c r="BF6" i="7"/>
  <c r="BG6" i="7" s="1"/>
  <c r="AK28" i="29"/>
  <c r="AO63" i="7"/>
  <c r="X6" i="8"/>
  <c r="J48" i="12" s="1"/>
  <c r="AM33" i="3"/>
  <c r="AM34" i="3" s="1"/>
  <c r="AN36" i="3" s="1"/>
  <c r="AN35" i="3" s="1"/>
  <c r="AN15" i="12" s="1"/>
  <c r="K90" i="6"/>
  <c r="L90" i="6" s="1"/>
  <c r="AP52" i="7"/>
  <c r="AP53" i="7"/>
  <c r="AP61" i="7" s="1"/>
  <c r="H47" i="29"/>
  <c r="AK19" i="29"/>
  <c r="AK3" i="12"/>
  <c r="AM55" i="7"/>
  <c r="BE55" i="7" s="1"/>
  <c r="BE54" i="7"/>
  <c r="AH13" i="29"/>
  <c r="I33" i="29" s="1"/>
  <c r="AH23" i="29"/>
  <c r="K35" i="12"/>
  <c r="AP25" i="29"/>
  <c r="K43" i="29" s="1"/>
  <c r="AL3" i="12"/>
  <c r="AO2" i="12"/>
  <c r="AP22" i="29" s="1"/>
  <c r="K40" i="29" s="1"/>
  <c r="AO20" i="7"/>
  <c r="AP20" i="6"/>
  <c r="AO23" i="6"/>
  <c r="AL54" i="6"/>
  <c r="AN24" i="6"/>
  <c r="AN49" i="6"/>
  <c r="AN56" i="6" s="1"/>
  <c r="AO22" i="7"/>
  <c r="AP22" i="6"/>
  <c r="AO21" i="7"/>
  <c r="AP21" i="6"/>
  <c r="AQ27" i="3"/>
  <c r="AP26" i="3"/>
  <c r="AP12" i="12" s="1"/>
  <c r="AQ25" i="29" s="1"/>
  <c r="C21" i="11"/>
  <c r="AM65" i="6"/>
  <c r="J73" i="6" s="1"/>
  <c r="J45" i="9" s="1"/>
  <c r="AM64" i="6"/>
  <c r="J72" i="6" s="1"/>
  <c r="J44" i="9" s="1"/>
  <c r="AM63" i="6"/>
  <c r="J71" i="6" s="1"/>
  <c r="J43" i="9" s="1"/>
  <c r="AM53" i="6"/>
  <c r="AM52" i="6"/>
  <c r="BE52" i="6" s="1"/>
  <c r="AM50" i="6"/>
  <c r="BE50" i="6" s="1"/>
  <c r="E45" i="11"/>
  <c r="J43" i="12"/>
  <c r="J14" i="9"/>
  <c r="AL15" i="12"/>
  <c r="I26" i="12"/>
  <c r="AU14" i="6" l="1"/>
  <c r="AU14" i="7" s="1"/>
  <c r="AT14" i="7"/>
  <c r="BF16" i="6"/>
  <c r="AQ16" i="7"/>
  <c r="AR16" i="6"/>
  <c r="AT9" i="6"/>
  <c r="AS9" i="7"/>
  <c r="AN13" i="29"/>
  <c r="AN17" i="29" s="1"/>
  <c r="AN19" i="29" s="1"/>
  <c r="AM21" i="12"/>
  <c r="AM14" i="12" s="1"/>
  <c r="AU12" i="6"/>
  <c r="AU12" i="7" s="1"/>
  <c r="AT12" i="7"/>
  <c r="BG12" i="6"/>
  <c r="AT5" i="7"/>
  <c r="AU5" i="6"/>
  <c r="AT6" i="6"/>
  <c r="AS6" i="7"/>
  <c r="AR15" i="7"/>
  <c r="AS15" i="6"/>
  <c r="BG14" i="6"/>
  <c r="AU3" i="6"/>
  <c r="AT3" i="7"/>
  <c r="AU4" i="6"/>
  <c r="AU4" i="7" s="1"/>
  <c r="AT4" i="7"/>
  <c r="BG4" i="6"/>
  <c r="AR7" i="7"/>
  <c r="AS7" i="6"/>
  <c r="AP63" i="7"/>
  <c r="AU10" i="6"/>
  <c r="AT10" i="7"/>
  <c r="AU2" i="7"/>
  <c r="BG2" i="6"/>
  <c r="AN56" i="7"/>
  <c r="AN58" i="6"/>
  <c r="AM56" i="7"/>
  <c r="BE56" i="7" s="1"/>
  <c r="AM58" i="6"/>
  <c r="BE56" i="6"/>
  <c r="K91" i="6"/>
  <c r="O81" i="6" s="1"/>
  <c r="AP54" i="7"/>
  <c r="AM60" i="6"/>
  <c r="J68" i="6" s="1"/>
  <c r="J74" i="6" s="1"/>
  <c r="BE53" i="6"/>
  <c r="J15" i="9" s="1"/>
  <c r="AN33" i="3"/>
  <c r="AN34" i="3" s="1"/>
  <c r="AO36" i="3" s="1"/>
  <c r="AO35" i="3" s="1"/>
  <c r="BF15" i="7"/>
  <c r="BG15" i="7" s="1"/>
  <c r="AH27" i="29"/>
  <c r="I41" i="29"/>
  <c r="I45" i="29" s="1"/>
  <c r="AH17" i="29"/>
  <c r="AN28" i="29"/>
  <c r="AK18" i="12"/>
  <c r="AL23" i="29"/>
  <c r="J26" i="12"/>
  <c r="L91" i="6"/>
  <c r="O80" i="6"/>
  <c r="I28" i="12"/>
  <c r="I41" i="12" s="1"/>
  <c r="AM18" i="12"/>
  <c r="AM4" i="13" s="1"/>
  <c r="AM6" i="13" s="1"/>
  <c r="AM8" i="13" s="1"/>
  <c r="AM13" i="29"/>
  <c r="AM23" i="29"/>
  <c r="AG18" i="12"/>
  <c r="AM54" i="6"/>
  <c r="AM55" i="6" s="1"/>
  <c r="BE55" i="6" s="1"/>
  <c r="J42" i="9"/>
  <c r="X14" i="8"/>
  <c r="AP21" i="7"/>
  <c r="AQ21" i="6"/>
  <c r="AP22" i="7"/>
  <c r="AQ22" i="6"/>
  <c r="AP20" i="7"/>
  <c r="AQ20" i="6"/>
  <c r="AP23" i="6"/>
  <c r="AP2" i="12"/>
  <c r="AQ22" i="29" s="1"/>
  <c r="E46" i="11"/>
  <c r="AJ6" i="13"/>
  <c r="AQ26" i="3"/>
  <c r="AQ12" i="12" s="1"/>
  <c r="AR25" i="29" s="1"/>
  <c r="AR27" i="3"/>
  <c r="AN65" i="6"/>
  <c r="AN64" i="6"/>
  <c r="AN63" i="6"/>
  <c r="AN53" i="6"/>
  <c r="L43" i="11"/>
  <c r="D21" i="11"/>
  <c r="J19" i="11"/>
  <c r="T4" i="10" s="1"/>
  <c r="AN51" i="6"/>
  <c r="AO24" i="6"/>
  <c r="AO49" i="6"/>
  <c r="AO56" i="6" s="1"/>
  <c r="K25" i="12"/>
  <c r="AU10" i="7" l="1"/>
  <c r="BG10" i="6"/>
  <c r="AU6" i="6"/>
  <c r="AU6" i="7" s="1"/>
  <c r="AT6" i="7"/>
  <c r="BF22" i="6"/>
  <c r="AQ22" i="7"/>
  <c r="AR22" i="6"/>
  <c r="AU3" i="7"/>
  <c r="BG3" i="6"/>
  <c r="AU5" i="7"/>
  <c r="BG5" i="6"/>
  <c r="AT9" i="7"/>
  <c r="AU9" i="6"/>
  <c r="AR16" i="7"/>
  <c r="AS16" i="6"/>
  <c r="AS7" i="7"/>
  <c r="AT7" i="6"/>
  <c r="BF21" i="6"/>
  <c r="AQ21" i="7"/>
  <c r="AR21" i="6"/>
  <c r="AT15" i="6"/>
  <c r="AS15" i="7"/>
  <c r="BF20" i="6"/>
  <c r="AQ20" i="7"/>
  <c r="AR20" i="6"/>
  <c r="AM9" i="13"/>
  <c r="AM10" i="13" s="1"/>
  <c r="AM12" i="13" s="1"/>
  <c r="BG6" i="6"/>
  <c r="AO56" i="7"/>
  <c r="AO58" i="6"/>
  <c r="AO58" i="7" s="1"/>
  <c r="AN58" i="7"/>
  <c r="AM58" i="7"/>
  <c r="BE58" i="7" s="1"/>
  <c r="J10" i="8" s="1"/>
  <c r="BE58" i="6"/>
  <c r="J10" i="9" s="1"/>
  <c r="BF16" i="7"/>
  <c r="BG16" i="7" s="1"/>
  <c r="AN3" i="12"/>
  <c r="AP3" i="12" s="1"/>
  <c r="AR3" i="12" s="1"/>
  <c r="AN5" i="12"/>
  <c r="AN21" i="12" s="1"/>
  <c r="AN14" i="12" s="1"/>
  <c r="T7" i="13"/>
  <c r="AN61" i="6"/>
  <c r="J46" i="9"/>
  <c r="X15" i="8"/>
  <c r="AN60" i="6"/>
  <c r="BE54" i="6"/>
  <c r="AO33" i="3"/>
  <c r="AO34" i="3" s="1"/>
  <c r="AP36" i="3" s="1"/>
  <c r="AP35" i="3" s="1"/>
  <c r="AH28" i="29"/>
  <c r="AM27" i="29"/>
  <c r="AL27" i="29"/>
  <c r="J41" i="29"/>
  <c r="J45" i="29" s="1"/>
  <c r="AH19" i="29"/>
  <c r="I37" i="29"/>
  <c r="AM17" i="29"/>
  <c r="AL18" i="12"/>
  <c r="AL4" i="13" s="1"/>
  <c r="AK4" i="13"/>
  <c r="J20" i="13" s="1"/>
  <c r="AK19" i="12"/>
  <c r="AL13" i="29"/>
  <c r="J33" i="29" s="1"/>
  <c r="J28" i="12"/>
  <c r="J41" i="12" s="1"/>
  <c r="AG4" i="13"/>
  <c r="K40" i="3"/>
  <c r="K6" i="9" s="1"/>
  <c r="AG19" i="12"/>
  <c r="BF22" i="7"/>
  <c r="BG22" i="7" s="1"/>
  <c r="AO53" i="6"/>
  <c r="AO60" i="6" s="1"/>
  <c r="AO65" i="6"/>
  <c r="AO64" i="6"/>
  <c r="AO63" i="6"/>
  <c r="AN52" i="6"/>
  <c r="AR26" i="3"/>
  <c r="AR12" i="12" s="1"/>
  <c r="AS25" i="29" s="1"/>
  <c r="AS27" i="3"/>
  <c r="AS26" i="3" s="1"/>
  <c r="AS12" i="12" s="1"/>
  <c r="AT25" i="29" s="1"/>
  <c r="E47" i="11"/>
  <c r="G45" i="11" s="1"/>
  <c r="AP24" i="6"/>
  <c r="AP49" i="6"/>
  <c r="AP56" i="6" s="1"/>
  <c r="AO51" i="6"/>
  <c r="AO61" i="6" s="1"/>
  <c r="K19" i="11"/>
  <c r="T5" i="10" s="1"/>
  <c r="B22" i="11"/>
  <c r="AO15" i="12"/>
  <c r="K39" i="3"/>
  <c r="K7" i="8" s="1"/>
  <c r="K6" i="8" s="1"/>
  <c r="BF20" i="7"/>
  <c r="BG20" i="7" s="1"/>
  <c r="AQ23" i="6"/>
  <c r="BF21" i="7"/>
  <c r="BG21" i="7" s="1"/>
  <c r="K24" i="8"/>
  <c r="AQ2" i="12"/>
  <c r="AR22" i="29" s="1"/>
  <c r="AR22" i="7" l="1"/>
  <c r="AS22" i="6"/>
  <c r="AU15" i="6"/>
  <c r="AU15" i="7" s="1"/>
  <c r="AT15" i="7"/>
  <c r="AR21" i="7"/>
  <c r="AS21" i="6"/>
  <c r="AU9" i="7"/>
  <c r="BG9" i="6"/>
  <c r="BF23" i="6"/>
  <c r="AQ23" i="7"/>
  <c r="BF23" i="7" s="1"/>
  <c r="BG23" i="7" s="1"/>
  <c r="AR23" i="6"/>
  <c r="AR20" i="7"/>
  <c r="AS20" i="6"/>
  <c r="AT7" i="7"/>
  <c r="AU7" i="6"/>
  <c r="AT16" i="6"/>
  <c r="AS16" i="7"/>
  <c r="AQ23" i="29"/>
  <c r="AO23" i="29"/>
  <c r="AO27" i="29" s="1"/>
  <c r="X10" i="8"/>
  <c r="J11" i="9"/>
  <c r="J39" i="9"/>
  <c r="J12" i="9"/>
  <c r="AP56" i="7"/>
  <c r="AP58" i="6"/>
  <c r="AN18" i="12"/>
  <c r="AN4" i="13" s="1"/>
  <c r="AN6" i="13" s="1"/>
  <c r="AN8" i="13" s="1"/>
  <c r="J12" i="8"/>
  <c r="J22" i="8" s="1"/>
  <c r="J28" i="8" s="1"/>
  <c r="J11" i="8"/>
  <c r="AO13" i="29"/>
  <c r="AO17" i="29" s="1"/>
  <c r="AO19" i="29" s="1"/>
  <c r="T11" i="13"/>
  <c r="T7" i="10"/>
  <c r="T6" i="10"/>
  <c r="AG6" i="13"/>
  <c r="I22" i="13" s="1"/>
  <c r="I20" i="13"/>
  <c r="I6" i="14" s="1"/>
  <c r="AM28" i="29"/>
  <c r="AN54" i="6"/>
  <c r="AP33" i="3"/>
  <c r="AP34" i="3" s="1"/>
  <c r="AQ36" i="3" s="1"/>
  <c r="AQ35" i="3" s="1"/>
  <c r="AQ15" i="12" s="1"/>
  <c r="L43" i="29"/>
  <c r="AM19" i="29"/>
  <c r="I46" i="29"/>
  <c r="AQ27" i="29"/>
  <c r="AL17" i="29"/>
  <c r="AL28" i="29" s="1"/>
  <c r="K7" i="9"/>
  <c r="Q7" i="9" s="1"/>
  <c r="AK6" i="13"/>
  <c r="J22" i="13" s="1"/>
  <c r="J6" i="14"/>
  <c r="AS23" i="29"/>
  <c r="L35" i="12"/>
  <c r="AR2" i="12"/>
  <c r="AS22" i="29" s="1"/>
  <c r="C22" i="11"/>
  <c r="AL6" i="13"/>
  <c r="AO52" i="6"/>
  <c r="AO54" i="6" s="1"/>
  <c r="AQ24" i="6"/>
  <c r="AQ49" i="6"/>
  <c r="AP65" i="6"/>
  <c r="AP64" i="6"/>
  <c r="AP63" i="6"/>
  <c r="AP53" i="6"/>
  <c r="AP60" i="6" s="1"/>
  <c r="H7" i="13"/>
  <c r="K38" i="12"/>
  <c r="K34" i="9"/>
  <c r="K33" i="9" s="1"/>
  <c r="Y6" i="8"/>
  <c r="K48" i="12" s="1"/>
  <c r="Q6" i="9"/>
  <c r="AP51" i="6"/>
  <c r="AP61" i="6" s="1"/>
  <c r="E48" i="11"/>
  <c r="AN9" i="13" l="1"/>
  <c r="AN10" i="13" s="1"/>
  <c r="AN12" i="13" s="1"/>
  <c r="AR23" i="7"/>
  <c r="AS23" i="6"/>
  <c r="BG15" i="6"/>
  <c r="AU16" i="6"/>
  <c r="AT16" i="7"/>
  <c r="AU7" i="7"/>
  <c r="BG7" i="6"/>
  <c r="AS22" i="7"/>
  <c r="AT22" i="6"/>
  <c r="AQ49" i="7"/>
  <c r="AR49" i="6"/>
  <c r="BF24" i="6"/>
  <c r="AQ24" i="7"/>
  <c r="BF24" i="7" s="1"/>
  <c r="BG24" i="7" s="1"/>
  <c r="AR24" i="6"/>
  <c r="AS20" i="7"/>
  <c r="AT20" i="6"/>
  <c r="AT21" i="6"/>
  <c r="AS21" i="7"/>
  <c r="X12" i="8"/>
  <c r="J22" i="9"/>
  <c r="X22" i="8" s="1"/>
  <c r="J41" i="9"/>
  <c r="AP58" i="7"/>
  <c r="J40" i="9"/>
  <c r="X11" i="8"/>
  <c r="AQ50" i="6"/>
  <c r="AQ56" i="6"/>
  <c r="AO28" i="29"/>
  <c r="BF49" i="6"/>
  <c r="AQ33" i="3"/>
  <c r="AQ34" i="3" s="1"/>
  <c r="AR36" i="3" s="1"/>
  <c r="AR35" i="3" s="1"/>
  <c r="AR15" i="12" s="1"/>
  <c r="Y7" i="8"/>
  <c r="AS27" i="29"/>
  <c r="I47" i="29"/>
  <c r="AL19" i="29"/>
  <c r="J37" i="29"/>
  <c r="AK8" i="13"/>
  <c r="AK9" i="13" s="1"/>
  <c r="AQ65" i="6"/>
  <c r="AQ64" i="6"/>
  <c r="AQ63" i="6"/>
  <c r="AQ53" i="6"/>
  <c r="AL8" i="13"/>
  <c r="AL9" i="13" s="1"/>
  <c r="AS2" i="12"/>
  <c r="AT22" i="29" s="1"/>
  <c r="L40" i="29" s="1"/>
  <c r="H8" i="13"/>
  <c r="AQ51" i="6"/>
  <c r="E49" i="11"/>
  <c r="F48" i="11"/>
  <c r="L46" i="11"/>
  <c r="H11" i="13"/>
  <c r="D22" i="11"/>
  <c r="AP15" i="12"/>
  <c r="AP52" i="6"/>
  <c r="K71" i="6" l="1"/>
  <c r="AR63" i="6"/>
  <c r="AU16" i="7"/>
  <c r="BG16" i="6"/>
  <c r="AQ56" i="7"/>
  <c r="AR56" i="6"/>
  <c r="AR49" i="7"/>
  <c r="AS49" i="6"/>
  <c r="AQ53" i="7"/>
  <c r="AR53" i="6"/>
  <c r="AU21" i="6"/>
  <c r="AU21" i="7" s="1"/>
  <c r="AT21" i="7"/>
  <c r="BG21" i="6"/>
  <c r="AQ64" i="7"/>
  <c r="K72" i="7" s="1"/>
  <c r="AQ66" i="7"/>
  <c r="K74" i="7" s="1"/>
  <c r="AQ65" i="7"/>
  <c r="BF49" i="7"/>
  <c r="BG49" i="7" s="1"/>
  <c r="K72" i="6"/>
  <c r="AR64" i="6"/>
  <c r="K73" i="6"/>
  <c r="AR65" i="6"/>
  <c r="AU20" i="6"/>
  <c r="AU20" i="7" s="1"/>
  <c r="AT20" i="7"/>
  <c r="AU22" i="6"/>
  <c r="AU22" i="7" s="1"/>
  <c r="AT22" i="7"/>
  <c r="AS23" i="7"/>
  <c r="AT23" i="6"/>
  <c r="BF50" i="6"/>
  <c r="AQ50" i="7"/>
  <c r="BF50" i="7" s="1"/>
  <c r="BG50" i="7" s="1"/>
  <c r="AQ61" i="6"/>
  <c r="AQ51" i="7"/>
  <c r="AR51" i="6"/>
  <c r="BG22" i="6"/>
  <c r="AR24" i="7"/>
  <c r="AS24" i="6"/>
  <c r="AQ58" i="6"/>
  <c r="BF56" i="7"/>
  <c r="BG56" i="7" s="1"/>
  <c r="BF56" i="6"/>
  <c r="AQ60" i="6"/>
  <c r="BF53" i="6"/>
  <c r="BF51" i="6"/>
  <c r="AP54" i="6"/>
  <c r="J46" i="29"/>
  <c r="J47" i="29" s="1"/>
  <c r="AR33" i="3"/>
  <c r="L25" i="12"/>
  <c r="L24" i="8" s="1"/>
  <c r="K44" i="9"/>
  <c r="L44" i="9" s="1"/>
  <c r="K43" i="9"/>
  <c r="L43" i="9" s="1"/>
  <c r="H9" i="13"/>
  <c r="B23" i="11"/>
  <c r="H13" i="13"/>
  <c r="H14" i="13"/>
  <c r="K45" i="9"/>
  <c r="L45" i="9" s="1"/>
  <c r="E50" i="11"/>
  <c r="AQ52" i="6"/>
  <c r="AR64" i="7" l="1"/>
  <c r="AR66" i="7"/>
  <c r="AR65" i="7"/>
  <c r="AU23" i="6"/>
  <c r="AU23" i="7" s="1"/>
  <c r="AT23" i="7"/>
  <c r="AS65" i="6"/>
  <c r="AT65" i="6" s="1"/>
  <c r="AU65" i="6" s="1"/>
  <c r="AS56" i="6"/>
  <c r="AR56" i="7"/>
  <c r="AQ54" i="6"/>
  <c r="AQ52" i="7"/>
  <c r="BF52" i="7" s="1"/>
  <c r="BG52" i="7" s="1"/>
  <c r="AR52" i="6"/>
  <c r="K68" i="6"/>
  <c r="K74" i="6" s="1"/>
  <c r="N76" i="7" s="1"/>
  <c r="AR60" i="6"/>
  <c r="AS64" i="6"/>
  <c r="AT64" i="6" s="1"/>
  <c r="AU64" i="6" s="1"/>
  <c r="L72" i="6"/>
  <c r="AR51" i="7"/>
  <c r="AR62" i="7" s="1"/>
  <c r="AS51" i="6"/>
  <c r="AR53" i="7"/>
  <c r="AR61" i="7" s="1"/>
  <c r="AS53" i="6"/>
  <c r="AQ62" i="7"/>
  <c r="BF51" i="7"/>
  <c r="BG20" i="6"/>
  <c r="AQ61" i="7"/>
  <c r="K69" i="7" s="1"/>
  <c r="BF53" i="7"/>
  <c r="AQ58" i="7"/>
  <c r="BF58" i="7" s="1"/>
  <c r="AR58" i="6"/>
  <c r="K69" i="6"/>
  <c r="AR61" i="6"/>
  <c r="AQ63" i="7"/>
  <c r="K73" i="7"/>
  <c r="K70" i="7" s="1"/>
  <c r="AS63" i="6"/>
  <c r="AT63" i="6" s="1"/>
  <c r="AU63" i="6" s="1"/>
  <c r="L71" i="6"/>
  <c r="AT24" i="6"/>
  <c r="AS24" i="7"/>
  <c r="AS49" i="7"/>
  <c r="AT49" i="6"/>
  <c r="BF58" i="6"/>
  <c r="H10" i="13"/>
  <c r="AQ55" i="6"/>
  <c r="BF54" i="6"/>
  <c r="K15" i="9"/>
  <c r="BF52" i="6"/>
  <c r="AR34" i="3"/>
  <c r="AS33" i="3" s="1"/>
  <c r="AS34" i="3" s="1"/>
  <c r="AK10" i="13"/>
  <c r="AL10" i="13"/>
  <c r="C23" i="11"/>
  <c r="E51" i="11"/>
  <c r="H15" i="13"/>
  <c r="G48" i="11"/>
  <c r="BF55" i="6" l="1"/>
  <c r="AQ55" i="7"/>
  <c r="BF55" i="7" s="1"/>
  <c r="BG55" i="7" s="1"/>
  <c r="AR55" i="6"/>
  <c r="AU24" i="6"/>
  <c r="AU24" i="7" s="1"/>
  <c r="AT24" i="7"/>
  <c r="BG24" i="6"/>
  <c r="AR52" i="7"/>
  <c r="AS52" i="6"/>
  <c r="BG23" i="6"/>
  <c r="BG53" i="7"/>
  <c r="L15" i="8" s="1"/>
  <c r="K15" i="8"/>
  <c r="Y15" i="8" s="1"/>
  <c r="AT51" i="6"/>
  <c r="AS51" i="7"/>
  <c r="AS62" i="7" s="1"/>
  <c r="AR58" i="7"/>
  <c r="AS58" i="6"/>
  <c r="K14" i="8"/>
  <c r="K29" i="8" s="1"/>
  <c r="BG51" i="7"/>
  <c r="L14" i="8" s="1"/>
  <c r="L29" i="8" s="1"/>
  <c r="AS56" i="7"/>
  <c r="AT56" i="6"/>
  <c r="K75" i="7"/>
  <c r="N75" i="7" s="1"/>
  <c r="N77" i="7" s="1"/>
  <c r="AU49" i="6"/>
  <c r="AT49" i="7"/>
  <c r="BG49" i="6"/>
  <c r="L69" i="6"/>
  <c r="AS61" i="6"/>
  <c r="AT61" i="6" s="1"/>
  <c r="AU61" i="6" s="1"/>
  <c r="AR63" i="7"/>
  <c r="AQ54" i="7"/>
  <c r="AR54" i="6"/>
  <c r="AS65" i="7"/>
  <c r="AS64" i="7"/>
  <c r="AS66" i="7"/>
  <c r="K43" i="12"/>
  <c r="K14" i="9"/>
  <c r="AT53" i="6"/>
  <c r="AS53" i="7"/>
  <c r="AS61" i="7" s="1"/>
  <c r="AS60" i="6"/>
  <c r="AT60" i="6" s="1"/>
  <c r="AU60" i="6" s="1"/>
  <c r="L73" i="6"/>
  <c r="K10" i="9"/>
  <c r="K10" i="8"/>
  <c r="BG58" i="7"/>
  <c r="L10" i="8" s="1"/>
  <c r="AL12" i="13"/>
  <c r="H12" i="13"/>
  <c r="AK12" i="13"/>
  <c r="K46" i="9"/>
  <c r="Q15" i="9"/>
  <c r="AS36" i="3"/>
  <c r="E52" i="11"/>
  <c r="L49" i="11"/>
  <c r="D23" i="11"/>
  <c r="AS63" i="7" l="1"/>
  <c r="L14" i="9"/>
  <c r="AO5" i="12"/>
  <c r="BF54" i="7"/>
  <c r="AO3" i="12"/>
  <c r="AU49" i="7"/>
  <c r="AU50" i="6"/>
  <c r="AT58" i="6"/>
  <c r="AS58" i="7"/>
  <c r="L68" i="6"/>
  <c r="L74" i="6" s="1"/>
  <c r="AU53" i="6"/>
  <c r="AU53" i="7" s="1"/>
  <c r="AU61" i="7" s="1"/>
  <c r="AT53" i="7"/>
  <c r="AT61" i="7" s="1"/>
  <c r="L69" i="7" s="1"/>
  <c r="AR55" i="7"/>
  <c r="AS55" i="6"/>
  <c r="AR54" i="7"/>
  <c r="AS54" i="6"/>
  <c r="AT65" i="7"/>
  <c r="AT64" i="7"/>
  <c r="AT66" i="7"/>
  <c r="Y14" i="8"/>
  <c r="K42" i="9"/>
  <c r="Q14" i="9"/>
  <c r="AS52" i="7"/>
  <c r="AT52" i="6"/>
  <c r="AU51" i="6"/>
  <c r="AU51" i="7" s="1"/>
  <c r="AU62" i="7" s="1"/>
  <c r="AT51" i="7"/>
  <c r="AT62" i="7" s="1"/>
  <c r="AU56" i="6"/>
  <c r="AT56" i="7"/>
  <c r="L40" i="3"/>
  <c r="L6" i="9" s="1"/>
  <c r="L34" i="9" s="1"/>
  <c r="L33" i="9" s="1"/>
  <c r="AS35" i="3"/>
  <c r="Q21" i="9"/>
  <c r="L11" i="8"/>
  <c r="L12" i="8"/>
  <c r="L22" i="8" s="1"/>
  <c r="L28" i="8" s="1"/>
  <c r="K12" i="8"/>
  <c r="K22" i="8" s="1"/>
  <c r="K28" i="8" s="1"/>
  <c r="K11" i="8"/>
  <c r="Y10" i="8"/>
  <c r="K39" i="9"/>
  <c r="K12" i="9"/>
  <c r="K11" i="9"/>
  <c r="Q10" i="9"/>
  <c r="H21" i="11"/>
  <c r="B24" i="11"/>
  <c r="E53" i="11"/>
  <c r="G51" i="11" s="1"/>
  <c r="L7" i="9" l="1"/>
  <c r="BG53" i="6"/>
  <c r="L15" i="9" s="1"/>
  <c r="AP23" i="29"/>
  <c r="K26" i="12"/>
  <c r="AQ3" i="12"/>
  <c r="AU52" i="6"/>
  <c r="AU52" i="7" s="1"/>
  <c r="AT52" i="7"/>
  <c r="L42" i="9"/>
  <c r="Z14" i="8"/>
  <c r="AA14" i="8" s="1"/>
  <c r="BG54" i="7"/>
  <c r="B7" i="2"/>
  <c r="AP5" i="12"/>
  <c r="AO21" i="12"/>
  <c r="AO14" i="12" s="1"/>
  <c r="K37" i="12" s="1"/>
  <c r="K28" i="12"/>
  <c r="AP13" i="29"/>
  <c r="AS55" i="7"/>
  <c r="AT55" i="6"/>
  <c r="AU58" i="6"/>
  <c r="AU58" i="7" s="1"/>
  <c r="AT58" i="7"/>
  <c r="AS15" i="12"/>
  <c r="L38" i="12" s="1"/>
  <c r="L39" i="3"/>
  <c r="L7" i="8" s="1"/>
  <c r="L6" i="8" s="1"/>
  <c r="Z6" i="8" s="1"/>
  <c r="AS54" i="7"/>
  <c r="AT54" i="6"/>
  <c r="AU56" i="7"/>
  <c r="BG56" i="6"/>
  <c r="L74" i="7"/>
  <c r="BG50" i="6"/>
  <c r="AU50" i="7"/>
  <c r="BG52" i="6"/>
  <c r="BG51" i="6"/>
  <c r="L70" i="7"/>
  <c r="L43" i="12" s="1"/>
  <c r="AT63" i="7"/>
  <c r="BG58" i="6"/>
  <c r="L10" i="9" s="1"/>
  <c r="AU65" i="7"/>
  <c r="L73" i="7" s="1"/>
  <c r="AU64" i="7"/>
  <c r="AU66" i="7"/>
  <c r="K40" i="9"/>
  <c r="Q11" i="9"/>
  <c r="Y11" i="8"/>
  <c r="Y12" i="8"/>
  <c r="K22" i="9"/>
  <c r="Y22" i="8" s="1"/>
  <c r="K41" i="9"/>
  <c r="Q12" i="9"/>
  <c r="T5" i="9" s="1"/>
  <c r="C24" i="11"/>
  <c r="E54" i="11"/>
  <c r="AO18" i="12" l="1"/>
  <c r="L12" i="9"/>
  <c r="Z10" i="8"/>
  <c r="AA10" i="8" s="1"/>
  <c r="L39" i="9"/>
  <c r="L11" i="9"/>
  <c r="AP27" i="29"/>
  <c r="K41" i="29"/>
  <c r="K45" i="29" s="1"/>
  <c r="AA6" i="8"/>
  <c r="L48" i="12"/>
  <c r="AT55" i="7"/>
  <c r="AU55" i="6"/>
  <c r="AU55" i="7" s="1"/>
  <c r="Z15" i="8"/>
  <c r="AA15" i="8" s="1"/>
  <c r="L46" i="9"/>
  <c r="AQ5" i="12"/>
  <c r="AP21" i="12"/>
  <c r="AP14" i="12" s="1"/>
  <c r="AP18" i="12" s="1"/>
  <c r="AQ13" i="29"/>
  <c r="AU54" i="6"/>
  <c r="AT54" i="7"/>
  <c r="Z7" i="8"/>
  <c r="AA7" i="8" s="1"/>
  <c r="AU63" i="7"/>
  <c r="L72" i="7"/>
  <c r="K33" i="29"/>
  <c r="AP17" i="29"/>
  <c r="AR23" i="29"/>
  <c r="AS3" i="12"/>
  <c r="L26" i="12" s="1"/>
  <c r="K41" i="12"/>
  <c r="L75" i="7"/>
  <c r="D24" i="11"/>
  <c r="J22" i="11"/>
  <c r="U4" i="10" s="1"/>
  <c r="E55" i="11"/>
  <c r="L52" i="11"/>
  <c r="AP4" i="13" l="1"/>
  <c r="AP6" i="13" s="1"/>
  <c r="AP8" i="13" s="1"/>
  <c r="AR5" i="12"/>
  <c r="AQ21" i="12"/>
  <c r="AQ14" i="12" s="1"/>
  <c r="AR13" i="29"/>
  <c r="AR17" i="29" s="1"/>
  <c r="L40" i="9"/>
  <c r="Z11" i="8"/>
  <c r="AA11" i="8" s="1"/>
  <c r="AT23" i="29"/>
  <c r="AT27" i="29" s="1"/>
  <c r="AR27" i="29"/>
  <c r="L41" i="29"/>
  <c r="L45" i="29" s="1"/>
  <c r="AU54" i="7"/>
  <c r="BG54" i="6"/>
  <c r="AQ18" i="12"/>
  <c r="AQ4" i="13" s="1"/>
  <c r="AQ6" i="13" s="1"/>
  <c r="AQ8" i="13" s="1"/>
  <c r="Z12" i="8"/>
  <c r="AA12" i="8" s="1"/>
  <c r="L22" i="9"/>
  <c r="Z22" i="8" s="1"/>
  <c r="AA22" i="8" s="1"/>
  <c r="L41" i="9"/>
  <c r="K37" i="29"/>
  <c r="K46" i="29" s="1"/>
  <c r="K47" i="29" s="1"/>
  <c r="AP28" i="29"/>
  <c r="AP19" i="29"/>
  <c r="AO4" i="13"/>
  <c r="AO19" i="12"/>
  <c r="AQ17" i="29"/>
  <c r="BG55" i="6"/>
  <c r="U7" i="13"/>
  <c r="F23" i="13" s="1"/>
  <c r="K22" i="11"/>
  <c r="U5" i="10" s="1"/>
  <c r="B25" i="11"/>
  <c r="E56" i="11"/>
  <c r="I7" i="13"/>
  <c r="C23" i="13" s="1"/>
  <c r="AQ9" i="13" l="1"/>
  <c r="AQ10" i="13" s="1"/>
  <c r="AQ12" i="13" s="1"/>
  <c r="AR28" i="29"/>
  <c r="AR19" i="29"/>
  <c r="AS5" i="12"/>
  <c r="AR21" i="12"/>
  <c r="AR14" i="12" s="1"/>
  <c r="AS13" i="29"/>
  <c r="AQ28" i="29"/>
  <c r="AQ19" i="29"/>
  <c r="K20" i="13"/>
  <c r="K6" i="14" s="1"/>
  <c r="AO6" i="13"/>
  <c r="AP9" i="13"/>
  <c r="AP10" i="13" s="1"/>
  <c r="AP12" i="13" s="1"/>
  <c r="U11" i="13"/>
  <c r="U7" i="10"/>
  <c r="U6" i="10"/>
  <c r="I8" i="13"/>
  <c r="C24" i="13" s="1"/>
  <c r="E57" i="11"/>
  <c r="C25" i="11"/>
  <c r="I11" i="13"/>
  <c r="C27" i="13" s="1"/>
  <c r="X13" i="3"/>
  <c r="G54" i="11"/>
  <c r="AS17" i="29" l="1"/>
  <c r="K22" i="13"/>
  <c r="AO8" i="13"/>
  <c r="AS21" i="12"/>
  <c r="AS14" i="12" s="1"/>
  <c r="L37" i="12" s="1"/>
  <c r="AT13" i="29"/>
  <c r="AT17" i="29" s="1"/>
  <c r="L28" i="12"/>
  <c r="AR18" i="12"/>
  <c r="X14" i="3"/>
  <c r="X16" i="3" s="1"/>
  <c r="I14" i="13"/>
  <c r="D25" i="11"/>
  <c r="I9" i="13"/>
  <c r="C3" i="9"/>
  <c r="C49" i="12" s="1"/>
  <c r="I13" i="13"/>
  <c r="C29" i="13" s="1"/>
  <c r="E58" i="11"/>
  <c r="L55" i="11"/>
  <c r="L41" i="12" l="1"/>
  <c r="K24" i="13"/>
  <c r="K3" i="9" s="1"/>
  <c r="AO9" i="13"/>
  <c r="K25" i="13" s="1"/>
  <c r="AR4" i="13"/>
  <c r="AR6" i="13" s="1"/>
  <c r="AR8" i="13" s="1"/>
  <c r="AT19" i="29"/>
  <c r="AT28" i="29"/>
  <c r="L33" i="29"/>
  <c r="C47" i="12"/>
  <c r="AS19" i="29"/>
  <c r="AS28" i="29"/>
  <c r="L37" i="29"/>
  <c r="L46" i="29" s="1"/>
  <c r="L47" i="29" s="1"/>
  <c r="M47" i="29" s="1"/>
  <c r="B9" i="2" s="1"/>
  <c r="AS18" i="12"/>
  <c r="AS4" i="13" s="1"/>
  <c r="I15" i="13"/>
  <c r="C31" i="13" s="1"/>
  <c r="C30" i="13"/>
  <c r="C25" i="13"/>
  <c r="X20" i="3"/>
  <c r="B26" i="11"/>
  <c r="C30" i="9"/>
  <c r="C4" i="9"/>
  <c r="C8" i="14"/>
  <c r="I10" i="13"/>
  <c r="E59" i="11"/>
  <c r="AO10" i="13" l="1"/>
  <c r="K26" i="13" s="1"/>
  <c r="L20" i="13"/>
  <c r="L6" i="14" s="1"/>
  <c r="AS6" i="13"/>
  <c r="AS19" i="12"/>
  <c r="AR9" i="13"/>
  <c r="AR10" i="13" s="1"/>
  <c r="AR12" i="13" s="1"/>
  <c r="K44" i="12"/>
  <c r="K3" i="8"/>
  <c r="C3" i="8"/>
  <c r="Q3" i="8" s="1"/>
  <c r="C44" i="12"/>
  <c r="C50" i="12" s="1"/>
  <c r="K49" i="12"/>
  <c r="K4" i="9"/>
  <c r="K5" i="9" s="1"/>
  <c r="K30" i="9"/>
  <c r="I12" i="13"/>
  <c r="C28" i="13" s="1"/>
  <c r="C26" i="13"/>
  <c r="C5" i="9"/>
  <c r="Q5" i="8" s="1"/>
  <c r="C26" i="11"/>
  <c r="E60" i="11"/>
  <c r="L58" i="11" s="1"/>
  <c r="C31" i="9"/>
  <c r="C20" i="9"/>
  <c r="Q4" i="8"/>
  <c r="G57" i="11"/>
  <c r="Q20" i="8" l="1"/>
  <c r="C24" i="9"/>
  <c r="AO12" i="13"/>
  <c r="K28" i="13" s="1"/>
  <c r="K21" i="9"/>
  <c r="K32" i="9"/>
  <c r="N6" i="14"/>
  <c r="M6" i="14"/>
  <c r="K4" i="8"/>
  <c r="K20" i="8" s="1"/>
  <c r="K26" i="8" s="1"/>
  <c r="K5" i="8"/>
  <c r="K21" i="8" s="1"/>
  <c r="K27" i="8" s="1"/>
  <c r="K45" i="12"/>
  <c r="K7" i="14"/>
  <c r="C7" i="14"/>
  <c r="C13" i="14" s="1"/>
  <c r="C15" i="14" s="1"/>
  <c r="C45" i="12"/>
  <c r="C51" i="12" s="1"/>
  <c r="K20" i="9"/>
  <c r="K24" i="9" s="1"/>
  <c r="K31" i="9"/>
  <c r="K50" i="12"/>
  <c r="K47" i="12"/>
  <c r="Y3" i="8"/>
  <c r="L22" i="13"/>
  <c r="AS8" i="13"/>
  <c r="C38" i="14"/>
  <c r="C12" i="14"/>
  <c r="C21" i="9"/>
  <c r="Q21" i="8" s="1"/>
  <c r="C32" i="9"/>
  <c r="C18" i="14"/>
  <c r="D26" i="11"/>
  <c r="E61" i="11"/>
  <c r="F60" i="11"/>
  <c r="K30" i="8" l="1"/>
  <c r="K51" i="12"/>
  <c r="Y4" i="8"/>
  <c r="Y5" i="8"/>
  <c r="Y20" i="8"/>
  <c r="L24" i="13"/>
  <c r="L3" i="9" s="1"/>
  <c r="AS9" i="13"/>
  <c r="L25" i="13" s="1"/>
  <c r="K13" i="14"/>
  <c r="K15" i="14" s="1"/>
  <c r="K18" i="14"/>
  <c r="K38" i="14"/>
  <c r="K12" i="14"/>
  <c r="K17" i="14" s="1"/>
  <c r="Y21" i="8"/>
  <c r="C34" i="14"/>
  <c r="C19" i="14"/>
  <c r="H24" i="11"/>
  <c r="B27" i="11"/>
  <c r="C20" i="14"/>
  <c r="E62" i="11"/>
  <c r="C17" i="14"/>
  <c r="C16" i="14"/>
  <c r="AS10" i="13" l="1"/>
  <c r="L26" i="13" s="1"/>
  <c r="AS12" i="13"/>
  <c r="L28" i="13" s="1"/>
  <c r="L44" i="12"/>
  <c r="L3" i="8"/>
  <c r="K34" i="14"/>
  <c r="K20" i="14"/>
  <c r="L49" i="12"/>
  <c r="L30" i="9"/>
  <c r="L4" i="9"/>
  <c r="C27" i="11"/>
  <c r="E63" i="11"/>
  <c r="G60" i="11"/>
  <c r="L50" i="12" l="1"/>
  <c r="L47" i="12"/>
  <c r="L4" i="8"/>
  <c r="L5" i="8" s="1"/>
  <c r="L21" i="8" s="1"/>
  <c r="L27" i="8" s="1"/>
  <c r="Z3" i="8"/>
  <c r="L5" i="9"/>
  <c r="L31" i="9"/>
  <c r="L20" i="9"/>
  <c r="L24" i="9" s="1"/>
  <c r="L45" i="12"/>
  <c r="L7" i="14"/>
  <c r="E64" i="11"/>
  <c r="L61" i="11"/>
  <c r="D27" i="11"/>
  <c r="J25" i="11"/>
  <c r="V4" i="10" s="1"/>
  <c r="L32" i="9" l="1"/>
  <c r="L21" i="9"/>
  <c r="Z21" i="8" s="1"/>
  <c r="Z5" i="8"/>
  <c r="Z4" i="8"/>
  <c r="L20" i="8"/>
  <c r="L26" i="8" s="1"/>
  <c r="L30" i="8" s="1"/>
  <c r="L13" i="14"/>
  <c r="L15" i="14" s="1"/>
  <c r="L38" i="14"/>
  <c r="L18" i="14"/>
  <c r="L12" i="14"/>
  <c r="L17" i="14" s="1"/>
  <c r="L51" i="12"/>
  <c r="V7" i="13"/>
  <c r="K25" i="11"/>
  <c r="V5" i="10" s="1"/>
  <c r="B28" i="11"/>
  <c r="J7" i="13"/>
  <c r="E65" i="11"/>
  <c r="L34" i="14" l="1"/>
  <c r="L20" i="14"/>
  <c r="Z20" i="8"/>
  <c r="V11" i="13"/>
  <c r="V7" i="10"/>
  <c r="V6" i="10"/>
  <c r="E66" i="11"/>
  <c r="G63" i="11"/>
  <c r="J8" i="13"/>
  <c r="C28" i="11"/>
  <c r="J11" i="13"/>
  <c r="D28" i="11" l="1"/>
  <c r="J9" i="13"/>
  <c r="J13" i="13"/>
  <c r="J14" i="13"/>
  <c r="E67" i="11"/>
  <c r="L64" i="11"/>
  <c r="J10" i="13" l="1"/>
  <c r="B29" i="11"/>
  <c r="E68" i="11"/>
  <c r="J15" i="13"/>
  <c r="J12" i="13" l="1"/>
  <c r="C29" i="11"/>
  <c r="E70" i="11"/>
  <c r="F68" i="11"/>
  <c r="F70" i="11" s="1"/>
  <c r="G66" i="11"/>
  <c r="G70" i="11" s="1"/>
  <c r="L67" i="11"/>
  <c r="L69" i="11" s="1"/>
  <c r="D29" i="11" l="1"/>
  <c r="D70" i="11"/>
  <c r="B5" i="11"/>
  <c r="H27" i="11" l="1"/>
  <c r="B30" i="11"/>
  <c r="C30" i="11" l="1"/>
  <c r="D30" i="11" l="1"/>
  <c r="J28" i="11"/>
  <c r="W4" i="10" s="1"/>
  <c r="W7" i="13" l="1"/>
  <c r="K7" i="13"/>
  <c r="K28" i="11"/>
  <c r="W5" i="10" s="1"/>
  <c r="B31" i="11"/>
  <c r="W11" i="13" l="1"/>
  <c r="W7" i="10"/>
  <c r="W6" i="10"/>
  <c r="C31" i="11"/>
  <c r="K11" i="13"/>
  <c r="K8" i="13"/>
  <c r="K13" i="13" l="1"/>
  <c r="K9" i="13"/>
  <c r="D31" i="11"/>
  <c r="K14" i="13"/>
  <c r="K10" i="13" l="1"/>
  <c r="B32" i="11"/>
  <c r="K15" i="13"/>
  <c r="K12" i="13" l="1"/>
  <c r="C32" i="11"/>
  <c r="D32" i="11" l="1"/>
  <c r="H30" i="11" l="1"/>
  <c r="B33" i="11"/>
  <c r="C33" i="11" l="1"/>
  <c r="D33" i="11" l="1"/>
  <c r="J31" i="11"/>
  <c r="X4" i="10" s="1"/>
  <c r="X7" i="13" l="1"/>
  <c r="L7" i="13"/>
  <c r="K31" i="11"/>
  <c r="X5" i="10" s="1"/>
  <c r="X6" i="10" s="1"/>
  <c r="B34" i="11"/>
  <c r="X11" i="13" l="1"/>
  <c r="X7" i="10"/>
  <c r="C34" i="11"/>
  <c r="L11" i="13"/>
  <c r="L8" i="13"/>
  <c r="L14" i="13" l="1"/>
  <c r="L15" i="13" s="1"/>
  <c r="L13" i="13"/>
  <c r="L9" i="13"/>
  <c r="D34" i="11"/>
  <c r="L10" i="13" l="1"/>
  <c r="B35" i="11"/>
  <c r="L12" i="13" l="1"/>
  <c r="C35" i="11"/>
  <c r="D35" i="11" l="1"/>
  <c r="H33" i="11" l="1"/>
  <c r="B36" i="11"/>
  <c r="C36" i="11" l="1"/>
  <c r="D36" i="11" l="1"/>
  <c r="J34" i="11"/>
  <c r="Y4" i="10" s="1"/>
  <c r="Y7" i="13" l="1"/>
  <c r="M7" i="13"/>
  <c r="D23" i="13" s="1"/>
  <c r="K34" i="11"/>
  <c r="B37" i="11"/>
  <c r="Y8" i="13" l="1"/>
  <c r="Y9" i="13" s="1"/>
  <c r="G23" i="13"/>
  <c r="Y13" i="3"/>
  <c r="Y14" i="3" s="1"/>
  <c r="Y16" i="3" s="1"/>
  <c r="Y5" i="10"/>
  <c r="C37" i="11"/>
  <c r="M11" i="13"/>
  <c r="D27" i="13" s="1"/>
  <c r="D24" i="13"/>
  <c r="Y10" i="13" l="1"/>
  <c r="Y11" i="13"/>
  <c r="Y7" i="10"/>
  <c r="Y6" i="10"/>
  <c r="Y20" i="3"/>
  <c r="D8" i="14"/>
  <c r="M13" i="13"/>
  <c r="D29" i="13" s="1"/>
  <c r="M9" i="13"/>
  <c r="D3" i="9"/>
  <c r="D49" i="12" s="1"/>
  <c r="M14" i="13"/>
  <c r="D30" i="13" s="1"/>
  <c r="D37" i="11"/>
  <c r="D47" i="12" l="1"/>
  <c r="G27" i="13"/>
  <c r="Y14" i="13"/>
  <c r="Y12" i="13"/>
  <c r="D25" i="13"/>
  <c r="M10" i="13"/>
  <c r="D26" i="13" s="1"/>
  <c r="D45" i="12" s="1"/>
  <c r="D51" i="12" s="1"/>
  <c r="B38" i="11"/>
  <c r="M15" i="13"/>
  <c r="D31" i="13" s="1"/>
  <c r="D30" i="9"/>
  <c r="D4" i="9"/>
  <c r="D3" i="8" l="1"/>
  <c r="R3" i="8" s="1"/>
  <c r="D44" i="12"/>
  <c r="D50" i="12" s="1"/>
  <c r="M12" i="13"/>
  <c r="D28" i="13" s="1"/>
  <c r="D7" i="14"/>
  <c r="D13" i="14" s="1"/>
  <c r="D31" i="9"/>
  <c r="D20" i="9"/>
  <c r="R4" i="8"/>
  <c r="D5" i="9"/>
  <c r="C38" i="11"/>
  <c r="R20" i="8" l="1"/>
  <c r="D24" i="9"/>
  <c r="D15" i="14"/>
  <c r="D12" i="14"/>
  <c r="D18" i="14"/>
  <c r="D34" i="14" s="1"/>
  <c r="D38" i="14"/>
  <c r="D17" i="14"/>
  <c r="D38" i="11"/>
  <c r="D32" i="9"/>
  <c r="D21" i="9"/>
  <c r="R21" i="8" s="1"/>
  <c r="R5" i="8"/>
  <c r="D20" i="14" l="1"/>
  <c r="D19" i="14"/>
  <c r="D16" i="14"/>
  <c r="H36" i="11"/>
  <c r="B39" i="11"/>
  <c r="C39" i="11" l="1"/>
  <c r="D39" i="11" l="1"/>
  <c r="J37" i="11"/>
  <c r="Z4" i="10" s="1"/>
  <c r="Z7" i="13" l="1"/>
  <c r="N7" i="13"/>
  <c r="K37" i="11"/>
  <c r="Z5" i="10" s="1"/>
  <c r="Z6" i="10" s="1"/>
  <c r="B40" i="11"/>
  <c r="Z8" i="13" l="1"/>
  <c r="Z9" i="13" s="1"/>
  <c r="Z11" i="13"/>
  <c r="Z14" i="13" s="1"/>
  <c r="Z7" i="10"/>
  <c r="C40" i="11"/>
  <c r="N11" i="13"/>
  <c r="N8" i="13"/>
  <c r="Z10" i="13" l="1"/>
  <c r="N13" i="13"/>
  <c r="N14" i="13"/>
  <c r="N9" i="13"/>
  <c r="D40" i="11"/>
  <c r="Z12" i="13" l="1"/>
  <c r="N10" i="13"/>
  <c r="N15" i="13"/>
  <c r="B41" i="11"/>
  <c r="N12" i="13" l="1"/>
  <c r="C41" i="11"/>
  <c r="D41" i="11" l="1"/>
  <c r="H39" i="11" l="1"/>
  <c r="B42" i="11"/>
  <c r="C42" i="11" l="1"/>
  <c r="D42" i="11" l="1"/>
  <c r="J40" i="11"/>
  <c r="AA4" i="10" s="1"/>
  <c r="AA7" i="13" l="1"/>
  <c r="O7" i="13"/>
  <c r="K40" i="11"/>
  <c r="AA5" i="10" s="1"/>
  <c r="B43" i="11"/>
  <c r="AA11" i="13" l="1"/>
  <c r="AA14" i="13" s="1"/>
  <c r="AA7" i="10"/>
  <c r="AA6" i="10"/>
  <c r="AA8" i="13"/>
  <c r="AA9" i="13" s="1"/>
  <c r="C43" i="11"/>
  <c r="O11" i="13"/>
  <c r="O8" i="13"/>
  <c r="AA10" i="13" l="1"/>
  <c r="O13" i="13"/>
  <c r="D43" i="11"/>
  <c r="O9" i="13"/>
  <c r="O14" i="13"/>
  <c r="AA12" i="13" l="1"/>
  <c r="O10" i="13"/>
  <c r="O15" i="13"/>
  <c r="B44" i="11"/>
  <c r="O12" i="13" l="1"/>
  <c r="C44" i="11"/>
  <c r="D44" i="11" l="1"/>
  <c r="H42" i="11" l="1"/>
  <c r="B45" i="11"/>
  <c r="C45" i="11" l="1"/>
  <c r="D45" i="11" l="1"/>
  <c r="J43" i="11"/>
  <c r="AB4" i="10" s="1"/>
  <c r="AB7" i="13" l="1"/>
  <c r="P7" i="13"/>
  <c r="E23" i="13" s="1"/>
  <c r="K43" i="11"/>
  <c r="AB5" i="10" s="1"/>
  <c r="B46" i="11"/>
  <c r="AB11" i="13" l="1"/>
  <c r="AB14" i="13" s="1"/>
  <c r="AB7" i="10"/>
  <c r="AB8" i="13"/>
  <c r="AB9" i="13" s="1"/>
  <c r="AB6" i="10"/>
  <c r="C46" i="11"/>
  <c r="P8" i="13"/>
  <c r="P11" i="13"/>
  <c r="AB10" i="13" l="1"/>
  <c r="P14" i="13"/>
  <c r="P9" i="13"/>
  <c r="P13" i="13"/>
  <c r="D46" i="11"/>
  <c r="P15" i="13" l="1"/>
  <c r="AB12" i="13"/>
  <c r="B47" i="11"/>
  <c r="P10" i="13"/>
  <c r="P12" i="13" l="1"/>
  <c r="C47" i="11"/>
  <c r="D47" i="11" l="1"/>
  <c r="H45" i="11" l="1"/>
  <c r="B48" i="11"/>
  <c r="C48" i="11" l="1"/>
  <c r="D48" i="11" l="1"/>
  <c r="J46" i="11"/>
  <c r="AC4" i="10" s="1"/>
  <c r="AC7" i="13" l="1"/>
  <c r="K46" i="11"/>
  <c r="AC5" i="10" s="1"/>
  <c r="B49" i="11"/>
  <c r="AC8" i="13" l="1"/>
  <c r="AC9" i="13" s="1"/>
  <c r="H23" i="13"/>
  <c r="AC11" i="13"/>
  <c r="H27" i="13" s="1"/>
  <c r="AC7" i="10"/>
  <c r="AC6" i="10"/>
  <c r="Q8" i="13"/>
  <c r="E24" i="13" s="1"/>
  <c r="C49" i="11"/>
  <c r="Q11" i="13"/>
  <c r="E27" i="13" s="1"/>
  <c r="Z13" i="3"/>
  <c r="H25" i="13" l="1"/>
  <c r="H24" i="13"/>
  <c r="H3" i="9" s="1"/>
  <c r="H49" i="12" s="1"/>
  <c r="AC14" i="13"/>
  <c r="H30" i="13" s="1"/>
  <c r="Z14" i="3"/>
  <c r="Z16" i="3" s="1"/>
  <c r="AA16" i="3" s="1"/>
  <c r="AA13" i="3"/>
  <c r="E8" i="14"/>
  <c r="D49" i="11"/>
  <c r="Q13" i="13"/>
  <c r="E29" i="13" s="1"/>
  <c r="Q9" i="13"/>
  <c r="E3" i="9"/>
  <c r="E49" i="12" s="1"/>
  <c r="Q14" i="13"/>
  <c r="E30" i="13" s="1"/>
  <c r="H3" i="8" l="1"/>
  <c r="H44" i="12"/>
  <c r="E47" i="12"/>
  <c r="H47" i="12"/>
  <c r="H50" i="12"/>
  <c r="H4" i="8"/>
  <c r="H20" i="8" s="1"/>
  <c r="H26" i="8" s="1"/>
  <c r="H5" i="8"/>
  <c r="H21" i="8" s="1"/>
  <c r="H27" i="8" s="1"/>
  <c r="H4" i="9"/>
  <c r="H30" i="9"/>
  <c r="V3" i="8"/>
  <c r="AC10" i="13"/>
  <c r="E25" i="13"/>
  <c r="Z20" i="3"/>
  <c r="AA14" i="3"/>
  <c r="AB17" i="3" s="1"/>
  <c r="Q10" i="13"/>
  <c r="E26" i="13" s="1"/>
  <c r="E45" i="12" s="1"/>
  <c r="E30" i="9"/>
  <c r="E4" i="9"/>
  <c r="B50" i="11"/>
  <c r="Q15" i="13"/>
  <c r="E31" i="13" s="1"/>
  <c r="H30" i="8" l="1"/>
  <c r="E3" i="8"/>
  <c r="S3" i="8" s="1"/>
  <c r="E44" i="12"/>
  <c r="E50" i="12" s="1"/>
  <c r="E51" i="12"/>
  <c r="H5" i="9"/>
  <c r="H20" i="9"/>
  <c r="H31" i="9"/>
  <c r="V4" i="8"/>
  <c r="AC12" i="13"/>
  <c r="H28" i="13" s="1"/>
  <c r="H26" i="13"/>
  <c r="Q12" i="13"/>
  <c r="E28" i="13" s="1"/>
  <c r="AB16" i="3"/>
  <c r="AB6" i="3"/>
  <c r="AB3" i="3"/>
  <c r="AB2" i="3"/>
  <c r="AB11" i="3"/>
  <c r="AB8" i="3"/>
  <c r="AB7" i="3"/>
  <c r="AB10" i="3"/>
  <c r="AB9" i="3"/>
  <c r="B10" i="2"/>
  <c r="AB4" i="3"/>
  <c r="AB5" i="3"/>
  <c r="AB13" i="3"/>
  <c r="E5" i="9"/>
  <c r="S5" i="8" s="1"/>
  <c r="C50" i="11"/>
  <c r="E7" i="14"/>
  <c r="E13" i="14" s="1"/>
  <c r="E20" i="9"/>
  <c r="S4" i="8"/>
  <c r="E31" i="9"/>
  <c r="V20" i="8" l="1"/>
  <c r="H24" i="9"/>
  <c r="S20" i="8"/>
  <c r="E24" i="9"/>
  <c r="E15" i="14"/>
  <c r="H7" i="14"/>
  <c r="H38" i="14" s="1"/>
  <c r="H45" i="12"/>
  <c r="H51" i="12" s="1"/>
  <c r="E38" i="14"/>
  <c r="E12" i="14"/>
  <c r="H21" i="9"/>
  <c r="V21" i="8" s="1"/>
  <c r="H32" i="9"/>
  <c r="V5" i="8"/>
  <c r="E21" i="9"/>
  <c r="S21" i="8" s="1"/>
  <c r="E32" i="9"/>
  <c r="D50" i="11"/>
  <c r="E18" i="14"/>
  <c r="H12" i="14" l="1"/>
  <c r="H17" i="14" s="1"/>
  <c r="H13" i="14"/>
  <c r="H15" i="14" s="1"/>
  <c r="E34" i="14"/>
  <c r="E19" i="14"/>
  <c r="E16" i="14"/>
  <c r="E17" i="14"/>
  <c r="E20" i="14"/>
  <c r="H48" i="11"/>
  <c r="B51" i="11"/>
  <c r="C51" i="11" l="1"/>
  <c r="D51" i="11" l="1"/>
  <c r="J49" i="11"/>
  <c r="AD4" i="10" s="1"/>
  <c r="AD7" i="13" l="1"/>
  <c r="K49" i="11"/>
  <c r="AD5" i="10" s="1"/>
  <c r="B52" i="11"/>
  <c r="AD11" i="13" l="1"/>
  <c r="AD14" i="13" s="1"/>
  <c r="AD7" i="10"/>
  <c r="AD6" i="10"/>
  <c r="AD8" i="13"/>
  <c r="AD9" i="13" s="1"/>
  <c r="C52" i="11"/>
  <c r="R11" i="13"/>
  <c r="F27" i="13" s="1"/>
  <c r="R8" i="13"/>
  <c r="AD10" i="13" l="1"/>
  <c r="R13" i="13"/>
  <c r="D52" i="11"/>
  <c r="R9" i="13"/>
  <c r="R14" i="13"/>
  <c r="AD12" i="13" l="1"/>
  <c r="R10" i="13"/>
  <c r="R15" i="13"/>
  <c r="B53" i="11"/>
  <c r="R12" i="13" l="1"/>
  <c r="C53" i="11"/>
  <c r="D53" i="11" l="1"/>
  <c r="H51" i="11" l="1"/>
  <c r="B54" i="11"/>
  <c r="C54" i="11" l="1"/>
  <c r="D54" i="11" l="1"/>
  <c r="J52" i="11"/>
  <c r="AE4" i="10" s="1"/>
  <c r="AE7" i="13" l="1"/>
  <c r="K52" i="11"/>
  <c r="AE5" i="10" s="1"/>
  <c r="AE6" i="10" s="1"/>
  <c r="B55" i="11"/>
  <c r="AE8" i="13" l="1"/>
  <c r="AE9" i="13" s="1"/>
  <c r="AE11" i="13"/>
  <c r="AE14" i="13" s="1"/>
  <c r="AE7" i="10"/>
  <c r="C55" i="11"/>
  <c r="S8" i="13"/>
  <c r="AE10" i="13" l="1"/>
  <c r="S9" i="13"/>
  <c r="S13" i="13"/>
  <c r="D55" i="11"/>
  <c r="S14" i="13"/>
  <c r="AE12" i="13" l="1"/>
  <c r="B56" i="11"/>
  <c r="S15" i="13"/>
  <c r="S10" i="13"/>
  <c r="S12" i="13" l="1"/>
  <c r="C56" i="11"/>
  <c r="D56" i="11" l="1"/>
  <c r="H54" i="11" l="1"/>
  <c r="B57" i="11"/>
  <c r="C57" i="11" l="1"/>
  <c r="D57" i="11" l="1"/>
  <c r="J55" i="11"/>
  <c r="AF4" i="10" s="1"/>
  <c r="AF7" i="13" l="1"/>
  <c r="K55" i="11"/>
  <c r="AF5" i="10" s="1"/>
  <c r="B58" i="11"/>
  <c r="AF11" i="13" l="1"/>
  <c r="AF7" i="10"/>
  <c r="AF6" i="10"/>
  <c r="AF8" i="13"/>
  <c r="AF9" i="13" s="1"/>
  <c r="C58" i="11"/>
  <c r="T8" i="13"/>
  <c r="AF10" i="13" l="1"/>
  <c r="AF14" i="13"/>
  <c r="T13" i="13"/>
  <c r="T9" i="13"/>
  <c r="T14" i="13"/>
  <c r="D58" i="11"/>
  <c r="AF12" i="13" l="1"/>
  <c r="T10" i="13"/>
  <c r="T15" i="13"/>
  <c r="B59" i="11"/>
  <c r="T12" i="13" l="1"/>
  <c r="C59" i="11"/>
  <c r="D59" i="11" l="1"/>
  <c r="H57" i="11" l="1"/>
  <c r="B60" i="11"/>
  <c r="C60" i="11" l="1"/>
  <c r="D60" i="11" l="1"/>
  <c r="J58" i="11"/>
  <c r="AG4" i="10" s="1"/>
  <c r="AG7" i="13" l="1"/>
  <c r="K58" i="11"/>
  <c r="AG5" i="10" s="1"/>
  <c r="AG6" i="10" s="1"/>
  <c r="B61" i="11"/>
  <c r="AG8" i="13" l="1"/>
  <c r="AG9" i="13" s="1"/>
  <c r="I23" i="13"/>
  <c r="AG11" i="13"/>
  <c r="I27" i="13" s="1"/>
  <c r="I8" i="14" s="1"/>
  <c r="AG7" i="10"/>
  <c r="C61" i="11"/>
  <c r="U8" i="13"/>
  <c r="F24" i="13" s="1"/>
  <c r="AG14" i="13" l="1"/>
  <c r="I30" i="13" s="1"/>
  <c r="I25" i="13"/>
  <c r="I24" i="13"/>
  <c r="I3" i="9" s="1"/>
  <c r="I49" i="12" s="1"/>
  <c r="F8" i="14"/>
  <c r="U13" i="13"/>
  <c r="F29" i="13" s="1"/>
  <c r="U9" i="13"/>
  <c r="F3" i="9"/>
  <c r="F49" i="12" s="1"/>
  <c r="D61" i="11"/>
  <c r="U14" i="13"/>
  <c r="F30" i="13" s="1"/>
  <c r="F47" i="12" l="1"/>
  <c r="I3" i="8"/>
  <c r="W3" i="8" s="1"/>
  <c r="I44" i="12"/>
  <c r="I50" i="12" s="1"/>
  <c r="I47" i="12"/>
  <c r="I4" i="8"/>
  <c r="I20" i="8" s="1"/>
  <c r="I26" i="8" s="1"/>
  <c r="I5" i="8"/>
  <c r="I21" i="8" s="1"/>
  <c r="I27" i="8" s="1"/>
  <c r="AG10" i="13"/>
  <c r="AG12" i="13" s="1"/>
  <c r="I28" i="13" s="1"/>
  <c r="I30" i="9"/>
  <c r="I4" i="9"/>
  <c r="F25" i="13"/>
  <c r="B62" i="11"/>
  <c r="F30" i="9"/>
  <c r="F4" i="9"/>
  <c r="U15" i="13"/>
  <c r="F31" i="13" s="1"/>
  <c r="U10" i="13"/>
  <c r="I30" i="8" l="1"/>
  <c r="F3" i="8"/>
  <c r="T3" i="8" s="1"/>
  <c r="F44" i="12"/>
  <c r="F50" i="12" s="1"/>
  <c r="I26" i="13"/>
  <c r="I5" i="9"/>
  <c r="W4" i="8"/>
  <c r="I20" i="9"/>
  <c r="I31" i="9"/>
  <c r="U12" i="13"/>
  <c r="F28" i="13" s="1"/>
  <c r="F26" i="13"/>
  <c r="F45" i="12" s="1"/>
  <c r="F51" i="12" s="1"/>
  <c r="F20" i="9"/>
  <c r="F31" i="9"/>
  <c r="T4" i="8"/>
  <c r="C62" i="11"/>
  <c r="F5" i="9"/>
  <c r="W20" i="8" l="1"/>
  <c r="I24" i="9"/>
  <c r="T20" i="8"/>
  <c r="F24" i="9"/>
  <c r="I7" i="14"/>
  <c r="I13" i="14" s="1"/>
  <c r="I15" i="14" s="1"/>
  <c r="I45" i="12"/>
  <c r="I51" i="12" s="1"/>
  <c r="I38" i="14"/>
  <c r="I12" i="14"/>
  <c r="I17" i="14" s="1"/>
  <c r="I18" i="14"/>
  <c r="I34" i="14" s="1"/>
  <c r="W5" i="8"/>
  <c r="I21" i="9"/>
  <c r="W21" i="8" s="1"/>
  <c r="I32" i="9"/>
  <c r="D62" i="11"/>
  <c r="F21" i="9"/>
  <c r="T21" i="8" s="1"/>
  <c r="F32" i="9"/>
  <c r="T5" i="8"/>
  <c r="F7" i="14"/>
  <c r="F13" i="14" s="1"/>
  <c r="F15" i="14" l="1"/>
  <c r="F38" i="14"/>
  <c r="F12" i="14"/>
  <c r="I20" i="14"/>
  <c r="F18" i="14"/>
  <c r="F34" i="14" s="1"/>
  <c r="H60" i="11"/>
  <c r="B63" i="11"/>
  <c r="C63" i="11" l="1"/>
  <c r="F20" i="14"/>
  <c r="F19" i="14"/>
  <c r="F17" i="14"/>
  <c r="F16" i="14"/>
  <c r="B28" i="14" l="1"/>
  <c r="D63" i="11"/>
  <c r="J61" i="11"/>
  <c r="AH4" i="10" s="1"/>
  <c r="AH7" i="13" l="1"/>
  <c r="K61" i="11"/>
  <c r="AH5" i="10" s="1"/>
  <c r="B64" i="11"/>
  <c r="AH11" i="13" l="1"/>
  <c r="AH14" i="13" s="1"/>
  <c r="AH7" i="10"/>
  <c r="AH6" i="10"/>
  <c r="AH8" i="13"/>
  <c r="AH9" i="13" s="1"/>
  <c r="C64" i="11"/>
  <c r="V8" i="13"/>
  <c r="AH10" i="13" l="1"/>
  <c r="V13" i="13"/>
  <c r="D64" i="11"/>
  <c r="V9" i="13"/>
  <c r="V14" i="13"/>
  <c r="AH12" i="13" l="1"/>
  <c r="V10" i="13"/>
  <c r="V15" i="13"/>
  <c r="B65" i="11"/>
  <c r="V12" i="13" l="1"/>
  <c r="C65" i="11"/>
  <c r="D65" i="11" l="1"/>
  <c r="H63" i="11" l="1"/>
  <c r="B66" i="11"/>
  <c r="C66" i="11" l="1"/>
  <c r="D66" i="11" l="1"/>
  <c r="J64" i="11"/>
  <c r="AI4" i="10" s="1"/>
  <c r="AI7" i="13" l="1"/>
  <c r="K64" i="11"/>
  <c r="AI5" i="10" s="1"/>
  <c r="B67" i="11"/>
  <c r="AI11" i="13" l="1"/>
  <c r="AI14" i="13" s="1"/>
  <c r="AI7" i="10"/>
  <c r="AI6" i="10"/>
  <c r="AI8" i="13"/>
  <c r="AI9" i="13" s="1"/>
  <c r="C67" i="11"/>
  <c r="W8" i="13"/>
  <c r="AI10" i="13" l="1"/>
  <c r="W13" i="13"/>
  <c r="D67" i="11"/>
  <c r="W9" i="13"/>
  <c r="W14" i="13"/>
  <c r="AI12" i="13" l="1"/>
  <c r="W10" i="13"/>
  <c r="W15" i="13"/>
  <c r="B68" i="11"/>
  <c r="W12" i="13" l="1"/>
  <c r="C68" i="11"/>
  <c r="D68" i="11" l="1"/>
  <c r="J67" i="11"/>
  <c r="AJ4" i="10" s="1"/>
  <c r="AJ7" i="13" l="1"/>
  <c r="J69" i="11"/>
  <c r="H66" i="11"/>
  <c r="B69" i="11"/>
  <c r="C69" i="11" s="1"/>
  <c r="D69" i="11" s="1"/>
  <c r="H69" i="11" s="1"/>
  <c r="H70" i="11" s="1"/>
  <c r="AJ8" i="13" l="1"/>
  <c r="AJ9" i="13" s="1"/>
  <c r="J23" i="13"/>
  <c r="K67" i="11"/>
  <c r="AJ5" i="10" s="1"/>
  <c r="AJ11" i="13" l="1"/>
  <c r="AJ7" i="10"/>
  <c r="AJ6" i="10"/>
  <c r="J25" i="13"/>
  <c r="J24" i="13"/>
  <c r="J3" i="9" s="1"/>
  <c r="J49" i="12" s="1"/>
  <c r="X8" i="13"/>
  <c r="X9" i="13" s="1"/>
  <c r="K69" i="11"/>
  <c r="J47" i="12" l="1"/>
  <c r="J3" i="8"/>
  <c r="J44" i="12"/>
  <c r="J50" i="12" s="1"/>
  <c r="J4" i="8"/>
  <c r="J20" i="8" s="1"/>
  <c r="J26" i="8" s="1"/>
  <c r="J5" i="8"/>
  <c r="J21" i="8" s="1"/>
  <c r="J27" i="8" s="1"/>
  <c r="J30" i="8" s="1"/>
  <c r="J4" i="9"/>
  <c r="J5" i="9" s="1"/>
  <c r="J30" i="9"/>
  <c r="X3" i="8"/>
  <c r="AJ10" i="13"/>
  <c r="J27" i="13"/>
  <c r="J8" i="14" s="1"/>
  <c r="AJ14" i="13"/>
  <c r="J30" i="13" s="1"/>
  <c r="G25" i="13"/>
  <c r="G24" i="13"/>
  <c r="G3" i="9" s="1"/>
  <c r="AK7" i="10"/>
  <c r="AL7" i="10" s="1"/>
  <c r="AM7" i="10" s="1"/>
  <c r="AN7" i="10" s="1"/>
  <c r="AO7" i="10" s="1"/>
  <c r="AP7" i="10" s="1"/>
  <c r="AQ7" i="10" s="1"/>
  <c r="AR7" i="10" s="1"/>
  <c r="AS7" i="10" s="1"/>
  <c r="Q3" i="9" l="1"/>
  <c r="Q20" i="9" s="1"/>
  <c r="G49" i="12"/>
  <c r="G3" i="8"/>
  <c r="U3" i="8" s="1"/>
  <c r="AA3" i="8" s="1"/>
  <c r="G44" i="12"/>
  <c r="G4" i="8"/>
  <c r="G20" i="8" s="1"/>
  <c r="G26" i="8" s="1"/>
  <c r="G5" i="8"/>
  <c r="X5" i="8"/>
  <c r="J32" i="9"/>
  <c r="J21" i="9"/>
  <c r="X21" i="8" s="1"/>
  <c r="AJ12" i="13"/>
  <c r="J28" i="13" s="1"/>
  <c r="J26" i="13"/>
  <c r="X4" i="8"/>
  <c r="J31" i="9"/>
  <c r="J20" i="9"/>
  <c r="G8" i="14"/>
  <c r="X13" i="13"/>
  <c r="G29" i="13" s="1"/>
  <c r="X14" i="13"/>
  <c r="G30" i="13" s="1"/>
  <c r="G30" i="9"/>
  <c r="G4" i="9"/>
  <c r="Q4" i="9" s="1"/>
  <c r="X10" i="13"/>
  <c r="X20" i="8" l="1"/>
  <c r="J24" i="9"/>
  <c r="G47" i="12"/>
  <c r="G50" i="12"/>
  <c r="J7" i="14"/>
  <c r="J13" i="14" s="1"/>
  <c r="J15" i="14" s="1"/>
  <c r="J45" i="12"/>
  <c r="J51" i="12" s="1"/>
  <c r="J38" i="14"/>
  <c r="J18" i="14"/>
  <c r="X12" i="13"/>
  <c r="G28" i="13" s="1"/>
  <c r="G26" i="13"/>
  <c r="G45" i="12" s="1"/>
  <c r="G21" i="8"/>
  <c r="G27" i="8" s="1"/>
  <c r="G30" i="8" s="1"/>
  <c r="G31" i="9"/>
  <c r="U4" i="8"/>
  <c r="AA4" i="8" s="1"/>
  <c r="G20" i="9"/>
  <c r="T3" i="9"/>
  <c r="X15" i="13"/>
  <c r="G31" i="13" s="1"/>
  <c r="G5" i="9"/>
  <c r="H8" i="14"/>
  <c r="M8" i="14" s="1"/>
  <c r="U20" i="8" l="1"/>
  <c r="AA20" i="8" s="1"/>
  <c r="G24" i="9"/>
  <c r="J12" i="14"/>
  <c r="J17" i="14" s="1"/>
  <c r="G51" i="12"/>
  <c r="N8" i="14"/>
  <c r="J34" i="14"/>
  <c r="J20" i="14"/>
  <c r="H18" i="14"/>
  <c r="H34" i="14" s="1"/>
  <c r="G32" i="9"/>
  <c r="G21" i="9"/>
  <c r="U21" i="8" s="1"/>
  <c r="AA21" i="8" s="1"/>
  <c r="AA24" i="8" s="1"/>
  <c r="B28" i="2" s="1"/>
  <c r="U5" i="8"/>
  <c r="AA5" i="8" s="1"/>
  <c r="Q5" i="9"/>
  <c r="T4" i="9" s="1"/>
  <c r="G7" i="14"/>
  <c r="G13" i="14" s="1"/>
  <c r="B21" i="14" s="1"/>
  <c r="L54" i="12" l="1"/>
  <c r="L53" i="12"/>
  <c r="B11" i="2" s="1"/>
  <c r="G15" i="14"/>
  <c r="B22" i="14" s="1"/>
  <c r="G38" i="14"/>
  <c r="G12" i="14"/>
  <c r="N7" i="14"/>
  <c r="M7" i="14"/>
  <c r="G18" i="14"/>
  <c r="G34" i="14" s="1"/>
  <c r="H20" i="14"/>
  <c r="N12" i="14" l="1"/>
  <c r="M12" i="14"/>
  <c r="B26" i="14"/>
  <c r="B19" i="2" s="1"/>
  <c r="B18" i="2"/>
  <c r="B24" i="14"/>
  <c r="B17" i="2" s="1"/>
  <c r="B31" i="14"/>
  <c r="B24" i="2" s="1"/>
  <c r="B23" i="14"/>
  <c r="B16" i="2" s="1"/>
  <c r="B30" i="14"/>
  <c r="B23" i="2" s="1"/>
  <c r="B12" i="2"/>
  <c r="B20" i="2"/>
  <c r="G17" i="14"/>
  <c r="G16" i="14"/>
  <c r="H16" i="14" s="1"/>
  <c r="I16" i="14" s="1"/>
  <c r="J16" i="14" s="1"/>
  <c r="K16" i="14" s="1"/>
  <c r="L16" i="14" s="1"/>
  <c r="G20" i="14"/>
  <c r="B29" i="14"/>
  <c r="B22" i="2" s="1"/>
  <c r="G19" i="14"/>
  <c r="H19" i="14" s="1"/>
  <c r="I19" i="14" s="1"/>
  <c r="J19" i="14" s="1"/>
  <c r="K19" i="14" s="1"/>
  <c r="L19" i="14" s="1"/>
  <c r="B15" i="2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tc={00780033-00BE-488E-A84B-001A00D700EE}</author>
  </authors>
  <commentList>
    <comment ref="A1" authorId="0" shapeId="0" xr:uid="{00000000-0006-0000-0800-000001000000}">
      <text>
        <r>
          <rPr>
            <b/>
            <sz val="9"/>
            <rFont val="Tahoma"/>
            <family val="2"/>
            <charset val="204"/>
          </rPr>
          <t>Автор:</t>
        </r>
        <r>
          <rPr>
            <sz val="9"/>
            <rFont val="Tahoma"/>
            <family val="2"/>
            <charset val="204"/>
          </rPr>
          <t xml:space="preserve">
нет льгот по взносам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tc={00F70035-0092-4761-BB1B-00CC0005007B}</author>
  </authors>
  <commentList>
    <comment ref="N77" authorId="0" shapeId="0" xr:uid="{00000000-0006-0000-0900-000001000000}">
      <text>
        <r>
          <rPr>
            <b/>
            <sz val="9"/>
            <rFont val="Tahoma"/>
            <family val="2"/>
            <charset val="204"/>
          </rPr>
          <t>Автор:</t>
        </r>
        <r>
          <rPr>
            <sz val="9"/>
            <rFont val="Tahoma"/>
            <family val="2"/>
            <charset val="204"/>
          </rPr>
          <t xml:space="preserve">
разница во взносах
</t>
        </r>
      </text>
    </comment>
  </commentList>
</comments>
</file>

<file path=xl/sharedStrings.xml><?xml version="1.0" encoding="utf-8"?>
<sst xmlns="http://schemas.openxmlformats.org/spreadsheetml/2006/main" count="1241" uniqueCount="504">
  <si>
    <t>Капитальные вложения</t>
  </si>
  <si>
    <t>Ставки</t>
  </si>
  <si>
    <t>Площадь участка, кв м</t>
  </si>
  <si>
    <t>Расчет ставки дисконтирования</t>
  </si>
  <si>
    <t>Формула</t>
  </si>
  <si>
    <t>Ставка риска (безрисковый, с учетом имеющегося опыта), %</t>
  </si>
  <si>
    <t>Ставка дисконтирования</t>
  </si>
  <si>
    <t xml:space="preserve">Основные показатели проекта </t>
  </si>
  <si>
    <t>Средняя стоимость без НДС, руб/кг</t>
  </si>
  <si>
    <t>Рабочие места, чел.</t>
  </si>
  <si>
    <t>Среднемесячная заработная плата, тыс. руб</t>
  </si>
  <si>
    <t>Годовой ФОТ, млн руб.</t>
  </si>
  <si>
    <t>Сумма инвестиций, тыс.руб.</t>
  </si>
  <si>
    <t>Чистая прибыль, тыс. руб./год</t>
  </si>
  <si>
    <t>Выгода в налогах и взносах за 10 лет, млн руб.</t>
  </si>
  <si>
    <t>Чистая прибыль</t>
  </si>
  <si>
    <t>Мероприятие</t>
  </si>
  <si>
    <t>итого</t>
  </si>
  <si>
    <t>Итого</t>
  </si>
  <si>
    <t>Структура вложений, %</t>
  </si>
  <si>
    <t>ИТОГО, тыс.руб.</t>
  </si>
  <si>
    <t>ИТОГО</t>
  </si>
  <si>
    <t>Операционные р-ды</t>
  </si>
  <si>
    <t>База НДС, тыс. руб.</t>
  </si>
  <si>
    <t>Всего инвестиций</t>
  </si>
  <si>
    <t>НДС, тыс. руб.</t>
  </si>
  <si>
    <t>Инвестиции Без НДС, тыс. руб.</t>
  </si>
  <si>
    <t>Собственные средства</t>
  </si>
  <si>
    <t>Заемные средства</t>
  </si>
  <si>
    <t>Господдержка</t>
  </si>
  <si>
    <t>График вложения инвестиций, млн руб</t>
  </si>
  <si>
    <t>Капвложения</t>
  </si>
  <si>
    <t>Амортизация, линейным способом</t>
  </si>
  <si>
    <t>Имущество</t>
  </si>
  <si>
    <t>Нарастающим итогом стоимость имущества</t>
  </si>
  <si>
    <t>Остаточная стоимость</t>
  </si>
  <si>
    <t>Налог на имущество ТОР</t>
  </si>
  <si>
    <t>Налог на имущество без ТОР</t>
  </si>
  <si>
    <t>Земельный налог ТОР</t>
  </si>
  <si>
    <t>Земельный налог без ТОР</t>
  </si>
  <si>
    <t>Стоимость без НДС, тыс. руб.</t>
  </si>
  <si>
    <t>Планируемый объем реализации в месяц (от мощности), тыс. тонн</t>
  </si>
  <si>
    <t xml:space="preserve">Наименование </t>
  </si>
  <si>
    <t>ед. изм.</t>
  </si>
  <si>
    <t>1 год</t>
  </si>
  <si>
    <t>2 год</t>
  </si>
  <si>
    <t>3 год</t>
  </si>
  <si>
    <t>4 год</t>
  </si>
  <si>
    <t>5 год</t>
  </si>
  <si>
    <t>6 год</t>
  </si>
  <si>
    <t>7 год</t>
  </si>
  <si>
    <t>8 год</t>
  </si>
  <si>
    <t>9 год</t>
  </si>
  <si>
    <t>10 год</t>
  </si>
  <si>
    <t>11 год</t>
  </si>
  <si>
    <t>средняя</t>
  </si>
  <si>
    <t>в день</t>
  </si>
  <si>
    <t>тыс.руб.</t>
  </si>
  <si>
    <t>Планируемый объем реализации в год в натуральном выражении</t>
  </si>
  <si>
    <t xml:space="preserve"> в год</t>
  </si>
  <si>
    <t>Количество месяцев реализации в году</t>
  </si>
  <si>
    <t>планируемый объем загрузки</t>
  </si>
  <si>
    <t>%</t>
  </si>
  <si>
    <t>Выручка, тыс.руб</t>
  </si>
  <si>
    <t xml:space="preserve">6 год </t>
  </si>
  <si>
    <t>Планиуремый объем загрузки в год, %</t>
  </si>
  <si>
    <t>№ п/п</t>
  </si>
  <si>
    <t>Наименование услуги</t>
  </si>
  <si>
    <t>I кв. 1 г.</t>
  </si>
  <si>
    <t>II кв. 1 г.</t>
  </si>
  <si>
    <t>III кв. 1 г.</t>
  </si>
  <si>
    <t>IV кв. 1 г.</t>
  </si>
  <si>
    <t>I кв. 2 г.</t>
  </si>
  <si>
    <t>II кв. 2 г.</t>
  </si>
  <si>
    <t>III кв. 2 г.</t>
  </si>
  <si>
    <t>IV кв. 2 г.</t>
  </si>
  <si>
    <t>I кв. 3 г.</t>
  </si>
  <si>
    <t>II кв. 3 г.</t>
  </si>
  <si>
    <t>III кв. 3 г.</t>
  </si>
  <si>
    <t>IV кв. 3 г.</t>
  </si>
  <si>
    <t>I кв. 4 г.</t>
  </si>
  <si>
    <t>II кв. 4 г.</t>
  </si>
  <si>
    <t>III кв. 4 г.</t>
  </si>
  <si>
    <t>IV кв. 4 г.</t>
  </si>
  <si>
    <t>I кв. 5 г.</t>
  </si>
  <si>
    <t>II кв. 5 г.</t>
  </si>
  <si>
    <t>III кв. 5 г.</t>
  </si>
  <si>
    <t>IV кв. 5 г.</t>
  </si>
  <si>
    <t>I кв. 6 г.</t>
  </si>
  <si>
    <t>II кв. 6 г.</t>
  </si>
  <si>
    <t>III кв. 6 г.</t>
  </si>
  <si>
    <t>IV кв. 6 г.</t>
  </si>
  <si>
    <t>тыс. руб.</t>
  </si>
  <si>
    <t>ИТОГО в год</t>
  </si>
  <si>
    <t>I кв. 7 г.</t>
  </si>
  <si>
    <t>II кв. 7 г.</t>
  </si>
  <si>
    <t>III кв. 7 г.</t>
  </si>
  <si>
    <t>IV кв. 7 г.</t>
  </si>
  <si>
    <t>I кв. 8 г.</t>
  </si>
  <si>
    <t>II кв. 8 г.</t>
  </si>
  <si>
    <t>III кв. 8 г.</t>
  </si>
  <si>
    <t>IV кв. 8 г.</t>
  </si>
  <si>
    <t>I кв. 9 г.</t>
  </si>
  <si>
    <t>II кв. 9 г.</t>
  </si>
  <si>
    <t>III кв. 9 г.</t>
  </si>
  <si>
    <t>IV кв. 9 г.</t>
  </si>
  <si>
    <t>I кв. 10 г.</t>
  </si>
  <si>
    <t>II кв. 10 г.</t>
  </si>
  <si>
    <t>III кв. 10 г.</t>
  </si>
  <si>
    <t>IV кв. 10 г.</t>
  </si>
  <si>
    <t>I кв. 11 г.</t>
  </si>
  <si>
    <t>II кв. 11 г.</t>
  </si>
  <si>
    <t>III кв. 11 г.</t>
  </si>
  <si>
    <t>IV кв. 11 г.</t>
  </si>
  <si>
    <t>Персонал</t>
  </si>
  <si>
    <t>Количество сотрудников</t>
  </si>
  <si>
    <t>Оклад в месяц, тыс. руб.</t>
  </si>
  <si>
    <t>Генеральный директор</t>
  </si>
  <si>
    <t>Главный инженер</t>
  </si>
  <si>
    <t>Менеджер по продажам</t>
  </si>
  <si>
    <t>Итого ЗП по направлению:</t>
  </si>
  <si>
    <t>Страховые взносы ФНС</t>
  </si>
  <si>
    <t>Подразделение 1:</t>
  </si>
  <si>
    <t>Бригадир</t>
  </si>
  <si>
    <t>Оператор линии, наладчик</t>
  </si>
  <si>
    <t>ИРС Разнорабочий (уборщик, дворник)</t>
  </si>
  <si>
    <t>Водитель</t>
  </si>
  <si>
    <t>Подпразделение 2:</t>
  </si>
  <si>
    <t>Участок 1</t>
  </si>
  <si>
    <t>Участок 2</t>
  </si>
  <si>
    <t xml:space="preserve">  </t>
  </si>
  <si>
    <t>Участок 3</t>
  </si>
  <si>
    <t>Участок 4</t>
  </si>
  <si>
    <t>Участок 5</t>
  </si>
  <si>
    <t>Бухгалтерия</t>
  </si>
  <si>
    <t>Коммерческая деятельность</t>
  </si>
  <si>
    <t>Юристы</t>
  </si>
  <si>
    <t>Экономисты</t>
  </si>
  <si>
    <t>Маркетологи</t>
  </si>
  <si>
    <t>доп. Специалисты 1</t>
  </si>
  <si>
    <t>доп. Специалисты 2</t>
  </si>
  <si>
    <t>Административно-хозяйственная деятельность</t>
  </si>
  <si>
    <t>Отдел кадров</t>
  </si>
  <si>
    <t>Охранники</t>
  </si>
  <si>
    <t>Отдел АСУ</t>
  </si>
  <si>
    <t>Кладовщик АХО</t>
  </si>
  <si>
    <t>Электрик</t>
  </si>
  <si>
    <t>Сантехник</t>
  </si>
  <si>
    <t>Ремонтник</t>
  </si>
  <si>
    <t>Уборщики</t>
  </si>
  <si>
    <t>Дворники</t>
  </si>
  <si>
    <t>Водители машины для уборки</t>
  </si>
  <si>
    <t>Итого Страховые взносы ФНС</t>
  </si>
  <si>
    <t>Всего расходов на ЗП:</t>
  </si>
  <si>
    <t>Расходы на ЗП в год:</t>
  </si>
  <si>
    <t>Всего расходы на страховые взносы ФНС:</t>
  </si>
  <si>
    <t>ЗП и взносы ФНС:</t>
  </si>
  <si>
    <t>Страховые взносы ФСС (НС и ПЗ)</t>
  </si>
  <si>
    <t>ЗП и все взносы</t>
  </si>
  <si>
    <t>ЗП и все взносы в год</t>
  </si>
  <si>
    <t>НДФЛ РФ</t>
  </si>
  <si>
    <t>НДФЛ ИРС</t>
  </si>
  <si>
    <t>НДФЛ итого</t>
  </si>
  <si>
    <t>Взносы</t>
  </si>
  <si>
    <t>ставка,%</t>
  </si>
  <si>
    <t>Взносы ФСС (нс и пз -0,3%)</t>
  </si>
  <si>
    <t>Взносы ФНС</t>
  </si>
  <si>
    <t>в т.ч.</t>
  </si>
  <si>
    <t>пенсион страхование - 22%</t>
  </si>
  <si>
    <t>случай времен нетрудоспособности и материнства - 2,9%</t>
  </si>
  <si>
    <t>обязат медицин страхование - 5,1%</t>
  </si>
  <si>
    <t>Рабочие места, чел всего</t>
  </si>
  <si>
    <t>Рабочие места</t>
  </si>
  <si>
    <t>Структура персонала</t>
  </si>
  <si>
    <t>АУП</t>
  </si>
  <si>
    <t>Производственные рабочие</t>
  </si>
  <si>
    <t>Итого по направлению:</t>
  </si>
  <si>
    <t>ВСЕГО рабочих мест</t>
  </si>
  <si>
    <t>Специалисты по логистике</t>
  </si>
  <si>
    <t>Специалисты снабжения</t>
  </si>
  <si>
    <t>Расходы на страховые взносы ФНС:</t>
  </si>
  <si>
    <t>все взносы</t>
  </si>
  <si>
    <t>Взносы ФСС (НС и ПЗ)</t>
  </si>
  <si>
    <t>проверка</t>
  </si>
  <si>
    <t xml:space="preserve">пенсион страхование </t>
  </si>
  <si>
    <t xml:space="preserve">случай времен нетрудоспособности и материнства </t>
  </si>
  <si>
    <t xml:space="preserve">обязат медицин страхование </t>
  </si>
  <si>
    <t>Взносы ФСС (нс и пз)</t>
  </si>
  <si>
    <t>пенсион страхование</t>
  </si>
  <si>
    <t>случай времен нетрудоспособности и материнства</t>
  </si>
  <si>
    <t>обязат медицин страхование</t>
  </si>
  <si>
    <t>Разница во взносах</t>
  </si>
  <si>
    <t>Налог на прибыль:</t>
  </si>
  <si>
    <t>- федеральный бюджет</t>
  </si>
  <si>
    <t>0</t>
  </si>
  <si>
    <t>- региональный бюджет</t>
  </si>
  <si>
    <t>Налог на имущество:</t>
  </si>
  <si>
    <t>Транспортный налог:</t>
  </si>
  <si>
    <t>НДФЛ:</t>
  </si>
  <si>
    <t>- муниципальный бюджет</t>
  </si>
  <si>
    <t>- бюджет поселения</t>
  </si>
  <si>
    <t>Страховые платежи в ФНС</t>
  </si>
  <si>
    <t>Страховые платежи в ФСС</t>
  </si>
  <si>
    <t>НДС:</t>
  </si>
  <si>
    <t>Земельный налог</t>
  </si>
  <si>
    <t>фб</t>
  </si>
  <si>
    <t>рб</t>
  </si>
  <si>
    <t>мб</t>
  </si>
  <si>
    <t>бп</t>
  </si>
  <si>
    <t>арендная плата за зем. Участок</t>
  </si>
  <si>
    <t>ФБ</t>
  </si>
  <si>
    <t>РБ</t>
  </si>
  <si>
    <t>МБ</t>
  </si>
  <si>
    <t>БЕЗ ТОР</t>
  </si>
  <si>
    <t>ИТОГО за 10 лет</t>
  </si>
  <si>
    <t>всего налогов</t>
  </si>
  <si>
    <t>всего взносов</t>
  </si>
  <si>
    <t>Наименование</t>
  </si>
  <si>
    <t>Земельный налог:</t>
  </si>
  <si>
    <t>-местный бюджет</t>
  </si>
  <si>
    <t>- местный бюджет</t>
  </si>
  <si>
    <t>- на пенсионное страхование</t>
  </si>
  <si>
    <t>- на случай временной нетрудоспособности и материнства</t>
  </si>
  <si>
    <t>- на обязательное  медицинское страхование</t>
  </si>
  <si>
    <t>*</t>
  </si>
  <si>
    <t>Привлекаемые инвестиции</t>
  </si>
  <si>
    <t>процентная ставка</t>
  </si>
  <si>
    <t>проценты к уплате</t>
  </si>
  <si>
    <t>Сумма основного долга</t>
  </si>
  <si>
    <t>Аннуитетный платеж</t>
  </si>
  <si>
    <t>Остаток задолженности</t>
  </si>
  <si>
    <t>Условия кредитования</t>
  </si>
  <si>
    <t>Сумма кредита, тыс.руб.</t>
  </si>
  <si>
    <t>Процентная ставка</t>
  </si>
  <si>
    <t>Срок, мес.</t>
  </si>
  <si>
    <t>Переплата</t>
  </si>
  <si>
    <t>Номер периода по оплате</t>
  </si>
  <si>
    <t>Остаток задолженности по кредиту</t>
  </si>
  <si>
    <t>Выплата процентов</t>
  </si>
  <si>
    <t>Выплата осн.долга</t>
  </si>
  <si>
    <t>Итоговый платеж</t>
  </si>
  <si>
    <t>Итоговый платеж в год</t>
  </si>
  <si>
    <t>Итоговый платеж по кварталам</t>
  </si>
  <si>
    <t>Номер месяца</t>
  </si>
  <si>
    <t>Наименование расходов</t>
  </si>
  <si>
    <t>Арендная плата за зем. Участок</t>
  </si>
  <si>
    <t>Заработная плата и страховые взносы</t>
  </si>
  <si>
    <t>Расходы на спецодежду, средства защиты</t>
  </si>
  <si>
    <t>Запасные части, комлектующие, обслуживание оборудования</t>
  </si>
  <si>
    <t>Расходы на продвижение</t>
  </si>
  <si>
    <t>Прочие</t>
  </si>
  <si>
    <t>Банковская гарантия уплаты платежей</t>
  </si>
  <si>
    <t>Амортизация</t>
  </si>
  <si>
    <t xml:space="preserve"> Налоги</t>
  </si>
  <si>
    <t>Обновление основных средств</t>
  </si>
  <si>
    <t>Итого расходов</t>
  </si>
  <si>
    <t>Итого расходов в год</t>
  </si>
  <si>
    <t>выручка</t>
  </si>
  <si>
    <t>ЧП  ТОСЭР</t>
  </si>
  <si>
    <t>ЧП без ТОСЭР</t>
  </si>
  <si>
    <t>Разница в налоге на имущество, 2,2%</t>
  </si>
  <si>
    <t>налог на прибыль, 20%</t>
  </si>
  <si>
    <t>Разница в ЧП с ТОСЭР и без, тыс.руб.</t>
  </si>
  <si>
    <t>всего за 10 лет</t>
  </si>
  <si>
    <t>в среднем за год</t>
  </si>
  <si>
    <t>Выручка</t>
  </si>
  <si>
    <t>Расходы основной деятельности</t>
  </si>
  <si>
    <t>Расходование инвестиций</t>
  </si>
  <si>
    <t>Прибыль (убыток) от продаж</t>
  </si>
  <si>
    <t>Проценты к уплате</t>
  </si>
  <si>
    <t>Прибыль (убыток) до налогообложения</t>
  </si>
  <si>
    <t>Налог на прибыль</t>
  </si>
  <si>
    <t>Чистая прибыль (убыток)</t>
  </si>
  <si>
    <t>На выплату основного долга</t>
  </si>
  <si>
    <t>Остаток после уплаты основного долга</t>
  </si>
  <si>
    <t>Нарастающим итогом платежи по основному долгу</t>
  </si>
  <si>
    <t>Платежи по займу</t>
  </si>
  <si>
    <t>Нарастающим итогом все платежи по займу</t>
  </si>
  <si>
    <t>Среднегодовая</t>
  </si>
  <si>
    <t>субсидия</t>
  </si>
  <si>
    <t>Дисконтированые инвестиции</t>
  </si>
  <si>
    <t>Дисконтированный доход</t>
  </si>
  <si>
    <t>Дисконтированный доход нарастающим итогом</t>
  </si>
  <si>
    <t>Дисконтированный поток</t>
  </si>
  <si>
    <t>Чистый денежный поток, NCF</t>
  </si>
  <si>
    <t>Чистый денежный поток нарастающим итогом</t>
  </si>
  <si>
    <t>Чистый дисконтированный денежный поток</t>
  </si>
  <si>
    <t>&gt;0</t>
  </si>
  <si>
    <t>Рентабельность продаж, %</t>
  </si>
  <si>
    <t>Рентабельность продукции, %</t>
  </si>
  <si>
    <t>Индекс доходности (PI)</t>
  </si>
  <si>
    <t>&gt;1</t>
  </si>
  <si>
    <t>Внутренняя норма доходности (IRR), %</t>
  </si>
  <si>
    <t>&gt;ставки процента</t>
  </si>
  <si>
    <t>Финансовый результат (+/- прибыль/убыток)</t>
  </si>
  <si>
    <t> Средняя норма рентабельности - ARR, % </t>
  </si>
  <si>
    <t>Рентабельность инвестиций, ROI, %</t>
  </si>
  <si>
    <t>Стоимость, тыс. руб.</t>
  </si>
  <si>
    <t>Планируемый объем реализации в месяц</t>
  </si>
  <si>
    <t>Выручка в месяц, тыс. руб.</t>
  </si>
  <si>
    <t>Выручка в квартал, тыс. руб.</t>
  </si>
  <si>
    <t>Выручка в год, тыс. руб.</t>
  </si>
  <si>
    <t>Сдача помещений в аренду</t>
  </si>
  <si>
    <t>кв.м.</t>
  </si>
  <si>
    <t>Хранение товаров на открытой площадке, в том числе на транспортном средстве (за каждые полные/неполные сутки) без разгрузки с третьих по пятые сутки с момента помещения на временное хранение</t>
  </si>
  <si>
    <t>место</t>
  </si>
  <si>
    <t>Хранение товаров на открытой площадке, в том числе на транспортном средстве (за каждые полные/неполные сутки) без разгрузки с шестых суток с момента помещения на временное хранение</t>
  </si>
  <si>
    <t>Размещение на временное хранение контейнера на открытую площадку за сутки</t>
  </si>
  <si>
    <t>контейнер</t>
  </si>
  <si>
    <t>Перегрузка, перемещение паллетированного груза</t>
  </si>
  <si>
    <t>паллета</t>
  </si>
  <si>
    <t>Перегрузка, перемещение непаллетированного груза</t>
  </si>
  <si>
    <t>тонна</t>
  </si>
  <si>
    <t>Хранение товаров на складе временного хранения (за каждые полные/неполные сутки) - стеллажное хранение товаров</t>
  </si>
  <si>
    <t>паллето-место</t>
  </si>
  <si>
    <t>Хранение товаров на складе временного хранения (за каждые полные/неполные сутки) - напольное хранение товаров</t>
  </si>
  <si>
    <t>1 кв.м.</t>
  </si>
  <si>
    <t>Хранение товаров на таможенном складе (за каждые полные/неполные сутки) - стеллажное хранение товаров</t>
  </si>
  <si>
    <t>Хранение товаров на таможенном складе (за каждые полные/неполные сутки) - напольное хранение товаров</t>
  </si>
  <si>
    <t>Хранение товаров на складе общего пользования (за каждые полные/неполные сутки)- стеллажное хранение товаров в холодильной камере</t>
  </si>
  <si>
    <t>Хранение товаров на складе общего пользования (за каждые полные/неполные сутки)- напольное хранение товаров в холодильной камере</t>
  </si>
  <si>
    <t xml:space="preserve">Хранение товаров на складе общего пользования (за каждые полные/неполные сутки)- стеллажное хранение товаров </t>
  </si>
  <si>
    <t xml:space="preserve">Хранение товаров на складе общего пользования (за каждые полные/неполные сутки)- напольное хранение товаров </t>
  </si>
  <si>
    <t>Упаковка, переупаковка</t>
  </si>
  <si>
    <t>Предоставление технических средств и услуг грузчиков при осмотре/досмотре без выгрузки на СВХ</t>
  </si>
  <si>
    <t>услуга</t>
  </si>
  <si>
    <t>Предоставление технических средств и услуг грузчиков при осмотре/досмотре с выгрузкой на СВХ</t>
  </si>
  <si>
    <t>Взвешивание товара</t>
  </si>
  <si>
    <t>Упаковка и маркировка товара за короб 0,025 куб.м.</t>
  </si>
  <si>
    <t>Производство товаров под таможенным режимом</t>
  </si>
  <si>
    <t>штука</t>
  </si>
  <si>
    <t>Организация услуг по доставке грузов</t>
  </si>
  <si>
    <t>Сортировка груза, подготовка к доставке</t>
  </si>
  <si>
    <t>Ячейки заголовков</t>
  </si>
  <si>
    <t>Расчётные ячейки</t>
  </si>
  <si>
    <t>Изменяемые ячейки</t>
  </si>
  <si>
    <t>Ячейки итогов</t>
  </si>
  <si>
    <t>Сокращения</t>
  </si>
  <si>
    <t>ср.</t>
  </si>
  <si>
    <t>з/п</t>
  </si>
  <si>
    <t>заработная плата</t>
  </si>
  <si>
    <t>э/э</t>
  </si>
  <si>
    <t>электроэнергия</t>
  </si>
  <si>
    <t>ФОТ</t>
  </si>
  <si>
    <t>фонд оплаты труда</t>
  </si>
  <si>
    <t>ТМЦ</t>
  </si>
  <si>
    <t>товарно-материальные ценности</t>
  </si>
  <si>
    <t>Промежуточные итоги</t>
  </si>
  <si>
    <r>
      <t xml:space="preserve">уровень инфляции, </t>
    </r>
    <r>
      <rPr>
        <i/>
        <sz val="11"/>
        <color theme="1"/>
        <rFont val="Calibri"/>
        <family val="2"/>
        <charset val="204"/>
        <scheme val="minor"/>
      </rPr>
      <t>i</t>
    </r>
  </si>
  <si>
    <t>https://economy.gov.ru/material/file/3b293732b467e7d0f4e7e4f07a682fde/36804_pkd03i.pdf</t>
  </si>
  <si>
    <t>https://cbr.ru/press/keypr/</t>
  </si>
  <si>
    <r>
      <t xml:space="preserve">ключевая ставка ЦБ, </t>
    </r>
    <r>
      <rPr>
        <i/>
        <sz val="11"/>
        <color theme="1"/>
        <rFont val="Calibri"/>
        <family val="2"/>
        <charset val="204"/>
        <scheme val="minor"/>
      </rPr>
      <t>r</t>
    </r>
    <r>
      <rPr>
        <sz val="11"/>
        <color theme="1"/>
        <rFont val="Calibri"/>
        <family val="2"/>
        <charset val="204"/>
        <scheme val="minor"/>
      </rPr>
      <t xml:space="preserve"> </t>
    </r>
  </si>
  <si>
    <t>Проект</t>
  </si>
  <si>
    <t>Объект</t>
  </si>
  <si>
    <t>Срок строительства, в кварталах</t>
  </si>
  <si>
    <t>Ставка налога на имущество</t>
  </si>
  <si>
    <t>Ставка НДФЛ</t>
  </si>
  <si>
    <t>Ставка НДФЛ с ИРС</t>
  </si>
  <si>
    <t>Ставка взносов от НС и ПЗ</t>
  </si>
  <si>
    <t xml:space="preserve">Ставка взносов на пенсионное страхование </t>
  </si>
  <si>
    <t>Ставка взносов на случай временной нетрудоспособности и материнства</t>
  </si>
  <si>
    <t>Ставка взносов на обязательное медицинское страхование</t>
  </si>
  <si>
    <t>земельный участок</t>
  </si>
  <si>
    <t>срок износа техники для расчета амортизации, лет</t>
  </si>
  <si>
    <t>срок износа помещения для расчета амортизации, лет</t>
  </si>
  <si>
    <t>Темп прироста заработной платы, % в год</t>
  </si>
  <si>
    <t>фактор риска, %</t>
  </si>
  <si>
    <t>Участок</t>
  </si>
  <si>
    <t>Льгота ТОСЭР</t>
  </si>
  <si>
    <t>Чистый денежный поток, млн руб</t>
  </si>
  <si>
    <t>Коммунальный расходы</t>
  </si>
  <si>
    <t>Цены</t>
  </si>
  <si>
    <t>Общий режим</t>
  </si>
  <si>
    <t>Разница в налоге на прибыль, %</t>
  </si>
  <si>
    <t>Расходы на спецодежду, средства защиты, % от ФОТ</t>
  </si>
  <si>
    <t>Прямые расходы</t>
  </si>
  <si>
    <t>Расходы на поддерживающие инвестиции, % в год</t>
  </si>
  <si>
    <t>производство</t>
  </si>
  <si>
    <t>помещение</t>
  </si>
  <si>
    <t>https://www.rsholod.ru/katalog/stroitelstvo/bystrovozvodimye-zdaniya/iz-lstk/</t>
  </si>
  <si>
    <t>https://chita.umd-group.ru/complete/</t>
  </si>
  <si>
    <t>https://www.avito.ru/user/fa002c67669d37a6857748c4b44333dc/profile?id=2491872398&amp;src=item&amp;page_from=from_item_card&amp;iid=2491872398</t>
  </si>
  <si>
    <t>https://www.module-house.ru/production/modul/</t>
  </si>
  <si>
    <t>https://chita.smart-module.ru/catalog/bystrovozvodimye-zdaniya/</t>
  </si>
  <si>
    <t>http://www.metalloprokat-m.ru/catalog/k-10038959-bystrovozvodimyye_zdaniya</t>
  </si>
  <si>
    <t>в ТОР</t>
  </si>
  <si>
    <t>без ТОР</t>
  </si>
  <si>
    <t>Налоги и взносы, тыс руб</t>
  </si>
  <si>
    <t>Разница в налогах и взносах при режиме ТОСЭР и без него, тыс руб</t>
  </si>
  <si>
    <t>Соц. Отчисления</t>
  </si>
  <si>
    <t>ставка дисконтирования</t>
  </si>
  <si>
    <t>периоды дисконтирования</t>
  </si>
  <si>
    <t xml:space="preserve">Арендная плата за земельный участок,% от кадастровой стоимости в год </t>
  </si>
  <si>
    <t>ед изм</t>
  </si>
  <si>
    <t>тыс руб</t>
  </si>
  <si>
    <t>Стоимость подключения к сетям теплоснабжения</t>
  </si>
  <si>
    <t>Стоимость 1 куб.м. хол. Воды, тыс. руб</t>
  </si>
  <si>
    <t>Стоимость 1 куб.м. водоотведения, тыс.руб.</t>
  </si>
  <si>
    <t>Вывоз ТБО за 1 тонну, тыс. руб.</t>
  </si>
  <si>
    <t>Оборудование</t>
  </si>
  <si>
    <t>https://evrazsteelbox.ru/?yclid=1549708558272370416&amp;utm_source=yandex&amp;utm_medium=cpc:context&amp;utm_term=&amp;utm_campaign=72157342_mk_zdaniya&amp;utm_content=4852280500:12361303001:37099947458:desktop:auto.ru:none:2:213</t>
  </si>
  <si>
    <t>Спецтехника</t>
  </si>
  <si>
    <t>https://auto.ru/autoloader/all/</t>
  </si>
  <si>
    <t>Стоимость для учета земельного налога, тыс руб</t>
  </si>
  <si>
    <t>тонн</t>
  </si>
  <si>
    <t>Прямые расходы, тыс руб</t>
  </si>
  <si>
    <t>Косвенные расходы, тыс руб</t>
  </si>
  <si>
    <t>https://www.brizmotors.ru/equipment/gazogenerator/?name=%D0%93%D0%B0%D0%B7%D0%BE%D0%BF%D0%BE%D1%80%D1%88%D0%BD%D0%B5%D0%B2%D1%8B%D0%B5+%D1%8D%D0%BB%D0%B5%D0%BA%D1%82%D1%80%D0%BE%D1%81%D1%82%D0%B0%D0%BD%D1%86%D0%B8%D0%B8+100+-+2000+%D0%BA%D0%92%D1%82&amp;area=1422%3B2058</t>
  </si>
  <si>
    <t>Общехозяйственные расходы (коммунальные расходы, содержание здания, канцтовары, интернет, охрана и проч)</t>
  </si>
  <si>
    <t>темп прироста стоимости продукции и расходов, % в год</t>
  </si>
  <si>
    <t>Кадастровая стоимость участка, тыс руб</t>
  </si>
  <si>
    <t>РАСХОДЫ, всего</t>
  </si>
  <si>
    <t>Темп прироста стоимости продукции, % в год</t>
  </si>
  <si>
    <t>Себестоимость, руб/ед</t>
  </si>
  <si>
    <t>Чистая прибыль, млн руб</t>
  </si>
  <si>
    <t>Утилизация мусора, опасных отходов</t>
  </si>
  <si>
    <t>Генерация электроэнергии</t>
  </si>
  <si>
    <t>Реализация вторичного сырья, продукции</t>
  </si>
  <si>
    <t>у.е.</t>
  </si>
  <si>
    <t>тыс руб/тонн</t>
  </si>
  <si>
    <t>тыс руб/кВт*ч</t>
  </si>
  <si>
    <t>тыс руб/у.е.</t>
  </si>
  <si>
    <t>кВт*ч</t>
  </si>
  <si>
    <t>тыс кВт*ч</t>
  </si>
  <si>
    <t>Планируемый объем реализации в год, млн руб</t>
  </si>
  <si>
    <t>на чел</t>
  </si>
  <si>
    <t>Количество сжигаемых ТБО для генерации эл/энергии, тонн</t>
  </si>
  <si>
    <t>расчетно в мес</t>
  </si>
  <si>
    <t>фактически в год</t>
  </si>
  <si>
    <t>38:33:010193:146</t>
  </si>
  <si>
    <t>Структура перерабатываемого и утилизируемого мусора</t>
  </si>
  <si>
    <t>опасные отходы</t>
  </si>
  <si>
    <t>сжигаемые отходы</t>
  </si>
  <si>
    <t>перерабатываемые отходы</t>
  </si>
  <si>
    <t>Предпроектная стадия (изыскания, разрешительная документация)</t>
  </si>
  <si>
    <t>Строительство производственно-бытовых помещений, подготовка площадки, инфраструктуры</t>
  </si>
  <si>
    <t>Приобретение производственной линии, спецтехники</t>
  </si>
  <si>
    <t>Мусоросжигающий завод</t>
  </si>
  <si>
    <t>Рекультивация</t>
  </si>
  <si>
    <t>Электроподстанция</t>
  </si>
  <si>
    <t>АУП (бухгалтер, юрист, кадровик, СОТ)</t>
  </si>
  <si>
    <t>Зав. Складом</t>
  </si>
  <si>
    <t>Разнорабочий (сортировщик, грузчик)</t>
  </si>
  <si>
    <t>ИРС</t>
  </si>
  <si>
    <t>иностранная рабочая сила</t>
  </si>
  <si>
    <t>Расходы на масла, топливо</t>
  </si>
  <si>
    <t>Коммунальные расходы (водоснабжение, газоснабжение, уголь для технологических целей)</t>
  </si>
  <si>
    <t>Расходы на материалы</t>
  </si>
  <si>
    <t>Косвенные расходы</t>
  </si>
  <si>
    <t>Расходы на продвижение, тыс руб/кв</t>
  </si>
  <si>
    <t>Доля расходов на материалы (сырье)</t>
  </si>
  <si>
    <t>Строительство мусороперерабатывающего завода</t>
  </si>
  <si>
    <t>Ставка НДС</t>
  </si>
  <si>
    <t>Планируемый средний объем реализации в год в натуральном выражении, тонн</t>
  </si>
  <si>
    <t>Налог на имущество</t>
  </si>
  <si>
    <t>Налог на прибыль ТОСЭР, 12% ч/з 5 лет</t>
  </si>
  <si>
    <t>НДС к уплате</t>
  </si>
  <si>
    <t>НДС входящий</t>
  </si>
  <si>
    <t>НДС исходящий</t>
  </si>
  <si>
    <t>Разница НДС</t>
  </si>
  <si>
    <t>за 11 лет</t>
  </si>
  <si>
    <t>FCFF</t>
  </si>
  <si>
    <t>Фактор дисконтирования</t>
  </si>
  <si>
    <t>Дисконтированный денежный поток (способ 1)</t>
  </si>
  <si>
    <t>Чистая приведенная стоимость  (ЧПС) Способ 1</t>
  </si>
  <si>
    <t>Чистая приведенная стоимость  (ЧПС) Способ 2</t>
  </si>
  <si>
    <t>мусоросжигающий завод</t>
  </si>
  <si>
    <t>https://www.urgk.ru/mini_tets/musoroszhigayushhie-zavody-s-ustanovkoj-mini-tecz</t>
  </si>
  <si>
    <t>https://www.tadviser.ru/index.php/%D0%A1%D1%82%D0%B0%D1%82%D1%8C%D1%8F:%D0%9C%D1%83%D1%81%D0%BE%D1%80%D0%BE%D1%81%D0%B6%D0%B8%D0%B3%D0%B0%D1%82%D0%B5%D0%BB%D1%8C%D0%BD%D1%8B%D0%B5_%D0%B7%D0%B0%D0%B2%D0%BE%D0%B4%D1%8B_%D0%A0%D0%BE%D1%81%D1%81%D0%B8%D0%B8</t>
  </si>
  <si>
    <t>https://www.vedomosti.ru/economics/articles/2020/05/13/830196-25-musoroszhigatelnih</t>
  </si>
  <si>
    <t>https://rostec.ru/news/energiya-iz-otkhodov-zelenye-tekhnologii-protiv-musora/</t>
  </si>
  <si>
    <t>https://global.kawasaki.com/ru/energy/solutions/energy_plants/using_waste.html</t>
  </si>
  <si>
    <t>возможное оборудование</t>
  </si>
  <si>
    <t>железодробилки</t>
  </si>
  <si>
    <t>https://xn--80aafeepm4aidec0a5e4b5b.xn--p1ai/</t>
  </si>
  <si>
    <t>https://s-k56.ru/drobilnoe-oborudovanie</t>
  </si>
  <si>
    <t>https://ex-beton.ru/uslugi</t>
  </si>
  <si>
    <t>https://arden-equipment.ru/primeneniya/recikling/oborudovanie-dlya-drobleniya-betona/</t>
  </si>
  <si>
    <t>* Источник: https://www.urgk.ru/mini_tets/musoroszhigayushhie-zavody-s-ustanovkoj-mini-tecz</t>
  </si>
  <si>
    <t>** Источник: https://rostec.ru/news/energiya-iz-otkhodov-zelenye-tekhnologii-protiv-musora</t>
  </si>
  <si>
    <t>Укрупненный расчет потребности в электроэнергии:</t>
  </si>
  <si>
    <t>Потребность в эл. энергии</t>
  </si>
  <si>
    <t>кол-во установок</t>
  </si>
  <si>
    <t>мощность 1 ед.  оборудования, кВт</t>
  </si>
  <si>
    <t>коэф. использования в технологическом процессе</t>
  </si>
  <si>
    <t>в месяц</t>
  </si>
  <si>
    <t>в год</t>
  </si>
  <si>
    <t>Оборудование для отделения крупногабаритных отходов</t>
  </si>
  <si>
    <t>Стационарные манипуляторы и грейферы</t>
  </si>
  <si>
    <t>Разрыватель, оснащенный барабанными и стационарными ножами</t>
  </si>
  <si>
    <t>Оборудование для фракционирования</t>
  </si>
  <si>
    <t>Оборудование для дробления</t>
  </si>
  <si>
    <t>Оборудование для механической сортировки</t>
  </si>
  <si>
    <t>Оборудование для выделения металлов</t>
  </si>
  <si>
    <t>Конвейеры</t>
  </si>
  <si>
    <t>Насосные</t>
  </si>
  <si>
    <t>Миксеры</t>
  </si>
  <si>
    <t>Прочее мелкое оборудование</t>
  </si>
  <si>
    <t>Освещение</t>
  </si>
  <si>
    <t>Бытовые нужды персонала</t>
  </si>
  <si>
    <t>Расходы воды, газа, топлива, угля, и пр.</t>
  </si>
  <si>
    <t>Срок окупаемости первоначальных инвестиций (РB), лет</t>
  </si>
  <si>
    <t>ТЕХНИЧЕСКИЕ И ЭКОЛОГИЧЕСКИЕ АСПЕКТЫ ИСПОЛЬЗОВАНИЯ ЭНЕРГЕТИЧЕСКОГО ПОТЕНЦИАЛА ТБО (pstu.ru)</t>
  </si>
  <si>
    <t xml:space="preserve">Потребность в электроэнергии на первоначальном этапе проекта  закрывается за счет двух дизельных генераторов, мощностью 500 кВт. После выхода завода на проектную мощность, завод генерирует электроэнергию на собственные нужды и реализует ее населению.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</si>
</sst>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0.0"/>
    <numFmt numFmtId="165" formatCode="0.0000"/>
    <numFmt numFmtId="166" formatCode="0.0%"/>
    <numFmt numFmtId="167" formatCode="#,##0.0"/>
    <numFmt numFmtId="168" formatCode="#,##0.000"/>
    <numFmt numFmtId="169" formatCode="0.000"/>
    <numFmt numFmtId="170" formatCode="#,##0.0000000"/>
  </numFmts>
  <fonts count="55">
    <font>
      <sz val="11"/>
      <color theme="1"/>
      <name val="Calibri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u/>
      <sz val="7.7"/>
      <color theme="10"/>
      <name val="Calibri"/>
      <family val="2"/>
      <charset val="204"/>
    </font>
    <font>
      <sz val="11"/>
      <color rgb="FF9C0006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1"/>
      <name val="Times New Roman"/>
      <family val="1"/>
      <charset val="204"/>
    </font>
    <font>
      <sz val="12"/>
      <color theme="1"/>
      <name val="Calibri"/>
      <family val="2"/>
      <charset val="204"/>
      <scheme val="minor"/>
    </font>
    <font>
      <sz val="12"/>
      <color theme="0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12"/>
      <color indexed="2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20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1"/>
      <color indexed="2"/>
      <name val="Calibri"/>
      <family val="2"/>
      <charset val="204"/>
      <scheme val="minor"/>
    </font>
    <font>
      <sz val="11"/>
      <color theme="3"/>
      <name val="Calibri"/>
      <family val="2"/>
      <charset val="204"/>
      <scheme val="minor"/>
    </font>
    <font>
      <sz val="11"/>
      <color rgb="FFC00000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b/>
      <sz val="11"/>
      <color theme="1"/>
      <name val="Times New Roman"/>
      <family val="1"/>
      <charset val="204"/>
    </font>
    <font>
      <sz val="15"/>
      <name val="Times New Roman"/>
      <family val="1"/>
      <charset val="204"/>
    </font>
    <font>
      <sz val="11"/>
      <color indexed="2"/>
      <name val="Times New Roman"/>
      <family val="1"/>
      <charset val="204"/>
    </font>
    <font>
      <sz val="20"/>
      <color theme="1"/>
      <name val="Times New Roman"/>
      <family val="1"/>
      <charset val="204"/>
    </font>
    <font>
      <sz val="11"/>
      <color theme="0"/>
      <name val="Times New Roman"/>
      <family val="1"/>
      <charset val="204"/>
    </font>
    <font>
      <sz val="14"/>
      <color theme="1"/>
      <name val="Times New Roman"/>
      <family val="1"/>
      <charset val="204"/>
    </font>
    <font>
      <sz val="10"/>
      <color rgb="FF224AD4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9"/>
      <name val="Tahoma"/>
      <family val="2"/>
      <charset val="204"/>
    </font>
    <font>
      <sz val="9"/>
      <name val="Tahoma"/>
      <family val="2"/>
      <charset val="204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i/>
      <sz val="11"/>
      <color theme="1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sz val="20"/>
      <color theme="1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1"/>
      <color theme="2" tint="-0.89999084444715716"/>
      <name val="Calibri"/>
      <family val="2"/>
      <charset val="204"/>
      <scheme val="minor"/>
    </font>
    <font>
      <b/>
      <i/>
      <sz val="11"/>
      <color theme="1"/>
      <name val="Calibri"/>
      <family val="2"/>
      <charset val="204"/>
      <scheme val="minor"/>
    </font>
    <font>
      <sz val="11"/>
      <color theme="1"/>
      <name val="Times New Roman"/>
    </font>
    <font>
      <sz val="10"/>
      <color rgb="FF3390EC"/>
      <name val="Roboto"/>
    </font>
    <font>
      <i/>
      <sz val="9"/>
      <color rgb="FF404040"/>
      <name val="Montserrat"/>
      <charset val="204"/>
    </font>
    <font>
      <sz val="12"/>
      <color rgb="FF000000"/>
      <name val="Calibri"/>
      <family val="2"/>
      <charset val="204"/>
    </font>
  </fonts>
  <fills count="70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5"/>
        <bgColor theme="5"/>
      </patternFill>
    </fill>
    <fill>
      <patternFill patternType="solid">
        <fgColor rgb="FFFFC7CE"/>
        <bgColor rgb="FFFFC7CE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C00000"/>
        <bgColor rgb="FFC00000"/>
      </patternFill>
    </fill>
    <fill>
      <patternFill patternType="solid">
        <fgColor theme="9" tint="0.79998168889431442"/>
        <bgColor theme="9" tint="0.79998168889431442"/>
      </patternFill>
    </fill>
    <fill>
      <patternFill patternType="solid">
        <fgColor rgb="FF00B050"/>
        <bgColor rgb="FF00B050"/>
      </patternFill>
    </fill>
    <fill>
      <patternFill patternType="solid">
        <fgColor indexed="5"/>
        <bgColor indexed="5"/>
      </patternFill>
    </fill>
    <fill>
      <patternFill patternType="solid">
        <fgColor rgb="FF92D050"/>
        <bgColor rgb="FF92D050"/>
      </patternFill>
    </fill>
    <fill>
      <patternFill patternType="solid">
        <fgColor theme="4" tint="0.79998168889431442"/>
        <bgColor rgb="FFFFC7CE"/>
      </patternFill>
    </fill>
    <fill>
      <patternFill patternType="solid">
        <fgColor theme="0"/>
        <bgColor theme="0"/>
      </patternFill>
    </fill>
    <fill>
      <patternFill patternType="solid">
        <fgColor theme="0"/>
        <bgColor indexed="5"/>
      </patternFill>
    </fill>
    <fill>
      <patternFill patternType="solid">
        <fgColor theme="2"/>
        <bgColor theme="2"/>
      </patternFill>
    </fill>
    <fill>
      <patternFill patternType="solid">
        <fgColor theme="0"/>
        <bgColor rgb="FF92D050"/>
      </patternFill>
    </fill>
    <fill>
      <patternFill patternType="solid">
        <fgColor theme="3" tint="0.79998168889431442"/>
        <bgColor theme="3" tint="0.79998168889431442"/>
      </patternFill>
    </fill>
    <fill>
      <patternFill patternType="solid">
        <fgColor rgb="FFFFC000"/>
        <bgColor rgb="FFFFC000"/>
      </patternFill>
    </fill>
    <fill>
      <patternFill patternType="solid">
        <fgColor indexed="2"/>
        <bgColor indexed="2"/>
      </patternFill>
    </fill>
    <fill>
      <patternFill patternType="solid">
        <fgColor theme="0"/>
        <bgColor theme="8" tint="0.79998168889431442"/>
      </patternFill>
    </fill>
    <fill>
      <patternFill patternType="solid">
        <fgColor theme="0"/>
        <bgColor theme="6" tint="0.59999389629810485"/>
      </patternFill>
    </fill>
    <fill>
      <patternFill patternType="solid">
        <fgColor theme="4" tint="0.79998168889431442"/>
        <bgColor indexed="5"/>
      </patternFill>
    </fill>
    <fill>
      <patternFill patternType="solid">
        <fgColor theme="0"/>
        <bgColor theme="6" tint="0.79998168889431442"/>
      </patternFill>
    </fill>
    <fill>
      <patternFill patternType="solid">
        <fgColor rgb="FFF8CBAD"/>
        <bgColor rgb="FFF8CBAD"/>
      </patternFill>
    </fill>
    <fill>
      <patternFill patternType="solid">
        <fgColor rgb="FF92D050"/>
        <bgColor theme="9" tint="0.39997558519241921"/>
      </patternFill>
    </fill>
    <fill>
      <patternFill patternType="solid">
        <fgColor theme="4" tint="0.79998168889431442"/>
        <bgColor theme="4" tint="0.39997558519241921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92D050"/>
        <bgColor theme="0"/>
      </patternFill>
    </fill>
    <fill>
      <patternFill patternType="solid">
        <fgColor theme="6" tint="0.79998168889431442"/>
        <bgColor theme="0"/>
      </patternFill>
    </fill>
    <fill>
      <patternFill patternType="solid">
        <fgColor theme="6" tint="0.79998168889431442"/>
        <bgColor theme="5" tint="0.79998168889431442"/>
      </patternFill>
    </fill>
    <fill>
      <patternFill patternType="solid">
        <fgColor theme="6" tint="0.79998168889431442"/>
        <bgColor indexed="5"/>
      </patternFill>
    </fill>
    <fill>
      <patternFill patternType="solid">
        <fgColor theme="9" tint="0.79998168889431442"/>
        <bgColor theme="0"/>
      </patternFill>
    </fill>
    <fill>
      <patternFill patternType="solid">
        <fgColor rgb="FFC0000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92D050"/>
        <bgColor theme="8" tint="0.79998168889431442"/>
      </patternFill>
    </fill>
    <fill>
      <patternFill patternType="solid">
        <fgColor rgb="FFFFFF00"/>
        <bgColor rgb="FF92D050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/>
        <bgColor theme="9" tint="0.79998168889431442"/>
      </patternFill>
    </fill>
    <fill>
      <patternFill patternType="solid">
        <fgColor theme="9" tint="0.59999389629810485"/>
        <bgColor rgb="FF92D050"/>
      </patternFill>
    </fill>
    <fill>
      <patternFill patternType="solid">
        <fgColor theme="0"/>
        <bgColor theme="3" tint="0.79998168889431442"/>
      </patternFill>
    </fill>
    <fill>
      <patternFill patternType="solid">
        <fgColor theme="4" tint="0.79998168889431442"/>
        <bgColor theme="3" tint="0.79998168889431442"/>
      </patternFill>
    </fill>
    <fill>
      <patternFill patternType="solid">
        <fgColor theme="9" tint="0.39997558519241921"/>
        <bgColor rgb="FF92D050"/>
      </patternFill>
    </fill>
    <fill>
      <patternFill patternType="solid">
        <fgColor theme="9" tint="0.39997558519241921"/>
        <bgColor rgb="FF00B0F0"/>
      </patternFill>
    </fill>
    <fill>
      <patternFill patternType="solid">
        <fgColor rgb="FF92D050"/>
        <bgColor rgb="FFFFC000"/>
      </patternFill>
    </fill>
    <fill>
      <patternFill patternType="solid">
        <fgColor rgb="FFFFFF00"/>
        <bgColor indexed="5"/>
      </patternFill>
    </fill>
    <fill>
      <patternFill patternType="solid">
        <fgColor theme="9" tint="0.59999389629810485"/>
        <bgColor rgb="FF00B0F0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FFFF00"/>
        <bgColor theme="9" tint="0.79998168889431442"/>
      </patternFill>
    </fill>
    <fill>
      <patternFill patternType="solid">
        <fgColor rgb="FFFFFF00"/>
        <bgColor theme="0"/>
      </patternFill>
    </fill>
    <fill>
      <patternFill patternType="solid">
        <fgColor theme="9" tint="0.59999389629810485"/>
        <bgColor indexed="5"/>
      </patternFill>
    </fill>
    <fill>
      <patternFill patternType="solid">
        <fgColor theme="9" tint="0.59999389629810485"/>
        <bgColor theme="6" tint="0.79998168889431442"/>
      </patternFill>
    </fill>
    <fill>
      <patternFill patternType="solid">
        <fgColor theme="9" tint="0.59999389629810485"/>
        <bgColor theme="0"/>
      </patternFill>
    </fill>
    <fill>
      <patternFill patternType="solid">
        <fgColor rgb="FF92D050"/>
        <bgColor theme="6" tint="0.59999389629810485"/>
      </patternFill>
    </fill>
    <fill>
      <patternFill patternType="solid">
        <fgColor rgb="FF92D050"/>
        <bgColor theme="6" tint="0.79998168889431442"/>
      </patternFill>
    </fill>
    <fill>
      <patternFill patternType="solid">
        <fgColor theme="8" tint="0.79998168889431442"/>
        <bgColor theme="0"/>
      </patternFill>
    </fill>
    <fill>
      <patternFill patternType="solid">
        <fgColor theme="4" tint="0.79998168889431442"/>
        <bgColor theme="0"/>
      </patternFill>
    </fill>
    <fill>
      <patternFill patternType="solid">
        <fgColor theme="4" tint="0.79998168889431442"/>
        <bgColor rgb="FF92D050"/>
      </patternFill>
    </fill>
    <fill>
      <patternFill patternType="solid">
        <fgColor rgb="FFFFC000"/>
        <bgColor indexed="64"/>
      </patternFill>
    </fill>
    <fill>
      <patternFill patternType="solid">
        <fgColor theme="9" tint="0.39997558519241921"/>
        <bgColor rgb="FFFFC000"/>
      </patternFill>
    </fill>
    <fill>
      <patternFill patternType="solid">
        <fgColor theme="4" tint="0.79998168889431442"/>
        <bgColor theme="9" tint="0.79998168889431442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0.79998168889431442"/>
        <bgColor theme="9" tint="0.79998168889431442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79998168889431442"/>
        <bgColor rgb="FF92D050"/>
      </patternFill>
    </fill>
    <fill>
      <patternFill patternType="solid">
        <fgColor rgb="FFFFFF00"/>
        <bgColor theme="3" tint="0.79998168889431442"/>
      </patternFill>
    </fill>
    <fill>
      <patternFill patternType="solid">
        <fgColor theme="0"/>
        <bgColor theme="4" tint="0.39997558519241921"/>
      </patternFill>
    </fill>
  </fills>
  <borders count="3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</borders>
  <cellStyleXfs count="7">
    <xf numFmtId="0" fontId="0" fillId="0" borderId="0"/>
    <xf numFmtId="0" fontId="39" fillId="2" borderId="0" applyNumberFormat="0" applyBorder="0" applyProtection="0"/>
    <xf numFmtId="0" fontId="13" fillId="3" borderId="0" applyNumberFormat="0" applyBorder="0" applyProtection="0"/>
    <xf numFmtId="0" fontId="14" fillId="0" borderId="0" applyNumberFormat="0" applyFill="0" applyBorder="0" applyProtection="0">
      <alignment vertical="top"/>
      <protection locked="0"/>
    </xf>
    <xf numFmtId="0" fontId="39" fillId="0" borderId="0"/>
    <xf numFmtId="0" fontId="15" fillId="4" borderId="0" applyNumberFormat="0" applyBorder="0" applyProtection="0"/>
    <xf numFmtId="9" fontId="39" fillId="0" borderId="0" applyFont="0" applyFill="0" applyBorder="0" applyProtection="0"/>
  </cellStyleXfs>
  <cellXfs count="712">
    <xf numFmtId="0" fontId="0" fillId="0" borderId="0" xfId="0"/>
    <xf numFmtId="0" fontId="16" fillId="0" borderId="0" xfId="0" applyFont="1"/>
    <xf numFmtId="0" fontId="0" fillId="10" borderId="0" xfId="0" applyFill="1"/>
    <xf numFmtId="9" fontId="0" fillId="0" borderId="0" xfId="0" applyNumberFormat="1"/>
    <xf numFmtId="10" fontId="0" fillId="11" borderId="0" xfId="5" applyNumberFormat="1" applyFont="1" applyFill="1" applyAlignment="1">
      <alignment horizontal="center" vertical="center"/>
    </xf>
    <xf numFmtId="0" fontId="0" fillId="0" borderId="0" xfId="0" applyAlignment="1">
      <alignment horizontal="left" wrapText="1"/>
    </xf>
    <xf numFmtId="164" fontId="0" fillId="0" borderId="0" xfId="0" applyNumberFormat="1"/>
    <xf numFmtId="3" fontId="0" fillId="0" borderId="0" xfId="0" applyNumberFormat="1"/>
    <xf numFmtId="165" fontId="0" fillId="0" borderId="0" xfId="0" applyNumberFormat="1"/>
    <xf numFmtId="0" fontId="0" fillId="12" borderId="0" xfId="0" applyFill="1"/>
    <xf numFmtId="4" fontId="0" fillId="0" borderId="0" xfId="0" applyNumberFormat="1"/>
    <xf numFmtId="166" fontId="0" fillId="0" borderId="0" xfId="0" applyNumberFormat="1"/>
    <xf numFmtId="0" fontId="18" fillId="0" borderId="0" xfId="0" applyFont="1"/>
    <xf numFmtId="0" fontId="18" fillId="0" borderId="0" xfId="0" applyFont="1" applyAlignment="1">
      <alignment horizontal="left" wrapText="1"/>
    </xf>
    <xf numFmtId="0" fontId="18" fillId="0" borderId="0" xfId="0" applyFont="1" applyAlignment="1">
      <alignment wrapText="1"/>
    </xf>
    <xf numFmtId="0" fontId="18" fillId="0" borderId="1" xfId="0" applyFont="1" applyBorder="1" applyAlignment="1">
      <alignment horizontal="left" wrapText="1"/>
    </xf>
    <xf numFmtId="0" fontId="18" fillId="0" borderId="1" xfId="0" applyFont="1" applyBorder="1" applyAlignment="1">
      <alignment wrapText="1"/>
    </xf>
    <xf numFmtId="0" fontId="18" fillId="0" borderId="0" xfId="0" applyFont="1" applyAlignment="1">
      <alignment horizontal="center" vertical="center" wrapText="1"/>
    </xf>
    <xf numFmtId="0" fontId="18" fillId="5" borderId="1" xfId="0" applyFont="1" applyFill="1" applyBorder="1"/>
    <xf numFmtId="4" fontId="18" fillId="5" borderId="1" xfId="0" applyNumberFormat="1" applyFont="1" applyFill="1" applyBorder="1"/>
    <xf numFmtId="4" fontId="18" fillId="7" borderId="1" xfId="0" applyNumberFormat="1" applyFont="1" applyFill="1" applyBorder="1"/>
    <xf numFmtId="0" fontId="18" fillId="0" borderId="1" xfId="0" applyFont="1" applyBorder="1" applyAlignment="1">
      <alignment horizontal="left" vertical="top" wrapText="1"/>
    </xf>
    <xf numFmtId="167" fontId="18" fillId="7" borderId="1" xfId="0" applyNumberFormat="1" applyFont="1" applyFill="1" applyBorder="1"/>
    <xf numFmtId="166" fontId="19" fillId="6" borderId="1" xfId="0" applyNumberFormat="1" applyFont="1" applyFill="1" applyBorder="1" applyAlignment="1">
      <alignment horizontal="center"/>
    </xf>
    <xf numFmtId="0" fontId="18" fillId="13" borderId="3" xfId="4" applyFont="1" applyFill="1" applyBorder="1" applyAlignment="1">
      <alignment horizontal="left" vertical="center" wrapText="1"/>
    </xf>
    <xf numFmtId="168" fontId="18" fillId="5" borderId="1" xfId="0" applyNumberFormat="1" applyFont="1" applyFill="1" applyBorder="1"/>
    <xf numFmtId="167" fontId="18" fillId="5" borderId="1" xfId="0" applyNumberFormat="1" applyFont="1" applyFill="1" applyBorder="1"/>
    <xf numFmtId="0" fontId="18" fillId="5" borderId="0" xfId="0" applyFont="1" applyFill="1"/>
    <xf numFmtId="168" fontId="18" fillId="0" borderId="1" xfId="0" applyNumberFormat="1" applyFont="1" applyBorder="1"/>
    <xf numFmtId="4" fontId="18" fillId="0" borderId="1" xfId="0" applyNumberFormat="1" applyFont="1" applyBorder="1"/>
    <xf numFmtId="0" fontId="18" fillId="0" borderId="1" xfId="0" applyFont="1" applyBorder="1"/>
    <xf numFmtId="1" fontId="18" fillId="0" borderId="0" xfId="0" applyNumberFormat="1" applyFont="1"/>
    <xf numFmtId="4" fontId="18" fillId="14" borderId="1" xfId="0" applyNumberFormat="1" applyFont="1" applyFill="1" applyBorder="1"/>
    <xf numFmtId="4" fontId="18" fillId="0" borderId="0" xfId="0" applyNumberFormat="1" applyFont="1"/>
    <xf numFmtId="167" fontId="18" fillId="0" borderId="0" xfId="0" applyNumberFormat="1" applyFont="1"/>
    <xf numFmtId="4" fontId="20" fillId="7" borderId="4" xfId="0" applyNumberFormat="1" applyFont="1" applyFill="1" applyBorder="1"/>
    <xf numFmtId="168" fontId="21" fillId="0" borderId="0" xfId="0" applyNumberFormat="1" applyFont="1" applyAlignment="1">
      <alignment horizontal="left" wrapText="1"/>
    </xf>
    <xf numFmtId="0" fontId="18" fillId="0" borderId="1" xfId="0" applyFont="1" applyBorder="1" applyAlignment="1">
      <alignment horizontal="right"/>
    </xf>
    <xf numFmtId="0" fontId="21" fillId="0" borderId="0" xfId="0" applyFont="1" applyAlignment="1">
      <alignment horizontal="left" wrapText="1"/>
    </xf>
    <xf numFmtId="4" fontId="18" fillId="7" borderId="4" xfId="0" applyNumberFormat="1" applyFont="1" applyFill="1" applyBorder="1"/>
    <xf numFmtId="166" fontId="18" fillId="0" borderId="0" xfId="0" applyNumberFormat="1" applyFont="1"/>
    <xf numFmtId="10" fontId="18" fillId="0" borderId="0" xfId="0" applyNumberFormat="1" applyFont="1"/>
    <xf numFmtId="164" fontId="19" fillId="6" borderId="0" xfId="0" applyNumberFormat="1" applyFont="1" applyFill="1"/>
    <xf numFmtId="4" fontId="21" fillId="0" borderId="0" xfId="0" applyNumberFormat="1" applyFont="1"/>
    <xf numFmtId="4" fontId="20" fillId="0" borderId="1" xfId="0" applyNumberFormat="1" applyFont="1" applyBorder="1"/>
    <xf numFmtId="4" fontId="20" fillId="0" borderId="5" xfId="0" applyNumberFormat="1" applyFont="1" applyBorder="1"/>
    <xf numFmtId="4" fontId="18" fillId="12" borderId="1" xfId="0" applyNumberFormat="1" applyFont="1" applyFill="1" applyBorder="1"/>
    <xf numFmtId="2" fontId="18" fillId="8" borderId="1" xfId="0" applyNumberFormat="1" applyFont="1" applyFill="1" applyBorder="1"/>
    <xf numFmtId="2" fontId="18" fillId="7" borderId="1" xfId="0" applyNumberFormat="1" applyFont="1" applyFill="1" applyBorder="1"/>
    <xf numFmtId="2" fontId="18" fillId="7" borderId="5" xfId="0" applyNumberFormat="1" applyFont="1" applyFill="1" applyBorder="1"/>
    <xf numFmtId="2" fontId="18" fillId="7" borderId="2" xfId="0" applyNumberFormat="1" applyFont="1" applyFill="1" applyBorder="1"/>
    <xf numFmtId="0" fontId="0" fillId="0" borderId="0" xfId="0" applyAlignment="1">
      <alignment horizontal="left" vertical="center" wrapText="1"/>
    </xf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0" fontId="22" fillId="0" borderId="7" xfId="0" applyFont="1" applyBorder="1" applyAlignment="1">
      <alignment vertical="top"/>
    </xf>
    <xf numFmtId="0" fontId="23" fillId="0" borderId="0" xfId="0" applyFont="1" applyAlignment="1">
      <alignment vertical="top"/>
    </xf>
    <xf numFmtId="0" fontId="24" fillId="0" borderId="0" xfId="0" applyFont="1"/>
    <xf numFmtId="0" fontId="23" fillId="0" borderId="0" xfId="0" applyFont="1" applyAlignment="1">
      <alignment horizontal="center" vertical="top"/>
    </xf>
    <xf numFmtId="0" fontId="0" fillId="0" borderId="1" xfId="0" applyBorder="1" applyAlignment="1">
      <alignment horizontal="center" vertical="center" wrapText="1"/>
    </xf>
    <xf numFmtId="167" fontId="24" fillId="0" borderId="0" xfId="0" applyNumberFormat="1" applyFont="1"/>
    <xf numFmtId="167" fontId="0" fillId="0" borderId="0" xfId="0" applyNumberFormat="1"/>
    <xf numFmtId="0" fontId="0" fillId="0" borderId="0" xfId="0" applyAlignment="1">
      <alignment wrapText="1"/>
    </xf>
    <xf numFmtId="0" fontId="0" fillId="0" borderId="1" xfId="0" applyBorder="1" applyAlignment="1">
      <alignment horizontal="left" vertical="center" wrapText="1"/>
    </xf>
    <xf numFmtId="0" fontId="0" fillId="0" borderId="1" xfId="0" applyBorder="1" applyAlignment="1">
      <alignment horizontal="center" vertical="top" wrapText="1"/>
    </xf>
    <xf numFmtId="167" fontId="0" fillId="0" borderId="0" xfId="0" applyNumberFormat="1" applyAlignment="1">
      <alignment wrapText="1"/>
    </xf>
    <xf numFmtId="9" fontId="39" fillId="2" borderId="1" xfId="1" applyNumberFormat="1" applyBorder="1" applyAlignment="1">
      <alignment horizontal="center" vertical="top"/>
    </xf>
    <xf numFmtId="168" fontId="13" fillId="6" borderId="0" xfId="0" applyNumberFormat="1" applyFont="1" applyFill="1" applyAlignment="1">
      <alignment horizontal="center" vertical="center"/>
    </xf>
    <xf numFmtId="167" fontId="0" fillId="0" borderId="1" xfId="0" applyNumberFormat="1" applyBorder="1" applyAlignment="1">
      <alignment horizontal="center" vertical="center" wrapText="1"/>
    </xf>
    <xf numFmtId="167" fontId="0" fillId="0" borderId="0" xfId="0" applyNumberFormat="1" applyAlignment="1">
      <alignment vertical="top"/>
    </xf>
    <xf numFmtId="1" fontId="0" fillId="0" borderId="0" xfId="0" applyNumberFormat="1"/>
    <xf numFmtId="0" fontId="0" fillId="0" borderId="0" xfId="0" applyAlignment="1">
      <alignment horizontal="center" vertical="top" wrapText="1"/>
    </xf>
    <xf numFmtId="167" fontId="0" fillId="12" borderId="0" xfId="0" applyNumberFormat="1" applyFill="1" applyAlignment="1">
      <alignment horizontal="center" vertical="center" wrapText="1"/>
    </xf>
    <xf numFmtId="167" fontId="0" fillId="0" borderId="0" xfId="0" applyNumberFormat="1" applyAlignment="1">
      <alignment horizontal="center" vertical="center" wrapText="1"/>
    </xf>
    <xf numFmtId="167" fontId="13" fillId="6" borderId="1" xfId="0" applyNumberFormat="1" applyFont="1" applyFill="1" applyBorder="1" applyAlignment="1">
      <alignment horizontal="center" vertical="center" wrapText="1"/>
    </xf>
    <xf numFmtId="1" fontId="39" fillId="12" borderId="0" xfId="1" applyNumberFormat="1" applyFill="1"/>
    <xf numFmtId="0" fontId="0" fillId="0" borderId="1" xfId="0" applyBorder="1" applyAlignment="1">
      <alignment horizontal="center" vertical="center"/>
    </xf>
    <xf numFmtId="167" fontId="13" fillId="3" borderId="1" xfId="2" applyNumberFormat="1" applyBorder="1" applyAlignment="1">
      <alignment horizontal="center" vertical="center" wrapText="1"/>
    </xf>
    <xf numFmtId="0" fontId="13" fillId="6" borderId="1" xfId="0" applyFont="1" applyFill="1" applyBorder="1" applyAlignment="1">
      <alignment horizontal="center" vertical="center"/>
    </xf>
    <xf numFmtId="167" fontId="13" fillId="6" borderId="4" xfId="0" applyNumberFormat="1" applyFont="1" applyFill="1" applyBorder="1" applyAlignment="1">
      <alignment horizontal="center" vertical="center" wrapText="1"/>
    </xf>
    <xf numFmtId="9" fontId="13" fillId="6" borderId="1" xfId="0" applyNumberFormat="1" applyFont="1" applyFill="1" applyBorder="1" applyAlignment="1">
      <alignment horizontal="center" vertical="center"/>
    </xf>
    <xf numFmtId="0" fontId="0" fillId="0" borderId="0" xfId="0" applyAlignment="1">
      <alignment horizontal="center" wrapText="1"/>
    </xf>
    <xf numFmtId="0" fontId="0" fillId="0" borderId="0" xfId="0" applyAlignment="1">
      <alignment horizontal="center" vertical="top"/>
    </xf>
    <xf numFmtId="0" fontId="0" fillId="0" borderId="0" xfId="0" applyAlignment="1">
      <alignment vertical="center"/>
    </xf>
    <xf numFmtId="0" fontId="0" fillId="0" borderId="1" xfId="0" applyBorder="1" applyAlignment="1">
      <alignment horizontal="center" wrapText="1"/>
    </xf>
    <xf numFmtId="2" fontId="0" fillId="0" borderId="1" xfId="0" applyNumberFormat="1" applyBorder="1" applyAlignment="1">
      <alignment horizontal="center" vertical="center" wrapText="1"/>
    </xf>
    <xf numFmtId="2" fontId="0" fillId="0" borderId="1" xfId="0" applyNumberFormat="1" applyBorder="1" applyAlignment="1">
      <alignment horizontal="right" vertical="center" wrapText="1"/>
    </xf>
    <xf numFmtId="0" fontId="0" fillId="9" borderId="1" xfId="0" applyFill="1" applyBorder="1" applyAlignment="1">
      <alignment horizontal="center" vertical="top" wrapText="1"/>
    </xf>
    <xf numFmtId="0" fontId="0" fillId="9" borderId="1" xfId="0" applyFill="1" applyBorder="1" applyAlignment="1">
      <alignment horizontal="left" vertical="center" wrapText="1"/>
    </xf>
    <xf numFmtId="2" fontId="0" fillId="9" borderId="1" xfId="0" applyNumberFormat="1" applyFill="1" applyBorder="1" applyAlignment="1">
      <alignment horizontal="center" vertical="center"/>
    </xf>
    <xf numFmtId="167" fontId="0" fillId="9" borderId="1" xfId="0" applyNumberFormat="1" applyFill="1" applyBorder="1" applyAlignment="1">
      <alignment horizontal="center" vertical="center" wrapText="1"/>
    </xf>
    <xf numFmtId="0" fontId="0" fillId="9" borderId="1" xfId="0" applyFill="1" applyBorder="1"/>
    <xf numFmtId="0" fontId="0" fillId="10" borderId="1" xfId="0" applyFill="1" applyBorder="1" applyAlignment="1">
      <alignment horizontal="center" vertical="top" wrapText="1"/>
    </xf>
    <xf numFmtId="2" fontId="0" fillId="0" borderId="1" xfId="0" applyNumberFormat="1" applyBorder="1" applyAlignment="1">
      <alignment horizontal="center" wrapText="1"/>
    </xf>
    <xf numFmtId="0" fontId="25" fillId="0" borderId="0" xfId="0" applyFont="1" applyAlignment="1">
      <alignment horizontal="center" wrapText="1"/>
    </xf>
    <xf numFmtId="0" fontId="0" fillId="0" borderId="1" xfId="0" applyBorder="1" applyAlignment="1">
      <alignment horizontal="left" wrapText="1"/>
    </xf>
    <xf numFmtId="0" fontId="0" fillId="16" borderId="1" xfId="0" applyFill="1" applyBorder="1" applyAlignment="1">
      <alignment horizontal="left" wrapText="1"/>
    </xf>
    <xf numFmtId="0" fontId="0" fillId="16" borderId="1" xfId="0" applyFill="1" applyBorder="1" applyAlignment="1">
      <alignment horizontal="center" wrapText="1"/>
    </xf>
    <xf numFmtId="3" fontId="0" fillId="0" borderId="1" xfId="0" applyNumberFormat="1" applyBorder="1" applyAlignment="1">
      <alignment horizontal="center" wrapText="1"/>
    </xf>
    <xf numFmtId="0" fontId="0" fillId="9" borderId="0" xfId="0" applyFill="1" applyAlignment="1">
      <alignment horizontal="center" wrapText="1"/>
    </xf>
    <xf numFmtId="0" fontId="0" fillId="9" borderId="1" xfId="0" applyFill="1" applyBorder="1" applyAlignment="1">
      <alignment horizontal="left" wrapText="1"/>
    </xf>
    <xf numFmtId="0" fontId="0" fillId="9" borderId="1" xfId="0" applyFill="1" applyBorder="1" applyAlignment="1">
      <alignment horizontal="center" wrapText="1"/>
    </xf>
    <xf numFmtId="3" fontId="26" fillId="9" borderId="1" xfId="0" applyNumberFormat="1" applyFont="1" applyFill="1" applyBorder="1" applyAlignment="1">
      <alignment horizontal="center" wrapText="1"/>
    </xf>
    <xf numFmtId="3" fontId="0" fillId="9" borderId="1" xfId="0" applyNumberFormat="1" applyFill="1" applyBorder="1" applyAlignment="1">
      <alignment horizontal="center" wrapText="1"/>
    </xf>
    <xf numFmtId="0" fontId="0" fillId="17" borderId="0" xfId="0" applyFill="1" applyAlignment="1">
      <alignment horizontal="center" wrapText="1"/>
    </xf>
    <xf numFmtId="0" fontId="0" fillId="17" borderId="1" xfId="0" applyFill="1" applyBorder="1" applyAlignment="1">
      <alignment horizontal="left" wrapText="1"/>
    </xf>
    <xf numFmtId="0" fontId="0" fillId="17" borderId="1" xfId="0" applyFill="1" applyBorder="1" applyAlignment="1">
      <alignment horizontal="center" wrapText="1"/>
    </xf>
    <xf numFmtId="3" fontId="26" fillId="17" borderId="1" xfId="0" applyNumberFormat="1" applyFont="1" applyFill="1" applyBorder="1" applyAlignment="1">
      <alignment horizontal="center" wrapText="1"/>
    </xf>
    <xf numFmtId="3" fontId="0" fillId="17" borderId="1" xfId="0" applyNumberFormat="1" applyFill="1" applyBorder="1" applyAlignment="1">
      <alignment horizontal="center" wrapText="1"/>
    </xf>
    <xf numFmtId="3" fontId="26" fillId="0" borderId="1" xfId="0" applyNumberFormat="1" applyFont="1" applyBorder="1" applyAlignment="1">
      <alignment horizontal="center" wrapText="1"/>
    </xf>
    <xf numFmtId="0" fontId="0" fillId="12" borderId="1" xfId="0" applyFill="1" applyBorder="1" applyAlignment="1">
      <alignment horizontal="center" wrapText="1"/>
    </xf>
    <xf numFmtId="3" fontId="25" fillId="9" borderId="1" xfId="0" applyNumberFormat="1" applyFont="1" applyFill="1" applyBorder="1" applyAlignment="1">
      <alignment horizontal="center" wrapText="1"/>
    </xf>
    <xf numFmtId="3" fontId="25" fillId="17" borderId="1" xfId="0" applyNumberFormat="1" applyFont="1" applyFill="1" applyBorder="1" applyAlignment="1">
      <alignment horizontal="center" wrapText="1"/>
    </xf>
    <xf numFmtId="0" fontId="25" fillId="0" borderId="1" xfId="0" applyFont="1" applyBorder="1" applyAlignment="1">
      <alignment horizontal="center" wrapText="1"/>
    </xf>
    <xf numFmtId="0" fontId="25" fillId="16" borderId="1" xfId="0" applyFont="1" applyFill="1" applyBorder="1" applyAlignment="1">
      <alignment horizontal="center" wrapText="1"/>
    </xf>
    <xf numFmtId="0" fontId="25" fillId="9" borderId="1" xfId="0" applyFont="1" applyFill="1" applyBorder="1" applyAlignment="1">
      <alignment horizontal="center" wrapText="1"/>
    </xf>
    <xf numFmtId="0" fontId="25" fillId="17" borderId="1" xfId="0" applyFont="1" applyFill="1" applyBorder="1" applyAlignment="1">
      <alignment horizontal="center" wrapText="1"/>
    </xf>
    <xf numFmtId="0" fontId="16" fillId="17" borderId="1" xfId="0" applyFont="1" applyFill="1" applyBorder="1" applyAlignment="1">
      <alignment horizontal="center" wrapText="1"/>
    </xf>
    <xf numFmtId="0" fontId="0" fillId="10" borderId="0" xfId="0" applyFill="1" applyAlignment="1">
      <alignment horizontal="center" wrapText="1"/>
    </xf>
    <xf numFmtId="0" fontId="0" fillId="10" borderId="1" xfId="0" applyFill="1" applyBorder="1" applyAlignment="1">
      <alignment horizontal="left" wrapText="1"/>
    </xf>
    <xf numFmtId="0" fontId="0" fillId="10" borderId="1" xfId="0" applyFill="1" applyBorder="1" applyAlignment="1">
      <alignment horizontal="center" wrapText="1"/>
    </xf>
    <xf numFmtId="0" fontId="25" fillId="10" borderId="1" xfId="0" applyFont="1" applyFill="1" applyBorder="1" applyAlignment="1">
      <alignment horizontal="center" wrapText="1"/>
    </xf>
    <xf numFmtId="3" fontId="0" fillId="10" borderId="1" xfId="0" applyNumberFormat="1" applyFill="1" applyBorder="1" applyAlignment="1">
      <alignment horizontal="center" wrapText="1"/>
    </xf>
    <xf numFmtId="0" fontId="24" fillId="0" borderId="0" xfId="0" applyFont="1" applyAlignment="1">
      <alignment horizontal="center" wrapText="1"/>
    </xf>
    <xf numFmtId="0" fontId="24" fillId="0" borderId="1" xfId="0" applyFont="1" applyBorder="1" applyAlignment="1">
      <alignment horizontal="left" wrapText="1"/>
    </xf>
    <xf numFmtId="0" fontId="24" fillId="0" borderId="1" xfId="0" applyFont="1" applyBorder="1" applyAlignment="1">
      <alignment horizontal="center" wrapText="1"/>
    </xf>
    <xf numFmtId="3" fontId="24" fillId="0" borderId="1" xfId="0" applyNumberFormat="1" applyFont="1" applyBorder="1" applyAlignment="1">
      <alignment horizontal="center" wrapText="1"/>
    </xf>
    <xf numFmtId="9" fontId="0" fillId="5" borderId="1" xfId="0" applyNumberFormat="1" applyFill="1" applyBorder="1" applyAlignment="1">
      <alignment horizontal="center" wrapText="1"/>
    </xf>
    <xf numFmtId="166" fontId="0" fillId="5" borderId="1" xfId="0" applyNumberFormat="1" applyFill="1" applyBorder="1" applyAlignment="1">
      <alignment horizontal="center" wrapText="1"/>
    </xf>
    <xf numFmtId="166" fontId="0" fillId="12" borderId="1" xfId="0" applyNumberFormat="1" applyFill="1" applyBorder="1" applyAlignment="1">
      <alignment horizontal="center" wrapText="1"/>
    </xf>
    <xf numFmtId="0" fontId="13" fillId="6" borderId="0" xfId="0" applyFont="1" applyFill="1" applyAlignment="1">
      <alignment horizontal="center" wrapText="1"/>
    </xf>
    <xf numFmtId="2" fontId="13" fillId="6" borderId="0" xfId="0" applyNumberFormat="1" applyFont="1" applyFill="1" applyAlignment="1">
      <alignment horizontal="center" wrapText="1"/>
    </xf>
    <xf numFmtId="4" fontId="0" fillId="0" borderId="1" xfId="0" applyNumberFormat="1" applyBorder="1" applyAlignment="1">
      <alignment horizontal="center" wrapText="1"/>
    </xf>
    <xf numFmtId="166" fontId="13" fillId="6" borderId="0" xfId="0" applyNumberFormat="1" applyFont="1" applyFill="1" applyAlignment="1">
      <alignment horizontal="center" wrapText="1"/>
    </xf>
    <xf numFmtId="0" fontId="27" fillId="0" borderId="0" xfId="0" applyFont="1" applyAlignment="1">
      <alignment wrapText="1"/>
    </xf>
    <xf numFmtId="0" fontId="26" fillId="0" borderId="1" xfId="0" applyFont="1" applyBorder="1" applyAlignment="1">
      <alignment wrapText="1"/>
    </xf>
    <xf numFmtId="0" fontId="26" fillId="5" borderId="1" xfId="0" applyFont="1" applyFill="1" applyBorder="1" applyAlignment="1">
      <alignment wrapText="1"/>
    </xf>
    <xf numFmtId="3" fontId="26" fillId="5" borderId="1" xfId="0" applyNumberFormat="1" applyFont="1" applyFill="1" applyBorder="1" applyAlignment="1">
      <alignment wrapText="1"/>
    </xf>
    <xf numFmtId="3" fontId="26" fillId="0" borderId="1" xfId="0" applyNumberFormat="1" applyFont="1" applyBorder="1" applyAlignment="1">
      <alignment wrapText="1"/>
    </xf>
    <xf numFmtId="0" fontId="0" fillId="9" borderId="0" xfId="0" applyFill="1" applyAlignment="1">
      <alignment wrapText="1"/>
    </xf>
    <xf numFmtId="0" fontId="26" fillId="9" borderId="1" xfId="0" applyFont="1" applyFill="1" applyBorder="1" applyAlignment="1">
      <alignment wrapText="1"/>
    </xf>
    <xf numFmtId="3" fontId="26" fillId="9" borderId="1" xfId="0" applyNumberFormat="1" applyFont="1" applyFill="1" applyBorder="1" applyAlignment="1">
      <alignment wrapText="1"/>
    </xf>
    <xf numFmtId="0" fontId="0" fillId="17" borderId="0" xfId="0" applyFill="1" applyAlignment="1">
      <alignment wrapText="1"/>
    </xf>
    <xf numFmtId="0" fontId="26" fillId="17" borderId="1" xfId="0" applyFont="1" applyFill="1" applyBorder="1" applyAlignment="1">
      <alignment wrapText="1"/>
    </xf>
    <xf numFmtId="3" fontId="26" fillId="17" borderId="1" xfId="0" applyNumberFormat="1" applyFont="1" applyFill="1" applyBorder="1" applyAlignment="1">
      <alignment wrapText="1"/>
    </xf>
    <xf numFmtId="0" fontId="26" fillId="0" borderId="1" xfId="0" applyFont="1" applyBorder="1" applyAlignment="1">
      <alignment horizontal="left" wrapText="1"/>
    </xf>
    <xf numFmtId="0" fontId="28" fillId="17" borderId="1" xfId="0" applyFont="1" applyFill="1" applyBorder="1" applyAlignment="1">
      <alignment wrapText="1"/>
    </xf>
    <xf numFmtId="0" fontId="0" fillId="10" borderId="0" xfId="0" applyFill="1" applyAlignment="1">
      <alignment wrapText="1"/>
    </xf>
    <xf numFmtId="3" fontId="26" fillId="10" borderId="1" xfId="0" applyNumberFormat="1" applyFont="1" applyFill="1" applyBorder="1" applyAlignment="1">
      <alignment wrapText="1"/>
    </xf>
    <xf numFmtId="0" fontId="24" fillId="0" borderId="0" xfId="0" applyFont="1" applyAlignment="1">
      <alignment wrapText="1"/>
    </xf>
    <xf numFmtId="166" fontId="26" fillId="0" borderId="1" xfId="0" applyNumberFormat="1" applyFont="1" applyBorder="1" applyAlignment="1">
      <alignment wrapText="1"/>
    </xf>
    <xf numFmtId="3" fontId="0" fillId="0" borderId="0" xfId="0" applyNumberFormat="1" applyAlignment="1">
      <alignment wrapText="1"/>
    </xf>
    <xf numFmtId="0" fontId="0" fillId="10" borderId="1" xfId="0" applyFill="1" applyBorder="1" applyAlignment="1">
      <alignment wrapText="1"/>
    </xf>
    <xf numFmtId="0" fontId="0" fillId="0" borderId="1" xfId="0" applyBorder="1" applyAlignment="1">
      <alignment wrapText="1"/>
    </xf>
    <xf numFmtId="10" fontId="0" fillId="5" borderId="1" xfId="0" applyNumberFormat="1" applyFill="1" applyBorder="1" applyAlignment="1">
      <alignment wrapText="1"/>
    </xf>
    <xf numFmtId="0" fontId="27" fillId="0" borderId="1" xfId="0" applyFont="1" applyBorder="1" applyAlignment="1">
      <alignment wrapText="1"/>
    </xf>
    <xf numFmtId="3" fontId="0" fillId="0" borderId="1" xfId="0" applyNumberFormat="1" applyBorder="1" applyAlignment="1">
      <alignment wrapText="1"/>
    </xf>
    <xf numFmtId="9" fontId="0" fillId="0" borderId="1" xfId="0" applyNumberFormat="1" applyBorder="1" applyAlignment="1">
      <alignment wrapText="1"/>
    </xf>
    <xf numFmtId="3" fontId="0" fillId="12" borderId="1" xfId="0" applyNumberFormat="1" applyFill="1" applyBorder="1" applyAlignment="1">
      <alignment wrapText="1"/>
    </xf>
    <xf numFmtId="9" fontId="0" fillId="5" borderId="1" xfId="0" applyNumberFormat="1" applyFill="1" applyBorder="1" applyAlignment="1">
      <alignment wrapText="1"/>
    </xf>
    <xf numFmtId="164" fontId="0" fillId="0" borderId="1" xfId="0" applyNumberFormat="1" applyBorder="1" applyAlignment="1">
      <alignment wrapText="1"/>
    </xf>
    <xf numFmtId="164" fontId="24" fillId="0" borderId="1" xfId="0" applyNumberFormat="1" applyFont="1" applyBorder="1" applyAlignment="1">
      <alignment wrapText="1"/>
    </xf>
    <xf numFmtId="2" fontId="0" fillId="0" borderId="0" xfId="0" applyNumberFormat="1" applyAlignment="1">
      <alignment wrapText="1"/>
    </xf>
    <xf numFmtId="49" fontId="0" fillId="0" borderId="1" xfId="0" applyNumberFormat="1" applyBorder="1" applyAlignment="1">
      <alignment wrapText="1"/>
    </xf>
    <xf numFmtId="164" fontId="16" fillId="0" borderId="1" xfId="0" applyNumberFormat="1" applyFont="1" applyBorder="1" applyAlignment="1">
      <alignment wrapText="1"/>
    </xf>
    <xf numFmtId="164" fontId="0" fillId="7" borderId="1" xfId="0" applyNumberFormat="1" applyFill="1" applyBorder="1" applyAlignment="1">
      <alignment wrapText="1"/>
    </xf>
    <xf numFmtId="4" fontId="0" fillId="0" borderId="1" xfId="0" applyNumberFormat="1" applyBorder="1" applyAlignment="1">
      <alignment wrapText="1"/>
    </xf>
    <xf numFmtId="2" fontId="24" fillId="0" borderId="0" xfId="0" applyNumberFormat="1" applyFont="1" applyAlignment="1">
      <alignment vertical="top" wrapText="1"/>
    </xf>
    <xf numFmtId="0" fontId="24" fillId="0" borderId="0" xfId="0" applyFont="1" applyAlignment="1">
      <alignment vertical="top" wrapText="1"/>
    </xf>
    <xf numFmtId="4" fontId="29" fillId="6" borderId="0" xfId="0" applyNumberFormat="1" applyFont="1" applyFill="1"/>
    <xf numFmtId="169" fontId="0" fillId="0" borderId="0" xfId="0" applyNumberFormat="1"/>
    <xf numFmtId="2" fontId="0" fillId="0" borderId="0" xfId="0" applyNumberFormat="1"/>
    <xf numFmtId="2" fontId="24" fillId="0" borderId="0" xfId="0" applyNumberFormat="1" applyFont="1" applyAlignment="1">
      <alignment horizontal="center" wrapText="1"/>
    </xf>
    <xf numFmtId="167" fontId="30" fillId="0" borderId="0" xfId="0" applyNumberFormat="1" applyFont="1" applyAlignment="1">
      <alignment vertical="top" wrapText="1"/>
    </xf>
    <xf numFmtId="167" fontId="30" fillId="0" borderId="0" xfId="0" applyNumberFormat="1" applyFont="1" applyAlignment="1">
      <alignment horizontal="center" vertical="top" wrapText="1"/>
    </xf>
    <xf numFmtId="167" fontId="24" fillId="0" borderId="0" xfId="0" applyNumberFormat="1" applyFont="1" applyAlignment="1">
      <alignment horizontal="center" wrapText="1"/>
    </xf>
    <xf numFmtId="167" fontId="31" fillId="0" borderId="0" xfId="0" applyNumberFormat="1" applyFont="1" applyAlignment="1">
      <alignment vertical="top" wrapText="1"/>
    </xf>
    <xf numFmtId="167" fontId="18" fillId="0" borderId="0" xfId="0" applyNumberFormat="1" applyFont="1" applyAlignment="1">
      <alignment vertical="top" wrapText="1"/>
    </xf>
    <xf numFmtId="170" fontId="30" fillId="0" borderId="0" xfId="0" applyNumberFormat="1" applyFont="1" applyAlignment="1">
      <alignment horizontal="right" vertical="top" wrapText="1"/>
    </xf>
    <xf numFmtId="167" fontId="18" fillId="0" borderId="0" xfId="0" applyNumberFormat="1" applyFont="1" applyAlignment="1">
      <alignment vertical="top"/>
    </xf>
    <xf numFmtId="167" fontId="0" fillId="0" borderId="0" xfId="0" applyNumberFormat="1" applyAlignment="1">
      <alignment vertical="top" wrapText="1"/>
    </xf>
    <xf numFmtId="167" fontId="0" fillId="0" borderId="0" xfId="0" applyNumberFormat="1" applyAlignment="1">
      <alignment horizontal="right"/>
    </xf>
    <xf numFmtId="167" fontId="16" fillId="18" borderId="0" xfId="0" applyNumberFormat="1" applyFont="1" applyFill="1" applyAlignment="1">
      <alignment wrapText="1"/>
    </xf>
    <xf numFmtId="2" fontId="24" fillId="0" borderId="0" xfId="0" applyNumberFormat="1" applyFont="1" applyAlignment="1">
      <alignment horizontal="center" vertical="top" wrapText="1"/>
    </xf>
    <xf numFmtId="167" fontId="0" fillId="12" borderId="1" xfId="5" applyNumberFormat="1" applyFont="1" applyFill="1" applyBorder="1" applyAlignment="1">
      <alignment wrapText="1"/>
    </xf>
    <xf numFmtId="3" fontId="0" fillId="0" borderId="18" xfId="0" applyNumberFormat="1" applyBorder="1"/>
    <xf numFmtId="3" fontId="0" fillId="0" borderId="1" xfId="0" applyNumberFormat="1" applyBorder="1"/>
    <xf numFmtId="3" fontId="0" fillId="0" borderId="19" xfId="0" applyNumberFormat="1" applyBorder="1"/>
    <xf numFmtId="3" fontId="0" fillId="0" borderId="20" xfId="0" applyNumberFormat="1" applyBorder="1"/>
    <xf numFmtId="167" fontId="0" fillId="12" borderId="1" xfId="5" applyNumberFormat="1" applyFont="1" applyFill="1" applyBorder="1"/>
    <xf numFmtId="3" fontId="0" fillId="0" borderId="18" xfId="0" applyNumberFormat="1" applyBorder="1" applyAlignment="1">
      <alignment wrapText="1"/>
    </xf>
    <xf numFmtId="3" fontId="0" fillId="0" borderId="22" xfId="0" applyNumberFormat="1" applyBorder="1" applyAlignment="1">
      <alignment wrapText="1"/>
    </xf>
    <xf numFmtId="3" fontId="0" fillId="0" borderId="23" xfId="0" applyNumberFormat="1" applyBorder="1"/>
    <xf numFmtId="3" fontId="0" fillId="0" borderId="24" xfId="0" applyNumberFormat="1" applyBorder="1"/>
    <xf numFmtId="0" fontId="17" fillId="0" borderId="0" xfId="0" applyFont="1" applyAlignment="1">
      <alignment horizontal="center" vertical="center"/>
    </xf>
    <xf numFmtId="0" fontId="17" fillId="0" borderId="0" xfId="0" applyFont="1" applyAlignment="1">
      <alignment horizontal="left" vertical="center" wrapText="1"/>
    </xf>
    <xf numFmtId="0" fontId="17" fillId="0" borderId="1" xfId="0" applyFont="1" applyBorder="1" applyAlignment="1">
      <alignment horizontal="left" vertical="center" wrapText="1"/>
    </xf>
    <xf numFmtId="2" fontId="17" fillId="0" borderId="1" xfId="0" applyNumberFormat="1" applyFont="1" applyBorder="1" applyAlignment="1">
      <alignment horizontal="center" vertical="center"/>
    </xf>
    <xf numFmtId="4" fontId="17" fillId="12" borderId="1" xfId="0" applyNumberFormat="1" applyFont="1" applyFill="1" applyBorder="1" applyAlignment="1">
      <alignment horizontal="center" vertical="center" wrapText="1"/>
    </xf>
    <xf numFmtId="4" fontId="17" fillId="12" borderId="1" xfId="0" applyNumberFormat="1" applyFont="1" applyFill="1" applyBorder="1" applyAlignment="1">
      <alignment horizontal="center" vertical="center"/>
    </xf>
    <xf numFmtId="166" fontId="17" fillId="0" borderId="1" xfId="0" applyNumberFormat="1" applyFont="1" applyBorder="1" applyAlignment="1">
      <alignment horizontal="center" vertical="center" wrapText="1"/>
    </xf>
    <xf numFmtId="4" fontId="17" fillId="0" borderId="1" xfId="0" applyNumberFormat="1" applyFont="1" applyBorder="1" applyAlignment="1">
      <alignment horizontal="center" vertical="center" wrapText="1"/>
    </xf>
    <xf numFmtId="4" fontId="17" fillId="0" borderId="1" xfId="0" applyNumberFormat="1" applyFont="1" applyBorder="1" applyAlignment="1">
      <alignment horizontal="center" vertical="center"/>
    </xf>
    <xf numFmtId="0" fontId="17" fillId="0" borderId="1" xfId="0" applyFont="1" applyBorder="1" applyAlignment="1">
      <alignment horizontal="center" vertical="center"/>
    </xf>
    <xf numFmtId="2" fontId="17" fillId="0" borderId="0" xfId="0" applyNumberFormat="1" applyFont="1" applyAlignment="1">
      <alignment horizontal="center" vertical="center"/>
    </xf>
    <xf numFmtId="4" fontId="17" fillId="0" borderId="0" xfId="0" applyNumberFormat="1" applyFont="1" applyAlignment="1">
      <alignment horizontal="center" vertical="center"/>
    </xf>
    <xf numFmtId="1" fontId="0" fillId="12" borderId="0" xfId="0" applyNumberFormat="1" applyFill="1"/>
    <xf numFmtId="0" fontId="0" fillId="19" borderId="0" xfId="0" applyFill="1"/>
    <xf numFmtId="0" fontId="0" fillId="20" borderId="0" xfId="0" applyFill="1"/>
    <xf numFmtId="4" fontId="33" fillId="12" borderId="1" xfId="0" applyNumberFormat="1" applyFont="1" applyFill="1" applyBorder="1" applyAlignment="1">
      <alignment horizontal="left" vertical="center" wrapText="1"/>
    </xf>
    <xf numFmtId="3" fontId="33" fillId="13" borderId="1" xfId="0" applyNumberFormat="1" applyFont="1" applyFill="1" applyBorder="1" applyAlignment="1">
      <alignment horizontal="center" vertical="center" wrapText="1"/>
    </xf>
    <xf numFmtId="10" fontId="33" fillId="21" borderId="1" xfId="0" applyNumberFormat="1" applyFont="1" applyFill="1" applyBorder="1" applyAlignment="1">
      <alignment horizontal="center" vertical="center" wrapText="1"/>
    </xf>
    <xf numFmtId="3" fontId="33" fillId="21" borderId="1" xfId="0" applyNumberFormat="1" applyFont="1" applyFill="1" applyBorder="1" applyAlignment="1">
      <alignment horizontal="center" vertical="center" wrapText="1"/>
    </xf>
    <xf numFmtId="3" fontId="33" fillId="12" borderId="1" xfId="0" applyNumberFormat="1" applyFont="1" applyFill="1" applyBorder="1" applyAlignment="1">
      <alignment horizontal="center" vertical="center" wrapText="1"/>
    </xf>
    <xf numFmtId="4" fontId="33" fillId="12" borderId="1" xfId="0" applyNumberFormat="1" applyFont="1" applyFill="1" applyBorder="1" applyAlignment="1">
      <alignment horizontal="center" vertical="center" wrapText="1"/>
    </xf>
    <xf numFmtId="4" fontId="33" fillId="12" borderId="2" xfId="0" applyNumberFormat="1" applyFont="1" applyFill="1" applyBorder="1" applyAlignment="1">
      <alignment horizontal="center" vertical="center" wrapText="1"/>
    </xf>
    <xf numFmtId="1" fontId="33" fillId="13" borderId="5" xfId="0" applyNumberFormat="1" applyFont="1" applyFill="1" applyBorder="1" applyAlignment="1">
      <alignment horizontal="center" vertical="center" wrapText="1"/>
    </xf>
    <xf numFmtId="4" fontId="33" fillId="12" borderId="6" xfId="0" applyNumberFormat="1" applyFont="1" applyFill="1" applyBorder="1" applyAlignment="1">
      <alignment horizontal="center" vertical="center" wrapText="1"/>
    </xf>
    <xf numFmtId="1" fontId="33" fillId="13" borderId="1" xfId="0" applyNumberFormat="1" applyFont="1" applyFill="1" applyBorder="1" applyAlignment="1">
      <alignment horizontal="center" vertical="center" wrapText="1"/>
    </xf>
    <xf numFmtId="4" fontId="33" fillId="19" borderId="1" xfId="0" applyNumberFormat="1" applyFont="1" applyFill="1" applyBorder="1" applyAlignment="1">
      <alignment vertical="center" wrapText="1"/>
    </xf>
    <xf numFmtId="1" fontId="0" fillId="13" borderId="0" xfId="0" applyNumberFormat="1" applyFill="1"/>
    <xf numFmtId="4" fontId="0" fillId="19" borderId="0" xfId="0" applyNumberFormat="1" applyFill="1"/>
    <xf numFmtId="4" fontId="0" fillId="20" borderId="0" xfId="0" applyNumberFormat="1" applyFill="1"/>
    <xf numFmtId="0" fontId="17" fillId="0" borderId="0" xfId="0" applyFont="1" applyAlignment="1">
      <alignment horizontal="center" vertical="center" wrapText="1"/>
    </xf>
    <xf numFmtId="0" fontId="17" fillId="12" borderId="0" xfId="0" applyFont="1" applyFill="1" applyAlignment="1">
      <alignment horizontal="center" vertical="center"/>
    </xf>
    <xf numFmtId="167" fontId="0" fillId="0" borderId="1" xfId="0" applyNumberFormat="1" applyBorder="1" applyAlignment="1">
      <alignment horizontal="left" vertical="center" wrapText="1"/>
    </xf>
    <xf numFmtId="167" fontId="0" fillId="0" borderId="1" xfId="0" applyNumberFormat="1" applyBorder="1" applyAlignment="1">
      <alignment horizontal="center" vertical="center"/>
    </xf>
    <xf numFmtId="167" fontId="0" fillId="12" borderId="1" xfId="0" applyNumberFormat="1" applyFill="1" applyBorder="1" applyAlignment="1">
      <alignment horizontal="center" vertical="center" wrapText="1"/>
    </xf>
    <xf numFmtId="167" fontId="0" fillId="12" borderId="1" xfId="0" applyNumberFormat="1" applyFill="1" applyBorder="1" applyAlignment="1">
      <alignment horizontal="center" vertical="center"/>
    </xf>
    <xf numFmtId="167" fontId="0" fillId="13" borderId="1" xfId="0" applyNumberFormat="1" applyFill="1" applyBorder="1" applyAlignment="1">
      <alignment horizontal="center" vertical="center"/>
    </xf>
    <xf numFmtId="167" fontId="16" fillId="0" borderId="1" xfId="0" applyNumberFormat="1" applyFont="1" applyBorder="1" applyAlignment="1">
      <alignment horizontal="left" vertical="center" wrapText="1"/>
    </xf>
    <xf numFmtId="0" fontId="34" fillId="0" borderId="0" xfId="0" applyFont="1" applyAlignment="1">
      <alignment horizontal="center" vertical="center"/>
    </xf>
    <xf numFmtId="167" fontId="17" fillId="0" borderId="1" xfId="0" applyNumberFormat="1" applyFont="1" applyBorder="1" applyAlignment="1">
      <alignment horizontal="center" vertical="center"/>
    </xf>
    <xf numFmtId="167" fontId="34" fillId="0" borderId="0" xfId="0" applyNumberFormat="1" applyFont="1" applyAlignment="1">
      <alignment horizontal="center" vertical="center" wrapText="1"/>
    </xf>
    <xf numFmtId="0" fontId="35" fillId="0" borderId="0" xfId="0" applyFont="1" applyAlignment="1">
      <alignment horizontal="center" vertical="center" wrapText="1"/>
    </xf>
    <xf numFmtId="164" fontId="34" fillId="0" borderId="0" xfId="0" applyNumberFormat="1" applyFont="1" applyAlignment="1">
      <alignment horizontal="center" vertical="center" wrapText="1"/>
    </xf>
    <xf numFmtId="164" fontId="17" fillId="0" borderId="0" xfId="0" applyNumberFormat="1" applyFont="1" applyAlignment="1">
      <alignment horizontal="center" vertical="center"/>
    </xf>
    <xf numFmtId="4" fontId="17" fillId="0" borderId="0" xfId="0" applyNumberFormat="1" applyFont="1" applyAlignment="1">
      <alignment horizontal="center" vertical="center" wrapText="1"/>
    </xf>
    <xf numFmtId="4" fontId="34" fillId="0" borderId="0" xfId="0" applyNumberFormat="1" applyFont="1" applyAlignment="1">
      <alignment horizontal="center" vertical="center"/>
    </xf>
    <xf numFmtId="4" fontId="36" fillId="6" borderId="0" xfId="0" applyNumberFormat="1" applyFont="1" applyFill="1" applyAlignment="1">
      <alignment horizontal="center" vertical="center"/>
    </xf>
    <xf numFmtId="167" fontId="17" fillId="0" borderId="11" xfId="0" applyNumberFormat="1" applyFont="1" applyBorder="1" applyAlignment="1">
      <alignment horizontal="center" vertical="center" wrapText="1"/>
    </xf>
    <xf numFmtId="0" fontId="34" fillId="12" borderId="0" xfId="0" applyFont="1" applyFill="1" applyAlignment="1">
      <alignment horizontal="center" vertical="center"/>
    </xf>
    <xf numFmtId="0" fontId="17" fillId="12" borderId="1" xfId="0" applyFont="1" applyFill="1" applyBorder="1" applyAlignment="1">
      <alignment horizontal="left" vertical="center" wrapText="1"/>
    </xf>
    <xf numFmtId="0" fontId="17" fillId="12" borderId="11" xfId="0" applyFont="1" applyFill="1" applyBorder="1" applyAlignment="1">
      <alignment horizontal="left" vertical="center" wrapText="1"/>
    </xf>
    <xf numFmtId="4" fontId="34" fillId="12" borderId="11" xfId="0" applyNumberFormat="1" applyFont="1" applyFill="1" applyBorder="1" applyAlignment="1">
      <alignment horizontal="center" vertical="center" wrapText="1"/>
    </xf>
    <xf numFmtId="167" fontId="34" fillId="0" borderId="11" xfId="0" applyNumberFormat="1" applyFont="1" applyBorder="1" applyAlignment="1">
      <alignment horizontal="center" vertical="center" wrapText="1"/>
    </xf>
    <xf numFmtId="167" fontId="34" fillId="12" borderId="11" xfId="0" applyNumberFormat="1" applyFont="1" applyFill="1" applyBorder="1" applyAlignment="1">
      <alignment horizontal="center" vertical="center" wrapText="1"/>
    </xf>
    <xf numFmtId="164" fontId="17" fillId="12" borderId="11" xfId="0" applyNumberFormat="1" applyFont="1" applyFill="1" applyBorder="1" applyAlignment="1">
      <alignment horizontal="center" vertical="center" wrapText="1"/>
    </xf>
    <xf numFmtId="167" fontId="17" fillId="12" borderId="11" xfId="0" applyNumberFormat="1" applyFont="1" applyFill="1" applyBorder="1" applyAlignment="1">
      <alignment horizontal="center" vertical="center" wrapText="1"/>
    </xf>
    <xf numFmtId="167" fontId="17" fillId="12" borderId="1" xfId="0" applyNumberFormat="1" applyFont="1" applyFill="1" applyBorder="1" applyAlignment="1">
      <alignment horizontal="center" vertical="center" wrapText="1"/>
    </xf>
    <xf numFmtId="167" fontId="17" fillId="13" borderId="11" xfId="0" applyNumberFormat="1" applyFont="1" applyFill="1" applyBorder="1" applyAlignment="1">
      <alignment horizontal="center" vertical="center" wrapText="1"/>
    </xf>
    <xf numFmtId="2" fontId="17" fillId="12" borderId="11" xfId="0" applyNumberFormat="1" applyFont="1" applyFill="1" applyBorder="1" applyAlignment="1">
      <alignment horizontal="center" vertical="center" wrapText="1"/>
    </xf>
    <xf numFmtId="2" fontId="17" fillId="0" borderId="11" xfId="0" applyNumberFormat="1" applyFont="1" applyBorder="1" applyAlignment="1">
      <alignment horizontal="center" vertical="center"/>
    </xf>
    <xf numFmtId="167" fontId="17" fillId="0" borderId="11" xfId="0" applyNumberFormat="1" applyFont="1" applyBorder="1" applyAlignment="1">
      <alignment horizontal="center" vertical="center"/>
    </xf>
    <xf numFmtId="2" fontId="32" fillId="0" borderId="11" xfId="0" applyNumberFormat="1" applyFont="1" applyBorder="1" applyAlignment="1">
      <alignment horizontal="center" vertical="center" wrapText="1"/>
    </xf>
    <xf numFmtId="167" fontId="32" fillId="0" borderId="11" xfId="0" applyNumberFormat="1" applyFont="1" applyBorder="1" applyAlignment="1">
      <alignment horizontal="center" vertical="center" wrapText="1"/>
    </xf>
    <xf numFmtId="167" fontId="32" fillId="0" borderId="1" xfId="0" applyNumberFormat="1" applyFont="1" applyBorder="1" applyAlignment="1">
      <alignment horizontal="center" vertical="center" wrapText="1"/>
    </xf>
    <xf numFmtId="167" fontId="17" fillId="0" borderId="0" xfId="0" applyNumberFormat="1" applyFont="1" applyAlignment="1">
      <alignment horizontal="center" vertical="center"/>
    </xf>
    <xf numFmtId="167" fontId="17" fillId="0" borderId="0" xfId="0" applyNumberFormat="1" applyFont="1" applyAlignment="1">
      <alignment horizontal="left" vertical="center"/>
    </xf>
    <xf numFmtId="167" fontId="34" fillId="0" borderId="0" xfId="0" applyNumberFormat="1" applyFont="1" applyAlignment="1">
      <alignment horizontal="center" vertical="center"/>
    </xf>
    <xf numFmtId="167" fontId="17" fillId="0" borderId="0" xfId="0" applyNumberFormat="1" applyFont="1" applyAlignment="1">
      <alignment horizontal="left" vertical="center" wrapText="1"/>
    </xf>
    <xf numFmtId="168" fontId="17" fillId="0" borderId="0" xfId="0" applyNumberFormat="1" applyFont="1" applyAlignment="1">
      <alignment horizontal="left" vertical="center" wrapText="1"/>
    </xf>
    <xf numFmtId="168" fontId="17" fillId="0" borderId="0" xfId="0" applyNumberFormat="1" applyFont="1" applyAlignment="1">
      <alignment horizontal="center" vertical="center"/>
    </xf>
    <xf numFmtId="10" fontId="17" fillId="0" borderId="0" xfId="0" applyNumberFormat="1" applyFont="1" applyAlignment="1">
      <alignment horizontal="center" vertical="center"/>
    </xf>
    <xf numFmtId="166" fontId="17" fillId="0" borderId="0" xfId="0" applyNumberFormat="1" applyFont="1" applyAlignment="1">
      <alignment horizontal="center" vertical="center"/>
    </xf>
    <xf numFmtId="9" fontId="17" fillId="0" borderId="0" xfId="0" applyNumberFormat="1" applyFont="1" applyAlignment="1">
      <alignment horizontal="center" vertical="center"/>
    </xf>
    <xf numFmtId="0" fontId="14" fillId="0" borderId="0" xfId="3" applyAlignment="1" applyProtection="1">
      <alignment horizontal="justify"/>
    </xf>
    <xf numFmtId="0" fontId="37" fillId="0" borderId="0" xfId="0" applyFont="1" applyAlignment="1">
      <alignment horizontal="justify"/>
    </xf>
    <xf numFmtId="1" fontId="0" fillId="0" borderId="0" xfId="0" applyNumberFormat="1" applyAlignment="1">
      <alignment vertical="top"/>
    </xf>
    <xf numFmtId="0" fontId="0" fillId="0" borderId="0" xfId="0" applyAlignment="1">
      <alignment vertical="top"/>
    </xf>
    <xf numFmtId="1" fontId="0" fillId="0" borderId="0" xfId="0" applyNumberFormat="1" applyAlignment="1">
      <alignment horizontal="center" vertical="top"/>
    </xf>
    <xf numFmtId="9" fontId="0" fillId="0" borderId="0" xfId="0" applyNumberFormat="1" applyAlignment="1">
      <alignment horizontal="center" vertical="top"/>
    </xf>
    <xf numFmtId="0" fontId="17" fillId="0" borderId="0" xfId="0" applyFont="1" applyAlignment="1">
      <alignment horizontal="center" vertical="top" wrapText="1"/>
    </xf>
    <xf numFmtId="0" fontId="17" fillId="0" borderId="0" xfId="0" applyFont="1" applyAlignment="1">
      <alignment horizontal="right" vertical="top" wrapText="1"/>
    </xf>
    <xf numFmtId="1" fontId="0" fillId="0" borderId="0" xfId="0" applyNumberFormat="1" applyAlignment="1">
      <alignment horizontal="left" vertical="center" wrapText="1"/>
    </xf>
    <xf numFmtId="2" fontId="17" fillId="0" borderId="0" xfId="0" applyNumberFormat="1" applyFont="1" applyAlignment="1">
      <alignment horizontal="center" vertical="center" wrapText="1"/>
    </xf>
    <xf numFmtId="2" fontId="0" fillId="0" borderId="0" xfId="0" applyNumberFormat="1" applyAlignment="1">
      <alignment horizontal="left" vertical="center" wrapText="1"/>
    </xf>
    <xf numFmtId="0" fontId="0" fillId="0" borderId="1" xfId="0" applyBorder="1"/>
    <xf numFmtId="0" fontId="0" fillId="23" borderId="1" xfId="0" applyFill="1" applyBorder="1"/>
    <xf numFmtId="0" fontId="0" fillId="7" borderId="1" xfId="0" applyFill="1" applyBorder="1"/>
    <xf numFmtId="0" fontId="0" fillId="24" borderId="1" xfId="0" applyFill="1" applyBorder="1"/>
    <xf numFmtId="0" fontId="0" fillId="25" borderId="1" xfId="0" applyFill="1" applyBorder="1"/>
    <xf numFmtId="0" fontId="0" fillId="26" borderId="0" xfId="0" applyFill="1"/>
    <xf numFmtId="0" fontId="12" fillId="0" borderId="0" xfId="0" applyFont="1"/>
    <xf numFmtId="0" fontId="0" fillId="29" borderId="0" xfId="0" applyFill="1"/>
    <xf numFmtId="0" fontId="12" fillId="29" borderId="0" xfId="0" applyFont="1" applyFill="1"/>
    <xf numFmtId="167" fontId="0" fillId="7" borderId="1" xfId="0" applyNumberFormat="1" applyFill="1" applyBorder="1" applyAlignment="1">
      <alignment wrapText="1"/>
    </xf>
    <xf numFmtId="167" fontId="0" fillId="0" borderId="1" xfId="0" applyNumberFormat="1" applyBorder="1" applyAlignment="1">
      <alignment horizontal="right" wrapText="1"/>
    </xf>
    <xf numFmtId="167" fontId="0" fillId="0" borderId="1" xfId="0" applyNumberFormat="1" applyBorder="1" applyAlignment="1">
      <alignment wrapText="1"/>
    </xf>
    <xf numFmtId="167" fontId="0" fillId="0" borderId="5" xfId="0" applyNumberFormat="1" applyBorder="1" applyAlignment="1">
      <alignment wrapText="1"/>
    </xf>
    <xf numFmtId="167" fontId="0" fillId="0" borderId="12" xfId="0" applyNumberFormat="1" applyBorder="1" applyAlignment="1">
      <alignment wrapText="1"/>
    </xf>
    <xf numFmtId="167" fontId="23" fillId="0" borderId="1" xfId="0" applyNumberFormat="1" applyFont="1" applyBorder="1" applyAlignment="1">
      <alignment wrapText="1"/>
    </xf>
    <xf numFmtId="167" fontId="23" fillId="0" borderId="5" xfId="0" applyNumberFormat="1" applyFont="1" applyBorder="1" applyAlignment="1">
      <alignment wrapText="1"/>
    </xf>
    <xf numFmtId="167" fontId="17" fillId="31" borderId="11" xfId="0" applyNumberFormat="1" applyFont="1" applyFill="1" applyBorder="1" applyAlignment="1">
      <alignment horizontal="center" vertical="center" wrapText="1"/>
    </xf>
    <xf numFmtId="0" fontId="0" fillId="32" borderId="1" xfId="0" applyFill="1" applyBorder="1"/>
    <xf numFmtId="0" fontId="18" fillId="33" borderId="1" xfId="0" applyFont="1" applyFill="1" applyBorder="1"/>
    <xf numFmtId="4" fontId="18" fillId="28" borderId="1" xfId="0" applyNumberFormat="1" applyFont="1" applyFill="1" applyBorder="1"/>
    <xf numFmtId="4" fontId="18" fillId="29" borderId="1" xfId="0" applyNumberFormat="1" applyFont="1" applyFill="1" applyBorder="1"/>
    <xf numFmtId="167" fontId="17" fillId="34" borderId="11" xfId="0" applyNumberFormat="1" applyFont="1" applyFill="1" applyBorder="1" applyAlignment="1">
      <alignment horizontal="center" vertical="center" wrapText="1"/>
    </xf>
    <xf numFmtId="0" fontId="12" fillId="0" borderId="5" xfId="0" applyFont="1" applyBorder="1" applyAlignment="1">
      <alignment wrapText="1"/>
    </xf>
    <xf numFmtId="0" fontId="12" fillId="0" borderId="1" xfId="0" applyFont="1" applyBorder="1" applyAlignment="1">
      <alignment horizontal="left"/>
    </xf>
    <xf numFmtId="0" fontId="12" fillId="0" borderId="1" xfId="0" applyFont="1" applyBorder="1"/>
    <xf numFmtId="0" fontId="47" fillId="4" borderId="1" xfId="5" applyFont="1" applyBorder="1"/>
    <xf numFmtId="4" fontId="12" fillId="0" borderId="1" xfId="0" applyNumberFormat="1" applyFont="1" applyBorder="1"/>
    <xf numFmtId="4" fontId="12" fillId="12" borderId="1" xfId="0" applyNumberFormat="1" applyFont="1" applyFill="1" applyBorder="1"/>
    <xf numFmtId="4" fontId="42" fillId="0" borderId="1" xfId="0" applyNumberFormat="1" applyFont="1" applyBorder="1"/>
    <xf numFmtId="4" fontId="12" fillId="0" borderId="0" xfId="0" applyNumberFormat="1" applyFont="1"/>
    <xf numFmtId="167" fontId="12" fillId="0" borderId="0" xfId="0" applyNumberFormat="1" applyFont="1"/>
    <xf numFmtId="4" fontId="12" fillId="15" borderId="1" xfId="0" applyNumberFormat="1" applyFont="1" applyFill="1" applyBorder="1"/>
    <xf numFmtId="4" fontId="42" fillId="13" borderId="1" xfId="0" applyNumberFormat="1" applyFont="1" applyFill="1" applyBorder="1"/>
    <xf numFmtId="0" fontId="12" fillId="0" borderId="1" xfId="0" applyFont="1" applyBorder="1" applyAlignment="1">
      <alignment wrapText="1"/>
    </xf>
    <xf numFmtId="2" fontId="12" fillId="0" borderId="1" xfId="0" applyNumberFormat="1" applyFont="1" applyBorder="1"/>
    <xf numFmtId="4" fontId="12" fillId="0" borderId="0" xfId="0" applyNumberFormat="1" applyFont="1" applyAlignment="1">
      <alignment horizontal="left"/>
    </xf>
    <xf numFmtId="166" fontId="12" fillId="13" borderId="1" xfId="0" applyNumberFormat="1" applyFont="1" applyFill="1" applyBorder="1"/>
    <xf numFmtId="2" fontId="12" fillId="0" borderId="0" xfId="0" applyNumberFormat="1" applyFont="1"/>
    <xf numFmtId="2" fontId="48" fillId="13" borderId="2" xfId="0" applyNumberFormat="1" applyFont="1" applyFill="1" applyBorder="1"/>
    <xf numFmtId="166" fontId="49" fillId="13" borderId="1" xfId="0" applyNumberFormat="1" applyFont="1" applyFill="1" applyBorder="1"/>
    <xf numFmtId="164" fontId="12" fillId="13" borderId="1" xfId="0" applyNumberFormat="1" applyFont="1" applyFill="1" applyBorder="1"/>
    <xf numFmtId="164" fontId="43" fillId="13" borderId="1" xfId="0" applyNumberFormat="1" applyFont="1" applyFill="1" applyBorder="1"/>
    <xf numFmtId="4" fontId="12" fillId="13" borderId="4" xfId="0" applyNumberFormat="1" applyFont="1" applyFill="1" applyBorder="1"/>
    <xf numFmtId="0" fontId="43" fillId="35" borderId="1" xfId="0" applyFont="1" applyFill="1" applyBorder="1" applyAlignment="1">
      <alignment wrapText="1"/>
    </xf>
    <xf numFmtId="0" fontId="43" fillId="35" borderId="1" xfId="0" applyFont="1" applyFill="1" applyBorder="1"/>
    <xf numFmtId="0" fontId="43" fillId="35" borderId="1" xfId="0" applyFont="1" applyFill="1" applyBorder="1" applyAlignment="1">
      <alignment horizontal="right"/>
    </xf>
    <xf numFmtId="167" fontId="43" fillId="35" borderId="1" xfId="0" applyNumberFormat="1" applyFont="1" applyFill="1" applyBorder="1"/>
    <xf numFmtId="0" fontId="0" fillId="27" borderId="0" xfId="0" applyFill="1"/>
    <xf numFmtId="0" fontId="44" fillId="0" borderId="0" xfId="0" applyFont="1" applyAlignment="1">
      <alignment horizontal="center"/>
    </xf>
    <xf numFmtId="0" fontId="44" fillId="0" borderId="0" xfId="0" applyFont="1" applyAlignment="1">
      <alignment horizontal="right"/>
    </xf>
    <xf numFmtId="0" fontId="0" fillId="0" borderId="0" xfId="0" applyAlignment="1">
      <alignment horizontal="right"/>
    </xf>
    <xf numFmtId="0" fontId="0" fillId="25" borderId="0" xfId="0" applyFill="1" applyAlignment="1">
      <alignment horizontal="center"/>
    </xf>
    <xf numFmtId="0" fontId="0" fillId="28" borderId="0" xfId="0" applyFill="1" applyAlignment="1">
      <alignment horizontal="center"/>
    </xf>
    <xf numFmtId="0" fontId="0" fillId="36" borderId="0" xfId="0" applyFill="1"/>
    <xf numFmtId="0" fontId="11" fillId="0" borderId="0" xfId="0" applyFont="1"/>
    <xf numFmtId="0" fontId="50" fillId="0" borderId="0" xfId="0" applyFont="1" applyAlignment="1">
      <alignment horizontal="left" wrapText="1" indent="2"/>
    </xf>
    <xf numFmtId="167" fontId="0" fillId="30" borderId="1" xfId="0" applyNumberFormat="1" applyFill="1" applyBorder="1" applyAlignment="1">
      <alignment horizontal="left" vertical="center" wrapText="1"/>
    </xf>
    <xf numFmtId="167" fontId="24" fillId="37" borderId="1" xfId="0" applyNumberFormat="1" applyFont="1" applyFill="1" applyBorder="1" applyAlignment="1">
      <alignment horizontal="center" vertical="center" wrapText="1"/>
    </xf>
    <xf numFmtId="0" fontId="17" fillId="30" borderId="0" xfId="0" applyFont="1" applyFill="1" applyAlignment="1">
      <alignment horizontal="center" vertical="center"/>
    </xf>
    <xf numFmtId="167" fontId="0" fillId="38" borderId="1" xfId="0" applyNumberFormat="1" applyFill="1" applyBorder="1" applyAlignment="1">
      <alignment horizontal="left" vertical="center" wrapText="1"/>
    </xf>
    <xf numFmtId="167" fontId="0" fillId="38" borderId="1" xfId="0" applyNumberFormat="1" applyFill="1" applyBorder="1" applyAlignment="1">
      <alignment horizontal="center" vertical="center" wrapText="1"/>
    </xf>
    <xf numFmtId="0" fontId="17" fillId="38" borderId="0" xfId="0" applyFont="1" applyFill="1" applyAlignment="1">
      <alignment horizontal="center" vertical="center"/>
    </xf>
    <xf numFmtId="167" fontId="0" fillId="31" borderId="1" xfId="0" applyNumberFormat="1" applyFill="1" applyBorder="1" applyAlignment="1">
      <alignment horizontal="center" vertical="center" wrapText="1"/>
    </xf>
    <xf numFmtId="167" fontId="0" fillId="39" borderId="1" xfId="0" applyNumberFormat="1" applyFill="1" applyBorder="1" applyAlignment="1">
      <alignment horizontal="left" vertical="center" wrapText="1"/>
    </xf>
    <xf numFmtId="167" fontId="0" fillId="39" borderId="1" xfId="0" applyNumberFormat="1" applyFill="1" applyBorder="1" applyAlignment="1">
      <alignment horizontal="center" vertical="center" wrapText="1"/>
    </xf>
    <xf numFmtId="167" fontId="0" fillId="39" borderId="1" xfId="0" applyNumberFormat="1" applyFill="1" applyBorder="1" applyAlignment="1">
      <alignment horizontal="center" vertical="center"/>
    </xf>
    <xf numFmtId="167" fontId="24" fillId="39" borderId="1" xfId="0" applyNumberFormat="1" applyFont="1" applyFill="1" applyBorder="1" applyAlignment="1">
      <alignment horizontal="center" vertical="center" wrapText="1"/>
    </xf>
    <xf numFmtId="0" fontId="17" fillId="39" borderId="0" xfId="0" applyFont="1" applyFill="1" applyAlignment="1">
      <alignment horizontal="center" vertical="center"/>
    </xf>
    <xf numFmtId="0" fontId="17" fillId="29" borderId="1" xfId="0" applyFont="1" applyFill="1" applyBorder="1" applyAlignment="1">
      <alignment horizontal="center" vertical="center" wrapText="1"/>
    </xf>
    <xf numFmtId="0" fontId="17" fillId="29" borderId="1" xfId="0" applyFont="1" applyFill="1" applyBorder="1" applyAlignment="1">
      <alignment horizontal="left" vertical="center" wrapText="1"/>
    </xf>
    <xf numFmtId="9" fontId="0" fillId="28" borderId="0" xfId="0" applyNumberFormat="1" applyFill="1" applyAlignment="1">
      <alignment horizontal="center"/>
    </xf>
    <xf numFmtId="0" fontId="11" fillId="29" borderId="0" xfId="0" applyFont="1" applyFill="1"/>
    <xf numFmtId="0" fontId="0" fillId="29" borderId="0" xfId="0" applyFill="1" applyAlignment="1">
      <alignment horizontal="center"/>
    </xf>
    <xf numFmtId="0" fontId="0" fillId="5" borderId="0" xfId="0" applyFill="1" applyAlignment="1">
      <alignment horizontal="center"/>
    </xf>
    <xf numFmtId="10" fontId="0" fillId="28" borderId="0" xfId="0" applyNumberFormat="1" applyFill="1" applyAlignment="1">
      <alignment horizontal="center"/>
    </xf>
    <xf numFmtId="10" fontId="0" fillId="0" borderId="0" xfId="0" applyNumberFormat="1" applyAlignment="1">
      <alignment horizontal="center"/>
    </xf>
    <xf numFmtId="167" fontId="0" fillId="5" borderId="0" xfId="0" applyNumberFormat="1" applyFill="1" applyAlignment="1">
      <alignment horizontal="center"/>
    </xf>
    <xf numFmtId="0" fontId="14" fillId="0" borderId="0" xfId="3" applyProtection="1">
      <alignment vertical="top"/>
    </xf>
    <xf numFmtId="0" fontId="18" fillId="29" borderId="1" xfId="0" applyFont="1" applyFill="1" applyBorder="1" applyAlignment="1">
      <alignment horizontal="left" wrapText="1"/>
    </xf>
    <xf numFmtId="0" fontId="18" fillId="29" borderId="1" xfId="0" applyFont="1" applyFill="1" applyBorder="1" applyAlignment="1">
      <alignment wrapText="1"/>
    </xf>
    <xf numFmtId="0" fontId="18" fillId="29" borderId="1" xfId="0" applyFont="1" applyFill="1" applyBorder="1" applyAlignment="1">
      <alignment horizontal="center" vertical="center" wrapText="1"/>
    </xf>
    <xf numFmtId="0" fontId="18" fillId="29" borderId="1" xfId="0" applyFont="1" applyFill="1" applyBorder="1" applyAlignment="1">
      <alignment horizontal="right"/>
    </xf>
    <xf numFmtId="0" fontId="18" fillId="29" borderId="1" xfId="0" applyFont="1" applyFill="1" applyBorder="1" applyAlignment="1">
      <alignment horizontal="left" vertical="top" wrapText="1"/>
    </xf>
    <xf numFmtId="4" fontId="20" fillId="29" borderId="1" xfId="0" applyNumberFormat="1" applyFont="1" applyFill="1" applyBorder="1"/>
    <xf numFmtId="0" fontId="18" fillId="29" borderId="0" xfId="0" applyFont="1" applyFill="1" applyAlignment="1">
      <alignment horizontal="left" wrapText="1"/>
    </xf>
    <xf numFmtId="4" fontId="20" fillId="29" borderId="5" xfId="0" applyNumberFormat="1" applyFont="1" applyFill="1" applyBorder="1"/>
    <xf numFmtId="0" fontId="20" fillId="29" borderId="1" xfId="0" applyFont="1" applyFill="1" applyBorder="1" applyAlignment="1">
      <alignment horizontal="left" wrapText="1"/>
    </xf>
    <xf numFmtId="0" fontId="18" fillId="29" borderId="1" xfId="0" applyFont="1" applyFill="1" applyBorder="1"/>
    <xf numFmtId="4" fontId="18" fillId="29" borderId="5" xfId="0" applyNumberFormat="1" applyFont="1" applyFill="1" applyBorder="1"/>
    <xf numFmtId="4" fontId="18" fillId="29" borderId="0" xfId="0" applyNumberFormat="1" applyFont="1" applyFill="1"/>
    <xf numFmtId="0" fontId="0" fillId="29" borderId="1" xfId="0" applyFill="1" applyBorder="1" applyAlignment="1">
      <alignment horizontal="center" vertical="top"/>
    </xf>
    <xf numFmtId="0" fontId="0" fillId="29" borderId="1" xfId="0" applyFill="1" applyBorder="1" applyAlignment="1">
      <alignment horizontal="center" vertical="center" wrapText="1"/>
    </xf>
    <xf numFmtId="0" fontId="0" fillId="29" borderId="1" xfId="0" applyFill="1" applyBorder="1" applyAlignment="1">
      <alignment horizontal="left" vertical="center" wrapText="1"/>
    </xf>
    <xf numFmtId="0" fontId="0" fillId="29" borderId="1" xfId="0" applyFill="1" applyBorder="1" applyAlignment="1">
      <alignment horizontal="center" vertical="top" wrapText="1"/>
    </xf>
    <xf numFmtId="0" fontId="0" fillId="29" borderId="0" xfId="0" applyFill="1" applyAlignment="1">
      <alignment horizontal="left" vertical="center" wrapText="1"/>
    </xf>
    <xf numFmtId="0" fontId="0" fillId="29" borderId="0" xfId="0" applyFill="1" applyAlignment="1">
      <alignment wrapText="1"/>
    </xf>
    <xf numFmtId="1" fontId="0" fillId="29" borderId="0" xfId="0" applyNumberFormat="1" applyFill="1"/>
    <xf numFmtId="0" fontId="39" fillId="30" borderId="0" xfId="1" applyFill="1" applyAlignment="1">
      <alignment horizontal="center" vertical="center" wrapText="1"/>
    </xf>
    <xf numFmtId="0" fontId="0" fillId="29" borderId="1" xfId="0" applyFill="1" applyBorder="1" applyAlignment="1">
      <alignment horizontal="center"/>
    </xf>
    <xf numFmtId="0" fontId="0" fillId="29" borderId="1" xfId="0" applyFill="1" applyBorder="1" applyAlignment="1">
      <alignment horizontal="center" vertical="center"/>
    </xf>
    <xf numFmtId="0" fontId="0" fillId="29" borderId="1" xfId="0" applyFill="1" applyBorder="1" applyAlignment="1">
      <alignment horizontal="center" wrapText="1"/>
    </xf>
    <xf numFmtId="167" fontId="0" fillId="40" borderId="1" xfId="0" applyNumberFormat="1" applyFill="1" applyBorder="1" applyAlignment="1">
      <alignment horizontal="center" vertical="center" wrapText="1"/>
    </xf>
    <xf numFmtId="0" fontId="0" fillId="41" borderId="1" xfId="0" applyFill="1" applyBorder="1" applyAlignment="1">
      <alignment horizontal="center" vertical="top" wrapText="1"/>
    </xf>
    <xf numFmtId="0" fontId="0" fillId="41" borderId="1" xfId="0" applyFill="1" applyBorder="1" applyAlignment="1">
      <alignment horizontal="left" vertical="center" wrapText="1"/>
    </xf>
    <xf numFmtId="2" fontId="0" fillId="41" borderId="1" xfId="0" applyNumberFormat="1" applyFill="1" applyBorder="1" applyAlignment="1">
      <alignment vertical="center"/>
    </xf>
    <xf numFmtId="167" fontId="0" fillId="41" borderId="1" xfId="0" applyNumberFormat="1" applyFill="1" applyBorder="1" applyAlignment="1">
      <alignment horizontal="center" vertical="center" wrapText="1"/>
    </xf>
    <xf numFmtId="2" fontId="0" fillId="41" borderId="1" xfId="0" applyNumberFormat="1" applyFill="1" applyBorder="1" applyAlignment="1">
      <alignment horizontal="right" vertical="center" wrapText="1"/>
    </xf>
    <xf numFmtId="3" fontId="0" fillId="42" borderId="1" xfId="0" applyNumberFormat="1" applyFill="1" applyBorder="1" applyAlignment="1">
      <alignment horizontal="center" wrapText="1"/>
    </xf>
    <xf numFmtId="0" fontId="0" fillId="27" borderId="1" xfId="0" applyFill="1" applyBorder="1" applyAlignment="1">
      <alignment horizontal="center" wrapText="1"/>
    </xf>
    <xf numFmtId="3" fontId="0" fillId="27" borderId="1" xfId="0" applyNumberFormat="1" applyFill="1" applyBorder="1" applyAlignment="1">
      <alignment horizontal="center" wrapText="1"/>
    </xf>
    <xf numFmtId="0" fontId="0" fillId="27" borderId="0" xfId="0" applyFill="1" applyAlignment="1">
      <alignment horizontal="center" wrapText="1"/>
    </xf>
    <xf numFmtId="0" fontId="0" fillId="43" borderId="1" xfId="0" applyFill="1" applyBorder="1" applyAlignment="1">
      <alignment horizontal="left" wrapText="1"/>
    </xf>
    <xf numFmtId="0" fontId="0" fillId="43" borderId="1" xfId="0" applyFill="1" applyBorder="1" applyAlignment="1">
      <alignment horizontal="center" wrapText="1"/>
    </xf>
    <xf numFmtId="0" fontId="25" fillId="43" borderId="1" xfId="0" applyFont="1" applyFill="1" applyBorder="1" applyAlignment="1">
      <alignment horizontal="center" wrapText="1"/>
    </xf>
    <xf numFmtId="0" fontId="0" fillId="29" borderId="1" xfId="0" applyFill="1" applyBorder="1" applyAlignment="1">
      <alignment horizontal="left" wrapText="1"/>
    </xf>
    <xf numFmtId="0" fontId="26" fillId="29" borderId="1" xfId="0" applyFont="1" applyFill="1" applyBorder="1" applyAlignment="1">
      <alignment horizontal="center" wrapText="1"/>
    </xf>
    <xf numFmtId="0" fontId="0" fillId="29" borderId="0" xfId="0" applyFill="1" applyAlignment="1">
      <alignment horizontal="center" wrapText="1"/>
    </xf>
    <xf numFmtId="0" fontId="0" fillId="44" borderId="1" xfId="0" applyFill="1" applyBorder="1" applyAlignment="1">
      <alignment horizontal="left" wrapText="1"/>
    </xf>
    <xf numFmtId="0" fontId="0" fillId="44" borderId="1" xfId="0" applyFill="1" applyBorder="1" applyAlignment="1">
      <alignment horizontal="center" wrapText="1"/>
    </xf>
    <xf numFmtId="0" fontId="25" fillId="44" borderId="1" xfId="0" applyFont="1" applyFill="1" applyBorder="1" applyAlignment="1">
      <alignment horizontal="center" wrapText="1"/>
    </xf>
    <xf numFmtId="3" fontId="0" fillId="44" borderId="1" xfId="0" applyNumberFormat="1" applyFill="1" applyBorder="1" applyAlignment="1">
      <alignment horizontal="center" wrapText="1"/>
    </xf>
    <xf numFmtId="0" fontId="0" fillId="44" borderId="0" xfId="0" applyFill="1" applyAlignment="1">
      <alignment horizontal="center" wrapText="1"/>
    </xf>
    <xf numFmtId="0" fontId="0" fillId="45" borderId="1" xfId="0" applyFill="1" applyBorder="1" applyAlignment="1">
      <alignment horizontal="left" wrapText="1"/>
    </xf>
    <xf numFmtId="0" fontId="0" fillId="45" borderId="1" xfId="0" applyFill="1" applyBorder="1" applyAlignment="1">
      <alignment horizontal="center" wrapText="1"/>
    </xf>
    <xf numFmtId="0" fontId="25" fillId="45" borderId="1" xfId="0" applyFont="1" applyFill="1" applyBorder="1" applyAlignment="1">
      <alignment horizontal="center" wrapText="1"/>
    </xf>
    <xf numFmtId="3" fontId="0" fillId="45" borderId="1" xfId="0" applyNumberFormat="1" applyFill="1" applyBorder="1" applyAlignment="1">
      <alignment horizontal="center" wrapText="1"/>
    </xf>
    <xf numFmtId="0" fontId="0" fillId="45" borderId="0" xfId="0" applyFill="1" applyAlignment="1">
      <alignment horizontal="center" wrapText="1"/>
    </xf>
    <xf numFmtId="0" fontId="0" fillId="39" borderId="1" xfId="0" applyFill="1" applyBorder="1" applyAlignment="1">
      <alignment horizontal="left" wrapText="1"/>
    </xf>
    <xf numFmtId="4" fontId="0" fillId="39" borderId="1" xfId="0" applyNumberFormat="1" applyFill="1" applyBorder="1" applyAlignment="1">
      <alignment horizontal="center" wrapText="1"/>
    </xf>
    <xf numFmtId="0" fontId="0" fillId="39" borderId="1" xfId="0" applyFill="1" applyBorder="1" applyAlignment="1">
      <alignment horizontal="center" wrapText="1"/>
    </xf>
    <xf numFmtId="3" fontId="0" fillId="39" borderId="1" xfId="0" applyNumberFormat="1" applyFill="1" applyBorder="1" applyAlignment="1">
      <alignment horizontal="center" wrapText="1"/>
    </xf>
    <xf numFmtId="0" fontId="0" fillId="39" borderId="0" xfId="0" applyFill="1" applyAlignment="1">
      <alignment horizontal="center" wrapText="1"/>
    </xf>
    <xf numFmtId="0" fontId="0" fillId="46" borderId="1" xfId="0" applyFill="1" applyBorder="1" applyAlignment="1">
      <alignment horizontal="left" wrapText="1"/>
    </xf>
    <xf numFmtId="0" fontId="26" fillId="29" borderId="1" xfId="0" applyFont="1" applyFill="1" applyBorder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26" fillId="28" borderId="1" xfId="0" applyFont="1" applyFill="1" applyBorder="1" applyAlignment="1">
      <alignment wrapText="1"/>
    </xf>
    <xf numFmtId="0" fontId="26" fillId="28" borderId="1" xfId="0" applyFont="1" applyFill="1" applyBorder="1" applyAlignment="1">
      <alignment horizontal="left" wrapText="1"/>
    </xf>
    <xf numFmtId="0" fontId="26" fillId="47" borderId="1" xfId="0" applyFont="1" applyFill="1" applyBorder="1" applyAlignment="1">
      <alignment wrapText="1"/>
    </xf>
    <xf numFmtId="0" fontId="26" fillId="38" borderId="1" xfId="0" applyFont="1" applyFill="1" applyBorder="1" applyAlignment="1">
      <alignment wrapText="1"/>
    </xf>
    <xf numFmtId="0" fontId="0" fillId="47" borderId="0" xfId="0" applyFill="1" applyAlignment="1">
      <alignment wrapText="1"/>
    </xf>
    <xf numFmtId="0" fontId="26" fillId="41" borderId="1" xfId="0" applyFont="1" applyFill="1" applyBorder="1" applyAlignment="1">
      <alignment wrapText="1"/>
    </xf>
    <xf numFmtId="3" fontId="26" fillId="41" borderId="1" xfId="0" applyNumberFormat="1" applyFont="1" applyFill="1" applyBorder="1" applyAlignment="1">
      <alignment wrapText="1"/>
    </xf>
    <xf numFmtId="0" fontId="0" fillId="41" borderId="0" xfId="0" applyFill="1" applyAlignment="1">
      <alignment wrapText="1"/>
    </xf>
    <xf numFmtId="0" fontId="26" fillId="48" borderId="1" xfId="0" applyFont="1" applyFill="1" applyBorder="1" applyAlignment="1">
      <alignment wrapText="1"/>
    </xf>
    <xf numFmtId="3" fontId="26" fillId="48" borderId="1" xfId="0" applyNumberFormat="1" applyFont="1" applyFill="1" applyBorder="1" applyAlignment="1">
      <alignment wrapText="1"/>
    </xf>
    <xf numFmtId="0" fontId="26" fillId="48" borderId="0" xfId="0" applyFont="1" applyFill="1" applyAlignment="1">
      <alignment wrapText="1"/>
    </xf>
    <xf numFmtId="0" fontId="0" fillId="48" borderId="0" xfId="0" applyFill="1" applyAlignment="1">
      <alignment wrapText="1"/>
    </xf>
    <xf numFmtId="0" fontId="11" fillId="0" borderId="0" xfId="0" applyFont="1" applyAlignment="1">
      <alignment wrapText="1"/>
    </xf>
    <xf numFmtId="0" fontId="11" fillId="29" borderId="1" xfId="0" applyFont="1" applyFill="1" applyBorder="1" applyAlignment="1">
      <alignment horizontal="right" wrapText="1"/>
    </xf>
    <xf numFmtId="4" fontId="0" fillId="49" borderId="1" xfId="0" applyNumberFormat="1" applyFill="1" applyBorder="1" applyAlignment="1">
      <alignment wrapText="1"/>
    </xf>
    <xf numFmtId="3" fontId="13" fillId="35" borderId="1" xfId="0" applyNumberFormat="1" applyFont="1" applyFill="1" applyBorder="1" applyAlignment="1">
      <alignment wrapText="1"/>
    </xf>
    <xf numFmtId="164" fontId="0" fillId="50" borderId="1" xfId="0" applyNumberFormat="1" applyFill="1" applyBorder="1" applyAlignment="1">
      <alignment wrapText="1"/>
    </xf>
    <xf numFmtId="0" fontId="0" fillId="50" borderId="0" xfId="0" applyFill="1" applyAlignment="1">
      <alignment wrapText="1"/>
    </xf>
    <xf numFmtId="0" fontId="0" fillId="50" borderId="1" xfId="0" applyFill="1" applyBorder="1" applyAlignment="1">
      <alignment wrapText="1"/>
    </xf>
    <xf numFmtId="2" fontId="11" fillId="0" borderId="0" xfId="0" applyNumberFormat="1" applyFont="1" applyAlignment="1">
      <alignment wrapText="1"/>
    </xf>
    <xf numFmtId="49" fontId="0" fillId="29" borderId="1" xfId="0" applyNumberFormat="1" applyFill="1" applyBorder="1" applyAlignment="1">
      <alignment wrapText="1"/>
    </xf>
    <xf numFmtId="164" fontId="12" fillId="29" borderId="1" xfId="0" applyNumberFormat="1" applyFont="1" applyFill="1" applyBorder="1" applyAlignment="1">
      <alignment wrapText="1"/>
    </xf>
    <xf numFmtId="49" fontId="0" fillId="29" borderId="1" xfId="0" applyNumberFormat="1" applyFill="1" applyBorder="1" applyAlignment="1">
      <alignment horizontal="right" wrapText="1"/>
    </xf>
    <xf numFmtId="167" fontId="0" fillId="30" borderId="1" xfId="5" applyNumberFormat="1" applyFont="1" applyFill="1" applyBorder="1" applyAlignment="1">
      <alignment wrapText="1"/>
    </xf>
    <xf numFmtId="0" fontId="0" fillId="29" borderId="15" xfId="0" applyFill="1" applyBorder="1"/>
    <xf numFmtId="0" fontId="0" fillId="29" borderId="16" xfId="0" applyFill="1" applyBorder="1" applyAlignment="1">
      <alignment wrapText="1"/>
    </xf>
    <xf numFmtId="0" fontId="0" fillId="29" borderId="16" xfId="0" applyFill="1" applyBorder="1"/>
    <xf numFmtId="0" fontId="0" fillId="29" borderId="17" xfId="0" applyFill="1" applyBorder="1"/>
    <xf numFmtId="0" fontId="30" fillId="29" borderId="21" xfId="0" applyFont="1" applyFill="1" applyBorder="1" applyAlignment="1">
      <alignment vertical="top" wrapText="1"/>
    </xf>
    <xf numFmtId="0" fontId="30" fillId="29" borderId="25" xfId="0" applyFont="1" applyFill="1" applyBorder="1" applyAlignment="1">
      <alignment vertical="top" wrapText="1"/>
    </xf>
    <xf numFmtId="0" fontId="31" fillId="0" borderId="26" xfId="0" applyFont="1" applyBorder="1" applyAlignment="1">
      <alignment vertical="top" wrapText="1"/>
    </xf>
    <xf numFmtId="4" fontId="18" fillId="0" borderId="24" xfId="0" applyNumberFormat="1" applyFont="1" applyBorder="1" applyAlignment="1">
      <alignment vertical="top" wrapText="1"/>
    </xf>
    <xf numFmtId="0" fontId="30" fillId="0" borderId="26" xfId="0" applyFont="1" applyBorder="1" applyAlignment="1">
      <alignment vertical="top" wrapText="1"/>
    </xf>
    <xf numFmtId="4" fontId="18" fillId="12" borderId="24" xfId="0" applyNumberFormat="1" applyFont="1" applyFill="1" applyBorder="1" applyAlignment="1">
      <alignment vertical="top"/>
    </xf>
    <xf numFmtId="0" fontId="11" fillId="0" borderId="24" xfId="0" applyFont="1" applyBorder="1" applyAlignment="1">
      <alignment vertical="top" wrapText="1"/>
    </xf>
    <xf numFmtId="0" fontId="11" fillId="0" borderId="24" xfId="0" applyFont="1" applyBorder="1" applyAlignment="1">
      <alignment vertical="top"/>
    </xf>
    <xf numFmtId="3" fontId="0" fillId="49" borderId="21" xfId="0" applyNumberFormat="1" applyFill="1" applyBorder="1"/>
    <xf numFmtId="164" fontId="16" fillId="26" borderId="1" xfId="0" applyNumberFormat="1" applyFont="1" applyFill="1" applyBorder="1" applyAlignment="1">
      <alignment wrapText="1"/>
    </xf>
    <xf numFmtId="167" fontId="0" fillId="51" borderId="1" xfId="0" applyNumberFormat="1" applyFill="1" applyBorder="1" applyAlignment="1">
      <alignment wrapText="1"/>
    </xf>
    <xf numFmtId="167" fontId="0" fillId="47" borderId="1" xfId="0" applyNumberFormat="1" applyFill="1" applyBorder="1" applyAlignment="1">
      <alignment wrapText="1"/>
    </xf>
    <xf numFmtId="167" fontId="0" fillId="26" borderId="1" xfId="0" applyNumberFormat="1" applyFill="1" applyBorder="1" applyAlignment="1">
      <alignment wrapText="1"/>
    </xf>
    <xf numFmtId="49" fontId="0" fillId="26" borderId="1" xfId="0" applyNumberFormat="1" applyFill="1" applyBorder="1" applyAlignment="1">
      <alignment wrapText="1"/>
    </xf>
    <xf numFmtId="4" fontId="0" fillId="26" borderId="1" xfId="0" applyNumberFormat="1" applyFill="1" applyBorder="1" applyAlignment="1">
      <alignment wrapText="1"/>
    </xf>
    <xf numFmtId="4" fontId="0" fillId="52" borderId="1" xfId="0" applyNumberFormat="1" applyFill="1" applyBorder="1" applyAlignment="1">
      <alignment wrapText="1"/>
    </xf>
    <xf numFmtId="164" fontId="0" fillId="53" borderId="1" xfId="0" applyNumberFormat="1" applyFill="1" applyBorder="1"/>
    <xf numFmtId="167" fontId="0" fillId="53" borderId="1" xfId="0" applyNumberFormat="1" applyFill="1" applyBorder="1" applyAlignment="1">
      <alignment wrapText="1"/>
    </xf>
    <xf numFmtId="167" fontId="0" fillId="53" borderId="5" xfId="0" applyNumberFormat="1" applyFill="1" applyBorder="1" applyAlignment="1">
      <alignment wrapText="1"/>
    </xf>
    <xf numFmtId="167" fontId="0" fillId="53" borderId="12" xfId="0" applyNumberFormat="1" applyFill="1" applyBorder="1" applyAlignment="1">
      <alignment wrapText="1"/>
    </xf>
    <xf numFmtId="167" fontId="0" fillId="53" borderId="13" xfId="0" applyNumberFormat="1" applyFill="1" applyBorder="1" applyAlignment="1">
      <alignment wrapText="1"/>
    </xf>
    <xf numFmtId="167" fontId="0" fillId="53" borderId="14" xfId="0" applyNumberFormat="1" applyFill="1" applyBorder="1" applyAlignment="1">
      <alignment wrapText="1"/>
    </xf>
    <xf numFmtId="49" fontId="0" fillId="54" borderId="1" xfId="0" applyNumberFormat="1" applyFill="1" applyBorder="1" applyAlignment="1">
      <alignment wrapText="1"/>
    </xf>
    <xf numFmtId="49" fontId="0" fillId="49" borderId="1" xfId="0" applyNumberFormat="1" applyFill="1" applyBorder="1" applyAlignment="1">
      <alignment wrapText="1"/>
    </xf>
    <xf numFmtId="0" fontId="31" fillId="26" borderId="26" xfId="0" applyFont="1" applyFill="1" applyBorder="1" applyAlignment="1">
      <alignment vertical="top" wrapText="1"/>
    </xf>
    <xf numFmtId="4" fontId="18" fillId="26" borderId="24" xfId="0" applyNumberFormat="1" applyFont="1" applyFill="1" applyBorder="1" applyAlignment="1">
      <alignment vertical="top" wrapText="1"/>
    </xf>
    <xf numFmtId="0" fontId="17" fillId="49" borderId="1" xfId="0" applyFont="1" applyFill="1" applyBorder="1" applyAlignment="1">
      <alignment horizontal="left" vertical="center" wrapText="1"/>
    </xf>
    <xf numFmtId="4" fontId="17" fillId="55" borderId="1" xfId="0" applyNumberFormat="1" applyFont="1" applyFill="1" applyBorder="1" applyAlignment="1">
      <alignment horizontal="center" vertical="center"/>
    </xf>
    <xf numFmtId="0" fontId="17" fillId="49" borderId="1" xfId="0" applyFont="1" applyFill="1" applyBorder="1" applyAlignment="1">
      <alignment horizontal="center" vertical="center"/>
    </xf>
    <xf numFmtId="0" fontId="17" fillId="49" borderId="0" xfId="0" applyFont="1" applyFill="1" applyAlignment="1">
      <alignment horizontal="center" vertical="center"/>
    </xf>
    <xf numFmtId="0" fontId="17" fillId="29" borderId="0" xfId="0" applyFont="1" applyFill="1" applyAlignment="1">
      <alignment horizontal="center" vertical="center"/>
    </xf>
    <xf numFmtId="4" fontId="33" fillId="30" borderId="1" xfId="0" applyNumberFormat="1" applyFont="1" applyFill="1" applyBorder="1" applyAlignment="1">
      <alignment horizontal="center" vertical="center" wrapText="1"/>
    </xf>
    <xf numFmtId="1" fontId="33" fillId="30" borderId="1" xfId="0" applyNumberFormat="1" applyFont="1" applyFill="1" applyBorder="1" applyAlignment="1">
      <alignment horizontal="center" vertical="center" wrapText="1"/>
    </xf>
    <xf numFmtId="4" fontId="33" fillId="37" borderId="2" xfId="0" applyNumberFormat="1" applyFont="1" applyFill="1" applyBorder="1" applyAlignment="1">
      <alignment horizontal="center" vertical="center" wrapText="1"/>
    </xf>
    <xf numFmtId="4" fontId="33" fillId="56" borderId="2" xfId="0" applyNumberFormat="1" applyFont="1" applyFill="1" applyBorder="1" applyAlignment="1">
      <alignment horizontal="center" vertical="center" wrapText="1"/>
    </xf>
    <xf numFmtId="4" fontId="33" fillId="30" borderId="2" xfId="0" applyNumberFormat="1" applyFont="1" applyFill="1" applyBorder="1" applyAlignment="1">
      <alignment horizontal="center" vertical="center" wrapText="1"/>
    </xf>
    <xf numFmtId="0" fontId="32" fillId="57" borderId="1" xfId="0" applyFont="1" applyFill="1" applyBorder="1" applyAlignment="1">
      <alignment horizontal="left" vertical="center" wrapText="1"/>
    </xf>
    <xf numFmtId="0" fontId="17" fillId="57" borderId="1" xfId="0" applyFont="1" applyFill="1" applyBorder="1" applyAlignment="1">
      <alignment horizontal="center" vertical="center" wrapText="1"/>
    </xf>
    <xf numFmtId="0" fontId="17" fillId="27" borderId="1" xfId="0" applyFont="1" applyFill="1" applyBorder="1" applyAlignment="1">
      <alignment horizontal="left" vertical="center" wrapText="1"/>
    </xf>
    <xf numFmtId="167" fontId="17" fillId="40" borderId="1" xfId="0" applyNumberFormat="1" applyFont="1" applyFill="1" applyBorder="1" applyAlignment="1">
      <alignment horizontal="center" vertical="center"/>
    </xf>
    <xf numFmtId="0" fontId="17" fillId="27" borderId="0" xfId="0" applyFont="1" applyFill="1" applyAlignment="1">
      <alignment horizontal="center" vertical="center"/>
    </xf>
    <xf numFmtId="167" fontId="17" fillId="27" borderId="11" xfId="0" applyNumberFormat="1" applyFont="1" applyFill="1" applyBorder="1" applyAlignment="1">
      <alignment horizontal="center" vertical="center" wrapText="1"/>
    </xf>
    <xf numFmtId="4" fontId="17" fillId="27" borderId="11" xfId="0" applyNumberFormat="1" applyFont="1" applyFill="1" applyBorder="1" applyAlignment="1">
      <alignment horizontal="center" vertical="center" wrapText="1"/>
    </xf>
    <xf numFmtId="167" fontId="17" fillId="40" borderId="11" xfId="0" applyNumberFormat="1" applyFont="1" applyFill="1" applyBorder="1" applyAlignment="1">
      <alignment horizontal="center" vertical="center" wrapText="1"/>
    </xf>
    <xf numFmtId="167" fontId="17" fillId="58" borderId="11" xfId="0" applyNumberFormat="1" applyFont="1" applyFill="1" applyBorder="1" applyAlignment="1">
      <alignment horizontal="center" vertical="center" wrapText="1"/>
    </xf>
    <xf numFmtId="0" fontId="32" fillId="55" borderId="1" xfId="0" applyFont="1" applyFill="1" applyBorder="1" applyAlignment="1">
      <alignment horizontal="left" vertical="center" wrapText="1"/>
    </xf>
    <xf numFmtId="2" fontId="32" fillId="55" borderId="11" xfId="0" applyNumberFormat="1" applyFont="1" applyFill="1" applyBorder="1" applyAlignment="1">
      <alignment horizontal="center" vertical="center" wrapText="1"/>
    </xf>
    <xf numFmtId="164" fontId="32" fillId="55" borderId="11" xfId="0" applyNumberFormat="1" applyFont="1" applyFill="1" applyBorder="1" applyAlignment="1">
      <alignment horizontal="center" vertical="center" wrapText="1"/>
    </xf>
    <xf numFmtId="167" fontId="32" fillId="55" borderId="1" xfId="0" applyNumberFormat="1" applyFont="1" applyFill="1" applyBorder="1" applyAlignment="1">
      <alignment horizontal="center" vertical="center" wrapText="1"/>
    </xf>
    <xf numFmtId="0" fontId="32" fillId="55" borderId="0" xfId="0" applyFont="1" applyFill="1" applyAlignment="1">
      <alignment horizontal="center" vertical="center"/>
    </xf>
    <xf numFmtId="0" fontId="12" fillId="29" borderId="0" xfId="0" applyFont="1" applyFill="1" applyAlignment="1">
      <alignment wrapText="1"/>
    </xf>
    <xf numFmtId="0" fontId="12" fillId="29" borderId="1" xfId="0" applyFont="1" applyFill="1" applyBorder="1" applyAlignment="1">
      <alignment horizontal="right"/>
    </xf>
    <xf numFmtId="0" fontId="12" fillId="29" borderId="1" xfId="0" applyFont="1" applyFill="1" applyBorder="1"/>
    <xf numFmtId="0" fontId="42" fillId="29" borderId="1" xfId="0" applyFont="1" applyFill="1" applyBorder="1"/>
    <xf numFmtId="166" fontId="12" fillId="13" borderId="1" xfId="0" applyNumberFormat="1" applyFont="1" applyFill="1" applyBorder="1" applyAlignment="1">
      <alignment horizontal="right"/>
    </xf>
    <xf numFmtId="0" fontId="39" fillId="0" borderId="0" xfId="4"/>
    <xf numFmtId="0" fontId="13" fillId="3" borderId="1" xfId="2" applyBorder="1"/>
    <xf numFmtId="0" fontId="13" fillId="3" borderId="1" xfId="2" applyBorder="1" applyAlignment="1">
      <alignment wrapText="1"/>
    </xf>
    <xf numFmtId="0" fontId="13" fillId="3" borderId="5" xfId="2" applyBorder="1" applyAlignment="1">
      <alignment wrapText="1"/>
    </xf>
    <xf numFmtId="0" fontId="12" fillId="28" borderId="5" xfId="0" applyFont="1" applyFill="1" applyBorder="1" applyAlignment="1">
      <alignment wrapText="1"/>
    </xf>
    <xf numFmtId="4" fontId="12" fillId="28" borderId="1" xfId="0" applyNumberFormat="1" applyFont="1" applyFill="1" applyBorder="1"/>
    <xf numFmtId="4" fontId="12" fillId="59" borderId="1" xfId="0" applyNumberFormat="1" applyFont="1" applyFill="1" applyBorder="1"/>
    <xf numFmtId="167" fontId="0" fillId="27" borderId="1" xfId="0" applyNumberFormat="1" applyFill="1" applyBorder="1" applyAlignment="1">
      <alignment horizontal="center" vertical="center" wrapText="1"/>
    </xf>
    <xf numFmtId="0" fontId="10" fillId="0" borderId="0" xfId="0" applyFont="1"/>
    <xf numFmtId="0" fontId="10" fillId="29" borderId="0" xfId="0" applyFont="1" applyFill="1"/>
    <xf numFmtId="4" fontId="18" fillId="27" borderId="1" xfId="0" applyNumberFormat="1" applyFont="1" applyFill="1" applyBorder="1"/>
    <xf numFmtId="0" fontId="18" fillId="27" borderId="1" xfId="0" applyFont="1" applyFill="1" applyBorder="1" applyAlignment="1">
      <alignment horizontal="left" vertical="top" wrapText="1"/>
    </xf>
    <xf numFmtId="4" fontId="18" fillId="40" borderId="1" xfId="0" applyNumberFormat="1" applyFont="1" applyFill="1" applyBorder="1"/>
    <xf numFmtId="0" fontId="18" fillId="27" borderId="0" xfId="0" applyFont="1" applyFill="1"/>
    <xf numFmtId="0" fontId="18" fillId="27" borderId="1" xfId="0" applyFont="1" applyFill="1" applyBorder="1" applyAlignment="1">
      <alignment horizontal="left" wrapText="1"/>
    </xf>
    <xf numFmtId="4" fontId="20" fillId="40" borderId="1" xfId="0" applyNumberFormat="1" applyFont="1" applyFill="1" applyBorder="1"/>
    <xf numFmtId="4" fontId="20" fillId="27" borderId="1" xfId="0" applyNumberFormat="1" applyFont="1" applyFill="1" applyBorder="1"/>
    <xf numFmtId="0" fontId="18" fillId="29" borderId="2" xfId="0" applyFont="1" applyFill="1" applyBorder="1" applyAlignment="1">
      <alignment horizontal="center" wrapText="1"/>
    </xf>
    <xf numFmtId="0" fontId="18" fillId="29" borderId="1" xfId="0" applyFont="1" applyFill="1" applyBorder="1" applyAlignment="1">
      <alignment horizontal="center"/>
    </xf>
    <xf numFmtId="0" fontId="18" fillId="29" borderId="0" xfId="0" applyFont="1" applyFill="1" applyAlignment="1">
      <alignment horizontal="center" wrapText="1"/>
    </xf>
    <xf numFmtId="167" fontId="10" fillId="29" borderId="0" xfId="0" applyNumberFormat="1" applyFont="1" applyFill="1"/>
    <xf numFmtId="167" fontId="0" fillId="29" borderId="0" xfId="0" applyNumberFormat="1" applyFill="1"/>
    <xf numFmtId="167" fontId="11" fillId="0" borderId="0" xfId="0" applyNumberFormat="1" applyFont="1"/>
    <xf numFmtId="167" fontId="10" fillId="0" borderId="0" xfId="0" applyNumberFormat="1" applyFont="1" applyAlignment="1">
      <alignment wrapText="1"/>
    </xf>
    <xf numFmtId="167" fontId="10" fillId="0" borderId="0" xfId="0" applyNumberFormat="1" applyFont="1"/>
    <xf numFmtId="167" fontId="16" fillId="29" borderId="0" xfId="0" applyNumberFormat="1" applyFont="1" applyFill="1" applyAlignment="1">
      <alignment wrapText="1"/>
    </xf>
    <xf numFmtId="167" fontId="9" fillId="29" borderId="0" xfId="0" applyNumberFormat="1" applyFont="1" applyFill="1" applyAlignment="1">
      <alignment wrapText="1"/>
    </xf>
    <xf numFmtId="167" fontId="9" fillId="29" borderId="0" xfId="0" applyNumberFormat="1" applyFont="1" applyFill="1"/>
    <xf numFmtId="167" fontId="16" fillId="0" borderId="0" xfId="0" applyNumberFormat="1" applyFont="1" applyAlignment="1">
      <alignment wrapText="1"/>
    </xf>
    <xf numFmtId="167" fontId="9" fillId="0" borderId="0" xfId="0" applyNumberFormat="1" applyFont="1" applyAlignment="1">
      <alignment wrapText="1"/>
    </xf>
    <xf numFmtId="167" fontId="9" fillId="0" borderId="0" xfId="0" applyNumberFormat="1" applyFont="1"/>
    <xf numFmtId="167" fontId="9" fillId="39" borderId="0" xfId="0" applyNumberFormat="1" applyFont="1" applyFill="1"/>
    <xf numFmtId="0" fontId="9" fillId="0" borderId="0" xfId="0" applyFont="1"/>
    <xf numFmtId="167" fontId="11" fillId="29" borderId="0" xfId="0" applyNumberFormat="1" applyFont="1" applyFill="1"/>
    <xf numFmtId="167" fontId="0" fillId="39" borderId="0" xfId="0" applyNumberFormat="1" applyFill="1"/>
    <xf numFmtId="167" fontId="9" fillId="12" borderId="1" xfId="0" applyNumberFormat="1" applyFont="1" applyFill="1" applyBorder="1" applyAlignment="1">
      <alignment horizontal="left" vertical="center" wrapText="1"/>
    </xf>
    <xf numFmtId="167" fontId="0" fillId="27" borderId="1" xfId="0" applyNumberFormat="1" applyFill="1" applyBorder="1" applyAlignment="1">
      <alignment horizontal="left" vertical="center" wrapText="1"/>
    </xf>
    <xf numFmtId="167" fontId="0" fillId="27" borderId="1" xfId="0" applyNumberFormat="1" applyFill="1" applyBorder="1" applyAlignment="1">
      <alignment horizontal="center" vertical="center"/>
    </xf>
    <xf numFmtId="167" fontId="0" fillId="27" borderId="0" xfId="0" applyNumberFormat="1" applyFill="1"/>
    <xf numFmtId="167" fontId="10" fillId="26" borderId="0" xfId="0" applyNumberFormat="1" applyFont="1" applyFill="1" applyAlignment="1">
      <alignment wrapText="1"/>
    </xf>
    <xf numFmtId="167" fontId="9" fillId="26" borderId="0" xfId="0" applyNumberFormat="1" applyFont="1" applyFill="1" applyAlignment="1">
      <alignment wrapText="1"/>
    </xf>
    <xf numFmtId="167" fontId="9" fillId="26" borderId="0" xfId="0" applyNumberFormat="1" applyFont="1" applyFill="1"/>
    <xf numFmtId="4" fontId="18" fillId="60" borderId="1" xfId="0" applyNumberFormat="1" applyFont="1" applyFill="1" applyBorder="1"/>
    <xf numFmtId="0" fontId="13" fillId="6" borderId="1" xfId="0" applyFont="1" applyFill="1" applyBorder="1" applyAlignment="1">
      <alignment horizontal="center"/>
    </xf>
    <xf numFmtId="167" fontId="16" fillId="39" borderId="0" xfId="0" applyNumberFormat="1" applyFont="1" applyFill="1"/>
    <xf numFmtId="167" fontId="0" fillId="26" borderId="0" xfId="0" applyNumberFormat="1" applyFill="1"/>
    <xf numFmtId="167" fontId="10" fillId="61" borderId="0" xfId="0" applyNumberFormat="1" applyFont="1" applyFill="1" applyAlignment="1">
      <alignment wrapText="1"/>
    </xf>
    <xf numFmtId="167" fontId="0" fillId="61" borderId="0" xfId="0" applyNumberFormat="1" applyFill="1"/>
    <xf numFmtId="167" fontId="11" fillId="26" borderId="0" xfId="0" applyNumberFormat="1" applyFont="1" applyFill="1"/>
    <xf numFmtId="167" fontId="16" fillId="26" borderId="0" xfId="0" applyNumberFormat="1" applyFont="1" applyFill="1"/>
    <xf numFmtId="167" fontId="9" fillId="61" borderId="0" xfId="0" applyNumberFormat="1" applyFont="1" applyFill="1" applyAlignment="1">
      <alignment wrapText="1"/>
    </xf>
    <xf numFmtId="167" fontId="0" fillId="29" borderId="0" xfId="0" applyNumberFormat="1" applyFill="1" applyAlignment="1">
      <alignment horizontal="center"/>
    </xf>
    <xf numFmtId="167" fontId="16" fillId="61" borderId="0" xfId="0" applyNumberFormat="1" applyFont="1" applyFill="1" applyAlignment="1">
      <alignment wrapText="1"/>
    </xf>
    <xf numFmtId="4" fontId="12" fillId="10" borderId="1" xfId="0" applyNumberFormat="1" applyFont="1" applyFill="1" applyBorder="1"/>
    <xf numFmtId="167" fontId="29" fillId="35" borderId="0" xfId="0" applyNumberFormat="1" applyFont="1" applyFill="1"/>
    <xf numFmtId="0" fontId="13" fillId="35" borderId="1" xfId="0" applyFont="1" applyFill="1" applyBorder="1" applyAlignment="1">
      <alignment wrapText="1"/>
    </xf>
    <xf numFmtId="3" fontId="0" fillId="47" borderId="1" xfId="0" applyNumberFormat="1" applyFill="1" applyBorder="1" applyAlignment="1">
      <alignment horizontal="center" wrapText="1"/>
    </xf>
    <xf numFmtId="0" fontId="0" fillId="47" borderId="1" xfId="0" applyFill="1" applyBorder="1" applyAlignment="1">
      <alignment horizontal="center" wrapText="1"/>
    </xf>
    <xf numFmtId="3" fontId="0" fillId="26" borderId="1" xfId="0" applyNumberFormat="1" applyFill="1" applyBorder="1" applyAlignment="1">
      <alignment horizontal="center" wrapText="1"/>
    </xf>
    <xf numFmtId="0" fontId="0" fillId="62" borderId="1" xfId="0" applyFill="1" applyBorder="1" applyAlignment="1">
      <alignment horizontal="center" wrapText="1"/>
    </xf>
    <xf numFmtId="0" fontId="39" fillId="2" borderId="1" xfId="1" applyBorder="1" applyAlignment="1">
      <alignment horizontal="left" vertical="center" wrapText="1"/>
    </xf>
    <xf numFmtId="0" fontId="39" fillId="2" borderId="1" xfId="1" applyBorder="1" applyAlignment="1">
      <alignment horizontal="center" vertical="center" wrapText="1"/>
    </xf>
    <xf numFmtId="0" fontId="8" fillId="2" borderId="1" xfId="1" applyFont="1" applyBorder="1" applyAlignment="1">
      <alignment horizontal="center" vertical="top" wrapText="1"/>
    </xf>
    <xf numFmtId="0" fontId="8" fillId="2" borderId="1" xfId="1" applyFont="1" applyBorder="1" applyAlignment="1">
      <alignment horizontal="center" vertical="center" wrapText="1"/>
    </xf>
    <xf numFmtId="168" fontId="39" fillId="2" borderId="1" xfId="1" applyNumberFormat="1" applyBorder="1" applyAlignment="1">
      <alignment horizontal="center" vertical="center" wrapText="1"/>
    </xf>
    <xf numFmtId="165" fontId="39" fillId="2" borderId="1" xfId="1" applyNumberFormat="1" applyBorder="1" applyAlignment="1">
      <alignment horizontal="center" vertical="center" wrapText="1"/>
    </xf>
    <xf numFmtId="167" fontId="39" fillId="2" borderId="1" xfId="1" applyNumberFormat="1" applyBorder="1" applyAlignment="1">
      <alignment horizontal="center" vertical="center" wrapText="1"/>
    </xf>
    <xf numFmtId="3" fontId="0" fillId="0" borderId="1" xfId="0" applyNumberFormat="1" applyBorder="1" applyAlignment="1">
      <alignment horizontal="center" vertical="center" wrapText="1"/>
    </xf>
    <xf numFmtId="168" fontId="0" fillId="0" borderId="1" xfId="0" applyNumberFormat="1" applyBorder="1" applyAlignment="1">
      <alignment horizontal="center" vertical="center" wrapText="1"/>
    </xf>
    <xf numFmtId="0" fontId="51" fillId="0" borderId="1" xfId="0" applyFont="1" applyBorder="1" applyAlignment="1">
      <alignment horizontal="center" vertical="top" wrapText="1"/>
    </xf>
    <xf numFmtId="9" fontId="39" fillId="2" borderId="1" xfId="1" applyNumberFormat="1" applyBorder="1" applyAlignment="1">
      <alignment horizontal="center" vertical="center"/>
    </xf>
    <xf numFmtId="9" fontId="51" fillId="5" borderId="1" xfId="6" applyFont="1" applyFill="1" applyBorder="1" applyAlignment="1">
      <alignment horizontal="center" vertical="center" wrapText="1"/>
    </xf>
    <xf numFmtId="167" fontId="0" fillId="28" borderId="1" xfId="0" applyNumberFormat="1" applyFill="1" applyBorder="1" applyAlignment="1">
      <alignment horizontal="center" vertical="center" wrapText="1"/>
    </xf>
    <xf numFmtId="3" fontId="0" fillId="5" borderId="1" xfId="0" applyNumberFormat="1" applyFill="1" applyBorder="1" applyAlignment="1">
      <alignment horizontal="center" vertical="center" wrapText="1"/>
    </xf>
    <xf numFmtId="167" fontId="0" fillId="28" borderId="0" xfId="0" applyNumberFormat="1" applyFill="1" applyAlignment="1">
      <alignment horizontal="center"/>
    </xf>
    <xf numFmtId="0" fontId="8" fillId="0" borderId="0" xfId="0" applyFont="1"/>
    <xf numFmtId="167" fontId="0" fillId="0" borderId="1" xfId="0" applyNumberFormat="1" applyBorder="1"/>
    <xf numFmtId="166" fontId="13" fillId="35" borderId="1" xfId="0" applyNumberFormat="1" applyFont="1" applyFill="1" applyBorder="1"/>
    <xf numFmtId="0" fontId="8" fillId="0" borderId="1" xfId="0" applyFont="1" applyBorder="1" applyAlignment="1">
      <alignment horizontal="center"/>
    </xf>
    <xf numFmtId="167" fontId="16" fillId="0" borderId="1" xfId="0" applyNumberFormat="1" applyFont="1" applyBorder="1"/>
    <xf numFmtId="0" fontId="17" fillId="13" borderId="3" xfId="4" applyFont="1" applyFill="1" applyBorder="1" applyAlignment="1">
      <alignment horizontal="left" vertical="center" wrapText="1"/>
    </xf>
    <xf numFmtId="0" fontId="17" fillId="0" borderId="1" xfId="4" applyFont="1" applyBorder="1" applyAlignment="1">
      <alignment horizontal="left" vertical="center" wrapText="1"/>
    </xf>
    <xf numFmtId="3" fontId="0" fillId="5" borderId="0" xfId="0" applyNumberFormat="1" applyFill="1" applyAlignment="1">
      <alignment horizontal="center"/>
    </xf>
    <xf numFmtId="4" fontId="18" fillId="63" borderId="1" xfId="0" applyNumberFormat="1" applyFont="1" applyFill="1" applyBorder="1"/>
    <xf numFmtId="4" fontId="18" fillId="64" borderId="1" xfId="0" applyNumberFormat="1" applyFont="1" applyFill="1" applyBorder="1"/>
    <xf numFmtId="4" fontId="18" fillId="65" borderId="1" xfId="0" applyNumberFormat="1" applyFont="1" applyFill="1" applyBorder="1"/>
    <xf numFmtId="0" fontId="18" fillId="66" borderId="1" xfId="0" applyFont="1" applyFill="1" applyBorder="1" applyAlignment="1">
      <alignment horizontal="left" wrapText="1"/>
    </xf>
    <xf numFmtId="4" fontId="18" fillId="66" borderId="1" xfId="0" applyNumberFormat="1" applyFont="1" applyFill="1" applyBorder="1"/>
    <xf numFmtId="0" fontId="18" fillId="66" borderId="0" xfId="0" applyFont="1" applyFill="1"/>
    <xf numFmtId="4" fontId="18" fillId="67" borderId="1" xfId="0" applyNumberFormat="1" applyFont="1" applyFill="1" applyBorder="1"/>
    <xf numFmtId="0" fontId="0" fillId="27" borderId="0" xfId="0" applyFill="1" applyAlignment="1">
      <alignment horizontal="center"/>
    </xf>
    <xf numFmtId="0" fontId="17" fillId="16" borderId="1" xfId="0" applyFont="1" applyFill="1" applyBorder="1" applyAlignment="1">
      <alignment horizontal="center" wrapText="1"/>
    </xf>
    <xf numFmtId="3" fontId="34" fillId="16" borderId="1" xfId="0" applyNumberFormat="1" applyFont="1" applyFill="1" applyBorder="1" applyAlignment="1">
      <alignment horizontal="center" wrapText="1"/>
    </xf>
    <xf numFmtId="3" fontId="0" fillId="43" borderId="1" xfId="0" applyNumberFormat="1" applyFill="1" applyBorder="1" applyAlignment="1">
      <alignment horizontal="center" wrapText="1"/>
    </xf>
    <xf numFmtId="0" fontId="0" fillId="68" borderId="1" xfId="0" applyFill="1" applyBorder="1" applyAlignment="1">
      <alignment horizontal="left" wrapText="1"/>
    </xf>
    <xf numFmtId="1" fontId="0" fillId="0" borderId="1" xfId="0" applyNumberFormat="1" applyBorder="1" applyAlignment="1">
      <alignment horizontal="center" wrapText="1"/>
    </xf>
    <xf numFmtId="1" fontId="0" fillId="9" borderId="1" xfId="0" applyNumberFormat="1" applyFill="1" applyBorder="1" applyAlignment="1">
      <alignment horizontal="center" wrapText="1"/>
    </xf>
    <xf numFmtId="1" fontId="0" fillId="12" borderId="1" xfId="0" applyNumberFormat="1" applyFill="1" applyBorder="1" applyAlignment="1">
      <alignment horizontal="center" wrapText="1"/>
    </xf>
    <xf numFmtId="4" fontId="17" fillId="59" borderId="1" xfId="0" applyNumberFormat="1" applyFont="1" applyFill="1" applyBorder="1" applyAlignment="1">
      <alignment horizontal="center" vertical="center"/>
    </xf>
    <xf numFmtId="167" fontId="8" fillId="0" borderId="0" xfId="0" applyNumberFormat="1" applyFont="1"/>
    <xf numFmtId="167" fontId="8" fillId="39" borderId="0" xfId="0" applyNumberFormat="1" applyFont="1" applyFill="1" applyAlignment="1">
      <alignment wrapText="1"/>
    </xf>
    <xf numFmtId="9" fontId="0" fillId="5" borderId="0" xfId="0" applyNumberFormat="1" applyFill="1" applyAlignment="1">
      <alignment horizontal="center"/>
    </xf>
    <xf numFmtId="167" fontId="8" fillId="27" borderId="1" xfId="0" applyNumberFormat="1" applyFont="1" applyFill="1" applyBorder="1" applyAlignment="1">
      <alignment horizontal="left" vertical="center" wrapText="1"/>
    </xf>
    <xf numFmtId="166" fontId="0" fillId="28" borderId="0" xfId="0" applyNumberFormat="1" applyFill="1" applyAlignment="1">
      <alignment horizontal="center"/>
    </xf>
    <xf numFmtId="167" fontId="8" fillId="27" borderId="0" xfId="0" applyNumberFormat="1" applyFont="1" applyFill="1"/>
    <xf numFmtId="10" fontId="8" fillId="5" borderId="0" xfId="0" applyNumberFormat="1" applyFont="1" applyFill="1" applyAlignment="1">
      <alignment horizontal="center" vertical="center"/>
    </xf>
    <xf numFmtId="164" fontId="8" fillId="29" borderId="1" xfId="0" applyNumberFormat="1" applyFont="1" applyFill="1" applyBorder="1" applyAlignment="1">
      <alignment horizontal="left" vertical="center" wrapText="1"/>
    </xf>
    <xf numFmtId="0" fontId="8" fillId="29" borderId="1" xfId="0" applyFont="1" applyFill="1" applyBorder="1" applyAlignment="1">
      <alignment horizontal="center" vertical="center" wrapText="1"/>
    </xf>
    <xf numFmtId="164" fontId="8" fillId="0" borderId="1" xfId="0" applyNumberFormat="1" applyFont="1" applyBorder="1" applyAlignment="1">
      <alignment horizontal="left" vertical="center" wrapText="1"/>
    </xf>
    <xf numFmtId="164" fontId="8" fillId="0" borderId="1" xfId="0" applyNumberFormat="1" applyFont="1" applyBorder="1" applyAlignment="1">
      <alignment horizontal="center" vertical="center"/>
    </xf>
    <xf numFmtId="167" fontId="8" fillId="0" borderId="1" xfId="0" applyNumberFormat="1" applyFont="1" applyBorder="1" applyAlignment="1">
      <alignment horizontal="center" vertical="center"/>
    </xf>
    <xf numFmtId="167" fontId="8" fillId="0" borderId="1" xfId="0" applyNumberFormat="1" applyFont="1" applyBorder="1" applyAlignment="1">
      <alignment horizontal="center" vertical="center" wrapText="1"/>
    </xf>
    <xf numFmtId="167" fontId="8" fillId="22" borderId="1" xfId="0" applyNumberFormat="1" applyFont="1" applyFill="1" applyBorder="1" applyAlignment="1">
      <alignment horizontal="center" vertical="center"/>
    </xf>
    <xf numFmtId="167" fontId="8" fillId="22" borderId="1" xfId="0" applyNumberFormat="1" applyFont="1" applyFill="1" applyBorder="1" applyAlignment="1">
      <alignment horizontal="center" vertical="center" wrapText="1"/>
    </xf>
    <xf numFmtId="164" fontId="8" fillId="0" borderId="1" xfId="0" applyNumberFormat="1" applyFont="1" applyBorder="1" applyAlignment="1">
      <alignment horizontal="center" vertical="center" wrapText="1"/>
    </xf>
    <xf numFmtId="164" fontId="8" fillId="0" borderId="2" xfId="0" applyNumberFormat="1" applyFont="1" applyBorder="1" applyAlignment="1">
      <alignment horizontal="left" vertical="center" wrapText="1"/>
    </xf>
    <xf numFmtId="4" fontId="8" fillId="10" borderId="2" xfId="0" applyNumberFormat="1" applyFont="1" applyFill="1" applyBorder="1" applyAlignment="1">
      <alignment horizontal="center" vertical="center"/>
    </xf>
    <xf numFmtId="0" fontId="8" fillId="0" borderId="1" xfId="0" applyFont="1" applyBorder="1" applyAlignment="1">
      <alignment horizontal="left" vertical="center" wrapText="1"/>
    </xf>
    <xf numFmtId="4" fontId="8" fillId="0" borderId="1" xfId="0" applyNumberFormat="1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168" fontId="16" fillId="29" borderId="4" xfId="0" applyNumberFormat="1" applyFont="1" applyFill="1" applyBorder="1" applyAlignment="1">
      <alignment horizontal="left" vertical="center" wrapText="1"/>
    </xf>
    <xf numFmtId="0" fontId="8" fillId="29" borderId="11" xfId="0" applyFont="1" applyFill="1" applyBorder="1" applyAlignment="1">
      <alignment horizontal="center" vertical="center" wrapText="1"/>
    </xf>
    <xf numFmtId="168" fontId="8" fillId="0" borderId="1" xfId="0" applyNumberFormat="1" applyFont="1" applyBorder="1" applyAlignment="1">
      <alignment horizontal="left" vertical="center" wrapText="1"/>
    </xf>
    <xf numFmtId="4" fontId="8" fillId="0" borderId="11" xfId="0" applyNumberFormat="1" applyFont="1" applyBorder="1" applyAlignment="1">
      <alignment horizontal="center" vertical="center" wrapText="1"/>
    </xf>
    <xf numFmtId="4" fontId="8" fillId="0" borderId="11" xfId="0" applyNumberFormat="1" applyFont="1" applyBorder="1" applyAlignment="1">
      <alignment horizontal="center" vertical="center"/>
    </xf>
    <xf numFmtId="4" fontId="8" fillId="0" borderId="1" xfId="0" applyNumberFormat="1" applyFont="1" applyBorder="1" applyAlignment="1">
      <alignment horizontal="center" vertical="center"/>
    </xf>
    <xf numFmtId="168" fontId="8" fillId="49" borderId="1" xfId="0" applyNumberFormat="1" applyFont="1" applyFill="1" applyBorder="1" applyAlignment="1">
      <alignment horizontal="left" vertical="center" wrapText="1"/>
    </xf>
    <xf numFmtId="4" fontId="8" fillId="49" borderId="1" xfId="0" applyNumberFormat="1" applyFont="1" applyFill="1" applyBorder="1" applyAlignment="1">
      <alignment horizontal="center" vertical="center"/>
    </xf>
    <xf numFmtId="0" fontId="44" fillId="27" borderId="0" xfId="0" applyFont="1" applyFill="1" applyAlignment="1">
      <alignment horizontal="right"/>
    </xf>
    <xf numFmtId="0" fontId="0" fillId="69" borderId="0" xfId="0" applyFill="1" applyAlignment="1">
      <alignment horizontal="center"/>
    </xf>
    <xf numFmtId="0" fontId="7" fillId="29" borderId="0" xfId="0" applyFont="1" applyFill="1"/>
    <xf numFmtId="0" fontId="0" fillId="0" borderId="0" xfId="0" applyAlignment="1">
      <alignment horizontal="center" wrapText="1"/>
    </xf>
    <xf numFmtId="167" fontId="0" fillId="0" borderId="1" xfId="0" applyNumberFormat="1" applyBorder="1" applyAlignment="1">
      <alignment horizontal="center" wrapText="1"/>
    </xf>
    <xf numFmtId="4" fontId="18" fillId="29" borderId="1" xfId="0" applyNumberFormat="1" applyFont="1" applyFill="1" applyBorder="1" applyAlignment="1">
      <alignment horizontal="right"/>
    </xf>
    <xf numFmtId="4" fontId="18" fillId="28" borderId="0" xfId="0" applyNumberFormat="1" applyFont="1" applyFill="1"/>
    <xf numFmtId="167" fontId="0" fillId="27" borderId="0" xfId="0" applyNumberFormat="1" applyFill="1" applyBorder="1" applyAlignment="1">
      <alignment horizontal="left" vertical="center" wrapText="1"/>
    </xf>
    <xf numFmtId="167" fontId="0" fillId="27" borderId="0" xfId="0" applyNumberFormat="1" applyFill="1" applyBorder="1" applyAlignment="1">
      <alignment horizontal="center" vertical="center" wrapText="1"/>
    </xf>
    <xf numFmtId="167" fontId="0" fillId="27" borderId="0" xfId="0" applyNumberFormat="1" applyFill="1" applyBorder="1" applyAlignment="1">
      <alignment horizontal="center" vertical="center"/>
    </xf>
    <xf numFmtId="167" fontId="24" fillId="27" borderId="0" xfId="0" applyNumberFormat="1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left" vertical="center" wrapText="1"/>
    </xf>
    <xf numFmtId="164" fontId="17" fillId="0" borderId="1" xfId="0" applyNumberFormat="1" applyFont="1" applyBorder="1" applyAlignment="1">
      <alignment horizontal="left" vertical="center" wrapText="1"/>
    </xf>
    <xf numFmtId="0" fontId="6" fillId="0" borderId="1" xfId="0" applyFont="1" applyBorder="1" applyAlignment="1">
      <alignment wrapText="1"/>
    </xf>
    <xf numFmtId="167" fontId="30" fillId="0" borderId="1" xfId="0" applyNumberFormat="1" applyFont="1" applyBorder="1" applyAlignment="1">
      <alignment vertical="top" wrapText="1"/>
    </xf>
    <xf numFmtId="167" fontId="31" fillId="0" borderId="1" xfId="0" applyNumberFormat="1" applyFont="1" applyBorder="1" applyAlignment="1">
      <alignment vertical="top" wrapText="1"/>
    </xf>
    <xf numFmtId="0" fontId="6" fillId="0" borderId="1" xfId="0" applyFont="1" applyBorder="1"/>
    <xf numFmtId="4" fontId="42" fillId="0" borderId="0" xfId="0" applyNumberFormat="1" applyFont="1" applyBorder="1"/>
    <xf numFmtId="0" fontId="6" fillId="26" borderId="5" xfId="0" applyFont="1" applyFill="1" applyBorder="1" applyAlignment="1">
      <alignment wrapText="1"/>
    </xf>
    <xf numFmtId="2" fontId="12" fillId="0" borderId="0" xfId="0" applyNumberFormat="1" applyFont="1" applyBorder="1"/>
    <xf numFmtId="4" fontId="6" fillId="0" borderId="1" xfId="0" applyNumberFormat="1" applyFont="1" applyBorder="1"/>
    <xf numFmtId="0" fontId="5" fillId="29" borderId="0" xfId="0" applyFont="1" applyFill="1"/>
    <xf numFmtId="0" fontId="5" fillId="0" borderId="0" xfId="0" applyFont="1"/>
    <xf numFmtId="0" fontId="52" fillId="0" borderId="0" xfId="0" applyFont="1"/>
    <xf numFmtId="0" fontId="16" fillId="27" borderId="0" xfId="0" applyFont="1" applyFill="1"/>
    <xf numFmtId="0" fontId="53" fillId="0" borderId="0" xfId="0" applyFont="1" applyAlignment="1">
      <alignment horizontal="left" vertical="center" readingOrder="1"/>
    </xf>
    <xf numFmtId="4" fontId="0" fillId="27" borderId="1" xfId="0" applyNumberFormat="1" applyFill="1" applyBorder="1" applyAlignment="1">
      <alignment wrapText="1"/>
    </xf>
    <xf numFmtId="4" fontId="0" fillId="12" borderId="1" xfId="0" applyNumberFormat="1" applyFill="1" applyBorder="1" applyAlignment="1">
      <alignment wrapText="1"/>
    </xf>
    <xf numFmtId="167" fontId="24" fillId="27" borderId="1" xfId="0" applyNumberFormat="1" applyFont="1" applyFill="1" applyBorder="1" applyAlignment="1">
      <alignment horizontal="right" wrapText="1"/>
    </xf>
    <xf numFmtId="167" fontId="24" fillId="27" borderId="1" xfId="0" applyNumberFormat="1" applyFont="1" applyFill="1" applyBorder="1" applyAlignment="1">
      <alignment wrapText="1"/>
    </xf>
    <xf numFmtId="0" fontId="16" fillId="29" borderId="0" xfId="0" applyFont="1" applyFill="1"/>
    <xf numFmtId="0" fontId="4" fillId="0" borderId="0" xfId="0" applyFont="1" applyAlignment="1">
      <alignment wrapText="1"/>
    </xf>
    <xf numFmtId="0" fontId="4" fillId="0" borderId="0" xfId="0" applyFont="1"/>
    <xf numFmtId="167" fontId="0" fillId="0" borderId="0" xfId="0" applyNumberFormat="1" applyAlignment="1">
      <alignment horizontal="center" vertical="center"/>
    </xf>
    <xf numFmtId="0" fontId="54" fillId="0" borderId="0" xfId="0" applyFont="1" applyFill="1" applyBorder="1"/>
    <xf numFmtId="0" fontId="0" fillId="0" borderId="0" xfId="0" applyAlignment="1">
      <alignment horizontal="center" vertical="center" wrapText="1"/>
    </xf>
    <xf numFmtId="167" fontId="3" fillId="27" borderId="1" xfId="0" applyNumberFormat="1" applyFont="1" applyFill="1" applyBorder="1" applyAlignment="1">
      <alignment horizontal="left" vertical="center" wrapText="1"/>
    </xf>
    <xf numFmtId="0" fontId="8" fillId="0" borderId="0" xfId="0" applyFont="1" applyAlignment="1">
      <alignment horizontal="left" vertical="top" wrapText="1"/>
    </xf>
    <xf numFmtId="0" fontId="12" fillId="0" borderId="0" xfId="0" applyFont="1" applyAlignment="1">
      <alignment horizontal="left" vertical="top" wrapText="1"/>
    </xf>
    <xf numFmtId="0" fontId="12" fillId="0" borderId="0" xfId="0" applyFont="1" applyAlignment="1">
      <alignment horizontal="left" wrapText="1"/>
    </xf>
    <xf numFmtId="0" fontId="10" fillId="0" borderId="0" xfId="0" applyFont="1" applyAlignment="1">
      <alignment horizontal="left" wrapText="1"/>
    </xf>
    <xf numFmtId="0" fontId="0" fillId="0" borderId="0" xfId="0" applyAlignment="1">
      <alignment horizontal="left" wrapText="1"/>
    </xf>
    <xf numFmtId="0" fontId="11" fillId="0" borderId="0" xfId="0" applyFont="1" applyAlignment="1">
      <alignment horizontal="left" wrapText="1"/>
    </xf>
    <xf numFmtId="0" fontId="11" fillId="0" borderId="0" xfId="0" applyFont="1" applyAlignment="1">
      <alignment horizontal="left" vertical="top" wrapText="1"/>
    </xf>
    <xf numFmtId="167" fontId="11" fillId="0" borderId="28" xfId="0" applyNumberFormat="1" applyFont="1" applyBorder="1" applyAlignment="1">
      <alignment horizontal="left" vertical="center" wrapText="1"/>
    </xf>
    <xf numFmtId="167" fontId="0" fillId="0" borderId="0" xfId="0" applyNumberFormat="1" applyAlignment="1">
      <alignment horizontal="left" vertical="center" wrapText="1"/>
    </xf>
    <xf numFmtId="0" fontId="9" fillId="0" borderId="0" xfId="0" applyFont="1" applyAlignment="1">
      <alignment horizontal="left" vertical="top" wrapText="1"/>
    </xf>
    <xf numFmtId="0" fontId="0" fillId="0" borderId="0" xfId="0" applyAlignment="1">
      <alignment horizontal="center"/>
    </xf>
    <xf numFmtId="0" fontId="2" fillId="0" borderId="29" xfId="0" applyFont="1" applyBorder="1" applyAlignment="1">
      <alignment horizontal="center" vertical="center" wrapText="1"/>
    </xf>
    <xf numFmtId="0" fontId="4" fillId="0" borderId="30" xfId="0" applyFont="1" applyBorder="1" applyAlignment="1">
      <alignment horizontal="center" vertical="center" wrapText="1"/>
    </xf>
    <xf numFmtId="0" fontId="4" fillId="0" borderId="25" xfId="0" applyFont="1" applyBorder="1" applyAlignment="1">
      <alignment horizontal="center" vertical="center" wrapText="1"/>
    </xf>
    <xf numFmtId="0" fontId="0" fillId="29" borderId="5" xfId="0" applyFill="1" applyBorder="1" applyAlignment="1">
      <alignment horizontal="center" vertical="center"/>
    </xf>
    <xf numFmtId="0" fontId="0" fillId="29" borderId="10" xfId="0" applyFill="1" applyBorder="1" applyAlignment="1">
      <alignment horizontal="center" vertical="center"/>
    </xf>
    <xf numFmtId="0" fontId="0" fillId="29" borderId="11" xfId="0" applyFill="1" applyBorder="1" applyAlignment="1">
      <alignment horizontal="center" vertical="center"/>
    </xf>
    <xf numFmtId="167" fontId="0" fillId="29" borderId="5" xfId="0" applyNumberFormat="1" applyFill="1" applyBorder="1" applyAlignment="1">
      <alignment horizontal="center" vertical="center" wrapText="1"/>
    </xf>
    <xf numFmtId="167" fontId="0" fillId="29" borderId="10" xfId="0" applyNumberFormat="1" applyFill="1" applyBorder="1" applyAlignment="1">
      <alignment horizontal="center" vertical="center" wrapText="1"/>
    </xf>
    <xf numFmtId="167" fontId="0" fillId="29" borderId="11" xfId="0" applyNumberFormat="1" applyFill="1" applyBorder="1" applyAlignment="1">
      <alignment horizontal="center" vertical="center" wrapText="1"/>
    </xf>
    <xf numFmtId="0" fontId="0" fillId="29" borderId="1" xfId="0" applyFill="1" applyBorder="1" applyAlignment="1">
      <alignment horizontal="center" vertical="center" wrapText="1"/>
    </xf>
    <xf numFmtId="0" fontId="0" fillId="29" borderId="6" xfId="0" applyFill="1" applyBorder="1" applyAlignment="1">
      <alignment horizontal="center" vertical="center" wrapText="1"/>
    </xf>
    <xf numFmtId="0" fontId="0" fillId="29" borderId="8" xfId="0" applyFill="1" applyBorder="1" applyAlignment="1">
      <alignment horizontal="center" vertical="center" wrapText="1"/>
    </xf>
    <xf numFmtId="0" fontId="11" fillId="29" borderId="7" xfId="0" applyFont="1" applyFill="1" applyBorder="1" applyAlignment="1">
      <alignment horizontal="center" vertical="top" wrapText="1"/>
    </xf>
    <xf numFmtId="0" fontId="0" fillId="29" borderId="9" xfId="0" applyFill="1" applyBorder="1" applyAlignment="1">
      <alignment horizontal="center" vertical="top" wrapText="1"/>
    </xf>
    <xf numFmtId="167" fontId="0" fillId="29" borderId="0" xfId="0" applyNumberFormat="1" applyFill="1" applyAlignment="1">
      <alignment horizontal="center" vertical="center" wrapText="1"/>
    </xf>
    <xf numFmtId="0" fontId="0" fillId="29" borderId="28" xfId="0" applyFill="1" applyBorder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16" fillId="0" borderId="5" xfId="0" applyFont="1" applyBorder="1" applyAlignment="1">
      <alignment horizontal="center"/>
    </xf>
    <xf numFmtId="0" fontId="16" fillId="0" borderId="11" xfId="0" applyFont="1" applyBorder="1" applyAlignment="1">
      <alignment horizontal="center"/>
    </xf>
    <xf numFmtId="0" fontId="0" fillId="0" borderId="1" xfId="0" applyBorder="1" applyAlignment="1">
      <alignment horizontal="left" vertical="center" wrapText="1"/>
    </xf>
    <xf numFmtId="0" fontId="0" fillId="29" borderId="5" xfId="0" applyFill="1" applyBorder="1" applyAlignment="1">
      <alignment horizontal="center" vertical="center" wrapText="1"/>
    </xf>
    <xf numFmtId="0" fontId="0" fillId="29" borderId="10" xfId="0" applyFill="1" applyBorder="1" applyAlignment="1">
      <alignment horizontal="center" vertical="center" wrapText="1"/>
    </xf>
    <xf numFmtId="0" fontId="0" fillId="29" borderId="11" xfId="0" applyFill="1" applyBorder="1" applyAlignment="1">
      <alignment horizontal="center" vertical="center" wrapText="1"/>
    </xf>
    <xf numFmtId="0" fontId="0" fillId="0" borderId="1" xfId="0" applyBorder="1" applyAlignment="1">
      <alignment horizontal="center"/>
    </xf>
    <xf numFmtId="4" fontId="33" fillId="30" borderId="5" xfId="0" applyNumberFormat="1" applyFont="1" applyFill="1" applyBorder="1" applyAlignment="1">
      <alignment horizontal="center" vertical="center" wrapText="1"/>
    </xf>
    <xf numFmtId="4" fontId="33" fillId="30" borderId="11" xfId="0" applyNumberFormat="1" applyFont="1" applyFill="1" applyBorder="1" applyAlignment="1">
      <alignment horizontal="center" vertical="center" wrapText="1"/>
    </xf>
    <xf numFmtId="4" fontId="33" fillId="12" borderId="2" xfId="0" applyNumberFormat="1" applyFont="1" applyFill="1" applyBorder="1" applyAlignment="1">
      <alignment horizontal="center" vertical="center" wrapText="1"/>
    </xf>
    <xf numFmtId="4" fontId="33" fillId="12" borderId="27" xfId="0" applyNumberFormat="1" applyFont="1" applyFill="1" applyBorder="1" applyAlignment="1">
      <alignment horizontal="center" vertical="center" wrapText="1"/>
    </xf>
    <xf numFmtId="4" fontId="33" fillId="12" borderId="4" xfId="0" applyNumberFormat="1" applyFont="1" applyFill="1" applyBorder="1" applyAlignment="1">
      <alignment horizontal="center" vertical="center" wrapText="1"/>
    </xf>
    <xf numFmtId="4" fontId="33" fillId="20" borderId="2" xfId="0" applyNumberFormat="1" applyFont="1" applyFill="1" applyBorder="1" applyAlignment="1">
      <alignment horizontal="center" vertical="center" wrapText="1"/>
    </xf>
    <xf numFmtId="4" fontId="33" fillId="20" borderId="27" xfId="0" applyNumberFormat="1" applyFont="1" applyFill="1" applyBorder="1" applyAlignment="1">
      <alignment horizontal="center" vertical="center" wrapText="1"/>
    </xf>
    <xf numFmtId="4" fontId="33" fillId="20" borderId="4" xfId="0" applyNumberFormat="1" applyFont="1" applyFill="1" applyBorder="1" applyAlignment="1">
      <alignment horizontal="center" vertical="center" wrapText="1"/>
    </xf>
    <xf numFmtId="4" fontId="33" fillId="19" borderId="2" xfId="0" applyNumberFormat="1" applyFont="1" applyFill="1" applyBorder="1" applyAlignment="1">
      <alignment horizontal="center" vertical="center" wrapText="1"/>
    </xf>
    <xf numFmtId="4" fontId="33" fillId="19" borderId="4" xfId="0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wrapText="1"/>
    </xf>
    <xf numFmtId="0" fontId="16" fillId="0" borderId="9" xfId="0" applyFont="1" applyBorder="1" applyAlignment="1">
      <alignment horizontal="left"/>
    </xf>
    <xf numFmtId="2" fontId="24" fillId="0" borderId="0" xfId="0" applyNumberFormat="1" applyFont="1" applyAlignment="1">
      <alignment horizontal="center" vertical="top" wrapText="1"/>
    </xf>
    <xf numFmtId="0" fontId="24" fillId="0" borderId="0" xfId="0" applyFont="1" applyAlignment="1">
      <alignment horizontal="center" vertical="top" wrapText="1"/>
    </xf>
    <xf numFmtId="0" fontId="35" fillId="0" borderId="1" xfId="0" applyFont="1" applyBorder="1" applyAlignment="1">
      <alignment horizontal="center" vertical="center" wrapText="1"/>
    </xf>
    <xf numFmtId="0" fontId="37" fillId="0" borderId="0" xfId="0" applyFont="1" applyAlignment="1">
      <alignment horizontal="center" wrapText="1"/>
    </xf>
    <xf numFmtId="0" fontId="46" fillId="0" borderId="1" xfId="0" applyFont="1" applyBorder="1" applyAlignment="1">
      <alignment horizontal="center"/>
    </xf>
    <xf numFmtId="0" fontId="38" fillId="0" borderId="0" xfId="0" applyFont="1" applyAlignment="1">
      <alignment horizontal="left" vertical="center" wrapText="1"/>
    </xf>
  </cellXfs>
  <cellStyles count="7">
    <cellStyle name="20% — акцент1" xfId="1" builtinId="30"/>
    <cellStyle name="Акцент2" xfId="2" builtinId="33"/>
    <cellStyle name="Гиперссылка" xfId="3" builtinId="8"/>
    <cellStyle name="Обычный" xfId="0" builtinId="0"/>
    <cellStyle name="Обычный 2" xfId="4" xr:uid="{00000000-0005-0000-0000-000004000000}"/>
    <cellStyle name="Плохой" xfId="5" builtinId="27"/>
    <cellStyle name="Процентный" xfId="6" builtinId="5"/>
  </cellStyles>
  <dxfs count="0"/>
  <tableStyles count="0" defaultTableStyle="TableStyleMedium2" defaultPivotStyle="PivotStyleLight16"/>
  <colors>
    <mruColors>
      <color rgb="FF0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microsoft.com/office/2017/10/relationships/person" Target="persons/perso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tyles" Target="styles.xml"/><Relationship Id="rId8" Type="http://schemas.openxmlformats.org/officeDocument/2006/relationships/worksheet" Target="worksheets/sheet8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'объем работ 100% загр'!$C$29:$H$29</c:f>
              <c:strCache>
                <c:ptCount val="6"/>
                <c:pt idx="0">
                  <c:v>Планируемый объем реализации в год, млн руб</c:v>
                </c:pt>
              </c:strCache>
            </c:strRef>
          </c:tx>
          <c:spPr bwMode="auto">
            <a:prstGeom prst="rect">
              <a:avLst/>
            </a:prstGeom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 bwMode="auto">
              <a:solidFill>
                <a:schemeClr val="dk1">
                  <a:lumMod val="65000"/>
                  <a:lumOff val="35000"/>
                  <a:alpha val="75000"/>
                </a:schemeClr>
              </a:solidFill>
              <a:ln>
                <a:noFill/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'объем работ 100% загр'!$C$30:$M$30</c:f>
              <c:strCache>
                <c:ptCount val="11"/>
                <c:pt idx="0">
                  <c:v>1 год</c:v>
                </c:pt>
                <c:pt idx="1">
                  <c:v>2 год</c:v>
                </c:pt>
                <c:pt idx="2">
                  <c:v>3 год</c:v>
                </c:pt>
                <c:pt idx="3">
                  <c:v>4 год</c:v>
                </c:pt>
                <c:pt idx="4">
                  <c:v>5 год</c:v>
                </c:pt>
                <c:pt idx="5">
                  <c:v>6 год </c:v>
                </c:pt>
                <c:pt idx="6">
                  <c:v>7 год</c:v>
                </c:pt>
                <c:pt idx="7">
                  <c:v>8 год</c:v>
                </c:pt>
                <c:pt idx="8">
                  <c:v>9 год</c:v>
                </c:pt>
                <c:pt idx="9">
                  <c:v>10 год</c:v>
                </c:pt>
                <c:pt idx="10">
                  <c:v>11 год</c:v>
                </c:pt>
              </c:strCache>
            </c:strRef>
          </c:cat>
          <c:val>
            <c:numRef>
              <c:f>'объем работ 100% загр'!$C$31:$M$31</c:f>
              <c:numCache>
                <c:formatCode>#\ ##0.0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435.19000261723039</c:v>
                </c:pt>
                <c:pt idx="5">
                  <c:v>609.78237881547034</c:v>
                </c:pt>
                <c:pt idx="6">
                  <c:v>817.75274474631669</c:v>
                </c:pt>
                <c:pt idx="7">
                  <c:v>1063.2895052598553</c:v>
                </c:pt>
                <c:pt idx="8">
                  <c:v>1286.6797748276708</c:v>
                </c:pt>
                <c:pt idx="9">
                  <c:v>1532.7447267373852</c:v>
                </c:pt>
                <c:pt idx="10">
                  <c:v>1623.0641920258472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60C-4D06-90A3-F31F6C5D9487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2001684416"/>
        <c:axId val="2015665872"/>
      </c:barChart>
      <c:catAx>
        <c:axId val="20016844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 bwMode="auto">
          <a:prstGeom prst="rect">
            <a:avLst/>
          </a:prstGeom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2015665872"/>
        <c:crosses val="autoZero"/>
        <c:auto val="1"/>
        <c:lblAlgn val="ctr"/>
        <c:lblOffset val="100"/>
        <c:noMultiLvlLbl val="0"/>
      </c:catAx>
      <c:valAx>
        <c:axId val="2015665872"/>
        <c:scaling>
          <c:orientation val="minMax"/>
        </c:scaling>
        <c:delete val="1"/>
        <c:axPos val="l"/>
        <c:majorGridlines>
          <c:spPr bwMode="auto">
            <a:prstGeom prst="rect">
              <a:avLst/>
            </a:prstGeom>
            <a:ln w="9525" cap="flat" cmpd="sng" algn="ctr">
              <a:gradFill>
                <a:gsLst>
                  <a:gs pos="0">
                    <a:schemeClr val="lt1">
                      <a:lumMod val="75000"/>
                      <a:alpha val="36000"/>
                    </a:schemeClr>
                  </a:gs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#\ ##0.0" sourceLinked="1"/>
        <c:majorTickMark val="none"/>
        <c:minorTickMark val="none"/>
        <c:tickLblPos val="nextTo"/>
        <c:crossAx val="2001684416"/>
        <c:crosses val="autoZero"/>
        <c:crossBetween val="between"/>
      </c:valAx>
      <c:spPr>
        <a:prstGeom prst="rect">
          <a:avLst/>
        </a:prstGeom>
        <a:noFill/>
        <a:ln>
          <a:noFill/>
        </a:ln>
        <a:effectLst/>
      </c:spPr>
    </c:plotArea>
    <c:legend>
      <c:legendPos val="t"/>
      <c:overlay val="0"/>
      <c:spPr bwMode="auto">
        <a:prstGeom prst="rect">
          <a:avLst/>
        </a:prstGeom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 bwMode="auto">
    <a:xfrm>
      <a:off x="0" y="0"/>
      <a:ext cx="0" cy="0"/>
    </a:xfrm>
    <a:prstGeom prst="rect">
      <a:avLst/>
    </a:prstGeom>
    <a:gradFill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'объем работ 100% загр'!$C$33:$M$33</c:f>
              <c:strCache>
                <c:ptCount val="11"/>
                <c:pt idx="0">
                  <c:v>Планиуремый объем загрузки в год, %</c:v>
                </c:pt>
              </c:strCache>
            </c:strRef>
          </c:tx>
          <c:spPr bwMode="auto">
            <a:prstGeom prst="rect">
              <a:avLst/>
            </a:prstGeom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 bwMode="auto">
              <a:solidFill>
                <a:schemeClr val="dk1">
                  <a:lumMod val="65000"/>
                  <a:lumOff val="35000"/>
                  <a:alpha val="75000"/>
                </a:schemeClr>
              </a:solidFill>
              <a:ln>
                <a:noFill/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'объем работ 100% загр'!$C$34:$M$34</c:f>
              <c:strCache>
                <c:ptCount val="11"/>
                <c:pt idx="0">
                  <c:v>1 год</c:v>
                </c:pt>
                <c:pt idx="1">
                  <c:v>2 год</c:v>
                </c:pt>
                <c:pt idx="2">
                  <c:v>3 год</c:v>
                </c:pt>
                <c:pt idx="3">
                  <c:v>4 год</c:v>
                </c:pt>
                <c:pt idx="4">
                  <c:v>5 год</c:v>
                </c:pt>
                <c:pt idx="5">
                  <c:v>6 год </c:v>
                </c:pt>
                <c:pt idx="6">
                  <c:v>7 год</c:v>
                </c:pt>
                <c:pt idx="7">
                  <c:v>8 год</c:v>
                </c:pt>
                <c:pt idx="8">
                  <c:v>9 год</c:v>
                </c:pt>
                <c:pt idx="9">
                  <c:v>10 год</c:v>
                </c:pt>
                <c:pt idx="10">
                  <c:v>11 год</c:v>
                </c:pt>
              </c:strCache>
            </c:strRef>
          </c:cat>
          <c:val>
            <c:numRef>
              <c:f>'объем работ 100% загр'!$C$35:$M$35</c:f>
              <c:numCache>
                <c:formatCode>0%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0.9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25-4AD2-9706-772339C6061A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1929864416"/>
        <c:axId val="1934812544"/>
      </c:barChart>
      <c:catAx>
        <c:axId val="19298644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 bwMode="auto">
          <a:prstGeom prst="rect">
            <a:avLst/>
          </a:prstGeom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934812544"/>
        <c:crosses val="autoZero"/>
        <c:auto val="1"/>
        <c:lblAlgn val="ctr"/>
        <c:lblOffset val="100"/>
        <c:noMultiLvlLbl val="0"/>
      </c:catAx>
      <c:valAx>
        <c:axId val="1934812544"/>
        <c:scaling>
          <c:orientation val="minMax"/>
        </c:scaling>
        <c:delete val="1"/>
        <c:axPos val="l"/>
        <c:majorGridlines>
          <c:spPr bwMode="auto">
            <a:prstGeom prst="rect">
              <a:avLst/>
            </a:prstGeom>
            <a:ln w="9525" cap="flat" cmpd="sng" algn="ctr">
              <a:gradFill>
                <a:gsLst>
                  <a:gs pos="0">
                    <a:schemeClr val="lt1">
                      <a:lumMod val="75000"/>
                      <a:alpha val="36000"/>
                    </a:schemeClr>
                  </a:gs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crossAx val="1929864416"/>
        <c:crosses val="autoZero"/>
        <c:crossBetween val="between"/>
      </c:valAx>
      <c:spPr>
        <a:prstGeom prst="rect">
          <a:avLst/>
        </a:prstGeom>
        <a:noFill/>
        <a:ln>
          <a:noFill/>
        </a:ln>
        <a:effectLst/>
      </c:spPr>
    </c:plotArea>
    <c:legend>
      <c:legendPos val="t"/>
      <c:overlay val="0"/>
      <c:spPr bwMode="auto">
        <a:prstGeom prst="rect">
          <a:avLst/>
        </a:prstGeom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 bwMode="auto">
    <a:xfrm>
      <a:off x="0" y="0"/>
      <a:ext cx="0" cy="0"/>
    </a:xfrm>
    <a:prstGeom prst="rect">
      <a:avLst/>
    </a:prstGeom>
    <a:gradFill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spc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u-RU"/>
              <a:t>Структура источников финансирования, %</a:t>
            </a:r>
          </a:p>
        </c:rich>
      </c:tx>
      <c:overlay val="0"/>
      <c:spPr>
        <a:prstGeom prst="rect">
          <a:avLst/>
        </a:prstGeom>
        <a:noFill/>
        <a:ln>
          <a:noFill/>
        </a:ln>
        <a:effectLst/>
      </c:spPr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prstGeom prst="rect">
                <a:avLst/>
              </a:prstGeom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E03C-4893-A634-E14F72EBD98D}"/>
              </c:ext>
            </c:extLst>
          </c:dPt>
          <c:dPt>
            <c:idx val="1"/>
            <c:bubble3D val="0"/>
            <c:spPr>
              <a:prstGeom prst="rect">
                <a:avLst/>
              </a:prstGeom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E03C-4893-A634-E14F72EBD98D}"/>
              </c:ext>
            </c:extLst>
          </c:dPt>
          <c:dLbls>
            <c:dLbl>
              <c:idx val="0"/>
              <c:layout>
                <c:manualLayout>
                  <c:x val="4.8611104856787393E-2"/>
                  <c:y val="-0.10752688172043008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03C-4893-A634-E14F72EBD98D}"/>
                </c:ext>
              </c:extLst>
            </c:dLbl>
            <c:dLbl>
              <c:idx val="1"/>
              <c:layout>
                <c:manualLayout>
                  <c:x val="-0.13775038049634794"/>
                  <c:y val="0.1196391349084843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03C-4893-A634-E14F72EBD98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prstGeom prst="rect">
                  <a:avLst/>
                </a:prstGeom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</c:ext>
            </c:extLst>
          </c:dLbls>
          <c:cat>
            <c:strRef>
              <c:f>'Расходы на П, строит-во, ввод'!$V$16:$V$18</c:f>
              <c:strCache>
                <c:ptCount val="3"/>
                <c:pt idx="0">
                  <c:v>Собственные средства</c:v>
                </c:pt>
                <c:pt idx="1">
                  <c:v>Заемные средства</c:v>
                </c:pt>
                <c:pt idx="2">
                  <c:v>Господдержка</c:v>
                </c:pt>
              </c:strCache>
            </c:strRef>
          </c:cat>
          <c:val>
            <c:numRef>
              <c:f>'Расходы на П, строит-во, ввод'!$AB$16:$AB$17</c:f>
              <c:numCache>
                <c:formatCode>0.0%</c:formatCode>
                <c:ptCount val="2"/>
                <c:pt idx="0">
                  <c:v>0.50392949229458517</c:v>
                </c:pt>
                <c:pt idx="1">
                  <c:v>0.49607050770541489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03C-4893-A634-E14F72EBD9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75"/>
      </c:doughnutChart>
      <c:spPr>
        <a:prstGeom prst="rect">
          <a:avLst/>
        </a:prstGeom>
        <a:noFill/>
        <a:ln>
          <a:noFill/>
        </a:ln>
        <a:effectLst/>
      </c:spPr>
    </c:plotArea>
    <c:legend>
      <c:legendPos val="b"/>
      <c:overlay val="0"/>
      <c:spPr>
        <a:prstGeom prst="rect">
          <a:avLst/>
        </a:prstGeom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xfrm>
      <a:off x="0" y="0"/>
      <a:ext cx="0" cy="0"/>
    </a:xfrm>
    <a:prstGeom prst="rect">
      <a:avLst/>
    </a:prstGeom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prstGeom prst="rect">
          <a:avLst/>
        </a:prstGeom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>
        <c:manualLayout>
          <c:layoutTarget val="inner"/>
          <c:xMode val="edge"/>
          <c:yMode val="edge"/>
          <c:x val="0.4111723595490806"/>
          <c:y val="0.14273371937868215"/>
          <c:w val="0.17486504715934431"/>
          <c:h val="0.27649429877325399"/>
        </c:manualLayout>
      </c:layout>
      <c:doughnutChart>
        <c:varyColors val="1"/>
        <c:ser>
          <c:idx val="0"/>
          <c:order val="0"/>
          <c:tx>
            <c:strRef>
              <c:f>'Расходы на П, строит-во, ввод'!$AB$1</c:f>
              <c:strCache>
                <c:ptCount val="1"/>
                <c:pt idx="0">
                  <c:v>Структура вложений, %</c:v>
                </c:pt>
              </c:strCache>
            </c:strRef>
          </c:tx>
          <c:dPt>
            <c:idx val="0"/>
            <c:bubble3D val="0"/>
            <c:spPr>
              <a:prstGeom prst="rect">
                <a:avLst/>
              </a:prstGeom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98B2-4B4F-81FF-C442E077CB95}"/>
              </c:ext>
            </c:extLst>
          </c:dPt>
          <c:dPt>
            <c:idx val="1"/>
            <c:bubble3D val="0"/>
            <c:spPr>
              <a:prstGeom prst="rect">
                <a:avLst/>
              </a:prstGeom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98B2-4B4F-81FF-C442E077CB95}"/>
              </c:ext>
            </c:extLst>
          </c:dPt>
          <c:dPt>
            <c:idx val="2"/>
            <c:bubble3D val="0"/>
            <c:spPr>
              <a:prstGeom prst="rect">
                <a:avLst/>
              </a:prstGeom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98B2-4B4F-81FF-C442E077CB95}"/>
              </c:ext>
            </c:extLst>
          </c:dPt>
          <c:dPt>
            <c:idx val="3"/>
            <c:bubble3D val="0"/>
            <c:spPr>
              <a:prstGeom prst="rect">
                <a:avLst/>
              </a:prstGeom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98B2-4B4F-81FF-C442E077CB95}"/>
              </c:ext>
            </c:extLst>
          </c:dPt>
          <c:dPt>
            <c:idx val="4"/>
            <c:bubble3D val="0"/>
            <c:spPr>
              <a:prstGeom prst="rect">
                <a:avLst/>
              </a:prstGeom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98B2-4B4F-81FF-C442E077CB95}"/>
              </c:ext>
            </c:extLst>
          </c:dPt>
          <c:dLbls>
            <c:dLbl>
              <c:idx val="0"/>
              <c:layout>
                <c:manualLayout>
                  <c:x val="-9.8480311275839921E-2"/>
                  <c:y val="-4.594991091127569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8B2-4B4F-81FF-C442E077CB95}"/>
                </c:ext>
              </c:extLst>
            </c:dLbl>
            <c:dLbl>
              <c:idx val="1"/>
              <c:layout>
                <c:manualLayout>
                  <c:x val="0.11489787085392138"/>
                  <c:y val="-2.9939647556738717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8B2-4B4F-81FF-C442E077CB95}"/>
                </c:ext>
              </c:extLst>
            </c:dLbl>
            <c:dLbl>
              <c:idx val="2"/>
              <c:layout>
                <c:manualLayout>
                  <c:x val="0.14834332617832449"/>
                  <c:y val="-1.848169376535275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8B2-4B4F-81FF-C442E077CB95}"/>
                </c:ext>
              </c:extLst>
            </c:dLbl>
            <c:dLbl>
              <c:idx val="3"/>
              <c:layout>
                <c:manualLayout>
                  <c:x val="-0.12835075215474154"/>
                  <c:y val="4.4118806735656433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8B2-4B4F-81FF-C442E077CB95}"/>
                </c:ext>
              </c:extLst>
            </c:dLbl>
            <c:dLbl>
              <c:idx val="4"/>
              <c:layout>
                <c:manualLayout>
                  <c:x val="-0.12556051841224719"/>
                  <c:y val="1.764752269426257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8B2-4B4F-81FF-C442E077CB95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9FB-4928-8506-AB5686EE6D17}"/>
                </c:ext>
              </c:extLst>
            </c:dLbl>
            <c:dLbl>
              <c:idx val="6"/>
              <c:layout>
                <c:manualLayout>
                  <c:x val="-0.13951168712471906"/>
                  <c:y val="-2.4828198316700287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9FB-4928-8506-AB5686EE6D1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prstGeom prst="rect">
                  <a:avLst/>
                </a:prstGeom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</c:ext>
            </c:extLst>
          </c:dLbls>
          <c:cat>
            <c:strRef>
              <c:f>('Расходы на П, строит-во, ввод'!$V$2:$V$5,'Расходы на П, строит-во, ввод'!$V$7:$V$11,'Расходы на П, строит-во, ввод'!$V$13)</c:f>
              <c:strCache>
                <c:ptCount val="7"/>
                <c:pt idx="0">
                  <c:v>Предпроектная стадия (изыскания, разрешительная документация)</c:v>
                </c:pt>
                <c:pt idx="1">
                  <c:v>Строительство производственно-бытовых помещений, подготовка площадки, инфраструктуры</c:v>
                </c:pt>
                <c:pt idx="2">
                  <c:v>Приобретение производственной линии, спецтехники</c:v>
                </c:pt>
                <c:pt idx="3">
                  <c:v>Мусоросжигающий завод</c:v>
                </c:pt>
                <c:pt idx="4">
                  <c:v>Рекультивация</c:v>
                </c:pt>
                <c:pt idx="6">
                  <c:v>Операционные р-ды</c:v>
                </c:pt>
              </c:strCache>
            </c:strRef>
          </c:cat>
          <c:val>
            <c:numRef>
              <c:f>('Расходы на П, строит-во, ввод'!$AB$2:$AB$5,'Расходы на П, строит-во, ввод'!$AB$7:$AB$11,'Расходы на П, строит-во, ввод'!$AB$13)</c:f>
              <c:numCache>
                <c:formatCode>0.0%</c:formatCode>
                <c:ptCount val="7"/>
                <c:pt idx="0">
                  <c:v>4.911589185202128E-3</c:v>
                </c:pt>
                <c:pt idx="1">
                  <c:v>0.33644385918634573</c:v>
                </c:pt>
                <c:pt idx="2">
                  <c:v>0.25049104844530851</c:v>
                </c:pt>
                <c:pt idx="3">
                  <c:v>0.1964635674080851</c:v>
                </c:pt>
                <c:pt idx="4">
                  <c:v>0.12278972963005319</c:v>
                </c:pt>
                <c:pt idx="5">
                  <c:v>0</c:v>
                </c:pt>
                <c:pt idx="6">
                  <c:v>3.9784314292984083E-2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8B2-4B4F-81FF-C442E077CB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75"/>
      </c:doughnutChart>
      <c:spPr>
        <a:prstGeom prst="rect">
          <a:avLst/>
        </a:prstGeom>
        <a:noFill/>
        <a:ln>
          <a:noFill/>
        </a:ln>
        <a:effectLst/>
      </c:spPr>
    </c:plotArea>
    <c:legend>
      <c:legendPos val="b"/>
      <c:legendEntry>
        <c:idx val="5"/>
        <c:delete val="1"/>
      </c:legendEntry>
      <c:layout>
        <c:manualLayout>
          <c:xMode val="edge"/>
          <c:yMode val="edge"/>
          <c:x val="5.8457154532811612E-2"/>
          <c:y val="0.43362012873659372"/>
          <c:w val="0.89424640620090989"/>
          <c:h val="0.53549670654844683"/>
        </c:manualLayout>
      </c:layout>
      <c:overlay val="0"/>
      <c:spPr>
        <a:prstGeom prst="rect">
          <a:avLst/>
        </a:prstGeom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xfrm>
      <a:off x="0" y="0"/>
      <a:ext cx="0" cy="0"/>
    </a:xfrm>
    <a:prstGeom prst="rect">
      <a:avLst/>
    </a:prstGeom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u-RU"/>
              <a:t>Структура персонала</a:t>
            </a:r>
          </a:p>
        </c:rich>
      </c:tx>
      <c:overlay val="0"/>
      <c:spPr>
        <a:prstGeom prst="rect">
          <a:avLst/>
        </a:prstGeom>
        <a:noFill/>
        <a:ln>
          <a:noFill/>
        </a:ln>
        <a:effectLst/>
      </c:spPr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prstGeom prst="rect">
                <a:avLst/>
              </a:prstGeom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7D41-4BA0-99A8-118424AD9B7B}"/>
              </c:ext>
            </c:extLst>
          </c:dPt>
          <c:dPt>
            <c:idx val="1"/>
            <c:bubble3D val="0"/>
            <c:spPr>
              <a:prstGeom prst="rect">
                <a:avLst/>
              </a:prstGeom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7D41-4BA0-99A8-118424AD9B7B}"/>
              </c:ext>
            </c:extLst>
          </c:dPt>
          <c:dLbls>
            <c:dLbl>
              <c:idx val="0"/>
              <c:layout>
                <c:manualLayout>
                  <c:x val="9.7222222222222224E-2"/>
                  <c:y val="-6.01851851851851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D41-4BA0-99A8-118424AD9B7B}"/>
                </c:ext>
              </c:extLst>
            </c:dLbl>
            <c:dLbl>
              <c:idx val="1"/>
              <c:layout>
                <c:manualLayout>
                  <c:x val="-0.12777777777777782"/>
                  <c:y val="2.77777777777777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D41-4BA0-99A8-118424AD9B7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prstGeom prst="rect">
                  <a:avLst/>
                </a:prstGeom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</c:ext>
            </c:extLst>
          </c:dLbls>
          <c:cat>
            <c:strRef>
              <c:f>'Расходы на ЗП ОТ'!$N$80:$N$81</c:f>
              <c:strCache>
                <c:ptCount val="2"/>
                <c:pt idx="0">
                  <c:v>АУП</c:v>
                </c:pt>
                <c:pt idx="1">
                  <c:v>Производственные рабочие</c:v>
                </c:pt>
              </c:strCache>
            </c:strRef>
          </c:cat>
          <c:val>
            <c:numRef>
              <c:f>'Расходы на ЗП ОТ'!$O$80:$O$81</c:f>
              <c:numCache>
                <c:formatCode>0.0%</c:formatCode>
                <c:ptCount val="2"/>
                <c:pt idx="0">
                  <c:v>0.11688311688311688</c:v>
                </c:pt>
                <c:pt idx="1">
                  <c:v>0.88311688311688308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D41-4BA0-99A8-118424AD9B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75"/>
      </c:doughnutChart>
      <c:spPr>
        <a:prstGeom prst="rect">
          <a:avLst/>
        </a:prstGeom>
        <a:noFill/>
        <a:ln>
          <a:noFill/>
        </a:ln>
        <a:effectLst/>
      </c:spPr>
    </c:plotArea>
    <c:legend>
      <c:legendPos val="b"/>
      <c:overlay val="0"/>
      <c:spPr>
        <a:prstGeom prst="rect">
          <a:avLst/>
        </a:prstGeom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xfrm>
      <a:off x="0" y="0"/>
      <a:ext cx="0" cy="0"/>
    </a:xfrm>
    <a:prstGeom prst="rect">
      <a:avLst/>
    </a:prstGeom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u-RU"/>
              <a:t>График вложений</a:t>
            </a:r>
            <a:r>
              <a:rPr lang="ru-RU" baseline="0"/>
              <a:t> </a:t>
            </a:r>
            <a:r>
              <a:rPr lang="en-US" baseline="0"/>
              <a:t>(CAPEX+OPEX)</a:t>
            </a:r>
            <a:r>
              <a:rPr lang="ru-RU"/>
              <a:t>, млн руб</a:t>
            </a:r>
          </a:p>
        </c:rich>
      </c:tx>
      <c:overlay val="0"/>
      <c:spPr>
        <a:prstGeom prst="rect">
          <a:avLst/>
        </a:prstGeom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prstGeom prst="rect">
              <a:avLst/>
            </a:prstGeom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LeaderLines val="0"/>
              </c:ext>
            </c:extLst>
          </c:dLbls>
          <c:cat>
            <c:strRef>
              <c:f>'Расходы на П, строит-во, ввод'!$W$1:$Z$1</c:f>
              <c:strCache>
                <c:ptCount val="4"/>
                <c:pt idx="0">
                  <c:v>1 год</c:v>
                </c:pt>
                <c:pt idx="1">
                  <c:v>2 год</c:v>
                </c:pt>
                <c:pt idx="2">
                  <c:v>3 год</c:v>
                </c:pt>
                <c:pt idx="3">
                  <c:v>4 год</c:v>
                </c:pt>
              </c:strCache>
            </c:strRef>
          </c:cat>
          <c:val>
            <c:numRef>
              <c:f>'Расходы на П, строит-во, ввод'!$W$20:$Z$20</c:f>
              <c:numCache>
                <c:formatCode>0.0</c:formatCode>
                <c:ptCount val="4"/>
                <c:pt idx="0">
                  <c:v>-2.0027192781665</c:v>
                </c:pt>
                <c:pt idx="1">
                  <c:v>-2.0054385563329999</c:v>
                </c:pt>
                <c:pt idx="2">
                  <c:v>-274.00543855633299</c:v>
                </c:pt>
                <c:pt idx="3">
                  <c:v>-536.38676348686101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7BE-4BB3-A2B8-E4B897915E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65638607"/>
        <c:axId val="165639023"/>
      </c:barChart>
      <c:catAx>
        <c:axId val="16563860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high"/>
        <c:spPr>
          <a:prstGeom prst="rect">
            <a:avLst/>
          </a:prstGeom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65639023"/>
        <c:crosses val="autoZero"/>
        <c:auto val="1"/>
        <c:lblAlgn val="ctr"/>
        <c:lblOffset val="100"/>
        <c:noMultiLvlLbl val="0"/>
      </c:catAx>
      <c:valAx>
        <c:axId val="165639023"/>
        <c:scaling>
          <c:orientation val="minMax"/>
        </c:scaling>
        <c:delete val="0"/>
        <c:axPos val="l"/>
        <c:majorGridlines>
          <c:spPr>
            <a:prstGeom prst="rect">
              <a:avLst/>
            </a:prstGeom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prstGeom prst="rect">
            <a:avLst/>
          </a:prstGeom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65638607"/>
        <c:crosses val="autoZero"/>
        <c:crossBetween val="between"/>
      </c:valAx>
      <c:spPr>
        <a:prstGeom prst="rect">
          <a:avLst/>
        </a:prstGeom>
        <a:noFill/>
        <a:ln>
          <a:noFill/>
        </a:ln>
        <a:effectLst/>
      </c:spPr>
    </c:plotArea>
    <c:plotVisOnly val="1"/>
    <c:dispBlanksAs val="gap"/>
    <c:showDLblsOverMax val="0"/>
  </c:chart>
  <c:spPr>
    <a:xfrm>
      <a:off x="0" y="0"/>
      <a:ext cx="0" cy="0"/>
    </a:xfrm>
    <a:prstGeom prst="rect">
      <a:avLst/>
    </a:prstGeom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u-RU"/>
              <a:t>Чистый денежный поток, млн руб.</a:t>
            </a:r>
          </a:p>
        </c:rich>
      </c:tx>
      <c:overlay val="0"/>
      <c:spPr>
        <a:prstGeom prst="rect">
          <a:avLst/>
        </a:prstGeom>
        <a:noFill/>
        <a:ln>
          <a:noFill/>
        </a:ln>
        <a:effectLst/>
      </c:sp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spPr>
            <a:prstGeom prst="rect">
              <a:avLst/>
            </a:prstGeom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prstGeom prst="rect">
                <a:avLst/>
              </a:prstGeom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5920-41C5-A374-FAA0C79958BB}"/>
              </c:ext>
            </c:extLst>
          </c:dPt>
          <c:dPt>
            <c:idx val="3"/>
            <c:invertIfNegative val="0"/>
            <c:bubble3D val="0"/>
            <c:spPr>
              <a:prstGeom prst="rect">
                <a:avLst/>
              </a:prstGeom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5920-41C5-A374-FAA0C79958BB}"/>
              </c:ext>
            </c:extLst>
          </c:dPt>
          <c:dLbls>
            <c:dLbl>
              <c:idx val="0"/>
              <c:layout>
                <c:manualLayout>
                  <c:x val="-2.3651140096690331E-3"/>
                  <c:y val="-0.16326079031787694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920-41C5-A374-FAA0C79958BB}"/>
                </c:ext>
              </c:extLst>
            </c:dLbl>
            <c:dLbl>
              <c:idx val="3"/>
              <c:layout>
                <c:manualLayout>
                  <c:x val="-4.3359922613072868E-17"/>
                  <c:y val="-2.7262321376494689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920-41C5-A374-FAA0C79958BB}"/>
                </c:ext>
              </c:extLst>
            </c:dLbl>
            <c:dLbl>
              <c:idx val="4"/>
              <c:layout>
                <c:manualLayout>
                  <c:x val="-2.3651140096690331E-3"/>
                  <c:y val="-4.3137941090696998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920-41C5-A374-FAA0C79958BB}"/>
                </c:ext>
              </c:extLst>
            </c:dLbl>
            <c:dLbl>
              <c:idx val="5"/>
              <c:layout>
                <c:manualLayout>
                  <c:x val="2.3651140096690331E-3"/>
                  <c:y val="-5.9128390201224845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920-41C5-A374-FAA0C79958BB}"/>
                </c:ext>
              </c:extLst>
            </c:dLbl>
            <c:dLbl>
              <c:idx val="6"/>
              <c:layout>
                <c:manualLayout>
                  <c:x val="4.7302280193379795E-3"/>
                  <c:y val="-0.11828630796150481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920-41C5-A374-FAA0C79958BB}"/>
                </c:ext>
              </c:extLst>
            </c:dLbl>
            <c:dLbl>
              <c:idx val="7"/>
              <c:layout>
                <c:manualLayout>
                  <c:x val="-8.6719845226145736E-17"/>
                  <c:y val="-0.15348498104403621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920-41C5-A374-FAA0C79958BB}"/>
                </c:ext>
              </c:extLst>
            </c:dLbl>
            <c:dLbl>
              <c:idx val="8"/>
              <c:layout>
                <c:manualLayout>
                  <c:x val="2.3651140096690331E-3"/>
                  <c:y val="-0.19127624671916016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920-41C5-A374-FAA0C79958BB}"/>
                </c:ext>
              </c:extLst>
            </c:dLbl>
            <c:dLbl>
              <c:idx val="9"/>
              <c:layout>
                <c:manualLayout>
                  <c:x val="0"/>
                  <c:y val="-0.23063867016622921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920-41C5-A374-FAA0C79958BB}"/>
                </c:ext>
              </c:extLst>
            </c:dLbl>
            <c:dLbl>
              <c:idx val="10"/>
              <c:layout>
                <c:manualLayout>
                  <c:x val="0"/>
                  <c:y val="-0.23455526392534268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920-41C5-A374-FAA0C79958B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LeaderLines val="0"/>
              </c:ext>
            </c:extLst>
          </c:dLbls>
          <c:cat>
            <c:numRef>
              <c:f>'NPV, IRR, DPI ТОР'!$B$3:$L$3</c:f>
              <c:numCache>
                <c:formatCode>General</c:formatCode>
                <c:ptCount val="1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</c:numCache>
            </c:numRef>
          </c:cat>
          <c:val>
            <c:numRef>
              <c:f>'NPV, IRR, DPI ТОР'!$B$34:$L$34</c:f>
              <c:numCache>
                <c:formatCode>#\ ##0.0</c:formatCode>
                <c:ptCount val="11"/>
                <c:pt idx="0">
                  <c:v>-2.0027192781665</c:v>
                </c:pt>
                <c:pt idx="1">
                  <c:v>-2.0054385563329999</c:v>
                </c:pt>
                <c:pt idx="2">
                  <c:v>-274.00543855633299</c:v>
                </c:pt>
                <c:pt idx="3">
                  <c:v>-536.38676348686101</c:v>
                </c:pt>
                <c:pt idx="4">
                  <c:v>211.06661049023143</c:v>
                </c:pt>
                <c:pt idx="5">
                  <c:v>187.80224246390921</c:v>
                </c:pt>
                <c:pt idx="6">
                  <c:v>280.75027618084977</c:v>
                </c:pt>
                <c:pt idx="7">
                  <c:v>415.60250685589131</c:v>
                </c:pt>
                <c:pt idx="8">
                  <c:v>570.02442860266399</c:v>
                </c:pt>
                <c:pt idx="9">
                  <c:v>770.00694149794901</c:v>
                </c:pt>
                <c:pt idx="10">
                  <c:v>783.70810654240665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920-41C5-A374-FAA0C79958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100"/>
        <c:axId val="267662367"/>
        <c:axId val="267663615"/>
      </c:barChart>
      <c:catAx>
        <c:axId val="26766236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prstGeom prst="rect">
            <a:avLst/>
          </a:prstGeom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267663615"/>
        <c:crosses val="autoZero"/>
        <c:auto val="1"/>
        <c:lblAlgn val="ctr"/>
        <c:lblOffset val="100"/>
        <c:noMultiLvlLbl val="0"/>
      </c:catAx>
      <c:valAx>
        <c:axId val="267663615"/>
        <c:scaling>
          <c:orientation val="minMax"/>
        </c:scaling>
        <c:delete val="0"/>
        <c:axPos val="l"/>
        <c:majorGridlines>
          <c:spPr>
            <a:prstGeom prst="rect">
              <a:avLst/>
            </a:prstGeom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.0" sourceLinked="1"/>
        <c:majorTickMark val="none"/>
        <c:minorTickMark val="none"/>
        <c:tickLblPos val="nextTo"/>
        <c:spPr>
          <a:prstGeom prst="rect">
            <a:avLst/>
          </a:prstGeom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267662367"/>
        <c:crosses val="autoZero"/>
        <c:crossBetween val="between"/>
      </c:valAx>
      <c:spPr>
        <a:prstGeom prst="rect">
          <a:avLst/>
        </a:prstGeom>
        <a:noFill/>
        <a:ln>
          <a:noFill/>
        </a:ln>
        <a:effectLst/>
      </c:spPr>
    </c:plotArea>
    <c:plotVisOnly val="1"/>
    <c:dispBlanksAs val="gap"/>
    <c:showDLblsOverMax val="0"/>
  </c:chart>
  <c:spPr>
    <a:xfrm>
      <a:off x="0" y="0"/>
      <a:ext cx="0" cy="0"/>
    </a:xfrm>
    <a:prstGeom prst="rect">
      <a:avLst/>
    </a:prstGeom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u-RU"/>
              <a:t>Налоги и взносы, млн руб.</a:t>
            </a:r>
          </a:p>
        </c:rich>
      </c:tx>
      <c:overlay val="0"/>
      <c:spPr>
        <a:prstGeom prst="rect">
          <a:avLst/>
        </a:prstGeom>
        <a:noFill/>
        <a:ln>
          <a:noFill/>
        </a:ln>
        <a:effectLst/>
      </c:sp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'Налоги ТОР'!$A$26</c:f>
              <c:strCache>
                <c:ptCount val="1"/>
                <c:pt idx="0">
                  <c:v>ФБ</c:v>
                </c:pt>
              </c:strCache>
            </c:strRef>
          </c:tx>
          <c:spPr>
            <a:prstGeom prst="rect">
              <a:avLst/>
            </a:prstGeom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'Налоги ТОР'!$C$25:$L$25</c:f>
              <c:strCache>
                <c:ptCount val="10"/>
                <c:pt idx="0">
                  <c:v>2 год</c:v>
                </c:pt>
                <c:pt idx="1">
                  <c:v>3 год</c:v>
                </c:pt>
                <c:pt idx="2">
                  <c:v>4 год</c:v>
                </c:pt>
                <c:pt idx="3">
                  <c:v>5 год</c:v>
                </c:pt>
                <c:pt idx="4">
                  <c:v>6 год</c:v>
                </c:pt>
                <c:pt idx="5">
                  <c:v>7 год</c:v>
                </c:pt>
                <c:pt idx="6">
                  <c:v>8 год</c:v>
                </c:pt>
                <c:pt idx="7">
                  <c:v>9 год</c:v>
                </c:pt>
                <c:pt idx="8">
                  <c:v>10 год</c:v>
                </c:pt>
                <c:pt idx="9">
                  <c:v>11 год</c:v>
                </c:pt>
              </c:strCache>
            </c:strRef>
          </c:cat>
          <c:val>
            <c:numRef>
              <c:f>'Налоги ТОР'!$C$26:$L$26</c:f>
              <c:numCache>
                <c:formatCode>0.0</c:formatCode>
                <c:ptCount val="10"/>
                <c:pt idx="0" formatCode="General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-43.70451603379626</c:v>
                </c:pt>
                <c:pt idx="4">
                  <c:v>100.07998773084917</c:v>
                </c:pt>
                <c:pt idx="5">
                  <c:v>138.84854695819661</c:v>
                </c:pt>
                <c:pt idx="6">
                  <c:v>181.40961539770674</c:v>
                </c:pt>
                <c:pt idx="7">
                  <c:v>220.12845934321655</c:v>
                </c:pt>
                <c:pt idx="8">
                  <c:v>262.67252067948863</c:v>
                </c:pt>
                <c:pt idx="9">
                  <c:v>274.58741352902643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82A-4097-B13B-2831A4058985}"/>
            </c:ext>
          </c:extLst>
        </c:ser>
        <c:ser>
          <c:idx val="1"/>
          <c:order val="1"/>
          <c:tx>
            <c:strRef>
              <c:f>'Налоги ТОР'!$A$27</c:f>
              <c:strCache>
                <c:ptCount val="1"/>
                <c:pt idx="0">
                  <c:v>РБ</c:v>
                </c:pt>
              </c:strCache>
            </c:strRef>
          </c:tx>
          <c:spPr>
            <a:prstGeom prst="rect">
              <a:avLst/>
            </a:prstGeom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'Налоги ТОР'!$C$25:$L$25</c:f>
              <c:strCache>
                <c:ptCount val="10"/>
                <c:pt idx="0">
                  <c:v>2 год</c:v>
                </c:pt>
                <c:pt idx="1">
                  <c:v>3 год</c:v>
                </c:pt>
                <c:pt idx="2">
                  <c:v>4 год</c:v>
                </c:pt>
                <c:pt idx="3">
                  <c:v>5 год</c:v>
                </c:pt>
                <c:pt idx="4">
                  <c:v>6 год</c:v>
                </c:pt>
                <c:pt idx="5">
                  <c:v>7 год</c:v>
                </c:pt>
                <c:pt idx="6">
                  <c:v>8 год</c:v>
                </c:pt>
                <c:pt idx="7">
                  <c:v>9 год</c:v>
                </c:pt>
                <c:pt idx="8">
                  <c:v>10 год</c:v>
                </c:pt>
                <c:pt idx="9">
                  <c:v>11 год</c:v>
                </c:pt>
              </c:strCache>
            </c:strRef>
          </c:cat>
          <c:val>
            <c:numRef>
              <c:f>'Налоги ТОР'!$C$27:$L$27</c:f>
              <c:numCache>
                <c:formatCode>0.0</c:formatCode>
                <c:ptCount val="10"/>
                <c:pt idx="0" formatCode="General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4.3164747600000002</c:v>
                </c:pt>
                <c:pt idx="4">
                  <c:v>20.121760760585225</c:v>
                </c:pt>
                <c:pt idx="5">
                  <c:v>52.07287748243121</c:v>
                </c:pt>
                <c:pt idx="6">
                  <c:v>68.375912512321335</c:v>
                </c:pt>
                <c:pt idx="7">
                  <c:v>83.271223837680623</c:v>
                </c:pt>
                <c:pt idx="8">
                  <c:v>99.136892146119891</c:v>
                </c:pt>
                <c:pt idx="9">
                  <c:v>145.95704541347115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82A-4097-B13B-2831A4058985}"/>
            </c:ext>
          </c:extLst>
        </c:ser>
        <c:ser>
          <c:idx val="2"/>
          <c:order val="2"/>
          <c:tx>
            <c:strRef>
              <c:f>'Налоги ТОР'!$A$28</c:f>
              <c:strCache>
                <c:ptCount val="1"/>
                <c:pt idx="0">
                  <c:v>МБ</c:v>
                </c:pt>
              </c:strCache>
            </c:strRef>
          </c:tx>
          <c:spPr>
            <a:prstGeom prst="rect">
              <a:avLst/>
            </a:prstGeom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'Налоги ТОР'!$C$25:$L$25</c:f>
              <c:strCache>
                <c:ptCount val="10"/>
                <c:pt idx="0">
                  <c:v>2 год</c:v>
                </c:pt>
                <c:pt idx="1">
                  <c:v>3 год</c:v>
                </c:pt>
                <c:pt idx="2">
                  <c:v>4 год</c:v>
                </c:pt>
                <c:pt idx="3">
                  <c:v>5 год</c:v>
                </c:pt>
                <c:pt idx="4">
                  <c:v>6 год</c:v>
                </c:pt>
                <c:pt idx="5">
                  <c:v>7 год</c:v>
                </c:pt>
                <c:pt idx="6">
                  <c:v>8 год</c:v>
                </c:pt>
                <c:pt idx="7">
                  <c:v>9 год</c:v>
                </c:pt>
                <c:pt idx="8">
                  <c:v>10 год</c:v>
                </c:pt>
                <c:pt idx="9">
                  <c:v>11 год</c:v>
                </c:pt>
              </c:strCache>
            </c:strRef>
          </c:cat>
          <c:val>
            <c:numRef>
              <c:f>'Налоги ТОР'!$C$28:$L$28</c:f>
              <c:numCache>
                <c:formatCode>0.000</c:formatCode>
                <c:ptCount val="10"/>
                <c:pt idx="0" formatCode="General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0.76173084000000002</c:v>
                </c:pt>
                <c:pt idx="4">
                  <c:v>0.80743469040000004</c:v>
                </c:pt>
                <c:pt idx="5">
                  <c:v>0.85588077182400013</c:v>
                </c:pt>
                <c:pt idx="6">
                  <c:v>0.90556143166944025</c:v>
                </c:pt>
                <c:pt idx="7">
                  <c:v>0.95989511756960644</c:v>
                </c:pt>
                <c:pt idx="8">
                  <c:v>1.0174888246237832</c:v>
                </c:pt>
                <c:pt idx="9">
                  <c:v>1.0174888246237832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82A-4097-B13B-2831A4058985}"/>
            </c:ext>
          </c:extLst>
        </c:ser>
        <c:ser>
          <c:idx val="3"/>
          <c:order val="3"/>
          <c:tx>
            <c:strRef>
              <c:f>'Налоги ТОР'!$A$29</c:f>
              <c:strCache>
                <c:ptCount val="1"/>
                <c:pt idx="0">
                  <c:v>Соц. Отчисления</c:v>
                </c:pt>
              </c:strCache>
            </c:strRef>
          </c:tx>
          <c:spPr>
            <a:prstGeom prst="rect">
              <a:avLst/>
            </a:prstGeom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'Налоги ТОР'!$C$25:$L$25</c:f>
              <c:strCache>
                <c:ptCount val="10"/>
                <c:pt idx="0">
                  <c:v>2 год</c:v>
                </c:pt>
                <c:pt idx="1">
                  <c:v>3 год</c:v>
                </c:pt>
                <c:pt idx="2">
                  <c:v>4 год</c:v>
                </c:pt>
                <c:pt idx="3">
                  <c:v>5 год</c:v>
                </c:pt>
                <c:pt idx="4">
                  <c:v>6 год</c:v>
                </c:pt>
                <c:pt idx="5">
                  <c:v>7 год</c:v>
                </c:pt>
                <c:pt idx="6">
                  <c:v>8 год</c:v>
                </c:pt>
                <c:pt idx="7">
                  <c:v>9 год</c:v>
                </c:pt>
                <c:pt idx="8">
                  <c:v>10 год</c:v>
                </c:pt>
                <c:pt idx="9">
                  <c:v>11 год</c:v>
                </c:pt>
              </c:strCache>
            </c:strRef>
          </c:cat>
          <c:val>
            <c:numRef>
              <c:f>'Налоги ТОР'!$C$29:$L$29</c:f>
              <c:numCache>
                <c:formatCode>0.00</c:formatCode>
                <c:ptCount val="10"/>
                <c:pt idx="0" formatCode="General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11.836125360000002</c:v>
                </c:pt>
                <c:pt idx="4">
                  <c:v>12.546292881599999</c:v>
                </c:pt>
                <c:pt idx="5">
                  <c:v>13.299070454495999</c:v>
                </c:pt>
                <c:pt idx="6">
                  <c:v>14.071031476709763</c:v>
                </c:pt>
                <c:pt idx="7">
                  <c:v>14.915293365312348</c:v>
                </c:pt>
                <c:pt idx="8">
                  <c:v>15.810210967231091</c:v>
                </c:pt>
                <c:pt idx="9">
                  <c:v>15.810210967231091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82A-4097-B13B-2831A40589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29222399"/>
        <c:axId val="329215327"/>
      </c:barChart>
      <c:lineChart>
        <c:grouping val="stacked"/>
        <c:varyColors val="0"/>
        <c:ser>
          <c:idx val="4"/>
          <c:order val="4"/>
          <c:tx>
            <c:strRef>
              <c:f>'Налоги ТОР'!$A$30</c:f>
              <c:strCache>
                <c:ptCount val="1"/>
                <c:pt idx="0">
                  <c:v>ИТОГО</c:v>
                </c:pt>
              </c:strCache>
            </c:strRef>
          </c:tx>
          <c:spPr>
            <a:prstGeom prst="rect">
              <a:avLst/>
            </a:prstGeom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prstGeom prst="rect">
                <a:avLst/>
              </a:prstGeom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LeaderLines val="0"/>
              </c:ext>
            </c:extLst>
          </c:dLbls>
          <c:cat>
            <c:strRef>
              <c:f>'Налоги ТОР'!$C$25:$L$25</c:f>
              <c:strCache>
                <c:ptCount val="10"/>
                <c:pt idx="0">
                  <c:v>2 год</c:v>
                </c:pt>
                <c:pt idx="1">
                  <c:v>3 год</c:v>
                </c:pt>
                <c:pt idx="2">
                  <c:v>4 год</c:v>
                </c:pt>
                <c:pt idx="3">
                  <c:v>5 год</c:v>
                </c:pt>
                <c:pt idx="4">
                  <c:v>6 год</c:v>
                </c:pt>
                <c:pt idx="5">
                  <c:v>7 год</c:v>
                </c:pt>
                <c:pt idx="6">
                  <c:v>8 год</c:v>
                </c:pt>
                <c:pt idx="7">
                  <c:v>9 год</c:v>
                </c:pt>
                <c:pt idx="8">
                  <c:v>10 год</c:v>
                </c:pt>
                <c:pt idx="9">
                  <c:v>11 год</c:v>
                </c:pt>
              </c:strCache>
            </c:strRef>
          </c:cat>
          <c:val>
            <c:numRef>
              <c:f>'Налоги ТОР'!$C$30:$L$30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-26.790185073796259</c:v>
                </c:pt>
                <c:pt idx="4">
                  <c:v>133.55547606343438</c:v>
                </c:pt>
                <c:pt idx="5">
                  <c:v>205.0763756669478</c:v>
                </c:pt>
                <c:pt idx="6">
                  <c:v>264.76212081840725</c:v>
                </c:pt>
                <c:pt idx="7">
                  <c:v>319.27487166377909</c:v>
                </c:pt>
                <c:pt idx="8">
                  <c:v>378.63711261746346</c:v>
                </c:pt>
                <c:pt idx="9">
                  <c:v>437.37215873435252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82A-4097-B13B-2831A40589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9222399"/>
        <c:axId val="329215327"/>
      </c:lineChart>
      <c:catAx>
        <c:axId val="3292223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prstGeom prst="rect">
            <a:avLst/>
          </a:prstGeom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329215327"/>
        <c:crosses val="autoZero"/>
        <c:auto val="1"/>
        <c:lblAlgn val="ctr"/>
        <c:lblOffset val="100"/>
        <c:noMultiLvlLbl val="0"/>
      </c:catAx>
      <c:valAx>
        <c:axId val="329215327"/>
        <c:scaling>
          <c:orientation val="minMax"/>
        </c:scaling>
        <c:delete val="0"/>
        <c:axPos val="l"/>
        <c:majorGridlines>
          <c:spPr>
            <a:prstGeom prst="rect">
              <a:avLst/>
            </a:prstGeom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prstGeom prst="rect">
            <a:avLst/>
          </a:prstGeom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329222399"/>
        <c:crosses val="autoZero"/>
        <c:crossBetween val="between"/>
      </c:valAx>
      <c:spPr>
        <a:prstGeom prst="rect">
          <a:avLst/>
        </a:prstGeom>
        <a:noFill/>
        <a:ln>
          <a:noFill/>
        </a:ln>
        <a:effectLst/>
      </c:spPr>
    </c:plotArea>
    <c:legend>
      <c:legendPos val="b"/>
      <c:overlay val="0"/>
      <c:spPr>
        <a:prstGeom prst="rect">
          <a:avLst/>
        </a:prstGeom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xfrm>
      <a:off x="0" y="0"/>
      <a:ext cx="0" cy="0"/>
    </a:xfrm>
    <a:prstGeom prst="rect">
      <a:avLst/>
    </a:prstGeom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'NPV, IRR, DPI ТОР'!$A$38</c:f>
              <c:strCache>
                <c:ptCount val="1"/>
                <c:pt idx="0">
                  <c:v>Чистая прибыль, млн руб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'NPV, IRR, DPI ТОР'!$B$37:$L$37</c:f>
              <c:strCache>
                <c:ptCount val="11"/>
                <c:pt idx="0">
                  <c:v>1 год</c:v>
                </c:pt>
                <c:pt idx="1">
                  <c:v>2 год</c:v>
                </c:pt>
                <c:pt idx="2">
                  <c:v>3 год</c:v>
                </c:pt>
                <c:pt idx="3">
                  <c:v>4 год</c:v>
                </c:pt>
                <c:pt idx="4">
                  <c:v>5 год</c:v>
                </c:pt>
                <c:pt idx="5">
                  <c:v>6 год</c:v>
                </c:pt>
                <c:pt idx="6">
                  <c:v>7 год</c:v>
                </c:pt>
                <c:pt idx="7">
                  <c:v>8 год</c:v>
                </c:pt>
                <c:pt idx="8">
                  <c:v>9 год</c:v>
                </c:pt>
                <c:pt idx="9">
                  <c:v>10 год</c:v>
                </c:pt>
                <c:pt idx="10">
                  <c:v>11 год</c:v>
                </c:pt>
              </c:strCache>
            </c:strRef>
          </c:cat>
          <c:val>
            <c:numRef>
              <c:f>'NPV, IRR, DPI ТОР'!$B$38:$L$38</c:f>
              <c:numCache>
                <c:formatCode>#\ ##0.0</c:formatCode>
                <c:ptCount val="11"/>
                <c:pt idx="0">
                  <c:v>-2.7192781665000003E-3</c:v>
                </c:pt>
                <c:pt idx="1">
                  <c:v>-5.4385563330000006E-3</c:v>
                </c:pt>
                <c:pt idx="2">
                  <c:v>-5.4385563330000006E-3</c:v>
                </c:pt>
                <c:pt idx="3">
                  <c:v>-9.8956794109100521</c:v>
                </c:pt>
                <c:pt idx="4">
                  <c:v>282.00293821063866</c:v>
                </c:pt>
                <c:pt idx="5">
                  <c:v>264.24554165855471</c:v>
                </c:pt>
                <c:pt idx="6">
                  <c:v>363.12806735710461</c:v>
                </c:pt>
                <c:pt idx="7">
                  <c:v>504.37550004917819</c:v>
                </c:pt>
                <c:pt idx="8">
                  <c:v>633.0029332421185</c:v>
                </c:pt>
                <c:pt idx="9">
                  <c:v>770.00694149794901</c:v>
                </c:pt>
                <c:pt idx="10">
                  <c:v>783.70810654240665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38-4F6F-90ED-3327C8FA6AC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394783311"/>
        <c:axId val="139310159"/>
      </c:barChart>
      <c:catAx>
        <c:axId val="39478331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9310159"/>
        <c:crosses val="autoZero"/>
        <c:auto val="1"/>
        <c:lblAlgn val="ctr"/>
        <c:lblOffset val="100"/>
        <c:noMultiLvlLbl val="0"/>
      </c:catAx>
      <c:valAx>
        <c:axId val="1393101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39478331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5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 bwMode="auto">
      <a:prstGeom prst="rect">
        <a:avLst/>
      </a:prstGeom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cap="all"/>
  </cs:categoryAxis>
  <cs:chartArea>
    <cs:lnRef idx="0"/>
    <cs:fillRef idx="0"/>
    <cs:effectRef idx="0"/>
    <cs:fontRef idx="minor">
      <a:schemeClr val="dk1"/>
    </cs:fontRef>
    <cs:spPr bwMode="auto">
      <a:prstGeom prst="rect">
        <a:avLst/>
      </a:prstGeom>
      <a:gradFill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/>
  </cs:chartArea>
  <cs:dataLabel>
    <cs:lnRef idx="0"/>
    <cs:fillRef idx="0"/>
    <cs:effectRef idx="0"/>
    <cs:fontRef idx="minor">
      <a:schemeClr val="lt1"/>
    </cs:fontRef>
    <cs:defRPr sz="900" b="1" i="0" u="none" strike="noStrike"/>
  </cs:dataLabel>
  <cs:dataLabelCallout>
    <cs:lnRef idx="0"/>
    <cs:fillRef idx="0"/>
    <cs:effectRef idx="0"/>
    <cs:fontRef idx="minor">
      <a:schemeClr val="lt1"/>
    </cs:fontRef>
    <cs:spPr bwMode="auto">
      <a:prstGeom prst="rect">
        <a:avLst/>
      </a:prstGeom>
      <a:solidFill>
        <a:schemeClr val="dk1">
          <a:lumMod val="65000"/>
          <a:lumOff val="35000"/>
          <a:alpha val="75000"/>
        </a:schemeClr>
      </a:solidFill>
    </cs:spPr>
    <cs:defRPr sz="900" b="1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 bwMode="auto">
      <a:prstGeom prst="rect">
        <a:avLst/>
      </a:prstGeom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 bwMode="auto">
      <a:prstGeom prst="rect">
        <a:avLst/>
      </a:prstGeom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 bwMode="auto">
      <a:prstGeom prst="rect">
        <a:avLst/>
      </a:prstGeom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 bwMode="auto">
      <a:prstGeom prst="rect">
        <a:avLst/>
      </a:prstGeom>
      <a:solidFill>
        <a:schemeClr val="phClr">
          <a:alpha val="85000"/>
        </a:schemeClr>
      </a:solidFill>
    </cs:spPr>
  </cs:dataPointMarker>
  <cs:dataPointMarkerLayout/>
  <cs:dataPointWireframe>
    <cs:lnRef idx="0">
      <cs:styleClr val="auto"/>
    </cs:lnRef>
    <cs:fillRef idx="0"/>
    <cs:effectRef idx="0"/>
    <cs:fontRef idx="minor">
      <a:schemeClr val="dk1"/>
    </cs:fontRef>
    <cs:spPr bwMode="auto">
      <a:prstGeom prst="rect">
        <a:avLst/>
      </a:prstGeom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 bwMode="auto">
      <a:prstGeom prst="rect">
        <a:avLst/>
      </a:prstGeom>
      <a:ln w="9525">
        <a:solidFill>
          <a:schemeClr val="dk1">
            <a:lumMod val="35000"/>
            <a:lumOff val="6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 bwMode="auto">
      <a:prstGeom prst="rect">
        <a:avLst/>
      </a:prstGeom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 bwMode="auto">
      <a:prstGeom prst="rect">
        <a:avLst/>
      </a:prstGeom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 bwMode="auto">
      <a:prstGeom prst="rect">
        <a:avLst/>
      </a:prstGeom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 bwMode="auto">
      <a:prstGeom prst="rect">
        <a:avLst/>
      </a:prstGeom>
      <a:ln w="9525" cap="flat" cmpd="sng" algn="ctr">
        <a:gradFill>
          <a:gsLst>
            <a:gs pos="0">
              <a:schemeClr val="lt1">
                <a:lumMod val="75000"/>
                <a:alpha val="36000"/>
              </a:schemeClr>
            </a:gs>
            <a:gs pos="100000">
              <a:schemeClr val="dk1">
                <a:lumMod val="95000"/>
                <a:lumOff val="5000"/>
                <a:alpha val="42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 bwMode="auto">
      <a:prstGeom prst="rect">
        <a:avLst/>
      </a:prstGeom>
      <a:ln>
        <a:gradFill>
          <a:gsLst>
            <a:gs pos="0">
              <a:schemeClr val="lt1">
                <a:lumMod val="75000"/>
                <a:alpha val="36000"/>
              </a:schemeClr>
            </a:gs>
            <a:gs pos="100000">
              <a:schemeClr val="dk1">
                <a:lumMod val="95000"/>
                <a:lumOff val="5000"/>
                <a:alpha val="42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 bwMode="auto">
      <a:prstGeom prst="rect">
        <a:avLst/>
      </a:prstGeom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 bwMode="auto">
      <a:prstGeom prst="rect">
        <a:avLst/>
      </a:prstGeom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 bwMode="auto">
      <a:prstGeom prst="rect">
        <a:avLst/>
      </a:prstGeom>
      <a:solidFill>
        <a:schemeClr val="lt1">
          <a:lumMod val="95000"/>
          <a:alpha val="39000"/>
        </a:schemeClr>
      </a:solidFill>
    </cs:spPr>
    <cs:defRPr sz="9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 bwMode="auto">
      <a:prstGeom prst="rect">
        <a:avLst/>
      </a:prstGeom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dk1"/>
    </cs:fontRef>
    <cs:spPr bwMode="auto">
      <a:prstGeom prst="rect">
        <a:avLst/>
      </a:prstGeom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/>
  </cs:title>
  <cs:trendline>
    <cs:lnRef idx="0">
      <cs:styleClr val="auto"/>
    </cs:lnRef>
    <cs:fillRef idx="0"/>
    <cs:effectRef idx="0"/>
    <cs:fontRef idx="minor">
      <a:schemeClr val="dk1"/>
    </cs:fontRef>
    <cs:spPr bwMode="auto">
      <a:prstGeom prst="rect">
        <a:avLst/>
      </a:prstGeom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/>
  </cs:trendlineLabel>
  <cs:upBar>
    <cs:lnRef idx="0"/>
    <cs:fillRef idx="0"/>
    <cs:effectRef idx="0"/>
    <cs:fontRef idx="minor">
      <a:schemeClr val="dk1"/>
    </cs:fontRef>
    <cs:spPr bwMode="auto">
      <a:prstGeom prst="rect">
        <a:avLst/>
      </a:prstGeom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 bwMode="auto">
      <a:prstGeom prst="rect">
        <a:avLst/>
      </a:prstGeom>
      <a:ln>
        <a:noFill/>
      </a:ln>
    </cs:spPr>
    <cs:defRPr sz="9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05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 bwMode="auto">
      <a:prstGeom prst="rect">
        <a:avLst/>
      </a:prstGeom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cap="all"/>
  </cs:categoryAxis>
  <cs:chartArea>
    <cs:lnRef idx="0"/>
    <cs:fillRef idx="0"/>
    <cs:effectRef idx="0"/>
    <cs:fontRef idx="minor">
      <a:schemeClr val="dk1"/>
    </cs:fontRef>
    <cs:spPr bwMode="auto">
      <a:prstGeom prst="rect">
        <a:avLst/>
      </a:prstGeom>
      <a:gradFill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/>
  </cs:chartArea>
  <cs:dataLabel>
    <cs:lnRef idx="0"/>
    <cs:fillRef idx="0"/>
    <cs:effectRef idx="0"/>
    <cs:fontRef idx="minor">
      <a:schemeClr val="lt1"/>
    </cs:fontRef>
    <cs:defRPr sz="900" b="1" i="0" u="none" strike="noStrike"/>
  </cs:dataLabel>
  <cs:dataLabelCallout>
    <cs:lnRef idx="0"/>
    <cs:fillRef idx="0"/>
    <cs:effectRef idx="0"/>
    <cs:fontRef idx="minor">
      <a:schemeClr val="lt1"/>
    </cs:fontRef>
    <cs:spPr bwMode="auto">
      <a:prstGeom prst="rect">
        <a:avLst/>
      </a:prstGeom>
      <a:solidFill>
        <a:schemeClr val="dk1">
          <a:lumMod val="65000"/>
          <a:lumOff val="35000"/>
          <a:alpha val="75000"/>
        </a:schemeClr>
      </a:solidFill>
    </cs:spPr>
    <cs:defRPr sz="900" b="1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 bwMode="auto">
      <a:prstGeom prst="rect">
        <a:avLst/>
      </a:prstGeom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 bwMode="auto">
      <a:prstGeom prst="rect">
        <a:avLst/>
      </a:prstGeom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 bwMode="auto">
      <a:prstGeom prst="rect">
        <a:avLst/>
      </a:prstGeom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 bwMode="auto">
      <a:prstGeom prst="rect">
        <a:avLst/>
      </a:prstGeom>
      <a:solidFill>
        <a:schemeClr val="phClr">
          <a:alpha val="85000"/>
        </a:schemeClr>
      </a:solidFill>
    </cs:spPr>
  </cs:dataPointMarker>
  <cs:dataPointMarkerLayout/>
  <cs:dataPointWireframe>
    <cs:lnRef idx="0">
      <cs:styleClr val="auto"/>
    </cs:lnRef>
    <cs:fillRef idx="0"/>
    <cs:effectRef idx="0"/>
    <cs:fontRef idx="minor">
      <a:schemeClr val="dk1"/>
    </cs:fontRef>
    <cs:spPr bwMode="auto">
      <a:prstGeom prst="rect">
        <a:avLst/>
      </a:prstGeom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 bwMode="auto">
      <a:prstGeom prst="rect">
        <a:avLst/>
      </a:prstGeom>
      <a:ln w="9525">
        <a:solidFill>
          <a:schemeClr val="dk1">
            <a:lumMod val="35000"/>
            <a:lumOff val="6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 bwMode="auto">
      <a:prstGeom prst="rect">
        <a:avLst/>
      </a:prstGeom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 bwMode="auto">
      <a:prstGeom prst="rect">
        <a:avLst/>
      </a:prstGeom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 bwMode="auto">
      <a:prstGeom prst="rect">
        <a:avLst/>
      </a:prstGeom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 bwMode="auto">
      <a:prstGeom prst="rect">
        <a:avLst/>
      </a:prstGeom>
      <a:ln w="9525" cap="flat" cmpd="sng" algn="ctr">
        <a:gradFill>
          <a:gsLst>
            <a:gs pos="0">
              <a:schemeClr val="lt1">
                <a:lumMod val="75000"/>
                <a:alpha val="36000"/>
              </a:schemeClr>
            </a:gs>
            <a:gs pos="100000">
              <a:schemeClr val="dk1">
                <a:lumMod val="95000"/>
                <a:lumOff val="5000"/>
                <a:alpha val="42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 bwMode="auto">
      <a:prstGeom prst="rect">
        <a:avLst/>
      </a:prstGeom>
      <a:ln>
        <a:gradFill>
          <a:gsLst>
            <a:gs pos="0">
              <a:schemeClr val="lt1">
                <a:lumMod val="75000"/>
                <a:alpha val="36000"/>
              </a:schemeClr>
            </a:gs>
            <a:gs pos="100000">
              <a:schemeClr val="dk1">
                <a:lumMod val="95000"/>
                <a:lumOff val="5000"/>
                <a:alpha val="42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 bwMode="auto">
      <a:prstGeom prst="rect">
        <a:avLst/>
      </a:prstGeom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 bwMode="auto">
      <a:prstGeom prst="rect">
        <a:avLst/>
      </a:prstGeom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 bwMode="auto">
      <a:prstGeom prst="rect">
        <a:avLst/>
      </a:prstGeom>
      <a:solidFill>
        <a:schemeClr val="lt1">
          <a:lumMod val="95000"/>
          <a:alpha val="39000"/>
        </a:schemeClr>
      </a:solidFill>
    </cs:spPr>
    <cs:defRPr sz="9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 bwMode="auto">
      <a:prstGeom prst="rect">
        <a:avLst/>
      </a:prstGeom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dk1"/>
    </cs:fontRef>
    <cs:spPr bwMode="auto">
      <a:prstGeom prst="rect">
        <a:avLst/>
      </a:prstGeom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/>
  </cs:title>
  <cs:trendline>
    <cs:lnRef idx="0">
      <cs:styleClr val="auto"/>
    </cs:lnRef>
    <cs:fillRef idx="0"/>
    <cs:effectRef idx="0"/>
    <cs:fontRef idx="minor">
      <a:schemeClr val="dk1"/>
    </cs:fontRef>
    <cs:spPr bwMode="auto">
      <a:prstGeom prst="rect">
        <a:avLst/>
      </a:prstGeom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/>
  </cs:trendlineLabel>
  <cs:upBar>
    <cs:lnRef idx="0"/>
    <cs:fillRef idx="0"/>
    <cs:effectRef idx="0"/>
    <cs:fontRef idx="minor">
      <a:schemeClr val="dk1"/>
    </cs:fontRef>
    <cs:spPr bwMode="auto">
      <a:prstGeom prst="rect">
        <a:avLst/>
      </a:prstGeom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 bwMode="auto">
      <a:prstGeom prst="rect">
        <a:avLst/>
      </a:prstGeom>
      <a:ln>
        <a:noFill/>
      </a:ln>
    </cs:spPr>
    <cs:defRPr sz="900"/>
  </cs:valueAxis>
  <cs:wall>
    <cs:lnRef idx="0"/>
    <cs:fillRef idx="0"/>
    <cs:effectRef idx="0"/>
    <cs:fontRef idx="minor">
      <a:schemeClr val="dk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png"/><Relationship Id="rId3" Type="http://schemas.openxmlformats.org/officeDocument/2006/relationships/image" Target="../media/image5.png"/><Relationship Id="rId7" Type="http://schemas.openxmlformats.org/officeDocument/2006/relationships/image" Target="../media/image9.png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6" Type="http://schemas.openxmlformats.org/officeDocument/2006/relationships/image" Target="../media/image8.png"/><Relationship Id="rId5" Type="http://schemas.openxmlformats.org/officeDocument/2006/relationships/image" Target="../media/image7.png"/><Relationship Id="rId10" Type="http://schemas.openxmlformats.org/officeDocument/2006/relationships/image" Target="../media/image12.png"/><Relationship Id="rId4" Type="http://schemas.openxmlformats.org/officeDocument/2006/relationships/image" Target="../media/image6.png"/><Relationship Id="rId9" Type="http://schemas.openxmlformats.org/officeDocument/2006/relationships/image" Target="../media/image1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57150</xdr:colOff>
      <xdr:row>43</xdr:row>
      <xdr:rowOff>161925</xdr:rowOff>
    </xdr:from>
    <xdr:to>
      <xdr:col>1</xdr:col>
      <xdr:colOff>1362075</xdr:colOff>
      <xdr:row>47</xdr:row>
      <xdr:rowOff>76200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3950" y="8353425"/>
          <a:ext cx="1304925" cy="676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133350</xdr:colOff>
      <xdr:row>47</xdr:row>
      <xdr:rowOff>152400</xdr:rowOff>
    </xdr:from>
    <xdr:to>
      <xdr:col>1</xdr:col>
      <xdr:colOff>1143000</xdr:colOff>
      <xdr:row>49</xdr:row>
      <xdr:rowOff>133350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0150" y="9867900"/>
          <a:ext cx="1009650" cy="361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29118</xdr:colOff>
      <xdr:row>0</xdr:row>
      <xdr:rowOff>8164</xdr:rowOff>
    </xdr:from>
    <xdr:to>
      <xdr:col>11</xdr:col>
      <xdr:colOff>238124</xdr:colOff>
      <xdr:row>13</xdr:row>
      <xdr:rowOff>0</xdr:rowOff>
    </xdr:to>
    <xdr:graphicFrame macro="">
      <xdr:nvGraphicFramePr>
        <xdr:cNvPr id="2" name="Диаграмма 2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437810</xdr:colOff>
      <xdr:row>0</xdr:row>
      <xdr:rowOff>11904</xdr:rowOff>
    </xdr:from>
    <xdr:to>
      <xdr:col>18</xdr:col>
      <xdr:colOff>285750</xdr:colOff>
      <xdr:row>13</xdr:row>
      <xdr:rowOff>17623</xdr:rowOff>
    </xdr:to>
    <xdr:graphicFrame macro="">
      <xdr:nvGraphicFramePr>
        <xdr:cNvPr id="3" name="Диаграмма 1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47624</xdr:colOff>
      <xdr:row>14</xdr:row>
      <xdr:rowOff>28573</xdr:rowOff>
    </xdr:from>
    <xdr:to>
      <xdr:col>9</xdr:col>
      <xdr:colOff>514350</xdr:colOff>
      <xdr:row>29</xdr:row>
      <xdr:rowOff>47624</xdr:rowOff>
    </xdr:to>
    <xdr:graphicFrame macro="">
      <xdr:nvGraphicFramePr>
        <xdr:cNvPr id="4" name="Диаграмма 2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139473</xdr:colOff>
      <xdr:row>14</xdr:row>
      <xdr:rowOff>26534</xdr:rowOff>
    </xdr:from>
    <xdr:to>
      <xdr:col>17</xdr:col>
      <xdr:colOff>440532</xdr:colOff>
      <xdr:row>29</xdr:row>
      <xdr:rowOff>47625</xdr:rowOff>
    </xdr:to>
    <xdr:graphicFrame macro="">
      <xdr:nvGraphicFramePr>
        <xdr:cNvPr id="5" name="Диаграмма 1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</xdr:col>
      <xdr:colOff>39688</xdr:colOff>
      <xdr:row>30</xdr:row>
      <xdr:rowOff>46567</xdr:rowOff>
    </xdr:from>
    <xdr:to>
      <xdr:col>9</xdr:col>
      <xdr:colOff>583406</xdr:colOff>
      <xdr:row>44</xdr:row>
      <xdr:rowOff>122767</xdr:rowOff>
    </xdr:to>
    <xdr:graphicFrame macro="">
      <xdr:nvGraphicFramePr>
        <xdr:cNvPr id="9" name="Диаграмма 1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10</xdr:col>
      <xdr:colOff>86177</xdr:colOff>
      <xdr:row>29</xdr:row>
      <xdr:rowOff>185851</xdr:rowOff>
    </xdr:from>
    <xdr:to>
      <xdr:col>17</xdr:col>
      <xdr:colOff>321469</xdr:colOff>
      <xdr:row>44</xdr:row>
      <xdr:rowOff>71551</xdr:rowOff>
    </xdr:to>
    <xdr:graphicFrame macro="">
      <xdr:nvGraphicFramePr>
        <xdr:cNvPr id="10" name="Диаграмма 1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67468</xdr:colOff>
      <xdr:row>29</xdr:row>
      <xdr:rowOff>124618</xdr:rowOff>
    </xdr:from>
    <xdr:to>
      <xdr:col>3</xdr:col>
      <xdr:colOff>496094</xdr:colOff>
      <xdr:row>44</xdr:row>
      <xdr:rowOff>10318</xdr:rowOff>
    </xdr:to>
    <xdr:graphicFrame macro="">
      <xdr:nvGraphicFramePr>
        <xdr:cNvPr id="11" name="Диаграмма 1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71437</xdr:colOff>
      <xdr:row>45</xdr:row>
      <xdr:rowOff>180182</xdr:rowOff>
    </xdr:from>
    <xdr:to>
      <xdr:col>3</xdr:col>
      <xdr:colOff>500062</xdr:colOff>
      <xdr:row>56</xdr:row>
      <xdr:rowOff>142875</xdr:rowOff>
    </xdr:to>
    <xdr:graphicFrame macro="">
      <xdr:nvGraphicFramePr>
        <xdr:cNvPr id="12" name="Диаграмма 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291913</xdr:colOff>
      <xdr:row>45</xdr:row>
      <xdr:rowOff>166968</xdr:rowOff>
    </xdr:from>
    <xdr:to>
      <xdr:col>16</xdr:col>
      <xdr:colOff>596713</xdr:colOff>
      <xdr:row>61</xdr:row>
      <xdr:rowOff>14568</xdr:rowOff>
    </xdr:to>
    <xdr:graphicFrame macro="">
      <xdr:nvGraphicFramePr>
        <xdr:cNvPr id="6" name="Диаграмма 1">
          <a:extLst>
            <a:ext uri="{FF2B5EF4-FFF2-40B4-BE49-F238E27FC236}">
              <a16:creationId xmlns:a16="http://schemas.microsoft.com/office/drawing/2014/main" id="{D766F48B-94CB-1004-95BE-EEEC6CE7B04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245231</xdr:colOff>
      <xdr:row>59</xdr:row>
      <xdr:rowOff>19050</xdr:rowOff>
    </xdr:from>
    <xdr:to>
      <xdr:col>24</xdr:col>
      <xdr:colOff>479101</xdr:colOff>
      <xdr:row>96</xdr:row>
      <xdr:rowOff>157161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1B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5534" t="3242" r="24079" b="10406"/>
        <a:stretch/>
      </xdr:blipFill>
      <xdr:spPr>
        <a:xfrm>
          <a:off x="11008481" y="13439775"/>
          <a:ext cx="10425620" cy="7186611"/>
        </a:xfrm>
        <a:prstGeom prst="rect">
          <a:avLst/>
        </a:prstGeom>
      </xdr:spPr>
    </xdr:pic>
    <xdr:clientData/>
  </xdr:twoCellAnchor>
  <xdr:twoCellAnchor editAs="oneCell">
    <xdr:from>
      <xdr:col>25</xdr:col>
      <xdr:colOff>299944</xdr:colOff>
      <xdr:row>59</xdr:row>
      <xdr:rowOff>45244</xdr:rowOff>
    </xdr:from>
    <xdr:to>
      <xdr:col>37</xdr:col>
      <xdr:colOff>226195</xdr:colOff>
      <xdr:row>96</xdr:row>
      <xdr:rowOff>114299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1B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5795" t="3010" r="51296" b="21865"/>
        <a:stretch/>
      </xdr:blipFill>
      <xdr:spPr>
        <a:xfrm>
          <a:off x="21864544" y="13465969"/>
          <a:ext cx="7241451" cy="7117555"/>
        </a:xfrm>
        <a:prstGeom prst="rect">
          <a:avLst/>
        </a:prstGeom>
      </xdr:spPr>
    </xdr:pic>
    <xdr:clientData/>
  </xdr:twoCellAnchor>
  <xdr:twoCellAnchor editAs="oneCell">
    <xdr:from>
      <xdr:col>38</xdr:col>
      <xdr:colOff>500062</xdr:colOff>
      <xdr:row>59</xdr:row>
      <xdr:rowOff>57150</xdr:rowOff>
    </xdr:from>
    <xdr:to>
      <xdr:col>58</xdr:col>
      <xdr:colOff>390517</xdr:colOff>
      <xdr:row>97</xdr:row>
      <xdr:rowOff>67628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1B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5521" t="2264" r="15413" b="13397"/>
        <a:stretch/>
      </xdr:blipFill>
      <xdr:spPr>
        <a:xfrm>
          <a:off x="29989462" y="13477875"/>
          <a:ext cx="12082455" cy="7249478"/>
        </a:xfrm>
        <a:prstGeom prst="rect">
          <a:avLst/>
        </a:prstGeom>
      </xdr:spPr>
    </xdr:pic>
    <xdr:clientData/>
  </xdr:twoCellAnchor>
  <xdr:twoCellAnchor editAs="oneCell">
    <xdr:from>
      <xdr:col>17</xdr:col>
      <xdr:colOff>190501</xdr:colOff>
      <xdr:row>98</xdr:row>
      <xdr:rowOff>133350</xdr:rowOff>
    </xdr:from>
    <xdr:to>
      <xdr:col>37</xdr:col>
      <xdr:colOff>138113</xdr:colOff>
      <xdr:row>142</xdr:row>
      <xdr:rowOff>57150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1B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6044" t="2963" r="26761" b="16286"/>
        <a:stretch/>
      </xdr:blipFill>
      <xdr:spPr>
        <a:xfrm>
          <a:off x="16878301" y="20983575"/>
          <a:ext cx="12139612" cy="8305800"/>
        </a:xfrm>
        <a:prstGeom prst="rect">
          <a:avLst/>
        </a:prstGeom>
      </xdr:spPr>
    </xdr:pic>
    <xdr:clientData/>
  </xdr:twoCellAnchor>
  <xdr:twoCellAnchor editAs="oneCell">
    <xdr:from>
      <xdr:col>38</xdr:col>
      <xdr:colOff>501650</xdr:colOff>
      <xdr:row>99</xdr:row>
      <xdr:rowOff>33338</xdr:rowOff>
    </xdr:from>
    <xdr:to>
      <xdr:col>60</xdr:col>
      <xdr:colOff>79375</xdr:colOff>
      <xdr:row>142</xdr:row>
      <xdr:rowOff>103188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1B00-00000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7523" t="3592" r="15879" b="9844"/>
        <a:stretch/>
      </xdr:blipFill>
      <xdr:spPr>
        <a:xfrm>
          <a:off x="29991050" y="21074063"/>
          <a:ext cx="12988925" cy="8261350"/>
        </a:xfrm>
        <a:prstGeom prst="rect">
          <a:avLst/>
        </a:prstGeom>
      </xdr:spPr>
    </xdr:pic>
    <xdr:clientData/>
  </xdr:twoCellAnchor>
  <xdr:twoCellAnchor editAs="oneCell">
    <xdr:from>
      <xdr:col>6</xdr:col>
      <xdr:colOff>304799</xdr:colOff>
      <xdr:row>2</xdr:row>
      <xdr:rowOff>478973</xdr:rowOff>
    </xdr:from>
    <xdr:to>
      <xdr:col>24</xdr:col>
      <xdr:colOff>50800</xdr:colOff>
      <xdr:row>41</xdr:row>
      <xdr:rowOff>127001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E5BF14C2-A554-6BC8-D6C5-40318F6DEFE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l="7799" t="4656" r="16643" b="6944"/>
        <a:stretch/>
      </xdr:blipFill>
      <xdr:spPr>
        <a:xfrm>
          <a:off x="7372349" y="859973"/>
          <a:ext cx="13633451" cy="9258753"/>
        </a:xfrm>
        <a:prstGeom prst="rect">
          <a:avLst/>
        </a:prstGeom>
      </xdr:spPr>
    </xdr:pic>
    <xdr:clientData/>
  </xdr:twoCellAnchor>
  <xdr:twoCellAnchor editAs="oneCell">
    <xdr:from>
      <xdr:col>25</xdr:col>
      <xdr:colOff>355600</xdr:colOff>
      <xdr:row>7</xdr:row>
      <xdr:rowOff>381000</xdr:rowOff>
    </xdr:from>
    <xdr:to>
      <xdr:col>50</xdr:col>
      <xdr:colOff>76200</xdr:colOff>
      <xdr:row>48</xdr:row>
      <xdr:rowOff>101600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956416C4-1A14-A71D-F5A4-0DEB8CF6CC4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l="8613" t="4692" r="9572" b="8137"/>
        <a:stretch/>
      </xdr:blipFill>
      <xdr:spPr>
        <a:xfrm>
          <a:off x="21920200" y="2124075"/>
          <a:ext cx="14960600" cy="9302750"/>
        </a:xfrm>
        <a:prstGeom prst="rect">
          <a:avLst/>
        </a:prstGeom>
      </xdr:spPr>
    </xdr:pic>
    <xdr:clientData/>
  </xdr:twoCellAnchor>
  <xdr:twoCellAnchor editAs="oneCell">
    <xdr:from>
      <xdr:col>51</xdr:col>
      <xdr:colOff>279400</xdr:colOff>
      <xdr:row>7</xdr:row>
      <xdr:rowOff>330200</xdr:rowOff>
    </xdr:from>
    <xdr:to>
      <xdr:col>75</xdr:col>
      <xdr:colOff>457200</xdr:colOff>
      <xdr:row>46</xdr:row>
      <xdr:rowOff>152400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7459D549-1891-1B40-CD12-EDD4DC04F1A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/>
        <a:srcRect l="6528" t="4445" r="12489" b="10853"/>
        <a:stretch/>
      </xdr:blipFill>
      <xdr:spPr>
        <a:xfrm>
          <a:off x="37693600" y="2073275"/>
          <a:ext cx="14808200" cy="9023350"/>
        </a:xfrm>
        <a:prstGeom prst="rect">
          <a:avLst/>
        </a:prstGeom>
      </xdr:spPr>
    </xdr:pic>
    <xdr:clientData/>
  </xdr:twoCellAnchor>
  <xdr:twoCellAnchor editAs="oneCell">
    <xdr:from>
      <xdr:col>59</xdr:col>
      <xdr:colOff>495300</xdr:colOff>
      <xdr:row>55</xdr:row>
      <xdr:rowOff>101600</xdr:rowOff>
    </xdr:from>
    <xdr:to>
      <xdr:col>83</xdr:col>
      <xdr:colOff>63500</xdr:colOff>
      <xdr:row>106</xdr:row>
      <xdr:rowOff>165100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B7CADC97-AB3D-6CD9-90BB-6482511B28A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/>
        <a:srcRect l="6390" t="3209" r="15962" b="4432"/>
        <a:stretch/>
      </xdr:blipFill>
      <xdr:spPr>
        <a:xfrm>
          <a:off x="43205400" y="12674600"/>
          <a:ext cx="14198600" cy="9779000"/>
        </a:xfrm>
        <a:prstGeom prst="rect">
          <a:avLst/>
        </a:prstGeom>
      </xdr:spPr>
    </xdr:pic>
    <xdr:clientData/>
  </xdr:twoCellAnchor>
  <xdr:twoCellAnchor editAs="oneCell">
    <xdr:from>
      <xdr:col>83</xdr:col>
      <xdr:colOff>76200</xdr:colOff>
      <xdr:row>2</xdr:row>
      <xdr:rowOff>152400</xdr:rowOff>
    </xdr:from>
    <xdr:to>
      <xdr:col>105</xdr:col>
      <xdr:colOff>234008</xdr:colOff>
      <xdr:row>367</xdr:row>
      <xdr:rowOff>110066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BFA9D00D-DA25-47B4-AE01-721D566D46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57454800" y="457200"/>
          <a:ext cx="13569008" cy="58098266"/>
        </a:xfrm>
        <a:prstGeom prst="rect">
          <a:avLst/>
        </a:prstGeom>
      </xdr:spPr>
    </xdr:pic>
    <xdr:clientData/>
  </xdr:twoCellAnchor>
  <xdr:twoCellAnchor>
    <xdr:from>
      <xdr:col>13</xdr:col>
      <xdr:colOff>457200</xdr:colOff>
      <xdr:row>0</xdr:row>
      <xdr:rowOff>114300</xdr:rowOff>
    </xdr:from>
    <xdr:to>
      <xdr:col>82</xdr:col>
      <xdr:colOff>457200</xdr:colOff>
      <xdr:row>3</xdr:row>
      <xdr:rowOff>57150</xdr:rowOff>
    </xdr:to>
    <xdr:cxnSp macro="">
      <xdr:nvCxnSpPr>
        <xdr:cNvPr id="17" name="Прямая со стрелкой 16">
          <a:extLst>
            <a:ext uri="{FF2B5EF4-FFF2-40B4-BE49-F238E27FC236}">
              <a16:creationId xmlns:a16="http://schemas.microsoft.com/office/drawing/2014/main" id="{8375A9CA-16D3-442D-90F5-C10A1AA2C1B8}"/>
            </a:ext>
          </a:extLst>
        </xdr:cNvPr>
        <xdr:cNvCxnSpPr/>
      </xdr:nvCxnSpPr>
      <xdr:spPr>
        <a:xfrm>
          <a:off x="14592300" y="114300"/>
          <a:ext cx="42557700" cy="9144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Татьяна" id="{1E9CECF3-830F-4805-E288-AB8559039FC6}"/>
  <person displayName="Автор" id="{10F9DCC5-A38C-81A5-4889-60F3C36BA471}"/>
</personList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Arial"/>
        <a:cs typeface="Arial"/>
      </a:majorFont>
      <a:minorFont>
        <a:latin typeface="Calibri"/>
        <a:ea typeface="Arial"/>
        <a:cs typeface="Arial"/>
      </a:minorFont>
    </a:fontScheme>
    <a:fmtScheme name="Стандартная">
      <a:fillStyleLst>
        <a:solidFill>
          <a:schemeClr val="phClr"/>
        </a:solidFill>
        <a:gradFill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</a:effectStyleLst>
      <a:bgFillStyleLst>
        <a:solidFill>
          <a:schemeClr val="phClr"/>
        </a:solidFill>
        <a:gradFill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/>
        </a:gradFill>
        <a:gradFill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/>
        </a:gradFill>
      </a:bgFillStyleLst>
    </a:fmtScheme>
  </a:themeElements>
  <a:objectDefaults/>
  <a:extraClrSchemeLst/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B37" personId="{1E9CECF3-830F-4805-E288-AB8559039FC6}" id="{001E000B-00DB-439C-A31E-002B0021009E}" done="0">
    <text xml:space="preserve">кВт/тонну
</text>
  </threadedComment>
  <threadedComment ref="B38" personId="{1E9CECF3-830F-4805-E288-AB8559039FC6}" id="{00620084-00B7-4E7D-BB4B-008000CF007E}" done="0">
    <text xml:space="preserve">куб м/тонну
</text>
  </threadedComment>
  <threadedComment ref="B39" personId="{1E9CECF3-830F-4805-E288-AB8559039FC6}" id="{00A2004D-0091-4291-8568-00350057001F}" done="0">
    <text xml:space="preserve">тонн/тонну
</text>
  </threadedComment>
</ThreadedComments>
</file>

<file path=xl/threadedComments/threadedComment2.xml><?xml version="1.0" encoding="utf-8"?>
<ThreadedComments xmlns="http://schemas.microsoft.com/office/spreadsheetml/2018/threadedcomments" xmlns:x="http://schemas.openxmlformats.org/spreadsheetml/2006/main">
  <threadedComment ref="A1" personId="{10F9DCC5-A38C-81A5-4889-60F3C36BA471}" id="{00780033-00BE-488E-A84B-001A00D700EE}" done="0">
    <text xml:space="preserve">нет льгот по взносам
</text>
  </threadedComment>
</ThreadedComments>
</file>

<file path=xl/threadedComments/threadedComment3.xml><?xml version="1.0" encoding="utf-8"?>
<ThreadedComments xmlns="http://schemas.microsoft.com/office/spreadsheetml/2018/threadedcomments" xmlns:x="http://schemas.openxmlformats.org/spreadsheetml/2006/main">
  <threadedComment ref="N75" personId="{10F9DCC5-A38C-81A5-4889-60F3C36BA471}" id="{006E0050-0026-4680-9ABD-00380023000B}" done="0">
    <text xml:space="preserve">сумма взносов ТОР за 10 лет
</text>
  </threadedComment>
  <threadedComment ref="N77" personId="{10F9DCC5-A38C-81A5-4889-60F3C36BA471}" id="{00F70035-0092-4761-BB1B-00CC0005007B}" done="0">
    <text xml:space="preserve">разница во взносах
</text>
  </threadedComment>
  <threadedComment ref="N76" personId="{10F9DCC5-A38C-81A5-4889-60F3C36BA471}" id="{006F00A1-0007-49FD-8BFE-00D900D100E7}" done="0">
    <text xml:space="preserve">сумма взносов без ТОР
</text>
  </threadedComment>
</ThreadedComments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microsoft.com/office/2017/10/relationships/threadedComment" Target="../threadedComments/threadedComment3.xml"/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hyperlink" Target="https://pstu.ru/files/file/adm/fakultety/katalog_tehnicheskih_i_tehnologicheskih_resheniy_dlya_proektirovaniya_musoropererabatyvayuschih_predpriyatiy(1).pdf?ysclid=lg9dxufte0955821520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3" Type="http://schemas.microsoft.com/office/2017/10/relationships/threadedComment" Target="../threadedComments/threadedComment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4.bin"/><Relationship Id="rId4" Type="http://schemas.microsoft.com/office/2017/10/relationships/threadedComment" Target="../threadedComments/threadedComment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2:C18"/>
  <sheetViews>
    <sheetView workbookViewId="0">
      <selection activeCell="B19" sqref="B19"/>
    </sheetView>
  </sheetViews>
  <sheetFormatPr defaultRowHeight="14.4"/>
  <cols>
    <col min="2" max="2" width="27.6640625" customWidth="1"/>
    <col min="3" max="3" width="41.5546875" customWidth="1"/>
  </cols>
  <sheetData>
    <row r="2" spans="2:3">
      <c r="B2" t="s">
        <v>333</v>
      </c>
      <c r="C2" s="279"/>
    </row>
    <row r="3" spans="2:3">
      <c r="B3" t="s">
        <v>334</v>
      </c>
      <c r="C3" s="276"/>
    </row>
    <row r="4" spans="2:3">
      <c r="B4" t="s">
        <v>335</v>
      </c>
      <c r="C4" s="280"/>
    </row>
    <row r="5" spans="2:3">
      <c r="B5" t="s">
        <v>336</v>
      </c>
      <c r="C5" s="277"/>
    </row>
    <row r="6" spans="2:3">
      <c r="B6" t="s">
        <v>347</v>
      </c>
      <c r="C6" s="281"/>
    </row>
    <row r="7" spans="2:3">
      <c r="B7" s="282" t="s">
        <v>368</v>
      </c>
      <c r="C7" s="293"/>
    </row>
    <row r="8" spans="2:3">
      <c r="C8" s="278"/>
    </row>
    <row r="9" spans="2:3">
      <c r="B9" s="330" t="s">
        <v>372</v>
      </c>
      <c r="C9" s="329"/>
    </row>
    <row r="12" spans="2:3">
      <c r="B12" t="s">
        <v>337</v>
      </c>
    </row>
    <row r="13" spans="2:3">
      <c r="B13" t="s">
        <v>338</v>
      </c>
      <c r="C13" t="s">
        <v>55</v>
      </c>
    </row>
    <row r="14" spans="2:3">
      <c r="B14" t="s">
        <v>339</v>
      </c>
      <c r="C14" t="s">
        <v>340</v>
      </c>
    </row>
    <row r="15" spans="2:3">
      <c r="B15" t="s">
        <v>341</v>
      </c>
      <c r="C15" t="s">
        <v>342</v>
      </c>
    </row>
    <row r="16" spans="2:3">
      <c r="B16" t="s">
        <v>343</v>
      </c>
      <c r="C16" t="s">
        <v>344</v>
      </c>
    </row>
    <row r="17" spans="2:3">
      <c r="B17" t="s">
        <v>345</v>
      </c>
      <c r="C17" t="s">
        <v>346</v>
      </c>
    </row>
    <row r="18" spans="2:3">
      <c r="B18" s="569" t="s">
        <v>443</v>
      </c>
      <c r="C18" s="569" t="s">
        <v>444</v>
      </c>
    </row>
  </sheetData>
  <pageMargins left="0.7" right="0.7" top="0.75" bottom="0.75" header="0.3" footer="0.3"/>
  <pageSetup paperSize="9" orientation="portrait" horizontalDpi="300" verticalDpi="300"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Лист9">
    <tabColor theme="0"/>
    <pageSetUpPr fitToPage="1"/>
  </sheetPr>
  <dimension ref="A1:BG77"/>
  <sheetViews>
    <sheetView zoomScale="40" zoomScaleNormal="40" workbookViewId="0">
      <pane xSplit="1" topLeftCell="B1" activePane="topRight" state="frozen"/>
      <selection activeCell="H54" sqref="H54"/>
      <selection pane="topRight" activeCell="R73" sqref="R73"/>
    </sheetView>
  </sheetViews>
  <sheetFormatPr defaultColWidth="9.109375" defaultRowHeight="14.4"/>
  <cols>
    <col min="1" max="1" width="22.33203125" style="61" customWidth="1"/>
    <col min="2" max="2" width="13.109375" style="61" customWidth="1"/>
    <col min="3" max="3" width="10.33203125" style="133" customWidth="1"/>
    <col min="4" max="4" width="10.6640625" style="61" customWidth="1"/>
    <col min="5" max="6" width="10.109375" style="61" customWidth="1"/>
    <col min="7" max="7" width="10" style="61" customWidth="1"/>
    <col min="8" max="11" width="11.88671875" style="61" customWidth="1"/>
    <col min="12" max="12" width="11.5546875" style="61" customWidth="1"/>
    <col min="13" max="13" width="12" style="61" customWidth="1"/>
    <col min="14" max="14" width="16" style="61" customWidth="1"/>
    <col min="15" max="15" width="11.5546875" style="61" customWidth="1"/>
    <col min="16" max="16" width="9.5546875" style="61" bestFit="1" customWidth="1"/>
    <col min="17" max="17" width="11.88671875" style="61" customWidth="1"/>
    <col min="18" max="18" width="11.33203125" style="61" bestFit="1" customWidth="1"/>
    <col min="19" max="19" width="11.5546875" style="61" customWidth="1"/>
    <col min="20" max="20" width="12" style="61" customWidth="1"/>
    <col min="21" max="22" width="11.33203125" style="61" bestFit="1" customWidth="1"/>
    <col min="23" max="24" width="11.88671875" style="61" customWidth="1"/>
    <col min="25" max="26" width="11.5546875" style="61" customWidth="1"/>
    <col min="27" max="27" width="11.44140625" style="61" customWidth="1"/>
    <col min="28" max="28" width="12" style="61" customWidth="1"/>
    <col min="29" max="29" width="11.88671875" style="61" customWidth="1"/>
    <col min="30" max="30" width="11.5546875" style="61" customWidth="1"/>
    <col min="31" max="31" width="11" style="61" customWidth="1"/>
    <col min="32" max="32" width="11.109375" style="61" customWidth="1"/>
    <col min="33" max="33" width="11.5546875" style="61" customWidth="1"/>
    <col min="34" max="34" width="12" style="61" customWidth="1"/>
    <col min="35" max="36" width="11.44140625" style="61" customWidth="1"/>
    <col min="37" max="37" width="12" style="61" customWidth="1"/>
    <col min="38" max="38" width="11.5546875" style="61" customWidth="1"/>
    <col min="39" max="39" width="11.44140625" style="61" customWidth="1"/>
    <col min="40" max="40" width="11" style="61" customWidth="1"/>
    <col min="41" max="41" width="10.6640625" style="61" customWidth="1"/>
    <col min="42" max="47" width="11.44140625" style="61" customWidth="1"/>
    <col min="48" max="48" width="14" style="61" customWidth="1"/>
    <col min="49" max="49" width="9.33203125" style="61" bestFit="1" customWidth="1"/>
    <col min="50" max="51" width="11.88671875" style="61" customWidth="1"/>
    <col min="52" max="52" width="11.109375" style="61" customWidth="1"/>
    <col min="53" max="53" width="12.88671875" style="61" customWidth="1"/>
    <col min="54" max="55" width="11.109375" style="61" customWidth="1"/>
    <col min="56" max="56" width="11.88671875" style="61" customWidth="1"/>
    <col min="57" max="57" width="11.44140625" style="61" customWidth="1"/>
    <col min="58" max="58" width="11.88671875" style="61" customWidth="1"/>
    <col min="59" max="59" width="12.44140625" style="61" bestFit="1" customWidth="1"/>
    <col min="60" max="16384" width="9.109375" style="61"/>
  </cols>
  <sheetData>
    <row r="1" spans="1:59" s="410" customFormat="1" ht="59.25" customHeight="1">
      <c r="A1" s="409" t="s">
        <v>114</v>
      </c>
      <c r="B1" s="409" t="s">
        <v>115</v>
      </c>
      <c r="C1" s="409" t="s">
        <v>116</v>
      </c>
      <c r="D1" s="409" t="str">
        <f>'Расходы на ЗП ОТ'!D1</f>
        <v>I кв. 1 г.</v>
      </c>
      <c r="E1" s="409" t="str">
        <f>'Расходы на ЗП ОТ'!E1</f>
        <v>II кв. 1 г.</v>
      </c>
      <c r="F1" s="409" t="str">
        <f>'Расходы на ЗП ОТ'!F1</f>
        <v>III кв. 1 г.</v>
      </c>
      <c r="G1" s="409" t="str">
        <f>'Расходы на ЗП ОТ'!G1</f>
        <v>IV кв. 1 г.</v>
      </c>
      <c r="H1" s="409" t="str">
        <f>'Расходы на ЗП ОТ'!H1</f>
        <v>I кв. 2 г.</v>
      </c>
      <c r="I1" s="409" t="str">
        <f>'Расходы на ЗП ОТ'!I1</f>
        <v>II кв. 2 г.</v>
      </c>
      <c r="J1" s="409" t="str">
        <f>'Расходы на ЗП ОТ'!J1</f>
        <v>III кв. 2 г.</v>
      </c>
      <c r="K1" s="409" t="str">
        <f>'Расходы на ЗП ОТ'!K1</f>
        <v>IV кв. 2 г.</v>
      </c>
      <c r="L1" s="409" t="str">
        <f>'Расходы на ЗП ОТ'!L1</f>
        <v>I кв. 3 г.</v>
      </c>
      <c r="M1" s="409" t="str">
        <f>'Расходы на ЗП ОТ'!M1</f>
        <v>II кв. 3 г.</v>
      </c>
      <c r="N1" s="409" t="str">
        <f>'Расходы на ЗП ОТ'!N1</f>
        <v>III кв. 3 г.</v>
      </c>
      <c r="O1" s="409" t="str">
        <f>'Расходы на ЗП ОТ'!O1</f>
        <v>IV кв. 3 г.</v>
      </c>
      <c r="P1" s="409" t="str">
        <f>'Расходы на ЗП ОТ'!P1</f>
        <v>I кв. 4 г.</v>
      </c>
      <c r="Q1" s="409" t="str">
        <f>'Расходы на ЗП ОТ'!Q1</f>
        <v>II кв. 4 г.</v>
      </c>
      <c r="R1" s="409" t="str">
        <f>'Расходы на ЗП ОТ'!R1</f>
        <v>III кв. 4 г.</v>
      </c>
      <c r="S1" s="409" t="str">
        <f>'Расходы на ЗП ОТ'!S1</f>
        <v>IV кв. 4 г.</v>
      </c>
      <c r="T1" s="409" t="str">
        <f>'Расходы на ЗП ОТ'!T1</f>
        <v>I кв. 5 г.</v>
      </c>
      <c r="U1" s="409" t="str">
        <f>'Расходы на ЗП ОТ'!U1</f>
        <v>II кв. 5 г.</v>
      </c>
      <c r="V1" s="409" t="str">
        <f>'Расходы на ЗП ОТ'!V1</f>
        <v>III кв. 5 г.</v>
      </c>
      <c r="W1" s="409" t="str">
        <f>'Расходы на ЗП ОТ'!W1</f>
        <v>IV кв. 5 г.</v>
      </c>
      <c r="X1" s="409" t="str">
        <f>'Расходы на ЗП ОТ'!X1</f>
        <v>I кв. 6 г.</v>
      </c>
      <c r="Y1" s="409" t="str">
        <f>'Расходы на ЗП ОТ'!Y1</f>
        <v>II кв. 6 г.</v>
      </c>
      <c r="Z1" s="409" t="str">
        <f>'Расходы на ЗП ОТ'!Z1</f>
        <v>III кв. 6 г.</v>
      </c>
      <c r="AA1" s="409" t="str">
        <f>'Расходы на ЗП ОТ'!AA1</f>
        <v>IV кв. 6 г.</v>
      </c>
      <c r="AB1" s="409" t="str">
        <f>'Расходы на ЗП ОТ'!AB1</f>
        <v>I кв. 7 г.</v>
      </c>
      <c r="AC1" s="409" t="str">
        <f>'Расходы на ЗП ОТ'!AC1</f>
        <v>II кв. 7 г.</v>
      </c>
      <c r="AD1" s="409" t="str">
        <f>'Расходы на ЗП ОТ'!AD1</f>
        <v>III кв. 7 г.</v>
      </c>
      <c r="AE1" s="409" t="str">
        <f>'Расходы на ЗП ОТ'!AE1</f>
        <v>IV кв. 7 г.</v>
      </c>
      <c r="AF1" s="409" t="str">
        <f>'Расходы на ЗП ОТ'!AF1</f>
        <v>I кв. 8 г.</v>
      </c>
      <c r="AG1" s="409" t="str">
        <f>'Расходы на ЗП ОТ'!AG1</f>
        <v>II кв. 8 г.</v>
      </c>
      <c r="AH1" s="409" t="str">
        <f>'Расходы на ЗП ОТ'!AH1</f>
        <v>III кв. 8 г.</v>
      </c>
      <c r="AI1" s="409" t="str">
        <f>'Расходы на ЗП ОТ'!AI1</f>
        <v>IV кв. 8 г.</v>
      </c>
      <c r="AJ1" s="409" t="str">
        <f>'Расходы на ЗП ОТ'!AJ1</f>
        <v>I кв. 9 г.</v>
      </c>
      <c r="AK1" s="409" t="str">
        <f>'Расходы на ЗП ОТ'!AK1</f>
        <v>II кв. 9 г.</v>
      </c>
      <c r="AL1" s="409" t="str">
        <f>'Расходы на ЗП ОТ'!AL1</f>
        <v>III кв. 9 г.</v>
      </c>
      <c r="AM1" s="409" t="str">
        <f>'Расходы на ЗП ОТ'!AM1</f>
        <v>IV кв. 9 г.</v>
      </c>
      <c r="AN1" s="409" t="str">
        <f>'Расходы на ЗП ОТ'!AN1</f>
        <v>I кв. 10 г.</v>
      </c>
      <c r="AO1" s="409" t="str">
        <f>'Расходы на ЗП ОТ'!AO1</f>
        <v>II кв. 10 г.</v>
      </c>
      <c r="AP1" s="409" t="str">
        <f>'Расходы на ЗП ОТ'!AP1</f>
        <v>III кв. 10 г.</v>
      </c>
      <c r="AQ1" s="409" t="str">
        <f>'Расходы на ЗП ОТ'!AQ1</f>
        <v>IV кв. 10 г.</v>
      </c>
      <c r="AR1" s="409" t="str">
        <f>'Расходы на ЗП ОТ'!AR1</f>
        <v>I кв. 11 г.</v>
      </c>
      <c r="AS1" s="409" t="str">
        <f>'Расходы на ЗП ОТ'!AS1</f>
        <v>II кв. 11 г.</v>
      </c>
      <c r="AT1" s="409" t="str">
        <f>'Расходы на ЗП ОТ'!AT1</f>
        <v>III кв. 11 г.</v>
      </c>
      <c r="AU1" s="409" t="str">
        <f>'Расходы на ЗП ОТ'!AU1</f>
        <v>IV кв. 11 г.</v>
      </c>
      <c r="AV1" s="409"/>
      <c r="AW1" s="409" t="str">
        <f>'Расходы на ЗП ОТ'!AW1</f>
        <v>1 год</v>
      </c>
      <c r="AX1" s="409" t="str">
        <f>'Расходы на ЗП ОТ'!AX1</f>
        <v>2 год</v>
      </c>
      <c r="AY1" s="409" t="str">
        <f>'Расходы на ЗП ОТ'!AY1</f>
        <v>3 год</v>
      </c>
      <c r="AZ1" s="409" t="str">
        <f>'Расходы на ЗП ОТ'!AZ1</f>
        <v>4 год</v>
      </c>
      <c r="BA1" s="409" t="str">
        <f>'Расходы на ЗП ОТ'!BA1</f>
        <v>5 год</v>
      </c>
      <c r="BB1" s="409" t="str">
        <f>'Расходы на ЗП ОТ'!BB1</f>
        <v>6 год</v>
      </c>
      <c r="BC1" s="409" t="str">
        <f>'Расходы на ЗП ОТ'!BC1</f>
        <v>7 год</v>
      </c>
      <c r="BD1" s="409" t="str">
        <f>'Расходы на ЗП ОТ'!BD1</f>
        <v>8 год</v>
      </c>
      <c r="BE1" s="409" t="str">
        <f>'Расходы на ЗП ОТ'!BE1</f>
        <v>9 год</v>
      </c>
      <c r="BF1" s="409" t="str">
        <f>'Расходы на ЗП ОТ'!BF1</f>
        <v>10 год</v>
      </c>
      <c r="BG1" s="409" t="str">
        <f>'Расходы на ЗП ОТ'!BG1</f>
        <v>11 год</v>
      </c>
    </row>
    <row r="2" spans="1:59" ht="37.5" customHeight="1">
      <c r="A2" s="411" t="str">
        <f>'Расходы на ЗП ОТ'!A2</f>
        <v>Генеральный директор</v>
      </c>
      <c r="B2" s="135">
        <f>'Расходы на ЗП ОТ'!B2</f>
        <v>1</v>
      </c>
      <c r="C2" s="136">
        <f>'Расходы на ЗП ОТ'!C2</f>
        <v>125</v>
      </c>
      <c r="D2" s="137">
        <f>'Расходы на ЗП ОТ'!D2</f>
        <v>0</v>
      </c>
      <c r="E2" s="137">
        <f>'Расходы на ЗП ОТ'!E2</f>
        <v>0</v>
      </c>
      <c r="F2" s="137">
        <f>'Расходы на ЗП ОТ'!F2</f>
        <v>0</v>
      </c>
      <c r="G2" s="137">
        <v>0</v>
      </c>
      <c r="H2" s="137">
        <f>'Расходы на ЗП ОТ'!H2</f>
        <v>0</v>
      </c>
      <c r="I2" s="137">
        <f>'Расходы на ЗП ОТ'!I2</f>
        <v>0</v>
      </c>
      <c r="J2" s="137">
        <f>'Расходы на ЗП ОТ'!J2</f>
        <v>0</v>
      </c>
      <c r="K2" s="137">
        <f>'Расходы на ЗП ОТ'!K2</f>
        <v>0</v>
      </c>
      <c r="L2" s="137">
        <f>'Расходы на ЗП ОТ'!L2</f>
        <v>0</v>
      </c>
      <c r="M2" s="137">
        <f>'Расходы на ЗП ОТ'!M2</f>
        <v>0</v>
      </c>
      <c r="N2" s="137">
        <f>'Расходы на ЗП ОТ'!N2</f>
        <v>0</v>
      </c>
      <c r="O2" s="137">
        <f>'Расходы на ЗП ОТ'!O2</f>
        <v>0</v>
      </c>
      <c r="P2" s="137">
        <f>'Расходы на ЗП ОТ'!P2</f>
        <v>0</v>
      </c>
      <c r="Q2" s="137">
        <f>'Расходы на ЗП ОТ'!Q2</f>
        <v>0</v>
      </c>
      <c r="R2" s="137">
        <f>'Расходы на ЗП ОТ'!R2</f>
        <v>0</v>
      </c>
      <c r="S2" s="137">
        <f>'Расходы на ЗП ОТ'!S2</f>
        <v>0</v>
      </c>
      <c r="T2" s="137">
        <f>'Расходы на ЗП ОТ'!T2</f>
        <v>397.5</v>
      </c>
      <c r="U2" s="137">
        <f>'Расходы на ЗП ОТ'!U2</f>
        <v>397.5</v>
      </c>
      <c r="V2" s="137">
        <f>'Расходы на ЗП ОТ'!V2</f>
        <v>397.5</v>
      </c>
      <c r="W2" s="137">
        <f>'Расходы на ЗП ОТ'!W2</f>
        <v>397.5</v>
      </c>
      <c r="X2" s="137">
        <f>'Расходы на ЗП ОТ'!X2</f>
        <v>421.35</v>
      </c>
      <c r="Y2" s="137">
        <f>'Расходы на ЗП ОТ'!Y2</f>
        <v>421.35</v>
      </c>
      <c r="Z2" s="137">
        <f>'Расходы на ЗП ОТ'!Z2</f>
        <v>421.35</v>
      </c>
      <c r="AA2" s="137">
        <f>'Расходы на ЗП ОТ'!AA2</f>
        <v>421.35</v>
      </c>
      <c r="AB2" s="137">
        <f>'Расходы на ЗП ОТ'!AB2</f>
        <v>446.63100000000003</v>
      </c>
      <c r="AC2" s="137">
        <f>'Расходы на ЗП ОТ'!AC2</f>
        <v>446.63100000000003</v>
      </c>
      <c r="AD2" s="137">
        <f>'Расходы на ЗП ОТ'!AD2</f>
        <v>446.63100000000003</v>
      </c>
      <c r="AE2" s="137">
        <f>'Расходы на ЗП ОТ'!AE2</f>
        <v>446.63100000000003</v>
      </c>
      <c r="AF2" s="137">
        <f>'Расходы на ЗП ОТ'!AF2</f>
        <v>473.42886000000004</v>
      </c>
      <c r="AG2" s="137">
        <f>'Расходы на ЗП ОТ'!AG2</f>
        <v>473.42886000000004</v>
      </c>
      <c r="AH2" s="137">
        <f>'Расходы на ЗП ОТ'!AH2</f>
        <v>473.42886000000004</v>
      </c>
      <c r="AI2" s="137">
        <f>'Расходы на ЗП ОТ'!AI2</f>
        <v>473.42886000000004</v>
      </c>
      <c r="AJ2" s="137">
        <f>'Расходы на ЗП ОТ'!AJ2</f>
        <v>501.83459160000007</v>
      </c>
      <c r="AK2" s="137">
        <f>'Расходы на ЗП ОТ'!AK2</f>
        <v>501.83459160000007</v>
      </c>
      <c r="AL2" s="137">
        <f>'Расходы на ЗП ОТ'!AL2</f>
        <v>501.83459160000007</v>
      </c>
      <c r="AM2" s="137">
        <f>'Расходы на ЗП ОТ'!AM2</f>
        <v>501.83459160000007</v>
      </c>
      <c r="AN2" s="137">
        <f>'Расходы на ЗП ОТ'!AN2</f>
        <v>531.9446670960001</v>
      </c>
      <c r="AO2" s="137">
        <f>'Расходы на ЗП ОТ'!AO2</f>
        <v>531.9446670960001</v>
      </c>
      <c r="AP2" s="137">
        <f>'Расходы на ЗП ОТ'!AP2</f>
        <v>531.9446670960001</v>
      </c>
      <c r="AQ2" s="137">
        <f>'Расходы на ЗП ОТ'!AQ2</f>
        <v>531.9446670960001</v>
      </c>
      <c r="AR2" s="137">
        <f>'Расходы на ЗП ОТ'!AR2</f>
        <v>563.8613471217601</v>
      </c>
      <c r="AS2" s="137">
        <f>'Расходы на ЗП ОТ'!AS2</f>
        <v>563.8613471217601</v>
      </c>
      <c r="AT2" s="137">
        <f>'Расходы на ЗП ОТ'!AT2</f>
        <v>563.8613471217601</v>
      </c>
      <c r="AU2" s="137">
        <f>'Расходы на ЗП ОТ'!AU2</f>
        <v>563.8613471217601</v>
      </c>
      <c r="AV2" s="137"/>
      <c r="AW2" s="137">
        <f t="shared" ref="AW2:AW58" si="0">SUM(D2:G2)</f>
        <v>0</v>
      </c>
      <c r="AX2" s="137">
        <f t="shared" ref="AX2:AX58" si="1">SUM(H2:K2)</f>
        <v>0</v>
      </c>
      <c r="AY2" s="137">
        <f t="shared" ref="AY2:AY58" si="2">SUM(L2:O2)</f>
        <v>0</v>
      </c>
      <c r="AZ2" s="137">
        <f t="shared" ref="AZ2:AZ58" si="3">SUM(P2:S2)</f>
        <v>0</v>
      </c>
      <c r="BA2" s="137">
        <f t="shared" ref="BA2:BA58" si="4">SUM(T2:W2)</f>
        <v>1590</v>
      </c>
      <c r="BB2" s="137">
        <f t="shared" ref="BB2:BB58" si="5">SUM(X2:AA2)</f>
        <v>1685.4</v>
      </c>
      <c r="BC2" s="137">
        <f t="shared" ref="BC2:BC58" si="6">SUM(AB2:AE2)</f>
        <v>1786.5240000000001</v>
      </c>
      <c r="BD2" s="137">
        <f t="shared" ref="BD2:BD58" si="7">SUM(AF2:AI2)</f>
        <v>1893.7154400000002</v>
      </c>
      <c r="BE2" s="137">
        <f t="shared" ref="BE2:BE58" si="8">SUM(AJ2:AM2)</f>
        <v>2007.3383664000003</v>
      </c>
      <c r="BF2" s="137">
        <f t="shared" ref="BF2:BF58" si="9">SUM(AN2:AQ2)</f>
        <v>2127.7786683840004</v>
      </c>
      <c r="BG2" s="137">
        <f t="shared" ref="BG2:BG58" si="10">BF2</f>
        <v>2127.7786683840004</v>
      </c>
    </row>
    <row r="3" spans="1:59" ht="22.5" customHeight="1">
      <c r="A3" s="411" t="str">
        <f>'Расходы на ЗП ОТ'!A3</f>
        <v>Главный инженер</v>
      </c>
      <c r="B3" s="135">
        <f>'Расходы на ЗП ОТ'!B3</f>
        <v>1</v>
      </c>
      <c r="C3" s="136">
        <f>'Расходы на ЗП ОТ'!C3</f>
        <v>95</v>
      </c>
      <c r="D3" s="137">
        <f>'Расходы на ЗП ОТ'!D3</f>
        <v>0</v>
      </c>
      <c r="E3" s="137">
        <f>'Расходы на ЗП ОТ'!E3</f>
        <v>0</v>
      </c>
      <c r="F3" s="137">
        <f>'Расходы на ЗП ОТ'!F3</f>
        <v>0</v>
      </c>
      <c r="G3" s="137">
        <v>0</v>
      </c>
      <c r="H3" s="137">
        <f>'Расходы на ЗП ОТ'!H3</f>
        <v>0</v>
      </c>
      <c r="I3" s="137">
        <f>'Расходы на ЗП ОТ'!I3</f>
        <v>0</v>
      </c>
      <c r="J3" s="137">
        <f>'Расходы на ЗП ОТ'!J3</f>
        <v>0</v>
      </c>
      <c r="K3" s="137">
        <f>'Расходы на ЗП ОТ'!K3</f>
        <v>0</v>
      </c>
      <c r="L3" s="137">
        <f>'Расходы на ЗП ОТ'!L3</f>
        <v>0</v>
      </c>
      <c r="M3" s="137">
        <f>'Расходы на ЗП ОТ'!M3</f>
        <v>0</v>
      </c>
      <c r="N3" s="137">
        <f>'Расходы на ЗП ОТ'!N3</f>
        <v>0</v>
      </c>
      <c r="O3" s="137">
        <f>'Расходы на ЗП ОТ'!O3</f>
        <v>0</v>
      </c>
      <c r="P3" s="137">
        <f>'Расходы на ЗП ОТ'!P3</f>
        <v>0</v>
      </c>
      <c r="Q3" s="137">
        <f>'Расходы на ЗП ОТ'!Q3</f>
        <v>0</v>
      </c>
      <c r="R3" s="137">
        <f>'Расходы на ЗП ОТ'!R3</f>
        <v>0</v>
      </c>
      <c r="S3" s="137">
        <f>'Расходы на ЗП ОТ'!S3</f>
        <v>0</v>
      </c>
      <c r="T3" s="137">
        <f>'Расходы на ЗП ОТ'!T3</f>
        <v>302.10000000000002</v>
      </c>
      <c r="U3" s="137">
        <f>'Расходы на ЗП ОТ'!U3</f>
        <v>302.10000000000002</v>
      </c>
      <c r="V3" s="137">
        <f>'Расходы на ЗП ОТ'!V3</f>
        <v>302.10000000000002</v>
      </c>
      <c r="W3" s="137">
        <f>'Расходы на ЗП ОТ'!W3</f>
        <v>302.10000000000002</v>
      </c>
      <c r="X3" s="137">
        <f>'Расходы на ЗП ОТ'!X3</f>
        <v>320.22600000000006</v>
      </c>
      <c r="Y3" s="137">
        <f>'Расходы на ЗП ОТ'!Y3</f>
        <v>320.22600000000006</v>
      </c>
      <c r="Z3" s="137">
        <f>'Расходы на ЗП ОТ'!Z3</f>
        <v>320.22600000000006</v>
      </c>
      <c r="AA3" s="137">
        <f>'Расходы на ЗП ОТ'!AA3</f>
        <v>320.22600000000006</v>
      </c>
      <c r="AB3" s="137">
        <f>'Расходы на ЗП ОТ'!AB3</f>
        <v>339.43956000000009</v>
      </c>
      <c r="AC3" s="137">
        <f>'Расходы на ЗП ОТ'!AC3</f>
        <v>339.43956000000009</v>
      </c>
      <c r="AD3" s="137">
        <f>'Расходы на ЗП ОТ'!AD3</f>
        <v>339.43956000000009</v>
      </c>
      <c r="AE3" s="137">
        <f>'Расходы на ЗП ОТ'!AE3</f>
        <v>339.43956000000009</v>
      </c>
      <c r="AF3" s="137">
        <f>'Расходы на ЗП ОТ'!AF3</f>
        <v>359.80593360000012</v>
      </c>
      <c r="AG3" s="137">
        <f>'Расходы на ЗП ОТ'!AG3</f>
        <v>359.80593360000012</v>
      </c>
      <c r="AH3" s="137">
        <f>'Расходы на ЗП ОТ'!AH3</f>
        <v>359.80593360000012</v>
      </c>
      <c r="AI3" s="137">
        <f>'Расходы на ЗП ОТ'!AI3</f>
        <v>359.80593360000012</v>
      </c>
      <c r="AJ3" s="137">
        <f>'Расходы на ЗП ОТ'!AJ3</f>
        <v>381.39428961600015</v>
      </c>
      <c r="AK3" s="137">
        <f>'Расходы на ЗП ОТ'!AK3</f>
        <v>381.39428961600015</v>
      </c>
      <c r="AL3" s="137">
        <f>'Расходы на ЗП ОТ'!AL3</f>
        <v>381.39428961600015</v>
      </c>
      <c r="AM3" s="137">
        <f>'Расходы на ЗП ОТ'!AM3</f>
        <v>381.39428961600015</v>
      </c>
      <c r="AN3" s="137">
        <f>'Расходы на ЗП ОТ'!AN3</f>
        <v>404.27794699296015</v>
      </c>
      <c r="AO3" s="137">
        <f>'Расходы на ЗП ОТ'!AO3</f>
        <v>404.27794699296015</v>
      </c>
      <c r="AP3" s="137">
        <f>'Расходы на ЗП ОТ'!AP3</f>
        <v>404.27794699296015</v>
      </c>
      <c r="AQ3" s="137">
        <f>'Расходы на ЗП ОТ'!AQ3</f>
        <v>404.27794699296015</v>
      </c>
      <c r="AR3" s="137">
        <f>'Расходы на ЗП ОТ'!AR3</f>
        <v>428.5346238125378</v>
      </c>
      <c r="AS3" s="137">
        <f>'Расходы на ЗП ОТ'!AS3</f>
        <v>428.5346238125378</v>
      </c>
      <c r="AT3" s="137">
        <f>'Расходы на ЗП ОТ'!AT3</f>
        <v>428.5346238125378</v>
      </c>
      <c r="AU3" s="137">
        <f>'Расходы на ЗП ОТ'!AU3</f>
        <v>428.5346238125378</v>
      </c>
      <c r="AV3" s="137">
        <f>'Расходы на ЗП ОТ'!AV3</f>
        <v>0</v>
      </c>
      <c r="AW3" s="137">
        <f>'Расходы на ЗП ОТ'!AW3</f>
        <v>0</v>
      </c>
      <c r="AX3" s="137">
        <f t="shared" si="1"/>
        <v>0</v>
      </c>
      <c r="AY3" s="137">
        <f t="shared" si="2"/>
        <v>0</v>
      </c>
      <c r="AZ3" s="137">
        <f t="shared" si="3"/>
        <v>0</v>
      </c>
      <c r="BA3" s="137">
        <f t="shared" si="4"/>
        <v>1208.4000000000001</v>
      </c>
      <c r="BB3" s="137">
        <f t="shared" si="5"/>
        <v>1280.9040000000002</v>
      </c>
      <c r="BC3" s="137">
        <f t="shared" si="6"/>
        <v>1357.7582400000003</v>
      </c>
      <c r="BD3" s="137">
        <f t="shared" si="7"/>
        <v>1439.2237344000005</v>
      </c>
      <c r="BE3" s="137">
        <f t="shared" si="8"/>
        <v>1525.5771584640006</v>
      </c>
      <c r="BF3" s="137">
        <f t="shared" si="9"/>
        <v>1617.1117879718406</v>
      </c>
      <c r="BG3" s="137">
        <f t="shared" si="10"/>
        <v>1617.1117879718406</v>
      </c>
    </row>
    <row r="4" spans="1:59" ht="32.25" customHeight="1">
      <c r="A4" s="411" t="str">
        <f>'Расходы на ЗП ОТ'!A4</f>
        <v>Менеджер по продажам</v>
      </c>
      <c r="B4" s="135">
        <f>'Расходы на ЗП ОТ'!B4</f>
        <v>2</v>
      </c>
      <c r="C4" s="136">
        <f>'Расходы на ЗП ОТ'!C4</f>
        <v>50</v>
      </c>
      <c r="D4" s="137">
        <f>'Расходы на ЗП ОТ'!D4</f>
        <v>0</v>
      </c>
      <c r="E4" s="137">
        <f>'Расходы на ЗП ОТ'!E4</f>
        <v>0</v>
      </c>
      <c r="F4" s="137">
        <f>'Расходы на ЗП ОТ'!F4</f>
        <v>0</v>
      </c>
      <c r="G4" s="137">
        <v>0</v>
      </c>
      <c r="H4" s="137">
        <f>'Расходы на ЗП ОТ'!H4</f>
        <v>0</v>
      </c>
      <c r="I4" s="137">
        <f>'Расходы на ЗП ОТ'!I4</f>
        <v>0</v>
      </c>
      <c r="J4" s="137">
        <f>'Расходы на ЗП ОТ'!J4</f>
        <v>0</v>
      </c>
      <c r="K4" s="137">
        <f>'Расходы на ЗП ОТ'!K4</f>
        <v>0</v>
      </c>
      <c r="L4" s="137">
        <f>'Расходы на ЗП ОТ'!L4</f>
        <v>0</v>
      </c>
      <c r="M4" s="137">
        <f>'Расходы на ЗП ОТ'!M4</f>
        <v>0</v>
      </c>
      <c r="N4" s="137">
        <f>'Расходы на ЗП ОТ'!N4</f>
        <v>0</v>
      </c>
      <c r="O4" s="137">
        <f>'Расходы на ЗП ОТ'!O4</f>
        <v>0</v>
      </c>
      <c r="P4" s="137">
        <f>'Расходы на ЗП ОТ'!P4</f>
        <v>0</v>
      </c>
      <c r="Q4" s="137">
        <f>'Расходы на ЗП ОТ'!Q4</f>
        <v>0</v>
      </c>
      <c r="R4" s="137">
        <f>'Расходы на ЗП ОТ'!R4</f>
        <v>0</v>
      </c>
      <c r="S4" s="137">
        <f>'Расходы на ЗП ОТ'!S4</f>
        <v>0</v>
      </c>
      <c r="T4" s="137">
        <f>'Расходы на ЗП ОТ'!T4</f>
        <v>318</v>
      </c>
      <c r="U4" s="137">
        <f>'Расходы на ЗП ОТ'!U4</f>
        <v>318</v>
      </c>
      <c r="V4" s="137">
        <f>'Расходы на ЗП ОТ'!V4</f>
        <v>318</v>
      </c>
      <c r="W4" s="137">
        <f>'Расходы на ЗП ОТ'!W4</f>
        <v>318</v>
      </c>
      <c r="X4" s="137">
        <f>'Расходы на ЗП ОТ'!X4</f>
        <v>337.08000000000004</v>
      </c>
      <c r="Y4" s="137">
        <f>'Расходы на ЗП ОТ'!Y4</f>
        <v>337.08000000000004</v>
      </c>
      <c r="Z4" s="137">
        <f>'Расходы на ЗП ОТ'!Z4</f>
        <v>337.08000000000004</v>
      </c>
      <c r="AA4" s="137">
        <f>'Расходы на ЗП ОТ'!AA4</f>
        <v>337.08000000000004</v>
      </c>
      <c r="AB4" s="137">
        <f>'Расходы на ЗП ОТ'!AB4</f>
        <v>357.30480000000006</v>
      </c>
      <c r="AC4" s="137">
        <f>'Расходы на ЗП ОТ'!AC4</f>
        <v>357.30480000000006</v>
      </c>
      <c r="AD4" s="137">
        <f>'Расходы на ЗП ОТ'!AD4</f>
        <v>357.30480000000006</v>
      </c>
      <c r="AE4" s="137">
        <f>'Расходы на ЗП ОТ'!AE4</f>
        <v>357.30480000000006</v>
      </c>
      <c r="AF4" s="137">
        <f>'Расходы на ЗП ОТ'!AF4</f>
        <v>357.30480000000006</v>
      </c>
      <c r="AG4" s="137">
        <f>'Расходы на ЗП ОТ'!AG4</f>
        <v>357.30480000000006</v>
      </c>
      <c r="AH4" s="137">
        <f>'Расходы на ЗП ОТ'!AH4</f>
        <v>357.30480000000006</v>
      </c>
      <c r="AI4" s="137">
        <f>'Расходы на ЗП ОТ'!AI4</f>
        <v>357.30480000000006</v>
      </c>
      <c r="AJ4" s="137">
        <f>'Расходы на ЗП ОТ'!AJ4</f>
        <v>378.74308800000006</v>
      </c>
      <c r="AK4" s="137">
        <f>'Расходы на ЗП ОТ'!AK4</f>
        <v>378.74308800000006</v>
      </c>
      <c r="AL4" s="137">
        <f>'Расходы на ЗП ОТ'!AL4</f>
        <v>378.74308800000006</v>
      </c>
      <c r="AM4" s="137">
        <f>'Расходы на ЗП ОТ'!AM4</f>
        <v>378.74308800000006</v>
      </c>
      <c r="AN4" s="137">
        <f>'Расходы на ЗП ОТ'!AN4</f>
        <v>401.4676732800001</v>
      </c>
      <c r="AO4" s="137">
        <f>'Расходы на ЗП ОТ'!AO4</f>
        <v>401.4676732800001</v>
      </c>
      <c r="AP4" s="137">
        <f>'Расходы на ЗП ОТ'!AP4</f>
        <v>401.4676732800001</v>
      </c>
      <c r="AQ4" s="137">
        <f>'Расходы на ЗП ОТ'!AQ4</f>
        <v>401.4676732800001</v>
      </c>
      <c r="AR4" s="137">
        <f>'Расходы на ЗП ОТ'!AR4</f>
        <v>425.55573367680012</v>
      </c>
      <c r="AS4" s="137">
        <f>'Расходы на ЗП ОТ'!AS4</f>
        <v>425.55573367680012</v>
      </c>
      <c r="AT4" s="137">
        <f>'Расходы на ЗП ОТ'!AT4</f>
        <v>425.55573367680012</v>
      </c>
      <c r="AU4" s="137">
        <f>'Расходы на ЗП ОТ'!AU4</f>
        <v>425.55573367680012</v>
      </c>
      <c r="AV4" s="137"/>
      <c r="AW4" s="137">
        <f t="shared" si="0"/>
        <v>0</v>
      </c>
      <c r="AX4" s="137">
        <f t="shared" si="1"/>
        <v>0</v>
      </c>
      <c r="AY4" s="137">
        <f t="shared" si="2"/>
        <v>0</v>
      </c>
      <c r="AZ4" s="137">
        <f t="shared" si="3"/>
        <v>0</v>
      </c>
      <c r="BA4" s="137">
        <f t="shared" si="4"/>
        <v>1272</v>
      </c>
      <c r="BB4" s="137">
        <f t="shared" si="5"/>
        <v>1348.3200000000002</v>
      </c>
      <c r="BC4" s="137">
        <f t="shared" si="6"/>
        <v>1429.2192000000002</v>
      </c>
      <c r="BD4" s="137">
        <f t="shared" si="7"/>
        <v>1429.2192000000002</v>
      </c>
      <c r="BE4" s="137">
        <f t="shared" si="8"/>
        <v>1514.9723520000002</v>
      </c>
      <c r="BF4" s="137">
        <f t="shared" si="9"/>
        <v>1605.8706931200004</v>
      </c>
      <c r="BG4" s="137">
        <f t="shared" si="10"/>
        <v>1605.8706931200004</v>
      </c>
    </row>
    <row r="5" spans="1:59" ht="36" customHeight="1">
      <c r="A5" s="411" t="str">
        <f>'Расходы на ЗП ОТ'!A5</f>
        <v>АУП (бухгалтер, юрист, кадровик, СОТ)</v>
      </c>
      <c r="B5" s="135">
        <f>'Расходы на ЗП ОТ'!B5</f>
        <v>5</v>
      </c>
      <c r="C5" s="136">
        <f>'Расходы на ЗП ОТ'!C5</f>
        <v>50</v>
      </c>
      <c r="D5" s="137">
        <f>'Расходы на ЗП ОТ'!D5</f>
        <v>0</v>
      </c>
      <c r="E5" s="137">
        <f>'Расходы на ЗП ОТ'!E5</f>
        <v>0</v>
      </c>
      <c r="F5" s="137">
        <f>'Расходы на ЗП ОТ'!F5</f>
        <v>0</v>
      </c>
      <c r="G5" s="137">
        <v>0</v>
      </c>
      <c r="H5" s="137">
        <f>'Расходы на ЗП ОТ'!H5</f>
        <v>0</v>
      </c>
      <c r="I5" s="137">
        <f>'Расходы на ЗП ОТ'!I5</f>
        <v>0</v>
      </c>
      <c r="J5" s="137">
        <f>'Расходы на ЗП ОТ'!J5</f>
        <v>0</v>
      </c>
      <c r="K5" s="137">
        <f>'Расходы на ЗП ОТ'!K5</f>
        <v>0</v>
      </c>
      <c r="L5" s="137">
        <f>'Расходы на ЗП ОТ'!L5</f>
        <v>0</v>
      </c>
      <c r="M5" s="137">
        <f>'Расходы на ЗП ОТ'!M5</f>
        <v>0</v>
      </c>
      <c r="N5" s="137">
        <f>'Расходы на ЗП ОТ'!N5</f>
        <v>0</v>
      </c>
      <c r="O5" s="137">
        <f>'Расходы на ЗП ОТ'!O5</f>
        <v>0</v>
      </c>
      <c r="P5" s="137">
        <f>'Расходы на ЗП ОТ'!P5</f>
        <v>0</v>
      </c>
      <c r="Q5" s="137">
        <f>'Расходы на ЗП ОТ'!Q5</f>
        <v>0</v>
      </c>
      <c r="R5" s="137">
        <f>'Расходы на ЗП ОТ'!R5</f>
        <v>0</v>
      </c>
      <c r="S5" s="137">
        <f>'Расходы на ЗП ОТ'!S5</f>
        <v>0</v>
      </c>
      <c r="T5" s="137">
        <f>'Расходы на ЗП ОТ'!T5</f>
        <v>795</v>
      </c>
      <c r="U5" s="137">
        <f>'Расходы на ЗП ОТ'!U5</f>
        <v>795</v>
      </c>
      <c r="V5" s="137">
        <f>'Расходы на ЗП ОТ'!V5</f>
        <v>795</v>
      </c>
      <c r="W5" s="137">
        <f>'Расходы на ЗП ОТ'!W5</f>
        <v>795</v>
      </c>
      <c r="X5" s="137">
        <f>'Расходы на ЗП ОТ'!X5</f>
        <v>842.7</v>
      </c>
      <c r="Y5" s="137">
        <f>'Расходы на ЗП ОТ'!Y5</f>
        <v>842.7</v>
      </c>
      <c r="Z5" s="137">
        <f>'Расходы на ЗП ОТ'!Z5</f>
        <v>842.7</v>
      </c>
      <c r="AA5" s="137">
        <f>'Расходы на ЗП ОТ'!AA5</f>
        <v>842.7</v>
      </c>
      <c r="AB5" s="137">
        <f>'Расходы на ЗП ОТ'!AB5</f>
        <v>893.26200000000006</v>
      </c>
      <c r="AC5" s="137">
        <f>'Расходы на ЗП ОТ'!AC5</f>
        <v>893.26200000000006</v>
      </c>
      <c r="AD5" s="137">
        <f>'Расходы на ЗП ОТ'!AD5</f>
        <v>893.26200000000006</v>
      </c>
      <c r="AE5" s="137">
        <f>'Расходы на ЗП ОТ'!AE5</f>
        <v>893.26200000000006</v>
      </c>
      <c r="AF5" s="137">
        <f>'Расходы на ЗП ОТ'!AF5</f>
        <v>946.85772000000009</v>
      </c>
      <c r="AG5" s="137">
        <f>'Расходы на ЗП ОТ'!AG5</f>
        <v>946.85772000000009</v>
      </c>
      <c r="AH5" s="137">
        <f>'Расходы на ЗП ОТ'!AH5</f>
        <v>946.85772000000009</v>
      </c>
      <c r="AI5" s="137">
        <f>'Расходы на ЗП ОТ'!AI5</f>
        <v>946.85772000000009</v>
      </c>
      <c r="AJ5" s="137">
        <f>'Расходы на ЗП ОТ'!AJ5</f>
        <v>1003.6691832000001</v>
      </c>
      <c r="AK5" s="137">
        <f>'Расходы на ЗП ОТ'!AK5</f>
        <v>1003.6691832000001</v>
      </c>
      <c r="AL5" s="137">
        <f>'Расходы на ЗП ОТ'!AL5</f>
        <v>1003.6691832000001</v>
      </c>
      <c r="AM5" s="137">
        <f>'Расходы на ЗП ОТ'!AM5</f>
        <v>1003.6691832000001</v>
      </c>
      <c r="AN5" s="137">
        <f>'Расходы на ЗП ОТ'!AN5</f>
        <v>1063.8893341920002</v>
      </c>
      <c r="AO5" s="137">
        <f>'Расходы на ЗП ОТ'!AO5</f>
        <v>1063.8893341920002</v>
      </c>
      <c r="AP5" s="137">
        <f>'Расходы на ЗП ОТ'!AP5</f>
        <v>1063.8893341920002</v>
      </c>
      <c r="AQ5" s="137">
        <f>'Расходы на ЗП ОТ'!AQ5</f>
        <v>1063.8893341920002</v>
      </c>
      <c r="AR5" s="137">
        <f>'Расходы на ЗП ОТ'!AR5</f>
        <v>1127.7226942435202</v>
      </c>
      <c r="AS5" s="137">
        <f>'Расходы на ЗП ОТ'!AS5</f>
        <v>1127.7226942435202</v>
      </c>
      <c r="AT5" s="137">
        <f>'Расходы на ЗП ОТ'!AT5</f>
        <v>1127.7226942435202</v>
      </c>
      <c r="AU5" s="137">
        <f>'Расходы на ЗП ОТ'!AU5</f>
        <v>1127.7226942435202</v>
      </c>
      <c r="AV5" s="137"/>
      <c r="AW5" s="137">
        <f t="shared" si="0"/>
        <v>0</v>
      </c>
      <c r="AX5" s="137">
        <f t="shared" si="1"/>
        <v>0</v>
      </c>
      <c r="AY5" s="137">
        <f t="shared" si="2"/>
        <v>0</v>
      </c>
      <c r="AZ5" s="137">
        <f t="shared" si="3"/>
        <v>0</v>
      </c>
      <c r="BA5" s="137">
        <f t="shared" si="4"/>
        <v>3180</v>
      </c>
      <c r="BB5" s="137">
        <f t="shared" si="5"/>
        <v>3370.8</v>
      </c>
      <c r="BC5" s="137">
        <f t="shared" si="6"/>
        <v>3573.0480000000002</v>
      </c>
      <c r="BD5" s="137">
        <f t="shared" si="7"/>
        <v>3787.4308800000003</v>
      </c>
      <c r="BE5" s="137">
        <f t="shared" si="8"/>
        <v>4014.6767328000005</v>
      </c>
      <c r="BF5" s="137">
        <f t="shared" si="9"/>
        <v>4255.5573367680008</v>
      </c>
      <c r="BG5" s="137">
        <f t="shared" si="10"/>
        <v>4255.5573367680008</v>
      </c>
    </row>
    <row r="6" spans="1:59" s="138" customFormat="1" ht="35.25" customHeight="1">
      <c r="A6" s="139" t="s">
        <v>120</v>
      </c>
      <c r="B6" s="139">
        <f>'Расходы на ЗП ОТ'!B6</f>
        <v>9</v>
      </c>
      <c r="C6" s="140">
        <f>'Расходы на ЗП ОТ'!C6</f>
        <v>0</v>
      </c>
      <c r="D6" s="140">
        <f>SUM(D2:D5)</f>
        <v>0</v>
      </c>
      <c r="E6" s="140">
        <f t="shared" ref="E6:AP6" si="11">SUM(E2:E5)</f>
        <v>0</v>
      </c>
      <c r="F6" s="140">
        <f t="shared" si="11"/>
        <v>0</v>
      </c>
      <c r="G6" s="140">
        <f t="shared" si="11"/>
        <v>0</v>
      </c>
      <c r="H6" s="140">
        <f t="shared" si="11"/>
        <v>0</v>
      </c>
      <c r="I6" s="140">
        <f t="shared" si="11"/>
        <v>0</v>
      </c>
      <c r="J6" s="140">
        <f t="shared" si="11"/>
        <v>0</v>
      </c>
      <c r="K6" s="140">
        <f t="shared" si="11"/>
        <v>0</v>
      </c>
      <c r="L6" s="140">
        <f t="shared" si="11"/>
        <v>0</v>
      </c>
      <c r="M6" s="140">
        <f t="shared" si="11"/>
        <v>0</v>
      </c>
      <c r="N6" s="140">
        <f t="shared" si="11"/>
        <v>0</v>
      </c>
      <c r="O6" s="140">
        <f t="shared" si="11"/>
        <v>0</v>
      </c>
      <c r="P6" s="140">
        <f t="shared" si="11"/>
        <v>0</v>
      </c>
      <c r="Q6" s="140">
        <f t="shared" si="11"/>
        <v>0</v>
      </c>
      <c r="R6" s="140">
        <f t="shared" si="11"/>
        <v>0</v>
      </c>
      <c r="S6" s="140">
        <f t="shared" si="11"/>
        <v>0</v>
      </c>
      <c r="T6" s="140">
        <f>SUM(T2:T5)</f>
        <v>1812.6</v>
      </c>
      <c r="U6" s="140">
        <f t="shared" si="11"/>
        <v>1812.6</v>
      </c>
      <c r="V6" s="140">
        <f t="shared" si="11"/>
        <v>1812.6</v>
      </c>
      <c r="W6" s="140">
        <f t="shared" si="11"/>
        <v>1812.6</v>
      </c>
      <c r="X6" s="140">
        <f t="shared" si="11"/>
        <v>1921.356</v>
      </c>
      <c r="Y6" s="140">
        <f t="shared" si="11"/>
        <v>1921.356</v>
      </c>
      <c r="Z6" s="140">
        <f t="shared" si="11"/>
        <v>1921.356</v>
      </c>
      <c r="AA6" s="140">
        <f t="shared" si="11"/>
        <v>1921.356</v>
      </c>
      <c r="AB6" s="140">
        <f t="shared" si="11"/>
        <v>2036.6373600000002</v>
      </c>
      <c r="AC6" s="140">
        <f t="shared" si="11"/>
        <v>2036.6373600000002</v>
      </c>
      <c r="AD6" s="140">
        <f t="shared" si="11"/>
        <v>2036.6373600000002</v>
      </c>
      <c r="AE6" s="140">
        <f t="shared" si="11"/>
        <v>2036.6373600000002</v>
      </c>
      <c r="AF6" s="140">
        <f t="shared" si="11"/>
        <v>2137.3973136000004</v>
      </c>
      <c r="AG6" s="140">
        <f t="shared" si="11"/>
        <v>2137.3973136000004</v>
      </c>
      <c r="AH6" s="140">
        <f t="shared" si="11"/>
        <v>2137.3973136000004</v>
      </c>
      <c r="AI6" s="140">
        <f t="shared" si="11"/>
        <v>2137.3973136000004</v>
      </c>
      <c r="AJ6" s="140">
        <f t="shared" si="11"/>
        <v>2265.6411524160003</v>
      </c>
      <c r="AK6" s="140">
        <f t="shared" si="11"/>
        <v>2265.6411524160003</v>
      </c>
      <c r="AL6" s="140">
        <f t="shared" si="11"/>
        <v>2265.6411524160003</v>
      </c>
      <c r="AM6" s="140">
        <f t="shared" si="11"/>
        <v>2265.6411524160003</v>
      </c>
      <c r="AN6" s="140">
        <f t="shared" si="11"/>
        <v>2401.5796215609607</v>
      </c>
      <c r="AO6" s="140">
        <f t="shared" si="11"/>
        <v>2401.5796215609607</v>
      </c>
      <c r="AP6" s="140">
        <f t="shared" si="11"/>
        <v>2401.5796215609607</v>
      </c>
      <c r="AQ6" s="140">
        <f>'Расходы на ЗП ОТ'!AQ6</f>
        <v>2401.5796215609607</v>
      </c>
      <c r="AR6" s="140">
        <f>'Расходы на ЗП ОТ'!AR6</f>
        <v>2545.6743988546186</v>
      </c>
      <c r="AS6" s="140">
        <f>'Расходы на ЗП ОТ'!AS6</f>
        <v>2545.6743988546186</v>
      </c>
      <c r="AT6" s="140">
        <f>'Расходы на ЗП ОТ'!AT6</f>
        <v>2545.6743988546186</v>
      </c>
      <c r="AU6" s="140">
        <f>'Расходы на ЗП ОТ'!AU6</f>
        <v>2545.6743988546186</v>
      </c>
      <c r="AV6" s="140"/>
      <c r="AW6" s="140">
        <f t="shared" si="0"/>
        <v>0</v>
      </c>
      <c r="AX6" s="140">
        <f t="shared" si="1"/>
        <v>0</v>
      </c>
      <c r="AY6" s="140">
        <f t="shared" si="2"/>
        <v>0</v>
      </c>
      <c r="AZ6" s="140">
        <f t="shared" si="3"/>
        <v>0</v>
      </c>
      <c r="BA6" s="140">
        <f t="shared" si="4"/>
        <v>7250.4</v>
      </c>
      <c r="BB6" s="140">
        <f t="shared" si="5"/>
        <v>7685.424</v>
      </c>
      <c r="BC6" s="140">
        <f t="shared" si="6"/>
        <v>8146.5494400000007</v>
      </c>
      <c r="BD6" s="140">
        <f t="shared" si="7"/>
        <v>8549.5892544000017</v>
      </c>
      <c r="BE6" s="140">
        <f t="shared" si="8"/>
        <v>9062.5646096640012</v>
      </c>
      <c r="BF6" s="140">
        <f t="shared" si="9"/>
        <v>9606.3184862438429</v>
      </c>
      <c r="BG6" s="140">
        <f t="shared" si="10"/>
        <v>9606.3184862438429</v>
      </c>
    </row>
    <row r="7" spans="1:59" s="141" customFormat="1" ht="30.75" customHeight="1">
      <c r="A7" s="142" t="s">
        <v>121</v>
      </c>
      <c r="B7" s="142">
        <f>'Расходы на ЗП ОТ'!B7</f>
        <v>0</v>
      </c>
      <c r="C7" s="143">
        <f>'Расходы на ЗП ОТ'!C7</f>
        <v>0</v>
      </c>
      <c r="D7" s="143">
        <f>D6*$B$62</f>
        <v>0</v>
      </c>
      <c r="E7" s="143">
        <f t="shared" ref="E7:AP7" si="12">E6*$B$62</f>
        <v>0</v>
      </c>
      <c r="F7" s="143">
        <f t="shared" si="12"/>
        <v>0</v>
      </c>
      <c r="G7" s="143">
        <f t="shared" si="12"/>
        <v>0</v>
      </c>
      <c r="H7" s="143">
        <f t="shared" si="12"/>
        <v>0</v>
      </c>
      <c r="I7" s="143">
        <f t="shared" si="12"/>
        <v>0</v>
      </c>
      <c r="J7" s="143">
        <f t="shared" si="12"/>
        <v>0</v>
      </c>
      <c r="K7" s="143">
        <f t="shared" si="12"/>
        <v>0</v>
      </c>
      <c r="L7" s="143">
        <f t="shared" si="12"/>
        <v>0</v>
      </c>
      <c r="M7" s="143">
        <f t="shared" si="12"/>
        <v>0</v>
      </c>
      <c r="N7" s="143">
        <f t="shared" si="12"/>
        <v>0</v>
      </c>
      <c r="O7" s="143">
        <f t="shared" si="12"/>
        <v>0</v>
      </c>
      <c r="P7" s="143">
        <f t="shared" si="12"/>
        <v>0</v>
      </c>
      <c r="Q7" s="143">
        <f t="shared" si="12"/>
        <v>0</v>
      </c>
      <c r="R7" s="143">
        <f t="shared" si="12"/>
        <v>0</v>
      </c>
      <c r="S7" s="143">
        <f t="shared" si="12"/>
        <v>0</v>
      </c>
      <c r="T7" s="143">
        <f>T6*$B$62</f>
        <v>543.78</v>
      </c>
      <c r="U7" s="143">
        <f t="shared" si="12"/>
        <v>543.78</v>
      </c>
      <c r="V7" s="143">
        <f t="shared" si="12"/>
        <v>543.78</v>
      </c>
      <c r="W7" s="143">
        <f t="shared" si="12"/>
        <v>543.78</v>
      </c>
      <c r="X7" s="143">
        <f t="shared" si="12"/>
        <v>576.40679999999998</v>
      </c>
      <c r="Y7" s="143">
        <f t="shared" si="12"/>
        <v>576.40679999999998</v>
      </c>
      <c r="Z7" s="143">
        <f t="shared" si="12"/>
        <v>576.40679999999998</v>
      </c>
      <c r="AA7" s="143">
        <f t="shared" si="12"/>
        <v>576.40679999999998</v>
      </c>
      <c r="AB7" s="143">
        <f t="shared" si="12"/>
        <v>610.99120800000003</v>
      </c>
      <c r="AC7" s="143">
        <f t="shared" si="12"/>
        <v>610.99120800000003</v>
      </c>
      <c r="AD7" s="143">
        <f t="shared" si="12"/>
        <v>610.99120800000003</v>
      </c>
      <c r="AE7" s="143">
        <f t="shared" si="12"/>
        <v>610.99120800000003</v>
      </c>
      <c r="AF7" s="143">
        <f t="shared" si="12"/>
        <v>641.21919408000008</v>
      </c>
      <c r="AG7" s="143">
        <f t="shared" si="12"/>
        <v>641.21919408000008</v>
      </c>
      <c r="AH7" s="143">
        <f t="shared" si="12"/>
        <v>641.21919408000008</v>
      </c>
      <c r="AI7" s="143">
        <f t="shared" si="12"/>
        <v>641.21919408000008</v>
      </c>
      <c r="AJ7" s="143">
        <f t="shared" si="12"/>
        <v>679.69234572480002</v>
      </c>
      <c r="AK7" s="143">
        <f t="shared" si="12"/>
        <v>679.69234572480002</v>
      </c>
      <c r="AL7" s="143">
        <f t="shared" si="12"/>
        <v>679.69234572480002</v>
      </c>
      <c r="AM7" s="143">
        <f t="shared" si="12"/>
        <v>679.69234572480002</v>
      </c>
      <c r="AN7" s="143">
        <f t="shared" si="12"/>
        <v>720.47388646828824</v>
      </c>
      <c r="AO7" s="143">
        <f t="shared" si="12"/>
        <v>720.47388646828824</v>
      </c>
      <c r="AP7" s="143">
        <f t="shared" si="12"/>
        <v>720.47388646828824</v>
      </c>
      <c r="AQ7" s="143">
        <f>'Расходы на ЗП ОТ'!AQ7</f>
        <v>720.47388646828824</v>
      </c>
      <c r="AR7" s="143">
        <f>'Расходы на ЗП ОТ'!AR7</f>
        <v>763.70231965638561</v>
      </c>
      <c r="AS7" s="143">
        <f>'Расходы на ЗП ОТ'!AS7</f>
        <v>763.70231965638561</v>
      </c>
      <c r="AT7" s="143">
        <f>'Расходы на ЗП ОТ'!AT7</f>
        <v>763.70231965638561</v>
      </c>
      <c r="AU7" s="143">
        <f>'Расходы на ЗП ОТ'!AU7</f>
        <v>763.70231965638561</v>
      </c>
      <c r="AV7" s="143"/>
      <c r="AW7" s="143">
        <f t="shared" si="0"/>
        <v>0</v>
      </c>
      <c r="AX7" s="143">
        <f t="shared" si="1"/>
        <v>0</v>
      </c>
      <c r="AY7" s="143">
        <f t="shared" si="2"/>
        <v>0</v>
      </c>
      <c r="AZ7" s="143">
        <f t="shared" si="3"/>
        <v>0</v>
      </c>
      <c r="BA7" s="143">
        <f t="shared" si="4"/>
        <v>2175.12</v>
      </c>
      <c r="BB7" s="143">
        <f t="shared" si="5"/>
        <v>2305.6271999999999</v>
      </c>
      <c r="BC7" s="143">
        <f t="shared" si="6"/>
        <v>2443.9648320000001</v>
      </c>
      <c r="BD7" s="143">
        <f t="shared" si="7"/>
        <v>2564.8767763200003</v>
      </c>
      <c r="BE7" s="143">
        <f t="shared" si="8"/>
        <v>2718.7693828992001</v>
      </c>
      <c r="BF7" s="143">
        <f t="shared" si="9"/>
        <v>2881.895545873153</v>
      </c>
      <c r="BG7" s="143">
        <f t="shared" si="10"/>
        <v>2881.895545873153</v>
      </c>
    </row>
    <row r="8" spans="1:59" ht="21.75" customHeight="1">
      <c r="A8" s="144" t="s">
        <v>122</v>
      </c>
      <c r="B8" s="134"/>
      <c r="C8" s="137"/>
      <c r="D8" s="137"/>
      <c r="E8" s="137"/>
      <c r="F8" s="137"/>
      <c r="G8" s="137"/>
      <c r="H8" s="137"/>
      <c r="I8" s="137"/>
      <c r="J8" s="137"/>
      <c r="K8" s="137"/>
      <c r="L8" s="137"/>
      <c r="M8" s="137"/>
      <c r="N8" s="137"/>
      <c r="O8" s="137"/>
      <c r="P8" s="137"/>
      <c r="Q8" s="137"/>
      <c r="R8" s="137"/>
      <c r="S8" s="137"/>
      <c r="T8" s="137"/>
      <c r="U8" s="137"/>
      <c r="V8" s="137"/>
      <c r="W8" s="137"/>
      <c r="X8" s="137"/>
      <c r="Y8" s="137"/>
      <c r="Z8" s="137"/>
      <c r="AA8" s="137"/>
      <c r="AB8" s="137"/>
      <c r="AC8" s="137"/>
      <c r="AD8" s="137"/>
      <c r="AE8" s="137"/>
      <c r="AF8" s="137"/>
      <c r="AG8" s="137"/>
      <c r="AH8" s="137"/>
      <c r="AI8" s="137"/>
      <c r="AJ8" s="137"/>
      <c r="AK8" s="137"/>
      <c r="AL8" s="137"/>
      <c r="AM8" s="137"/>
      <c r="AN8" s="137"/>
      <c r="AO8" s="137"/>
      <c r="AP8" s="137"/>
      <c r="AQ8" s="137"/>
      <c r="AR8" s="137"/>
      <c r="AS8" s="137"/>
      <c r="AT8" s="137"/>
      <c r="AU8" s="137"/>
      <c r="AV8" s="137"/>
      <c r="AW8" s="137">
        <f t="shared" si="0"/>
        <v>0</v>
      </c>
      <c r="AX8" s="137">
        <f t="shared" si="1"/>
        <v>0</v>
      </c>
      <c r="AY8" s="137">
        <f t="shared" si="2"/>
        <v>0</v>
      </c>
      <c r="AZ8" s="137">
        <f t="shared" si="3"/>
        <v>0</v>
      </c>
      <c r="BA8" s="137">
        <f t="shared" si="4"/>
        <v>0</v>
      </c>
      <c r="BB8" s="137">
        <f t="shared" si="5"/>
        <v>0</v>
      </c>
      <c r="BC8" s="137">
        <f t="shared" si="6"/>
        <v>0</v>
      </c>
      <c r="BD8" s="137">
        <f t="shared" si="7"/>
        <v>0</v>
      </c>
      <c r="BE8" s="137">
        <f t="shared" si="8"/>
        <v>0</v>
      </c>
      <c r="BF8" s="137">
        <f t="shared" si="9"/>
        <v>0</v>
      </c>
      <c r="BG8" s="137">
        <f t="shared" si="10"/>
        <v>0</v>
      </c>
    </row>
    <row r="9" spans="1:59">
      <c r="A9" s="412" t="str">
        <f>'Расходы на ЗП ОТ'!A9</f>
        <v>Бригадир</v>
      </c>
      <c r="B9" s="135">
        <f>'Расходы на ЗП ОТ'!B9</f>
        <v>3</v>
      </c>
      <c r="C9" s="136">
        <f>'Расходы на ЗП ОТ'!C9</f>
        <v>55</v>
      </c>
      <c r="D9" s="137">
        <f>'Расходы на ЗП ОТ'!D9</f>
        <v>0</v>
      </c>
      <c r="E9" s="137">
        <f>'Расходы на ЗП ОТ'!E9</f>
        <v>0</v>
      </c>
      <c r="F9" s="137">
        <f>'Расходы на ЗП ОТ'!F9</f>
        <v>0</v>
      </c>
      <c r="G9" s="137">
        <v>0</v>
      </c>
      <c r="H9" s="137">
        <f>'Расходы на ЗП ОТ'!H9</f>
        <v>0</v>
      </c>
      <c r="I9" s="137">
        <f>'Расходы на ЗП ОТ'!I9</f>
        <v>0</v>
      </c>
      <c r="J9" s="137">
        <f>'Расходы на ЗП ОТ'!J9</f>
        <v>0</v>
      </c>
      <c r="K9" s="137">
        <f>'Расходы на ЗП ОТ'!K9</f>
        <v>0</v>
      </c>
      <c r="L9" s="137">
        <f>'Расходы на ЗП ОТ'!L9</f>
        <v>0</v>
      </c>
      <c r="M9" s="137">
        <f>'Расходы на ЗП ОТ'!M9</f>
        <v>0</v>
      </c>
      <c r="N9" s="137">
        <f>'Расходы на ЗП ОТ'!N9</f>
        <v>0</v>
      </c>
      <c r="O9" s="137">
        <f>'Расходы на ЗП ОТ'!O9</f>
        <v>0</v>
      </c>
      <c r="P9" s="137">
        <f>'Расходы на ЗП ОТ'!P9</f>
        <v>0</v>
      </c>
      <c r="Q9" s="137">
        <f>'Расходы на ЗП ОТ'!Q9</f>
        <v>0</v>
      </c>
      <c r="R9" s="137">
        <f>'Расходы на ЗП ОТ'!R9</f>
        <v>0</v>
      </c>
      <c r="S9" s="137">
        <f>'Расходы на ЗП ОТ'!S9</f>
        <v>0</v>
      </c>
      <c r="T9" s="137">
        <f>'Расходы на ЗП ОТ'!T9</f>
        <v>524.70000000000005</v>
      </c>
      <c r="U9" s="137">
        <f>'Расходы на ЗП ОТ'!U9</f>
        <v>524.70000000000005</v>
      </c>
      <c r="V9" s="137">
        <f>'Расходы на ЗП ОТ'!V9</f>
        <v>524.70000000000005</v>
      </c>
      <c r="W9" s="137">
        <f>'Расходы на ЗП ОТ'!W9</f>
        <v>524.70000000000005</v>
      </c>
      <c r="X9" s="137">
        <f>'Расходы на ЗП ОТ'!X9</f>
        <v>556.18200000000013</v>
      </c>
      <c r="Y9" s="137">
        <f>'Расходы на ЗП ОТ'!Y9</f>
        <v>556.18200000000013</v>
      </c>
      <c r="Z9" s="137">
        <f>'Расходы на ЗП ОТ'!Z9</f>
        <v>556.18200000000013</v>
      </c>
      <c r="AA9" s="137">
        <f>'Расходы на ЗП ОТ'!AA9</f>
        <v>556.18200000000013</v>
      </c>
      <c r="AB9" s="137">
        <f>'Расходы на ЗП ОТ'!AB9</f>
        <v>589.5529200000002</v>
      </c>
      <c r="AC9" s="137">
        <f>'Расходы на ЗП ОТ'!AC9</f>
        <v>589.5529200000002</v>
      </c>
      <c r="AD9" s="137">
        <f>'Расходы на ЗП ОТ'!AD9</f>
        <v>589.5529200000002</v>
      </c>
      <c r="AE9" s="137">
        <f>'Расходы на ЗП ОТ'!AE9</f>
        <v>589.5529200000002</v>
      </c>
      <c r="AF9" s="137">
        <f>'Расходы на ЗП ОТ'!AF9</f>
        <v>624.92609520000019</v>
      </c>
      <c r="AG9" s="137">
        <f>'Расходы на ЗП ОТ'!AG9</f>
        <v>624.92609520000019</v>
      </c>
      <c r="AH9" s="137">
        <f>'Расходы на ЗП ОТ'!AH9</f>
        <v>624.92609520000019</v>
      </c>
      <c r="AI9" s="137">
        <f>'Расходы на ЗП ОТ'!AI9</f>
        <v>624.92609520000019</v>
      </c>
      <c r="AJ9" s="137">
        <f>'Расходы на ЗП ОТ'!AJ9</f>
        <v>662.42166091200022</v>
      </c>
      <c r="AK9" s="137">
        <f>'Расходы на ЗП ОТ'!AK9</f>
        <v>662.42166091200022</v>
      </c>
      <c r="AL9" s="137">
        <f>'Расходы на ЗП ОТ'!AL9</f>
        <v>662.42166091200022</v>
      </c>
      <c r="AM9" s="137">
        <f>'Расходы на ЗП ОТ'!AM9</f>
        <v>662.42166091200022</v>
      </c>
      <c r="AN9" s="137">
        <f>'Расходы на ЗП ОТ'!AN9</f>
        <v>702.16696056672026</v>
      </c>
      <c r="AO9" s="137">
        <f>'Расходы на ЗП ОТ'!AO9</f>
        <v>702.16696056672026</v>
      </c>
      <c r="AP9" s="137">
        <f>'Расходы на ЗП ОТ'!AP9</f>
        <v>702.16696056672026</v>
      </c>
      <c r="AQ9" s="137">
        <f>'Расходы на ЗП ОТ'!AQ9</f>
        <v>702.16696056672026</v>
      </c>
      <c r="AR9" s="137">
        <f>'Расходы на ЗП ОТ'!AR9</f>
        <v>744.29697820072352</v>
      </c>
      <c r="AS9" s="137">
        <f>'Расходы на ЗП ОТ'!AS9</f>
        <v>744.29697820072352</v>
      </c>
      <c r="AT9" s="137">
        <f>'Расходы на ЗП ОТ'!AT9</f>
        <v>744.29697820072352</v>
      </c>
      <c r="AU9" s="137">
        <f>'Расходы на ЗП ОТ'!AU9</f>
        <v>744.29697820072352</v>
      </c>
      <c r="AV9" s="137"/>
      <c r="AW9" s="137">
        <f t="shared" si="0"/>
        <v>0</v>
      </c>
      <c r="AX9" s="137">
        <f t="shared" si="1"/>
        <v>0</v>
      </c>
      <c r="AY9" s="137">
        <f t="shared" si="2"/>
        <v>0</v>
      </c>
      <c r="AZ9" s="137">
        <f t="shared" si="3"/>
        <v>0</v>
      </c>
      <c r="BA9" s="137">
        <f t="shared" si="4"/>
        <v>2098.8000000000002</v>
      </c>
      <c r="BB9" s="137">
        <f t="shared" si="5"/>
        <v>2224.7280000000005</v>
      </c>
      <c r="BC9" s="137">
        <f t="shared" si="6"/>
        <v>2358.2116800000008</v>
      </c>
      <c r="BD9" s="137">
        <f t="shared" si="7"/>
        <v>2499.7043808000008</v>
      </c>
      <c r="BE9" s="137">
        <f t="shared" si="8"/>
        <v>2649.6866436480009</v>
      </c>
      <c r="BF9" s="137">
        <f t="shared" si="9"/>
        <v>2808.6678422668811</v>
      </c>
      <c r="BG9" s="137">
        <f t="shared" si="10"/>
        <v>2808.6678422668811</v>
      </c>
    </row>
    <row r="10" spans="1:59" ht="28.8">
      <c r="A10" s="412" t="str">
        <f>'Расходы на ЗП ОТ'!A10</f>
        <v>Оператор линии, наладчик</v>
      </c>
      <c r="B10" s="135">
        <f>'Расходы на ЗП ОТ'!B10</f>
        <v>14</v>
      </c>
      <c r="C10" s="136">
        <f>'Расходы на ЗП ОТ'!C10</f>
        <v>40</v>
      </c>
      <c r="D10" s="137">
        <f>'Расходы на ЗП ОТ'!D10</f>
        <v>0</v>
      </c>
      <c r="E10" s="137">
        <f>'Расходы на ЗП ОТ'!E10</f>
        <v>0</v>
      </c>
      <c r="F10" s="137">
        <f>'Расходы на ЗП ОТ'!F10</f>
        <v>0</v>
      </c>
      <c r="G10" s="137">
        <v>0</v>
      </c>
      <c r="H10" s="137">
        <f>'Расходы на ЗП ОТ'!H10</f>
        <v>0</v>
      </c>
      <c r="I10" s="137">
        <f>'Расходы на ЗП ОТ'!I10</f>
        <v>0</v>
      </c>
      <c r="J10" s="137">
        <f>'Расходы на ЗП ОТ'!J10</f>
        <v>0</v>
      </c>
      <c r="K10" s="137">
        <f>'Расходы на ЗП ОТ'!K10</f>
        <v>0</v>
      </c>
      <c r="L10" s="137">
        <f>'Расходы на ЗП ОТ'!L10</f>
        <v>0</v>
      </c>
      <c r="M10" s="137">
        <f>'Расходы на ЗП ОТ'!M10</f>
        <v>0</v>
      </c>
      <c r="N10" s="137">
        <f>'Расходы на ЗП ОТ'!N10</f>
        <v>0</v>
      </c>
      <c r="O10" s="137">
        <f>'Расходы на ЗП ОТ'!O10</f>
        <v>0</v>
      </c>
      <c r="P10" s="137">
        <f>'Расходы на ЗП ОТ'!P10</f>
        <v>0</v>
      </c>
      <c r="Q10" s="137">
        <f>'Расходы на ЗП ОТ'!Q10</f>
        <v>0</v>
      </c>
      <c r="R10" s="137">
        <f>'Расходы на ЗП ОТ'!R10</f>
        <v>0</v>
      </c>
      <c r="S10" s="137">
        <f>'Расходы на ЗП ОТ'!S10</f>
        <v>0</v>
      </c>
      <c r="T10" s="137">
        <f>'Расходы на ЗП ОТ'!T10</f>
        <v>1780.8000000000002</v>
      </c>
      <c r="U10" s="137">
        <f>'Расходы на ЗП ОТ'!U10</f>
        <v>1780.8000000000002</v>
      </c>
      <c r="V10" s="137">
        <f>'Расходы на ЗП ОТ'!V10</f>
        <v>1780.8000000000002</v>
      </c>
      <c r="W10" s="137">
        <f>'Расходы на ЗП ОТ'!W10</f>
        <v>1780.8000000000002</v>
      </c>
      <c r="X10" s="137">
        <f>'Расходы на ЗП ОТ'!X10</f>
        <v>1887.6480000000004</v>
      </c>
      <c r="Y10" s="137">
        <f>'Расходы на ЗП ОТ'!Y10</f>
        <v>1887.6480000000004</v>
      </c>
      <c r="Z10" s="137">
        <f>'Расходы на ЗП ОТ'!Z10</f>
        <v>1887.6480000000004</v>
      </c>
      <c r="AA10" s="137">
        <f>'Расходы на ЗП ОТ'!AA10</f>
        <v>1887.6480000000004</v>
      </c>
      <c r="AB10" s="137">
        <f>'Расходы на ЗП ОТ'!AB10</f>
        <v>2000.9068800000005</v>
      </c>
      <c r="AC10" s="137">
        <f>'Расходы на ЗП ОТ'!AC10</f>
        <v>2000.9068800000005</v>
      </c>
      <c r="AD10" s="137">
        <f>'Расходы на ЗП ОТ'!AD10</f>
        <v>2000.9068800000005</v>
      </c>
      <c r="AE10" s="137">
        <f>'Расходы на ЗП ОТ'!AE10</f>
        <v>2000.9068800000005</v>
      </c>
      <c r="AF10" s="137">
        <f>'Расходы на ЗП ОТ'!AF10</f>
        <v>2120.9612928000006</v>
      </c>
      <c r="AG10" s="137">
        <f>'Расходы на ЗП ОТ'!AG10</f>
        <v>2120.9612928000006</v>
      </c>
      <c r="AH10" s="137">
        <f>'Расходы на ЗП ОТ'!AH10</f>
        <v>2120.9612928000006</v>
      </c>
      <c r="AI10" s="137">
        <f>'Расходы на ЗП ОТ'!AI10</f>
        <v>2120.9612928000006</v>
      </c>
      <c r="AJ10" s="137">
        <f>'Расходы на ЗП ОТ'!AJ10</f>
        <v>2248.2189703680006</v>
      </c>
      <c r="AK10" s="137">
        <f>'Расходы на ЗП ОТ'!AK10</f>
        <v>2248.2189703680006</v>
      </c>
      <c r="AL10" s="137">
        <f>'Расходы на ЗП ОТ'!AL10</f>
        <v>2248.2189703680006</v>
      </c>
      <c r="AM10" s="137">
        <f>'Расходы на ЗП ОТ'!AM10</f>
        <v>2248.2189703680006</v>
      </c>
      <c r="AN10" s="137">
        <f>'Расходы на ЗП ОТ'!AN10</f>
        <v>2383.1121085900809</v>
      </c>
      <c r="AO10" s="137">
        <f>'Расходы на ЗП ОТ'!AO10</f>
        <v>2383.1121085900809</v>
      </c>
      <c r="AP10" s="137">
        <f>'Расходы на ЗП ОТ'!AP10</f>
        <v>2383.1121085900809</v>
      </c>
      <c r="AQ10" s="137">
        <f>'Расходы на ЗП ОТ'!AQ10</f>
        <v>2383.1121085900809</v>
      </c>
      <c r="AR10" s="137">
        <f>'Расходы на ЗП ОТ'!AR10</f>
        <v>2526.0988351054857</v>
      </c>
      <c r="AS10" s="137">
        <f>'Расходы на ЗП ОТ'!AS10</f>
        <v>2526.0988351054857</v>
      </c>
      <c r="AT10" s="137">
        <f>'Расходы на ЗП ОТ'!AT10</f>
        <v>2526.0988351054857</v>
      </c>
      <c r="AU10" s="137">
        <f>'Расходы на ЗП ОТ'!AU10</f>
        <v>2526.0988351054857</v>
      </c>
      <c r="AV10" s="137"/>
      <c r="AW10" s="137">
        <f t="shared" si="0"/>
        <v>0</v>
      </c>
      <c r="AX10" s="137">
        <f t="shared" si="1"/>
        <v>0</v>
      </c>
      <c r="AY10" s="137">
        <f t="shared" si="2"/>
        <v>0</v>
      </c>
      <c r="AZ10" s="137">
        <f t="shared" si="3"/>
        <v>0</v>
      </c>
      <c r="BA10" s="137">
        <f t="shared" si="4"/>
        <v>7123.2000000000007</v>
      </c>
      <c r="BB10" s="137">
        <f t="shared" si="5"/>
        <v>7550.5920000000015</v>
      </c>
      <c r="BC10" s="137">
        <f t="shared" si="6"/>
        <v>8003.6275200000018</v>
      </c>
      <c r="BD10" s="137">
        <f t="shared" si="7"/>
        <v>8483.8451712000024</v>
      </c>
      <c r="BE10" s="137">
        <f t="shared" si="8"/>
        <v>8992.8758814720022</v>
      </c>
      <c r="BF10" s="137">
        <f t="shared" si="9"/>
        <v>9532.4484343603235</v>
      </c>
      <c r="BG10" s="137">
        <f t="shared" si="10"/>
        <v>9532.4484343603235</v>
      </c>
    </row>
    <row r="11" spans="1:59">
      <c r="A11" s="412" t="str">
        <f>'Расходы на ЗП ОТ'!A11</f>
        <v>Водитель</v>
      </c>
      <c r="B11" s="135">
        <f>'Расходы на ЗП ОТ'!B11</f>
        <v>8</v>
      </c>
      <c r="C11" s="136">
        <f>'Расходы на ЗП ОТ'!C11</f>
        <v>45</v>
      </c>
      <c r="D11" s="137">
        <f>'Расходы на ЗП ОТ'!D11</f>
        <v>0</v>
      </c>
      <c r="E11" s="137">
        <f>'Расходы на ЗП ОТ'!E11</f>
        <v>0</v>
      </c>
      <c r="F11" s="137">
        <f>'Расходы на ЗП ОТ'!F11</f>
        <v>0</v>
      </c>
      <c r="G11" s="137">
        <v>0</v>
      </c>
      <c r="H11" s="137">
        <f>'Расходы на ЗП ОТ'!H11</f>
        <v>0</v>
      </c>
      <c r="I11" s="137">
        <f>'Расходы на ЗП ОТ'!I11</f>
        <v>0</v>
      </c>
      <c r="J11" s="137">
        <f>'Расходы на ЗП ОТ'!J11</f>
        <v>0</v>
      </c>
      <c r="K11" s="137">
        <f>'Расходы на ЗП ОТ'!K11</f>
        <v>0</v>
      </c>
      <c r="L11" s="137">
        <f>'Расходы на ЗП ОТ'!L11</f>
        <v>0</v>
      </c>
      <c r="M11" s="137">
        <f>'Расходы на ЗП ОТ'!M11</f>
        <v>0</v>
      </c>
      <c r="N11" s="137">
        <f>'Расходы на ЗП ОТ'!N11</f>
        <v>0</v>
      </c>
      <c r="O11" s="137">
        <f>'Расходы на ЗП ОТ'!O11</f>
        <v>0</v>
      </c>
      <c r="P11" s="137">
        <f>'Расходы на ЗП ОТ'!P11</f>
        <v>0</v>
      </c>
      <c r="Q11" s="137">
        <f>'Расходы на ЗП ОТ'!Q11</f>
        <v>0</v>
      </c>
      <c r="R11" s="137">
        <f>'Расходы на ЗП ОТ'!R11</f>
        <v>0</v>
      </c>
      <c r="S11" s="137">
        <f>'Расходы на ЗП ОТ'!S11</f>
        <v>0</v>
      </c>
      <c r="T11" s="137">
        <f>'Расходы на ЗП ОТ'!T11</f>
        <v>1144.8</v>
      </c>
      <c r="U11" s="137">
        <f>'Расходы на ЗП ОТ'!U11</f>
        <v>1144.8</v>
      </c>
      <c r="V11" s="137">
        <f>'Расходы на ЗП ОТ'!V11</f>
        <v>1144.8</v>
      </c>
      <c r="W11" s="137">
        <f>'Расходы на ЗП ОТ'!W11</f>
        <v>1144.8</v>
      </c>
      <c r="X11" s="137">
        <f>'Расходы на ЗП ОТ'!X11</f>
        <v>1213.4880000000001</v>
      </c>
      <c r="Y11" s="137">
        <f>'Расходы на ЗП ОТ'!Y11</f>
        <v>1213.4880000000001</v>
      </c>
      <c r="Z11" s="137">
        <f>'Расходы на ЗП ОТ'!Z11</f>
        <v>1213.4880000000001</v>
      </c>
      <c r="AA11" s="137">
        <f>'Расходы на ЗП ОТ'!AA11</f>
        <v>1213.4880000000001</v>
      </c>
      <c r="AB11" s="137">
        <f>'Расходы на ЗП ОТ'!AB11</f>
        <v>1286.2972800000002</v>
      </c>
      <c r="AC11" s="137">
        <f>'Расходы на ЗП ОТ'!AC11</f>
        <v>1286.2972800000002</v>
      </c>
      <c r="AD11" s="137">
        <f>'Расходы на ЗП ОТ'!AD11</f>
        <v>1286.2972800000002</v>
      </c>
      <c r="AE11" s="137">
        <f>'Расходы на ЗП ОТ'!AE11</f>
        <v>1286.2972800000002</v>
      </c>
      <c r="AF11" s="137">
        <f>'Расходы на ЗП ОТ'!AF11</f>
        <v>1363.4751168000003</v>
      </c>
      <c r="AG11" s="137">
        <f>'Расходы на ЗП ОТ'!AG11</f>
        <v>1363.4751168000003</v>
      </c>
      <c r="AH11" s="137">
        <f>'Расходы на ЗП ОТ'!AH11</f>
        <v>1363.4751168000003</v>
      </c>
      <c r="AI11" s="137">
        <f>'Расходы на ЗП ОТ'!AI11</f>
        <v>1363.4751168000003</v>
      </c>
      <c r="AJ11" s="137">
        <f>'Расходы на ЗП ОТ'!AJ11</f>
        <v>1445.2836238080004</v>
      </c>
      <c r="AK11" s="137">
        <f>'Расходы на ЗП ОТ'!AK11</f>
        <v>1445.2836238080004</v>
      </c>
      <c r="AL11" s="137">
        <f>'Расходы на ЗП ОТ'!AL11</f>
        <v>1445.2836238080004</v>
      </c>
      <c r="AM11" s="137">
        <f>'Расходы на ЗП ОТ'!AM11</f>
        <v>1445.2836238080004</v>
      </c>
      <c r="AN11" s="137">
        <f>'Расходы на ЗП ОТ'!AN11</f>
        <v>1532.0006412364805</v>
      </c>
      <c r="AO11" s="137">
        <f>'Расходы на ЗП ОТ'!AO11</f>
        <v>1532.0006412364805</v>
      </c>
      <c r="AP11" s="137">
        <f>'Расходы на ЗП ОТ'!AP11</f>
        <v>1532.0006412364805</v>
      </c>
      <c r="AQ11" s="137">
        <f>'Расходы на ЗП ОТ'!AQ11</f>
        <v>1532.0006412364805</v>
      </c>
      <c r="AR11" s="137">
        <f>'Расходы на ЗП ОТ'!AR11</f>
        <v>1623.9206797106694</v>
      </c>
      <c r="AS11" s="137">
        <f>'Расходы на ЗП ОТ'!AS11</f>
        <v>1623.9206797106694</v>
      </c>
      <c r="AT11" s="137">
        <f>'Расходы на ЗП ОТ'!AT11</f>
        <v>1623.9206797106694</v>
      </c>
      <c r="AU11" s="137">
        <f>'Расходы на ЗП ОТ'!AU11</f>
        <v>1623.9206797106694</v>
      </c>
      <c r="AV11" s="137"/>
      <c r="AW11" s="137">
        <f t="shared" si="0"/>
        <v>0</v>
      </c>
      <c r="AX11" s="137">
        <f t="shared" si="1"/>
        <v>0</v>
      </c>
      <c r="AY11" s="137">
        <f t="shared" si="2"/>
        <v>0</v>
      </c>
      <c r="AZ11" s="137">
        <f t="shared" si="3"/>
        <v>0</v>
      </c>
      <c r="BA11" s="137">
        <f t="shared" si="4"/>
        <v>4579.2</v>
      </c>
      <c r="BB11" s="137">
        <f t="shared" si="5"/>
        <v>4853.9520000000002</v>
      </c>
      <c r="BC11" s="137">
        <f t="shared" si="6"/>
        <v>5145.1891200000009</v>
      </c>
      <c r="BD11" s="137">
        <f t="shared" si="7"/>
        <v>5453.900467200001</v>
      </c>
      <c r="BE11" s="137">
        <f t="shared" si="8"/>
        <v>5781.1344952320014</v>
      </c>
      <c r="BF11" s="137">
        <f t="shared" si="9"/>
        <v>6128.0025649459221</v>
      </c>
      <c r="BG11" s="137">
        <f t="shared" si="10"/>
        <v>6128.0025649459221</v>
      </c>
    </row>
    <row r="12" spans="1:59">
      <c r="A12" s="412" t="str">
        <f>'Расходы на ЗП ОТ'!A12</f>
        <v>Зав. Складом</v>
      </c>
      <c r="B12" s="135">
        <f>'Расходы на ЗП ОТ'!B12</f>
        <v>7</v>
      </c>
      <c r="C12" s="136">
        <f>'Расходы на ЗП ОТ'!C12</f>
        <v>48</v>
      </c>
      <c r="D12" s="137">
        <f>'Расходы на ЗП ОТ'!D12</f>
        <v>0</v>
      </c>
      <c r="E12" s="137">
        <f>'Расходы на ЗП ОТ'!E12</f>
        <v>0</v>
      </c>
      <c r="F12" s="137">
        <f>'Расходы на ЗП ОТ'!F12</f>
        <v>0</v>
      </c>
      <c r="G12" s="137">
        <v>0</v>
      </c>
      <c r="H12" s="137">
        <f>'Расходы на ЗП ОТ'!H12</f>
        <v>0</v>
      </c>
      <c r="I12" s="137">
        <f>'Расходы на ЗП ОТ'!I12</f>
        <v>0</v>
      </c>
      <c r="J12" s="137">
        <f>'Расходы на ЗП ОТ'!J12</f>
        <v>0</v>
      </c>
      <c r="K12" s="137">
        <f>'Расходы на ЗП ОТ'!K12</f>
        <v>0</v>
      </c>
      <c r="L12" s="137">
        <f>'Расходы на ЗП ОТ'!L12</f>
        <v>0</v>
      </c>
      <c r="M12" s="137">
        <f>'Расходы на ЗП ОТ'!M12</f>
        <v>0</v>
      </c>
      <c r="N12" s="137">
        <f>'Расходы на ЗП ОТ'!N12</f>
        <v>0</v>
      </c>
      <c r="O12" s="137">
        <f>'Расходы на ЗП ОТ'!O12</f>
        <v>0</v>
      </c>
      <c r="P12" s="137">
        <f>'Расходы на ЗП ОТ'!P12</f>
        <v>0</v>
      </c>
      <c r="Q12" s="137">
        <f>'Расходы на ЗП ОТ'!Q12</f>
        <v>0</v>
      </c>
      <c r="R12" s="137">
        <f>'Расходы на ЗП ОТ'!R12</f>
        <v>0</v>
      </c>
      <c r="S12" s="137">
        <f>'Расходы на ЗП ОТ'!S12</f>
        <v>0</v>
      </c>
      <c r="T12" s="137">
        <f>'Расходы на ЗП ОТ'!T12</f>
        <v>1068.48</v>
      </c>
      <c r="U12" s="137">
        <f>'Расходы на ЗП ОТ'!U12</f>
        <v>1068.48</v>
      </c>
      <c r="V12" s="137">
        <f>'Расходы на ЗП ОТ'!V12</f>
        <v>1068.48</v>
      </c>
      <c r="W12" s="137">
        <f>'Расходы на ЗП ОТ'!W12</f>
        <v>1068.48</v>
      </c>
      <c r="X12" s="137">
        <f>'Расходы на ЗП ОТ'!X12</f>
        <v>1132.5888</v>
      </c>
      <c r="Y12" s="137">
        <f>'Расходы на ЗП ОТ'!Y12</f>
        <v>1132.5888</v>
      </c>
      <c r="Z12" s="137">
        <f>'Расходы на ЗП ОТ'!Z12</f>
        <v>1132.5888</v>
      </c>
      <c r="AA12" s="137">
        <f>'Расходы на ЗП ОТ'!AA12</f>
        <v>1132.5888</v>
      </c>
      <c r="AB12" s="137">
        <f>'Расходы на ЗП ОТ'!AB12</f>
        <v>1200.544128</v>
      </c>
      <c r="AC12" s="137">
        <f>'Расходы на ЗП ОТ'!AC12</f>
        <v>1200.544128</v>
      </c>
      <c r="AD12" s="137">
        <f>'Расходы на ЗП ОТ'!AD12</f>
        <v>1200.544128</v>
      </c>
      <c r="AE12" s="137">
        <f>'Расходы на ЗП ОТ'!AE12</f>
        <v>1200.544128</v>
      </c>
      <c r="AF12" s="137">
        <f>'Расходы на ЗП ОТ'!AF12</f>
        <v>1272.5767756800001</v>
      </c>
      <c r="AG12" s="137">
        <f>'Расходы на ЗП ОТ'!AG12</f>
        <v>1272.5767756800001</v>
      </c>
      <c r="AH12" s="137">
        <f>'Расходы на ЗП ОТ'!AH12</f>
        <v>1272.5767756800001</v>
      </c>
      <c r="AI12" s="137">
        <f>'Расходы на ЗП ОТ'!AI12</f>
        <v>1272.5767756800001</v>
      </c>
      <c r="AJ12" s="137">
        <f>'Расходы на ЗП ОТ'!AJ12</f>
        <v>1348.9313822208001</v>
      </c>
      <c r="AK12" s="137">
        <f>'Расходы на ЗП ОТ'!AK12</f>
        <v>1348.9313822208001</v>
      </c>
      <c r="AL12" s="137">
        <f>'Расходы на ЗП ОТ'!AL12</f>
        <v>1348.9313822208001</v>
      </c>
      <c r="AM12" s="137">
        <f>'Расходы на ЗП ОТ'!AM12</f>
        <v>1348.9313822208001</v>
      </c>
      <c r="AN12" s="137">
        <f>'Расходы на ЗП ОТ'!AN12</f>
        <v>1429.867265154048</v>
      </c>
      <c r="AO12" s="137">
        <f>'Расходы на ЗП ОТ'!AO12</f>
        <v>1429.867265154048</v>
      </c>
      <c r="AP12" s="137">
        <f>'Расходы на ЗП ОТ'!AP12</f>
        <v>1429.867265154048</v>
      </c>
      <c r="AQ12" s="137">
        <f>'Расходы на ЗП ОТ'!AQ12</f>
        <v>1429.867265154048</v>
      </c>
      <c r="AR12" s="137">
        <f>'Расходы на ЗП ОТ'!AR12</f>
        <v>1515.659301063291</v>
      </c>
      <c r="AS12" s="137">
        <f>'Расходы на ЗП ОТ'!AS12</f>
        <v>1515.659301063291</v>
      </c>
      <c r="AT12" s="137">
        <f>'Расходы на ЗП ОТ'!AT12</f>
        <v>1515.659301063291</v>
      </c>
      <c r="AU12" s="137">
        <f>'Расходы на ЗП ОТ'!AU12</f>
        <v>1515.659301063291</v>
      </c>
      <c r="AV12" s="137"/>
      <c r="AW12" s="137">
        <f t="shared" si="0"/>
        <v>0</v>
      </c>
      <c r="AX12" s="137">
        <f t="shared" si="1"/>
        <v>0</v>
      </c>
      <c r="AY12" s="137">
        <f t="shared" si="2"/>
        <v>0</v>
      </c>
      <c r="AZ12" s="137">
        <f t="shared" si="3"/>
        <v>0</v>
      </c>
      <c r="BA12" s="137">
        <f t="shared" si="4"/>
        <v>4273.92</v>
      </c>
      <c r="BB12" s="137">
        <f t="shared" si="5"/>
        <v>4530.3552</v>
      </c>
      <c r="BC12" s="137">
        <f t="shared" si="6"/>
        <v>4802.176512</v>
      </c>
      <c r="BD12" s="137">
        <f t="shared" si="7"/>
        <v>5090.3071027200003</v>
      </c>
      <c r="BE12" s="137">
        <f t="shared" si="8"/>
        <v>5395.7255288832002</v>
      </c>
      <c r="BF12" s="137">
        <f t="shared" si="9"/>
        <v>5719.4690606161921</v>
      </c>
      <c r="BG12" s="137">
        <f t="shared" si="10"/>
        <v>5719.4690606161921</v>
      </c>
    </row>
    <row r="13" spans="1:59" ht="32.25" customHeight="1">
      <c r="A13" s="412" t="str">
        <f>'Расходы на ЗП ОТ'!A13</f>
        <v>ИРС Разнорабочий (уборщик, дворник)</v>
      </c>
      <c r="B13" s="134">
        <f>'Расходы на ЗП ОТ'!B13</f>
        <v>0</v>
      </c>
      <c r="C13" s="137">
        <f>'Расходы на ЗП ОТ'!C13</f>
        <v>0</v>
      </c>
      <c r="D13" s="137">
        <f>'Расходы на ЗП ОТ'!D13</f>
        <v>0</v>
      </c>
      <c r="E13" s="137">
        <f>'Расходы на ЗП ОТ'!E13</f>
        <v>0</v>
      </c>
      <c r="F13" s="137">
        <f>'Расходы на ЗП ОТ'!F13</f>
        <v>0</v>
      </c>
      <c r="G13" s="137">
        <v>0</v>
      </c>
      <c r="H13" s="137">
        <f>'Расходы на ЗП ОТ'!H13</f>
        <v>0</v>
      </c>
      <c r="I13" s="137">
        <f>'Расходы на ЗП ОТ'!I13</f>
        <v>0</v>
      </c>
      <c r="J13" s="137">
        <f>'Расходы на ЗП ОТ'!J13</f>
        <v>0</v>
      </c>
      <c r="K13" s="137">
        <f>'Расходы на ЗП ОТ'!K13</f>
        <v>0</v>
      </c>
      <c r="L13" s="137">
        <f>'Расходы на ЗП ОТ'!L13</f>
        <v>0</v>
      </c>
      <c r="M13" s="137">
        <f>'Расходы на ЗП ОТ'!M13</f>
        <v>0</v>
      </c>
      <c r="N13" s="137">
        <f>'Расходы на ЗП ОТ'!N13</f>
        <v>0</v>
      </c>
      <c r="O13" s="137">
        <f>'Расходы на ЗП ОТ'!O13</f>
        <v>0</v>
      </c>
      <c r="P13" s="137">
        <f>'Расходы на ЗП ОТ'!P13</f>
        <v>0</v>
      </c>
      <c r="Q13" s="137">
        <f>'Расходы на ЗП ОТ'!Q13</f>
        <v>0</v>
      </c>
      <c r="R13" s="137">
        <f>'Расходы на ЗП ОТ'!R13</f>
        <v>0</v>
      </c>
      <c r="S13" s="137">
        <f>'Расходы на ЗП ОТ'!S13</f>
        <v>0</v>
      </c>
      <c r="T13" s="137">
        <f>'Расходы на ЗП ОТ'!T13</f>
        <v>0</v>
      </c>
      <c r="U13" s="137">
        <f t="shared" ref="U13:AE13" si="13">T13</f>
        <v>0</v>
      </c>
      <c r="V13" s="137">
        <f t="shared" si="13"/>
        <v>0</v>
      </c>
      <c r="W13" s="137">
        <f t="shared" si="13"/>
        <v>0</v>
      </c>
      <c r="X13" s="137">
        <f t="shared" si="13"/>
        <v>0</v>
      </c>
      <c r="Y13" s="137">
        <f t="shared" si="13"/>
        <v>0</v>
      </c>
      <c r="Z13" s="137">
        <f t="shared" si="13"/>
        <v>0</v>
      </c>
      <c r="AA13" s="137">
        <f t="shared" si="13"/>
        <v>0</v>
      </c>
      <c r="AB13" s="137">
        <f t="shared" si="13"/>
        <v>0</v>
      </c>
      <c r="AC13" s="137">
        <f t="shared" si="13"/>
        <v>0</v>
      </c>
      <c r="AD13" s="137">
        <f t="shared" si="13"/>
        <v>0</v>
      </c>
      <c r="AE13" s="137">
        <f t="shared" si="13"/>
        <v>0</v>
      </c>
      <c r="AF13" s="137">
        <f>AE13</f>
        <v>0</v>
      </c>
      <c r="AG13" s="137">
        <f t="shared" ref="AG13:AP13" si="14">AF13</f>
        <v>0</v>
      </c>
      <c r="AH13" s="137">
        <f t="shared" si="14"/>
        <v>0</v>
      </c>
      <c r="AI13" s="137">
        <f t="shared" si="14"/>
        <v>0</v>
      </c>
      <c r="AJ13" s="137">
        <f t="shared" si="14"/>
        <v>0</v>
      </c>
      <c r="AK13" s="137">
        <f t="shared" si="14"/>
        <v>0</v>
      </c>
      <c r="AL13" s="137">
        <f t="shared" si="14"/>
        <v>0</v>
      </c>
      <c r="AM13" s="137">
        <f t="shared" si="14"/>
        <v>0</v>
      </c>
      <c r="AN13" s="137">
        <f t="shared" si="14"/>
        <v>0</v>
      </c>
      <c r="AO13" s="137">
        <f t="shared" si="14"/>
        <v>0</v>
      </c>
      <c r="AP13" s="137">
        <f t="shared" si="14"/>
        <v>0</v>
      </c>
      <c r="AQ13" s="137">
        <f>'Расходы на ЗП ОТ'!AQ13</f>
        <v>0</v>
      </c>
      <c r="AR13" s="137">
        <f>'Расходы на ЗП ОТ'!AR13</f>
        <v>0</v>
      </c>
      <c r="AS13" s="137">
        <f>'Расходы на ЗП ОТ'!AS13</f>
        <v>0</v>
      </c>
      <c r="AT13" s="137">
        <f>'Расходы на ЗП ОТ'!AT13</f>
        <v>0</v>
      </c>
      <c r="AU13" s="137">
        <f>'Расходы на ЗП ОТ'!AU13</f>
        <v>0</v>
      </c>
      <c r="AV13" s="137"/>
      <c r="AW13" s="137">
        <f t="shared" si="0"/>
        <v>0</v>
      </c>
      <c r="AX13" s="137">
        <f t="shared" si="1"/>
        <v>0</v>
      </c>
      <c r="AY13" s="137">
        <f t="shared" si="2"/>
        <v>0</v>
      </c>
      <c r="AZ13" s="137">
        <f t="shared" si="3"/>
        <v>0</v>
      </c>
      <c r="BA13" s="137">
        <f t="shared" si="4"/>
        <v>0</v>
      </c>
      <c r="BB13" s="137">
        <f t="shared" si="5"/>
        <v>0</v>
      </c>
      <c r="BC13" s="137">
        <f t="shared" si="6"/>
        <v>0</v>
      </c>
      <c r="BD13" s="137">
        <f t="shared" si="7"/>
        <v>0</v>
      </c>
      <c r="BE13" s="137">
        <f t="shared" si="8"/>
        <v>0</v>
      </c>
      <c r="BF13" s="137">
        <f t="shared" si="9"/>
        <v>0</v>
      </c>
      <c r="BG13" s="137">
        <f t="shared" si="10"/>
        <v>0</v>
      </c>
    </row>
    <row r="14" spans="1:59" ht="28.8">
      <c r="A14" s="412" t="str">
        <f>'Расходы на ЗП ОТ'!A14</f>
        <v>Разнорабочий (сортировщик, грузчик)</v>
      </c>
      <c r="B14" s="135">
        <f>'Расходы на ЗП ОТ'!B14</f>
        <v>36</v>
      </c>
      <c r="C14" s="136">
        <f>'Расходы на ЗП ОТ'!C14</f>
        <v>30</v>
      </c>
      <c r="D14" s="137">
        <f>'Расходы на ЗП ОТ'!D14</f>
        <v>0</v>
      </c>
      <c r="E14" s="137">
        <f>'Расходы на ЗП ОТ'!E14</f>
        <v>0</v>
      </c>
      <c r="F14" s="137">
        <f>'Расходы на ЗП ОТ'!F14</f>
        <v>0</v>
      </c>
      <c r="G14" s="137">
        <f>'Расходы на ЗП ОТ'!G14</f>
        <v>0</v>
      </c>
      <c r="H14" s="137">
        <f>'Расходы на ЗП ОТ'!H14</f>
        <v>0</v>
      </c>
      <c r="I14" s="137">
        <f>'Расходы на ЗП ОТ'!I14</f>
        <v>0</v>
      </c>
      <c r="J14" s="137">
        <f>'Расходы на ЗП ОТ'!J14</f>
        <v>0</v>
      </c>
      <c r="K14" s="137">
        <f>'Расходы на ЗП ОТ'!K14</f>
        <v>0</v>
      </c>
      <c r="L14" s="137">
        <f>'Расходы на ЗП ОТ'!L14</f>
        <v>0</v>
      </c>
      <c r="M14" s="137">
        <f>'Расходы на ЗП ОТ'!M14</f>
        <v>0</v>
      </c>
      <c r="N14" s="137">
        <f>'Расходы на ЗП ОТ'!N14</f>
        <v>0</v>
      </c>
      <c r="O14" s="137">
        <f>'Расходы на ЗП ОТ'!O14</f>
        <v>0</v>
      </c>
      <c r="P14" s="137">
        <f>'Расходы на ЗП ОТ'!P14</f>
        <v>0</v>
      </c>
      <c r="Q14" s="137">
        <f>'Расходы на ЗП ОТ'!Q14</f>
        <v>0</v>
      </c>
      <c r="R14" s="137">
        <f>'Расходы на ЗП ОТ'!R14</f>
        <v>0</v>
      </c>
      <c r="S14" s="137">
        <f>'Расходы на ЗП ОТ'!S14</f>
        <v>0</v>
      </c>
      <c r="T14" s="137">
        <f>'Расходы на ЗП ОТ'!T14</f>
        <v>3434.4</v>
      </c>
      <c r="U14" s="137">
        <f>'Расходы на ЗП ОТ'!U14</f>
        <v>3434.4</v>
      </c>
      <c r="V14" s="137">
        <f>'Расходы на ЗП ОТ'!V14</f>
        <v>3434.4</v>
      </c>
      <c r="W14" s="137">
        <f>'Расходы на ЗП ОТ'!W14</f>
        <v>3434.4</v>
      </c>
      <c r="X14" s="137">
        <f>'Расходы на ЗП ОТ'!X14</f>
        <v>3640.4640000000004</v>
      </c>
      <c r="Y14" s="137">
        <f>'Расходы на ЗП ОТ'!Y14</f>
        <v>3640.4640000000004</v>
      </c>
      <c r="Z14" s="137">
        <f>'Расходы на ЗП ОТ'!Z14</f>
        <v>3640.4640000000004</v>
      </c>
      <c r="AA14" s="137">
        <f>'Расходы на ЗП ОТ'!AA14</f>
        <v>3640.4640000000004</v>
      </c>
      <c r="AB14" s="137">
        <f>'Расходы на ЗП ОТ'!AB14</f>
        <v>3858.8918400000007</v>
      </c>
      <c r="AC14" s="137">
        <f>'Расходы на ЗП ОТ'!AC14</f>
        <v>3858.8918400000007</v>
      </c>
      <c r="AD14" s="137">
        <f>'Расходы на ЗП ОТ'!AD14</f>
        <v>3858.8918400000007</v>
      </c>
      <c r="AE14" s="137">
        <f>'Расходы на ЗП ОТ'!AE14</f>
        <v>3858.8918400000007</v>
      </c>
      <c r="AF14" s="137">
        <f>'Расходы на ЗП ОТ'!AF14</f>
        <v>4090.4253504000008</v>
      </c>
      <c r="AG14" s="137">
        <f>'Расходы на ЗП ОТ'!AG14</f>
        <v>4090.4253504000008</v>
      </c>
      <c r="AH14" s="137">
        <f>'Расходы на ЗП ОТ'!AH14</f>
        <v>4090.4253504000008</v>
      </c>
      <c r="AI14" s="137">
        <f>'Расходы на ЗП ОТ'!AI14</f>
        <v>4090.4253504000008</v>
      </c>
      <c r="AJ14" s="137">
        <f>'Расходы на ЗП ОТ'!AJ14</f>
        <v>4335.8508714240006</v>
      </c>
      <c r="AK14" s="137">
        <f>'Расходы на ЗП ОТ'!AK14</f>
        <v>4335.8508714240006</v>
      </c>
      <c r="AL14" s="137">
        <f>'Расходы на ЗП ОТ'!AL14</f>
        <v>4335.8508714240006</v>
      </c>
      <c r="AM14" s="137">
        <f>'Расходы на ЗП ОТ'!AM14</f>
        <v>4335.8508714240006</v>
      </c>
      <c r="AN14" s="137">
        <f>'Расходы на ЗП ОТ'!AN14</f>
        <v>4596.0019237094411</v>
      </c>
      <c r="AO14" s="137">
        <f>'Расходы на ЗП ОТ'!AO14</f>
        <v>4596.0019237094411</v>
      </c>
      <c r="AP14" s="137">
        <f>'Расходы на ЗП ОТ'!AP14</f>
        <v>4596.0019237094411</v>
      </c>
      <c r="AQ14" s="137">
        <f>'Расходы на ЗП ОТ'!AQ14</f>
        <v>4596.0019237094411</v>
      </c>
      <c r="AR14" s="137">
        <f>'Расходы на ЗП ОТ'!AR14</f>
        <v>4871.7620391320079</v>
      </c>
      <c r="AS14" s="137">
        <f>'Расходы на ЗП ОТ'!AS14</f>
        <v>4871.7620391320079</v>
      </c>
      <c r="AT14" s="137">
        <f>'Расходы на ЗП ОТ'!AT14</f>
        <v>4871.7620391320079</v>
      </c>
      <c r="AU14" s="137">
        <f>'Расходы на ЗП ОТ'!AU14</f>
        <v>4871.7620391320079</v>
      </c>
      <c r="AV14" s="137"/>
      <c r="AW14" s="137">
        <f t="shared" si="0"/>
        <v>0</v>
      </c>
      <c r="AX14" s="137">
        <f t="shared" si="1"/>
        <v>0</v>
      </c>
      <c r="AY14" s="137">
        <f t="shared" si="2"/>
        <v>0</v>
      </c>
      <c r="AZ14" s="137">
        <f t="shared" si="3"/>
        <v>0</v>
      </c>
      <c r="BA14" s="137">
        <f t="shared" si="4"/>
        <v>13737.6</v>
      </c>
      <c r="BB14" s="137">
        <f t="shared" si="5"/>
        <v>14561.856000000002</v>
      </c>
      <c r="BC14" s="137">
        <f t="shared" si="6"/>
        <v>15435.567360000003</v>
      </c>
      <c r="BD14" s="137">
        <f t="shared" si="7"/>
        <v>16361.701401600003</v>
      </c>
      <c r="BE14" s="137">
        <f t="shared" si="8"/>
        <v>17343.403485696002</v>
      </c>
      <c r="BF14" s="137">
        <f t="shared" si="9"/>
        <v>18384.007694837765</v>
      </c>
      <c r="BG14" s="137">
        <f t="shared" si="10"/>
        <v>18384.007694837765</v>
      </c>
    </row>
    <row r="15" spans="1:59" s="138" customFormat="1" ht="30" customHeight="1">
      <c r="A15" s="139" t="s">
        <v>120</v>
      </c>
      <c r="B15" s="139">
        <f>'Расходы на ЗП ОТ'!B15</f>
        <v>68</v>
      </c>
      <c r="C15" s="140">
        <f>'Расходы на ЗП ОТ'!C15</f>
        <v>0</v>
      </c>
      <c r="D15" s="140">
        <f>SUM(D9:D14)</f>
        <v>0</v>
      </c>
      <c r="E15" s="140">
        <f t="shared" ref="E15:F15" si="15">SUM(E9:E14)</f>
        <v>0</v>
      </c>
      <c r="F15" s="140">
        <f t="shared" si="15"/>
        <v>0</v>
      </c>
      <c r="G15" s="140">
        <f t="shared" ref="G15:U15" si="16">SUM(G9:G14)</f>
        <v>0</v>
      </c>
      <c r="H15" s="140">
        <f>SUM(H9:H14)</f>
        <v>0</v>
      </c>
      <c r="I15" s="140">
        <f t="shared" si="16"/>
        <v>0</v>
      </c>
      <c r="J15" s="140">
        <f t="shared" si="16"/>
        <v>0</v>
      </c>
      <c r="K15" s="140">
        <f t="shared" si="16"/>
        <v>0</v>
      </c>
      <c r="L15" s="140">
        <f t="shared" si="16"/>
        <v>0</v>
      </c>
      <c r="M15" s="140">
        <f t="shared" si="16"/>
        <v>0</v>
      </c>
      <c r="N15" s="140">
        <f t="shared" si="16"/>
        <v>0</v>
      </c>
      <c r="O15" s="140">
        <f t="shared" si="16"/>
        <v>0</v>
      </c>
      <c r="P15" s="140">
        <f t="shared" si="16"/>
        <v>0</v>
      </c>
      <c r="Q15" s="140">
        <f t="shared" si="16"/>
        <v>0</v>
      </c>
      <c r="R15" s="140">
        <f t="shared" si="16"/>
        <v>0</v>
      </c>
      <c r="S15" s="140">
        <f t="shared" si="16"/>
        <v>0</v>
      </c>
      <c r="T15" s="140">
        <f t="shared" si="16"/>
        <v>7953.18</v>
      </c>
      <c r="U15" s="140">
        <f t="shared" si="16"/>
        <v>7953.18</v>
      </c>
      <c r="V15" s="140">
        <f>SUM(V9:V14)</f>
        <v>7953.18</v>
      </c>
      <c r="W15" s="140">
        <f t="shared" ref="W15:AI15" si="17">SUM(W9:W14)</f>
        <v>7953.18</v>
      </c>
      <c r="X15" s="140">
        <f t="shared" si="17"/>
        <v>8430.3708000000006</v>
      </c>
      <c r="Y15" s="140">
        <f t="shared" si="17"/>
        <v>8430.3708000000006</v>
      </c>
      <c r="Z15" s="140">
        <f t="shared" si="17"/>
        <v>8430.3708000000006</v>
      </c>
      <c r="AA15" s="140">
        <f t="shared" si="17"/>
        <v>8430.3708000000006</v>
      </c>
      <c r="AB15" s="140">
        <f t="shared" si="17"/>
        <v>8936.193048000001</v>
      </c>
      <c r="AC15" s="140">
        <f t="shared" si="17"/>
        <v>8936.193048000001</v>
      </c>
      <c r="AD15" s="140">
        <f t="shared" si="17"/>
        <v>8936.193048000001</v>
      </c>
      <c r="AE15" s="140">
        <f t="shared" si="17"/>
        <v>8936.193048000001</v>
      </c>
      <c r="AF15" s="140">
        <f t="shared" si="17"/>
        <v>9472.3646308800016</v>
      </c>
      <c r="AG15" s="140">
        <f t="shared" si="17"/>
        <v>9472.3646308800016</v>
      </c>
      <c r="AH15" s="140">
        <f t="shared" si="17"/>
        <v>9472.3646308800016</v>
      </c>
      <c r="AI15" s="140">
        <f t="shared" si="17"/>
        <v>9472.3646308800016</v>
      </c>
      <c r="AJ15" s="140">
        <f t="shared" ref="AJ15:AP15" si="18">SUM(AJ9:AJ14)</f>
        <v>10040.706508732801</v>
      </c>
      <c r="AK15" s="140">
        <f t="shared" si="18"/>
        <v>10040.706508732801</v>
      </c>
      <c r="AL15" s="140">
        <f t="shared" si="18"/>
        <v>10040.706508732801</v>
      </c>
      <c r="AM15" s="140">
        <f t="shared" si="18"/>
        <v>10040.706508732801</v>
      </c>
      <c r="AN15" s="140">
        <f t="shared" si="18"/>
        <v>10643.148899256772</v>
      </c>
      <c r="AO15" s="140">
        <f t="shared" si="18"/>
        <v>10643.148899256772</v>
      </c>
      <c r="AP15" s="140">
        <f t="shared" si="18"/>
        <v>10643.148899256772</v>
      </c>
      <c r="AQ15" s="140">
        <f>'Расходы на ЗП ОТ'!AQ15</f>
        <v>10643.148899256772</v>
      </c>
      <c r="AR15" s="140">
        <f>'Расходы на ЗП ОТ'!AR15</f>
        <v>11281.737833212179</v>
      </c>
      <c r="AS15" s="140">
        <f>'Расходы на ЗП ОТ'!AS15</f>
        <v>11281.737833212179</v>
      </c>
      <c r="AT15" s="140">
        <f>'Расходы на ЗП ОТ'!AT15</f>
        <v>11281.737833212179</v>
      </c>
      <c r="AU15" s="140">
        <f>'Расходы на ЗП ОТ'!AU15</f>
        <v>11281.737833212179</v>
      </c>
      <c r="AV15" s="140"/>
      <c r="AW15" s="140">
        <f t="shared" si="0"/>
        <v>0</v>
      </c>
      <c r="AX15" s="140">
        <f t="shared" si="1"/>
        <v>0</v>
      </c>
      <c r="AY15" s="140">
        <f t="shared" si="2"/>
        <v>0</v>
      </c>
      <c r="AZ15" s="140">
        <f t="shared" si="3"/>
        <v>0</v>
      </c>
      <c r="BA15" s="140">
        <f t="shared" si="4"/>
        <v>31812.720000000001</v>
      </c>
      <c r="BB15" s="140">
        <f t="shared" si="5"/>
        <v>33721.483200000002</v>
      </c>
      <c r="BC15" s="140">
        <f t="shared" si="6"/>
        <v>35744.772192000004</v>
      </c>
      <c r="BD15" s="140">
        <f t="shared" si="7"/>
        <v>37889.458523520007</v>
      </c>
      <c r="BE15" s="140">
        <f t="shared" si="8"/>
        <v>40162.826034931204</v>
      </c>
      <c r="BF15" s="140">
        <f t="shared" si="9"/>
        <v>42572.595597027088</v>
      </c>
      <c r="BG15" s="140">
        <f t="shared" si="10"/>
        <v>42572.595597027088</v>
      </c>
    </row>
    <row r="16" spans="1:59" s="141" customFormat="1">
      <c r="A16" s="142" t="s">
        <v>121</v>
      </c>
      <c r="B16" s="142">
        <f>'Расходы на ЗП ОТ'!B16</f>
        <v>0</v>
      </c>
      <c r="C16" s="143">
        <f>'Расходы на ЗП ОТ'!C16</f>
        <v>0</v>
      </c>
      <c r="D16" s="143">
        <f>D15*$B$62</f>
        <v>0</v>
      </c>
      <c r="E16" s="143">
        <f t="shared" ref="E16:AP16" si="19">E15*$B$62</f>
        <v>0</v>
      </c>
      <c r="F16" s="143">
        <f t="shared" si="19"/>
        <v>0</v>
      </c>
      <c r="G16" s="143">
        <f t="shared" si="19"/>
        <v>0</v>
      </c>
      <c r="H16" s="143">
        <f t="shared" si="19"/>
        <v>0</v>
      </c>
      <c r="I16" s="143">
        <f t="shared" si="19"/>
        <v>0</v>
      </c>
      <c r="J16" s="143">
        <f t="shared" si="19"/>
        <v>0</v>
      </c>
      <c r="K16" s="143">
        <f t="shared" si="19"/>
        <v>0</v>
      </c>
      <c r="L16" s="143">
        <f t="shared" si="19"/>
        <v>0</v>
      </c>
      <c r="M16" s="143">
        <f t="shared" si="19"/>
        <v>0</v>
      </c>
      <c r="N16" s="143">
        <f t="shared" si="19"/>
        <v>0</v>
      </c>
      <c r="O16" s="143">
        <f t="shared" si="19"/>
        <v>0</v>
      </c>
      <c r="P16" s="143">
        <f t="shared" si="19"/>
        <v>0</v>
      </c>
      <c r="Q16" s="143">
        <f t="shared" si="19"/>
        <v>0</v>
      </c>
      <c r="R16" s="143">
        <f t="shared" si="19"/>
        <v>0</v>
      </c>
      <c r="S16" s="143">
        <f t="shared" si="19"/>
        <v>0</v>
      </c>
      <c r="T16" s="143">
        <f t="shared" si="19"/>
        <v>2385.9540000000002</v>
      </c>
      <c r="U16" s="143">
        <f t="shared" si="19"/>
        <v>2385.9540000000002</v>
      </c>
      <c r="V16" s="143">
        <f t="shared" si="19"/>
        <v>2385.9540000000002</v>
      </c>
      <c r="W16" s="143">
        <f t="shared" si="19"/>
        <v>2385.9540000000002</v>
      </c>
      <c r="X16" s="143">
        <f t="shared" si="19"/>
        <v>2529.1112400000002</v>
      </c>
      <c r="Y16" s="143">
        <f t="shared" si="19"/>
        <v>2529.1112400000002</v>
      </c>
      <c r="Z16" s="143">
        <f t="shared" si="19"/>
        <v>2529.1112400000002</v>
      </c>
      <c r="AA16" s="143">
        <f t="shared" si="19"/>
        <v>2529.1112400000002</v>
      </c>
      <c r="AB16" s="143">
        <f t="shared" si="19"/>
        <v>2680.8579144</v>
      </c>
      <c r="AC16" s="143">
        <f t="shared" si="19"/>
        <v>2680.8579144</v>
      </c>
      <c r="AD16" s="143">
        <f t="shared" si="19"/>
        <v>2680.8579144</v>
      </c>
      <c r="AE16" s="143">
        <f t="shared" si="19"/>
        <v>2680.8579144</v>
      </c>
      <c r="AF16" s="143">
        <f t="shared" si="19"/>
        <v>2841.7093892640005</v>
      </c>
      <c r="AG16" s="143">
        <f t="shared" si="19"/>
        <v>2841.7093892640005</v>
      </c>
      <c r="AH16" s="143">
        <f t="shared" si="19"/>
        <v>2841.7093892640005</v>
      </c>
      <c r="AI16" s="143">
        <f t="shared" si="19"/>
        <v>2841.7093892640005</v>
      </c>
      <c r="AJ16" s="143">
        <f t="shared" si="19"/>
        <v>3012.2119526198403</v>
      </c>
      <c r="AK16" s="143">
        <f t="shared" si="19"/>
        <v>3012.2119526198403</v>
      </c>
      <c r="AL16" s="143">
        <f t="shared" si="19"/>
        <v>3012.2119526198403</v>
      </c>
      <c r="AM16" s="143">
        <f t="shared" si="19"/>
        <v>3012.2119526198403</v>
      </c>
      <c r="AN16" s="143">
        <f t="shared" si="19"/>
        <v>3192.9446697770313</v>
      </c>
      <c r="AO16" s="143">
        <f t="shared" si="19"/>
        <v>3192.9446697770313</v>
      </c>
      <c r="AP16" s="143">
        <f t="shared" si="19"/>
        <v>3192.9446697770313</v>
      </c>
      <c r="AQ16" s="143">
        <f>'Расходы на ЗП ОТ'!AQ16</f>
        <v>3192.9446697770313</v>
      </c>
      <c r="AR16" s="143">
        <f>'Расходы на ЗП ОТ'!AR16</f>
        <v>3384.5213499636534</v>
      </c>
      <c r="AS16" s="143">
        <f>'Расходы на ЗП ОТ'!AS16</f>
        <v>3384.5213499636534</v>
      </c>
      <c r="AT16" s="143">
        <f>'Расходы на ЗП ОТ'!AT16</f>
        <v>3384.5213499636534</v>
      </c>
      <c r="AU16" s="143">
        <f>'Расходы на ЗП ОТ'!AU16</f>
        <v>3384.5213499636534</v>
      </c>
      <c r="AV16" s="143"/>
      <c r="AW16" s="143">
        <f t="shared" si="0"/>
        <v>0</v>
      </c>
      <c r="AX16" s="143">
        <f t="shared" si="1"/>
        <v>0</v>
      </c>
      <c r="AY16" s="143">
        <f t="shared" si="2"/>
        <v>0</v>
      </c>
      <c r="AZ16" s="143">
        <f t="shared" si="3"/>
        <v>0</v>
      </c>
      <c r="BA16" s="143">
        <f t="shared" si="4"/>
        <v>9543.8160000000007</v>
      </c>
      <c r="BB16" s="143">
        <f t="shared" si="5"/>
        <v>10116.444960000001</v>
      </c>
      <c r="BC16" s="143">
        <f t="shared" si="6"/>
        <v>10723.4316576</v>
      </c>
      <c r="BD16" s="143">
        <f t="shared" si="7"/>
        <v>11366.837557056002</v>
      </c>
      <c r="BE16" s="143">
        <f t="shared" si="8"/>
        <v>12048.847810479361</v>
      </c>
      <c r="BF16" s="143">
        <f t="shared" si="9"/>
        <v>12771.778679108125</v>
      </c>
      <c r="BG16" s="143">
        <f t="shared" si="10"/>
        <v>12771.778679108125</v>
      </c>
    </row>
    <row r="17" spans="1:59" ht="28.5" customHeight="1">
      <c r="A17" s="144" t="s">
        <v>127</v>
      </c>
      <c r="B17" s="134">
        <f>'Расходы на ЗП ОТ'!B17</f>
        <v>0</v>
      </c>
      <c r="C17" s="137">
        <f>'Расходы на ЗП ОТ'!C17</f>
        <v>0</v>
      </c>
      <c r="D17" s="137"/>
      <c r="E17" s="137"/>
      <c r="F17" s="137"/>
      <c r="G17" s="137"/>
      <c r="H17" s="137"/>
      <c r="I17" s="137"/>
      <c r="J17" s="137"/>
      <c r="K17" s="137"/>
      <c r="L17" s="137"/>
      <c r="M17" s="137"/>
      <c r="N17" s="137"/>
      <c r="O17" s="137"/>
      <c r="P17" s="137"/>
      <c r="Q17" s="137"/>
      <c r="R17" s="137"/>
      <c r="S17" s="137"/>
      <c r="T17" s="137"/>
      <c r="U17" s="137"/>
      <c r="V17" s="137"/>
      <c r="W17" s="137"/>
      <c r="X17" s="137"/>
      <c r="Y17" s="137"/>
      <c r="Z17" s="137"/>
      <c r="AA17" s="137"/>
      <c r="AB17" s="137"/>
      <c r="AC17" s="137"/>
      <c r="AD17" s="137"/>
      <c r="AE17" s="137"/>
      <c r="AF17" s="137"/>
      <c r="AG17" s="137"/>
      <c r="AH17" s="137"/>
      <c r="AI17" s="137"/>
      <c r="AJ17" s="137"/>
      <c r="AK17" s="137"/>
      <c r="AL17" s="137"/>
      <c r="AM17" s="137"/>
      <c r="AN17" s="137"/>
      <c r="AO17" s="137"/>
      <c r="AP17" s="137"/>
      <c r="AQ17" s="137"/>
      <c r="AR17" s="137"/>
      <c r="AS17" s="137"/>
      <c r="AT17" s="137"/>
      <c r="AU17" s="137"/>
      <c r="AV17" s="137"/>
      <c r="AW17" s="137">
        <f t="shared" si="0"/>
        <v>0</v>
      </c>
      <c r="AX17" s="137">
        <f t="shared" si="1"/>
        <v>0</v>
      </c>
      <c r="AY17" s="137">
        <f t="shared" si="2"/>
        <v>0</v>
      </c>
      <c r="AZ17" s="137">
        <f t="shared" si="3"/>
        <v>0</v>
      </c>
      <c r="BA17" s="137">
        <f t="shared" si="4"/>
        <v>0</v>
      </c>
      <c r="BB17" s="137">
        <f t="shared" si="5"/>
        <v>0</v>
      </c>
      <c r="BC17" s="137">
        <f t="shared" si="6"/>
        <v>0</v>
      </c>
      <c r="BD17" s="137">
        <f t="shared" si="7"/>
        <v>0</v>
      </c>
      <c r="BE17" s="137">
        <f t="shared" si="8"/>
        <v>0</v>
      </c>
      <c r="BF17" s="137">
        <f t="shared" si="9"/>
        <v>0</v>
      </c>
      <c r="BG17" s="137">
        <f t="shared" si="10"/>
        <v>0</v>
      </c>
    </row>
    <row r="18" spans="1:59" ht="17.25" customHeight="1">
      <c r="A18" s="144" t="s">
        <v>128</v>
      </c>
      <c r="B18" s="134">
        <f>'Расходы на ЗП ОТ'!B18</f>
        <v>0</v>
      </c>
      <c r="C18" s="137">
        <f>'Расходы на ЗП ОТ'!C18</f>
        <v>0</v>
      </c>
      <c r="D18" s="137">
        <f>'Расходы на ЗП ОТ'!D18</f>
        <v>0</v>
      </c>
      <c r="E18" s="137">
        <f>'Расходы на ЗП ОТ'!E18</f>
        <v>0</v>
      </c>
      <c r="F18" s="137">
        <f>'Расходы на ЗП ОТ'!F18</f>
        <v>0</v>
      </c>
      <c r="G18" s="137">
        <f>'Расходы на ЗП ОТ'!G18</f>
        <v>0</v>
      </c>
      <c r="H18" s="137">
        <f>'Расходы на ЗП ОТ'!H18</f>
        <v>0</v>
      </c>
      <c r="I18" s="137">
        <f>'Расходы на ЗП ОТ'!I18</f>
        <v>0</v>
      </c>
      <c r="J18" s="137">
        <f>'Расходы на ЗП ОТ'!J18</f>
        <v>0</v>
      </c>
      <c r="K18" s="137">
        <f>'Расходы на ЗП ОТ'!K18</f>
        <v>0</v>
      </c>
      <c r="L18" s="137">
        <f>'Расходы на ЗП ОТ'!L18</f>
        <v>0</v>
      </c>
      <c r="M18" s="137">
        <f>'Расходы на ЗП ОТ'!M18</f>
        <v>0</v>
      </c>
      <c r="N18" s="137">
        <f>'Расходы на ЗП ОТ'!N18</f>
        <v>0</v>
      </c>
      <c r="O18" s="137">
        <f>'Расходы на ЗП ОТ'!O18</f>
        <v>0</v>
      </c>
      <c r="P18" s="137">
        <f>'Расходы на ЗП ОТ'!P18</f>
        <v>0</v>
      </c>
      <c r="Q18" s="137">
        <f>'Расходы на ЗП ОТ'!Q18</f>
        <v>0</v>
      </c>
      <c r="R18" s="137">
        <f>'Расходы на ЗП ОТ'!R18</f>
        <v>0</v>
      </c>
      <c r="S18" s="137">
        <f>'Расходы на ЗП ОТ'!S18</f>
        <v>0</v>
      </c>
      <c r="T18" s="137">
        <f>'Расходы на ЗП ОТ'!T18</f>
        <v>0</v>
      </c>
      <c r="U18" s="137">
        <f>'Расходы на ЗП ОТ'!U18</f>
        <v>0</v>
      </c>
      <c r="V18" s="137">
        <f>'Расходы на ЗП ОТ'!V18</f>
        <v>0</v>
      </c>
      <c r="W18" s="137">
        <f>'Расходы на ЗП ОТ'!W18</f>
        <v>0</v>
      </c>
      <c r="X18" s="137">
        <f>'Расходы на ЗП ОТ'!X18</f>
        <v>0</v>
      </c>
      <c r="Y18" s="137">
        <f>'Расходы на ЗП ОТ'!Y18</f>
        <v>0</v>
      </c>
      <c r="Z18" s="137">
        <f>'Расходы на ЗП ОТ'!Z18</f>
        <v>0</v>
      </c>
      <c r="AA18" s="137">
        <f>'Расходы на ЗП ОТ'!AA18</f>
        <v>0</v>
      </c>
      <c r="AB18" s="137">
        <f>'Расходы на ЗП ОТ'!AB18</f>
        <v>0</v>
      </c>
      <c r="AC18" s="137">
        <f>'Расходы на ЗП ОТ'!AC18</f>
        <v>0</v>
      </c>
      <c r="AD18" s="137">
        <f>'Расходы на ЗП ОТ'!AD18</f>
        <v>0</v>
      </c>
      <c r="AE18" s="137">
        <f>'Расходы на ЗП ОТ'!AE18</f>
        <v>0</v>
      </c>
      <c r="AF18" s="137">
        <f>'Расходы на ЗП ОТ'!AF18</f>
        <v>0</v>
      </c>
      <c r="AG18" s="137">
        <f>'Расходы на ЗП ОТ'!AG18</f>
        <v>0</v>
      </c>
      <c r="AH18" s="137">
        <f>'Расходы на ЗП ОТ'!AH18</f>
        <v>0</v>
      </c>
      <c r="AI18" s="137">
        <f>'Расходы на ЗП ОТ'!AI18</f>
        <v>0</v>
      </c>
      <c r="AJ18" s="137">
        <f>'Расходы на ЗП ОТ'!AJ18</f>
        <v>0</v>
      </c>
      <c r="AK18" s="137">
        <f>'Расходы на ЗП ОТ'!AK18</f>
        <v>0</v>
      </c>
      <c r="AL18" s="137">
        <f>'Расходы на ЗП ОТ'!AL18</f>
        <v>0</v>
      </c>
      <c r="AM18" s="137">
        <f>'Расходы на ЗП ОТ'!AM18</f>
        <v>0</v>
      </c>
      <c r="AN18" s="137">
        <f>'Расходы на ЗП ОТ'!AN18</f>
        <v>0</v>
      </c>
      <c r="AO18" s="137">
        <f>'Расходы на ЗП ОТ'!AO18</f>
        <v>0</v>
      </c>
      <c r="AP18" s="137">
        <f>'Расходы на ЗП ОТ'!AP18</f>
        <v>0</v>
      </c>
      <c r="AQ18" s="137">
        <f>'Расходы на ЗП ОТ'!AQ18</f>
        <v>0</v>
      </c>
      <c r="AR18" s="137">
        <f>'Расходы на ЗП ОТ'!AR18</f>
        <v>0</v>
      </c>
      <c r="AS18" s="137">
        <f>'Расходы на ЗП ОТ'!AS18</f>
        <v>0</v>
      </c>
      <c r="AT18" s="137">
        <f>'Расходы на ЗП ОТ'!AT18</f>
        <v>0</v>
      </c>
      <c r="AU18" s="137">
        <f>'Расходы на ЗП ОТ'!AU18</f>
        <v>0</v>
      </c>
      <c r="AV18" s="137"/>
      <c r="AW18" s="137">
        <f t="shared" si="0"/>
        <v>0</v>
      </c>
      <c r="AX18" s="137">
        <f t="shared" si="1"/>
        <v>0</v>
      </c>
      <c r="AY18" s="137">
        <f t="shared" si="2"/>
        <v>0</v>
      </c>
      <c r="AZ18" s="137">
        <f t="shared" si="3"/>
        <v>0</v>
      </c>
      <c r="BA18" s="137">
        <f t="shared" si="4"/>
        <v>0</v>
      </c>
      <c r="BB18" s="137">
        <f t="shared" si="5"/>
        <v>0</v>
      </c>
      <c r="BC18" s="137">
        <f t="shared" si="6"/>
        <v>0</v>
      </c>
      <c r="BD18" s="137">
        <f t="shared" si="7"/>
        <v>0</v>
      </c>
      <c r="BE18" s="137">
        <f t="shared" si="8"/>
        <v>0</v>
      </c>
      <c r="BF18" s="137">
        <f t="shared" si="9"/>
        <v>0</v>
      </c>
      <c r="BG18" s="137">
        <f t="shared" si="10"/>
        <v>0</v>
      </c>
    </row>
    <row r="19" spans="1:59" ht="23.25" customHeight="1">
      <c r="A19" s="144" t="s">
        <v>129</v>
      </c>
      <c r="B19" s="134">
        <f>'Расходы на ЗП ОТ'!B19</f>
        <v>0</v>
      </c>
      <c r="C19" s="137">
        <f>'Расходы на ЗП ОТ'!C19</f>
        <v>0</v>
      </c>
      <c r="D19" s="137">
        <f>'Расходы на ЗП ОТ'!D19</f>
        <v>0</v>
      </c>
      <c r="E19" s="137">
        <f>'Расходы на ЗП ОТ'!E19</f>
        <v>0</v>
      </c>
      <c r="F19" s="137">
        <f>'Расходы на ЗП ОТ'!F19</f>
        <v>0</v>
      </c>
      <c r="G19" s="137" t="str">
        <f>'Расходы на ЗП ОТ'!G19</f>
        <v xml:space="preserve">  </v>
      </c>
      <c r="H19" s="137">
        <f>'Расходы на ЗП ОТ'!H19</f>
        <v>0</v>
      </c>
      <c r="I19" s="137">
        <f>'Расходы на ЗП ОТ'!I19</f>
        <v>0</v>
      </c>
      <c r="J19" s="137">
        <f>'Расходы на ЗП ОТ'!J19</f>
        <v>0</v>
      </c>
      <c r="K19" s="137">
        <f>'Расходы на ЗП ОТ'!K19</f>
        <v>0</v>
      </c>
      <c r="L19" s="137">
        <f>'Расходы на ЗП ОТ'!L19</f>
        <v>0</v>
      </c>
      <c r="M19" s="137">
        <f>'Расходы на ЗП ОТ'!M19</f>
        <v>0</v>
      </c>
      <c r="N19" s="137">
        <f>'Расходы на ЗП ОТ'!N19</f>
        <v>0</v>
      </c>
      <c r="O19" s="137">
        <f>'Расходы на ЗП ОТ'!O19</f>
        <v>0</v>
      </c>
      <c r="P19" s="137">
        <f>'Расходы на ЗП ОТ'!P19</f>
        <v>0</v>
      </c>
      <c r="Q19" s="137">
        <f>'Расходы на ЗП ОТ'!Q19</f>
        <v>0</v>
      </c>
      <c r="R19" s="137">
        <f>'Расходы на ЗП ОТ'!R19</f>
        <v>0</v>
      </c>
      <c r="S19" s="137">
        <f>'Расходы на ЗП ОТ'!S19</f>
        <v>0</v>
      </c>
      <c r="T19" s="137">
        <f>'Расходы на ЗП ОТ'!T19</f>
        <v>0</v>
      </c>
      <c r="U19" s="137">
        <f>'Расходы на ЗП ОТ'!U19</f>
        <v>0</v>
      </c>
      <c r="V19" s="137">
        <f>'Расходы на ЗП ОТ'!V19</f>
        <v>0</v>
      </c>
      <c r="W19" s="137">
        <f>'Расходы на ЗП ОТ'!W19</f>
        <v>0</v>
      </c>
      <c r="X19" s="137">
        <f>'Расходы на ЗП ОТ'!X19</f>
        <v>0</v>
      </c>
      <c r="Y19" s="137">
        <f>'Расходы на ЗП ОТ'!Y19</f>
        <v>0</v>
      </c>
      <c r="Z19" s="137">
        <f>'Расходы на ЗП ОТ'!Z19</f>
        <v>0</v>
      </c>
      <c r="AA19" s="137">
        <f>'Расходы на ЗП ОТ'!AA19</f>
        <v>0</v>
      </c>
      <c r="AB19" s="137">
        <f>'Расходы на ЗП ОТ'!AB19</f>
        <v>0</v>
      </c>
      <c r="AC19" s="137">
        <f>'Расходы на ЗП ОТ'!AC19</f>
        <v>0</v>
      </c>
      <c r="AD19" s="137">
        <f>'Расходы на ЗП ОТ'!AD19</f>
        <v>0</v>
      </c>
      <c r="AE19" s="137">
        <f>'Расходы на ЗП ОТ'!AE19</f>
        <v>0</v>
      </c>
      <c r="AF19" s="137">
        <f>'Расходы на ЗП ОТ'!AF19</f>
        <v>0</v>
      </c>
      <c r="AG19" s="137">
        <f>'Расходы на ЗП ОТ'!AG19</f>
        <v>0</v>
      </c>
      <c r="AH19" s="137">
        <f>'Расходы на ЗП ОТ'!AH19</f>
        <v>0</v>
      </c>
      <c r="AI19" s="137">
        <f>'Расходы на ЗП ОТ'!AI19</f>
        <v>0</v>
      </c>
      <c r="AJ19" s="137">
        <f>'Расходы на ЗП ОТ'!AJ19</f>
        <v>0</v>
      </c>
      <c r="AK19" s="137">
        <f>'Расходы на ЗП ОТ'!AK19</f>
        <v>0</v>
      </c>
      <c r="AL19" s="137">
        <f>'Расходы на ЗП ОТ'!AL19</f>
        <v>0</v>
      </c>
      <c r="AM19" s="137">
        <f>'Расходы на ЗП ОТ'!AM19</f>
        <v>0</v>
      </c>
      <c r="AN19" s="137">
        <f>'Расходы на ЗП ОТ'!AN19</f>
        <v>0</v>
      </c>
      <c r="AO19" s="137">
        <f>'Расходы на ЗП ОТ'!AO19</f>
        <v>0</v>
      </c>
      <c r="AP19" s="137">
        <f>'Расходы на ЗП ОТ'!AP19</f>
        <v>0</v>
      </c>
      <c r="AQ19" s="137">
        <f>'Расходы на ЗП ОТ'!AQ19</f>
        <v>0</v>
      </c>
      <c r="AR19" s="137">
        <f>'Расходы на ЗП ОТ'!AR19</f>
        <v>0</v>
      </c>
      <c r="AS19" s="137">
        <f>'Расходы на ЗП ОТ'!AS19</f>
        <v>0</v>
      </c>
      <c r="AT19" s="137">
        <f>'Расходы на ЗП ОТ'!AT19</f>
        <v>0</v>
      </c>
      <c r="AU19" s="137">
        <f>'Расходы на ЗП ОТ'!AU19</f>
        <v>0</v>
      </c>
      <c r="AV19" s="137"/>
      <c r="AW19" s="137">
        <f t="shared" si="0"/>
        <v>0</v>
      </c>
      <c r="AX19" s="137">
        <f t="shared" si="1"/>
        <v>0</v>
      </c>
      <c r="AY19" s="137">
        <f t="shared" si="2"/>
        <v>0</v>
      </c>
      <c r="AZ19" s="137">
        <f t="shared" si="3"/>
        <v>0</v>
      </c>
      <c r="BA19" s="137">
        <f t="shared" si="4"/>
        <v>0</v>
      </c>
      <c r="BB19" s="137">
        <f t="shared" si="5"/>
        <v>0</v>
      </c>
      <c r="BC19" s="137">
        <f t="shared" si="6"/>
        <v>0</v>
      </c>
      <c r="BD19" s="137">
        <f t="shared" si="7"/>
        <v>0</v>
      </c>
      <c r="BE19" s="137">
        <f t="shared" si="8"/>
        <v>0</v>
      </c>
      <c r="BF19" s="137">
        <f t="shared" si="9"/>
        <v>0</v>
      </c>
      <c r="BG19" s="137">
        <f t="shared" si="10"/>
        <v>0</v>
      </c>
    </row>
    <row r="20" spans="1:59" ht="19.5" customHeight="1">
      <c r="A20" s="144" t="s">
        <v>131</v>
      </c>
      <c r="B20" s="134">
        <f>'Расходы на ЗП ОТ'!B20</f>
        <v>0</v>
      </c>
      <c r="C20" s="137">
        <f>'Расходы на ЗП ОТ'!C20</f>
        <v>0</v>
      </c>
      <c r="D20" s="137">
        <f>'Расходы на ЗП ОТ'!D20</f>
        <v>0</v>
      </c>
      <c r="E20" s="137">
        <f>'Расходы на ЗП ОТ'!E20</f>
        <v>0</v>
      </c>
      <c r="F20" s="137">
        <f>'Расходы на ЗП ОТ'!F20</f>
        <v>0</v>
      </c>
      <c r="G20" s="137">
        <f>'Расходы на ЗП ОТ'!G20</f>
        <v>0</v>
      </c>
      <c r="H20" s="137">
        <f>'Расходы на ЗП ОТ'!H20</f>
        <v>0</v>
      </c>
      <c r="I20" s="137">
        <f>'Расходы на ЗП ОТ'!I20</f>
        <v>0</v>
      </c>
      <c r="J20" s="137">
        <f>'Расходы на ЗП ОТ'!J20</f>
        <v>0</v>
      </c>
      <c r="K20" s="137">
        <f>'Расходы на ЗП ОТ'!K20</f>
        <v>0</v>
      </c>
      <c r="L20" s="137">
        <f>'Расходы на ЗП ОТ'!L20</f>
        <v>0</v>
      </c>
      <c r="M20" s="137">
        <f>'Расходы на ЗП ОТ'!M20</f>
        <v>0</v>
      </c>
      <c r="N20" s="137">
        <f>'Расходы на ЗП ОТ'!N20</f>
        <v>0</v>
      </c>
      <c r="O20" s="137">
        <f>'Расходы на ЗП ОТ'!O20</f>
        <v>0</v>
      </c>
      <c r="P20" s="137">
        <f>'Расходы на ЗП ОТ'!P20</f>
        <v>0</v>
      </c>
      <c r="Q20" s="137">
        <f>'Расходы на ЗП ОТ'!Q20</f>
        <v>0</v>
      </c>
      <c r="R20" s="137">
        <f>'Расходы на ЗП ОТ'!R20</f>
        <v>0</v>
      </c>
      <c r="S20" s="137">
        <f>'Расходы на ЗП ОТ'!S20</f>
        <v>0</v>
      </c>
      <c r="T20" s="137">
        <f>'Расходы на ЗП ОТ'!T20</f>
        <v>0</v>
      </c>
      <c r="U20" s="137">
        <f>'Расходы на ЗП ОТ'!U20</f>
        <v>0</v>
      </c>
      <c r="V20" s="137">
        <f>'Расходы на ЗП ОТ'!V20</f>
        <v>0</v>
      </c>
      <c r="W20" s="137">
        <f>'Расходы на ЗП ОТ'!W20</f>
        <v>0</v>
      </c>
      <c r="X20" s="137">
        <f>'Расходы на ЗП ОТ'!X20</f>
        <v>0</v>
      </c>
      <c r="Y20" s="137">
        <f>'Расходы на ЗП ОТ'!Y20</f>
        <v>0</v>
      </c>
      <c r="Z20" s="137">
        <f>'Расходы на ЗП ОТ'!Z20</f>
        <v>0</v>
      </c>
      <c r="AA20" s="137">
        <f>'Расходы на ЗП ОТ'!AA20</f>
        <v>0</v>
      </c>
      <c r="AB20" s="137">
        <f>'Расходы на ЗП ОТ'!AB20</f>
        <v>0</v>
      </c>
      <c r="AC20" s="137">
        <f>'Расходы на ЗП ОТ'!AC20</f>
        <v>0</v>
      </c>
      <c r="AD20" s="137">
        <f>'Расходы на ЗП ОТ'!AD20</f>
        <v>0</v>
      </c>
      <c r="AE20" s="137">
        <f>'Расходы на ЗП ОТ'!AE20</f>
        <v>0</v>
      </c>
      <c r="AF20" s="137">
        <f>'Расходы на ЗП ОТ'!AF20</f>
        <v>0</v>
      </c>
      <c r="AG20" s="137">
        <f>'Расходы на ЗП ОТ'!AG20</f>
        <v>0</v>
      </c>
      <c r="AH20" s="137">
        <f>'Расходы на ЗП ОТ'!AH20</f>
        <v>0</v>
      </c>
      <c r="AI20" s="137">
        <f>'Расходы на ЗП ОТ'!AI20</f>
        <v>0</v>
      </c>
      <c r="AJ20" s="137">
        <f>'Расходы на ЗП ОТ'!AJ20</f>
        <v>0</v>
      </c>
      <c r="AK20" s="137">
        <f>'Расходы на ЗП ОТ'!AK20</f>
        <v>0</v>
      </c>
      <c r="AL20" s="137">
        <f>'Расходы на ЗП ОТ'!AL20</f>
        <v>0</v>
      </c>
      <c r="AM20" s="137">
        <f>'Расходы на ЗП ОТ'!AM20</f>
        <v>0</v>
      </c>
      <c r="AN20" s="137">
        <f>'Расходы на ЗП ОТ'!AN20</f>
        <v>0</v>
      </c>
      <c r="AO20" s="137">
        <f>'Расходы на ЗП ОТ'!AO20</f>
        <v>0</v>
      </c>
      <c r="AP20" s="137">
        <f>'Расходы на ЗП ОТ'!AP20</f>
        <v>0</v>
      </c>
      <c r="AQ20" s="137">
        <f>'Расходы на ЗП ОТ'!AQ20</f>
        <v>0</v>
      </c>
      <c r="AR20" s="137">
        <f>'Расходы на ЗП ОТ'!AR20</f>
        <v>0</v>
      </c>
      <c r="AS20" s="137">
        <f>'Расходы на ЗП ОТ'!AS20</f>
        <v>0</v>
      </c>
      <c r="AT20" s="137">
        <f>'Расходы на ЗП ОТ'!AT20</f>
        <v>0</v>
      </c>
      <c r="AU20" s="137">
        <f>'Расходы на ЗП ОТ'!AU20</f>
        <v>0</v>
      </c>
      <c r="AV20" s="137"/>
      <c r="AW20" s="137">
        <f t="shared" si="0"/>
        <v>0</v>
      </c>
      <c r="AX20" s="137">
        <f t="shared" si="1"/>
        <v>0</v>
      </c>
      <c r="AY20" s="137">
        <f t="shared" si="2"/>
        <v>0</v>
      </c>
      <c r="AZ20" s="137">
        <f t="shared" si="3"/>
        <v>0</v>
      </c>
      <c r="BA20" s="137">
        <f t="shared" si="4"/>
        <v>0</v>
      </c>
      <c r="BB20" s="137">
        <f t="shared" si="5"/>
        <v>0</v>
      </c>
      <c r="BC20" s="137">
        <f t="shared" si="6"/>
        <v>0</v>
      </c>
      <c r="BD20" s="137">
        <f t="shared" si="7"/>
        <v>0</v>
      </c>
      <c r="BE20" s="137">
        <f t="shared" si="8"/>
        <v>0</v>
      </c>
      <c r="BF20" s="137">
        <f t="shared" si="9"/>
        <v>0</v>
      </c>
      <c r="BG20" s="137">
        <f t="shared" si="10"/>
        <v>0</v>
      </c>
    </row>
    <row r="21" spans="1:59" ht="19.5" customHeight="1">
      <c r="A21" s="144" t="s">
        <v>132</v>
      </c>
      <c r="B21" s="134">
        <f>'Расходы на ЗП ОТ'!B21</f>
        <v>0</v>
      </c>
      <c r="C21" s="137">
        <f>'Расходы на ЗП ОТ'!C21</f>
        <v>0</v>
      </c>
      <c r="D21" s="137">
        <f>'Расходы на ЗП ОТ'!D21</f>
        <v>0</v>
      </c>
      <c r="E21" s="137">
        <f>'Расходы на ЗП ОТ'!E21</f>
        <v>0</v>
      </c>
      <c r="F21" s="137">
        <f>'Расходы на ЗП ОТ'!F21</f>
        <v>0</v>
      </c>
      <c r="G21" s="137">
        <f>'Расходы на ЗП ОТ'!G21</f>
        <v>0</v>
      </c>
      <c r="H21" s="137">
        <f>'Расходы на ЗП ОТ'!H21</f>
        <v>0</v>
      </c>
      <c r="I21" s="137">
        <f>'Расходы на ЗП ОТ'!I21</f>
        <v>0</v>
      </c>
      <c r="J21" s="137">
        <f>'Расходы на ЗП ОТ'!J21</f>
        <v>0</v>
      </c>
      <c r="K21" s="137">
        <f>'Расходы на ЗП ОТ'!K21</f>
        <v>0</v>
      </c>
      <c r="L21" s="137">
        <f>'Расходы на ЗП ОТ'!L21</f>
        <v>0</v>
      </c>
      <c r="M21" s="137">
        <f>'Расходы на ЗП ОТ'!M21</f>
        <v>0</v>
      </c>
      <c r="N21" s="137">
        <f>'Расходы на ЗП ОТ'!N21</f>
        <v>0</v>
      </c>
      <c r="O21" s="137">
        <f>'Расходы на ЗП ОТ'!O21</f>
        <v>0</v>
      </c>
      <c r="P21" s="137">
        <f>'Расходы на ЗП ОТ'!P21</f>
        <v>0</v>
      </c>
      <c r="Q21" s="137">
        <f>'Расходы на ЗП ОТ'!Q21</f>
        <v>0</v>
      </c>
      <c r="R21" s="137">
        <f>'Расходы на ЗП ОТ'!R21</f>
        <v>0</v>
      </c>
      <c r="S21" s="137">
        <f>'Расходы на ЗП ОТ'!S21</f>
        <v>0</v>
      </c>
      <c r="T21" s="137">
        <f>'Расходы на ЗП ОТ'!T21</f>
        <v>0</v>
      </c>
      <c r="U21" s="137">
        <f>'Расходы на ЗП ОТ'!U21</f>
        <v>0</v>
      </c>
      <c r="V21" s="137">
        <f>'Расходы на ЗП ОТ'!V21</f>
        <v>0</v>
      </c>
      <c r="W21" s="137">
        <f>'Расходы на ЗП ОТ'!W21</f>
        <v>0</v>
      </c>
      <c r="X21" s="137">
        <f>'Расходы на ЗП ОТ'!X21</f>
        <v>0</v>
      </c>
      <c r="Y21" s="137">
        <f>'Расходы на ЗП ОТ'!Y21</f>
        <v>0</v>
      </c>
      <c r="Z21" s="137">
        <f>'Расходы на ЗП ОТ'!Z21</f>
        <v>0</v>
      </c>
      <c r="AA21" s="137">
        <f>'Расходы на ЗП ОТ'!AA21</f>
        <v>0</v>
      </c>
      <c r="AB21" s="137">
        <f>'Расходы на ЗП ОТ'!AB21</f>
        <v>0</v>
      </c>
      <c r="AC21" s="137">
        <f>'Расходы на ЗП ОТ'!AC21</f>
        <v>0</v>
      </c>
      <c r="AD21" s="137">
        <f>'Расходы на ЗП ОТ'!AD21</f>
        <v>0</v>
      </c>
      <c r="AE21" s="137">
        <f>'Расходы на ЗП ОТ'!AE21</f>
        <v>0</v>
      </c>
      <c r="AF21" s="137">
        <f>'Расходы на ЗП ОТ'!AF21</f>
        <v>0</v>
      </c>
      <c r="AG21" s="137">
        <f>'Расходы на ЗП ОТ'!AG21</f>
        <v>0</v>
      </c>
      <c r="AH21" s="137">
        <f>'Расходы на ЗП ОТ'!AH21</f>
        <v>0</v>
      </c>
      <c r="AI21" s="137">
        <f>'Расходы на ЗП ОТ'!AI21</f>
        <v>0</v>
      </c>
      <c r="AJ21" s="137">
        <f>'Расходы на ЗП ОТ'!AJ21</f>
        <v>0</v>
      </c>
      <c r="AK21" s="137">
        <f>'Расходы на ЗП ОТ'!AK21</f>
        <v>0</v>
      </c>
      <c r="AL21" s="137">
        <f>'Расходы на ЗП ОТ'!AL21</f>
        <v>0</v>
      </c>
      <c r="AM21" s="137">
        <f>'Расходы на ЗП ОТ'!AM21</f>
        <v>0</v>
      </c>
      <c r="AN21" s="137">
        <f>'Расходы на ЗП ОТ'!AN21</f>
        <v>0</v>
      </c>
      <c r="AO21" s="137">
        <f>'Расходы на ЗП ОТ'!AO21</f>
        <v>0</v>
      </c>
      <c r="AP21" s="137">
        <f>'Расходы на ЗП ОТ'!AP21</f>
        <v>0</v>
      </c>
      <c r="AQ21" s="137">
        <f>'Расходы на ЗП ОТ'!AQ21</f>
        <v>0</v>
      </c>
      <c r="AR21" s="137">
        <f>'Расходы на ЗП ОТ'!AR21</f>
        <v>0</v>
      </c>
      <c r="AS21" s="137">
        <f>'Расходы на ЗП ОТ'!AS21</f>
        <v>0</v>
      </c>
      <c r="AT21" s="137">
        <f>'Расходы на ЗП ОТ'!AT21</f>
        <v>0</v>
      </c>
      <c r="AU21" s="137">
        <f>'Расходы на ЗП ОТ'!AU21</f>
        <v>0</v>
      </c>
      <c r="AV21" s="137"/>
      <c r="AW21" s="137">
        <f t="shared" si="0"/>
        <v>0</v>
      </c>
      <c r="AX21" s="137">
        <f t="shared" si="1"/>
        <v>0</v>
      </c>
      <c r="AY21" s="137">
        <f t="shared" si="2"/>
        <v>0</v>
      </c>
      <c r="AZ21" s="137">
        <f t="shared" si="3"/>
        <v>0</v>
      </c>
      <c r="BA21" s="137">
        <f t="shared" si="4"/>
        <v>0</v>
      </c>
      <c r="BB21" s="137">
        <f t="shared" si="5"/>
        <v>0</v>
      </c>
      <c r="BC21" s="137">
        <f t="shared" si="6"/>
        <v>0</v>
      </c>
      <c r="BD21" s="137">
        <f t="shared" si="7"/>
        <v>0</v>
      </c>
      <c r="BE21" s="137">
        <f t="shared" si="8"/>
        <v>0</v>
      </c>
      <c r="BF21" s="137">
        <f t="shared" si="9"/>
        <v>0</v>
      </c>
      <c r="BG21" s="137">
        <f t="shared" si="10"/>
        <v>0</v>
      </c>
    </row>
    <row r="22" spans="1:59" ht="15.75" customHeight="1">
      <c r="A22" s="144" t="s">
        <v>133</v>
      </c>
      <c r="B22" s="134">
        <f>'Расходы на ЗП ОТ'!B22</f>
        <v>0</v>
      </c>
      <c r="C22" s="137">
        <f>'Расходы на ЗП ОТ'!C22</f>
        <v>0</v>
      </c>
      <c r="D22" s="137">
        <f>'Расходы на ЗП ОТ'!D22</f>
        <v>0</v>
      </c>
      <c r="E22" s="137">
        <f>'Расходы на ЗП ОТ'!E22</f>
        <v>0</v>
      </c>
      <c r="F22" s="137">
        <f>'Расходы на ЗП ОТ'!F22</f>
        <v>0</v>
      </c>
      <c r="G22" s="137">
        <f>'Расходы на ЗП ОТ'!G22</f>
        <v>0</v>
      </c>
      <c r="H22" s="137">
        <f>'Расходы на ЗП ОТ'!H22</f>
        <v>0</v>
      </c>
      <c r="I22" s="137">
        <f>'Расходы на ЗП ОТ'!I22</f>
        <v>0</v>
      </c>
      <c r="J22" s="137">
        <f>'Расходы на ЗП ОТ'!J22</f>
        <v>0</v>
      </c>
      <c r="K22" s="137">
        <f>'Расходы на ЗП ОТ'!K22</f>
        <v>0</v>
      </c>
      <c r="L22" s="137">
        <f>'Расходы на ЗП ОТ'!L22</f>
        <v>0</v>
      </c>
      <c r="M22" s="137">
        <f>'Расходы на ЗП ОТ'!M22</f>
        <v>0</v>
      </c>
      <c r="N22" s="137">
        <f>'Расходы на ЗП ОТ'!N22</f>
        <v>0</v>
      </c>
      <c r="O22" s="137">
        <f>'Расходы на ЗП ОТ'!O22</f>
        <v>0</v>
      </c>
      <c r="P22" s="137">
        <f>'Расходы на ЗП ОТ'!P22</f>
        <v>0</v>
      </c>
      <c r="Q22" s="137">
        <f>'Расходы на ЗП ОТ'!Q22</f>
        <v>0</v>
      </c>
      <c r="R22" s="137">
        <f>'Расходы на ЗП ОТ'!R22</f>
        <v>0</v>
      </c>
      <c r="S22" s="137">
        <f>'Расходы на ЗП ОТ'!S22</f>
        <v>0</v>
      </c>
      <c r="T22" s="137">
        <f>'Расходы на ЗП ОТ'!T22</f>
        <v>0</v>
      </c>
      <c r="U22" s="137">
        <f>'Расходы на ЗП ОТ'!U22</f>
        <v>0</v>
      </c>
      <c r="V22" s="137">
        <f>'Расходы на ЗП ОТ'!V22</f>
        <v>0</v>
      </c>
      <c r="W22" s="137">
        <f>'Расходы на ЗП ОТ'!W22</f>
        <v>0</v>
      </c>
      <c r="X22" s="137">
        <f>'Расходы на ЗП ОТ'!X22</f>
        <v>0</v>
      </c>
      <c r="Y22" s="137">
        <f>'Расходы на ЗП ОТ'!Y22</f>
        <v>0</v>
      </c>
      <c r="Z22" s="137">
        <f>'Расходы на ЗП ОТ'!Z22</f>
        <v>0</v>
      </c>
      <c r="AA22" s="137">
        <f>'Расходы на ЗП ОТ'!AA22</f>
        <v>0</v>
      </c>
      <c r="AB22" s="137">
        <f>'Расходы на ЗП ОТ'!AB22</f>
        <v>0</v>
      </c>
      <c r="AC22" s="137">
        <f>'Расходы на ЗП ОТ'!AC22</f>
        <v>0</v>
      </c>
      <c r="AD22" s="137">
        <f>'Расходы на ЗП ОТ'!AD22</f>
        <v>0</v>
      </c>
      <c r="AE22" s="137">
        <f>'Расходы на ЗП ОТ'!AE22</f>
        <v>0</v>
      </c>
      <c r="AF22" s="137">
        <f>'Расходы на ЗП ОТ'!AF22</f>
        <v>0</v>
      </c>
      <c r="AG22" s="137">
        <f>'Расходы на ЗП ОТ'!AG22</f>
        <v>0</v>
      </c>
      <c r="AH22" s="137">
        <f>'Расходы на ЗП ОТ'!AH22</f>
        <v>0</v>
      </c>
      <c r="AI22" s="137">
        <f>'Расходы на ЗП ОТ'!AI22</f>
        <v>0</v>
      </c>
      <c r="AJ22" s="137">
        <f>'Расходы на ЗП ОТ'!AJ22</f>
        <v>0</v>
      </c>
      <c r="AK22" s="137">
        <f>'Расходы на ЗП ОТ'!AK22</f>
        <v>0</v>
      </c>
      <c r="AL22" s="137">
        <f>'Расходы на ЗП ОТ'!AL22</f>
        <v>0</v>
      </c>
      <c r="AM22" s="137">
        <f>'Расходы на ЗП ОТ'!AM22</f>
        <v>0</v>
      </c>
      <c r="AN22" s="137">
        <f>'Расходы на ЗП ОТ'!AN22</f>
        <v>0</v>
      </c>
      <c r="AO22" s="137">
        <f>'Расходы на ЗП ОТ'!AO22</f>
        <v>0</v>
      </c>
      <c r="AP22" s="137">
        <f>'Расходы на ЗП ОТ'!AP22</f>
        <v>0</v>
      </c>
      <c r="AQ22" s="137">
        <f>'Расходы на ЗП ОТ'!AQ22</f>
        <v>0</v>
      </c>
      <c r="AR22" s="137">
        <f>'Расходы на ЗП ОТ'!AR22</f>
        <v>0</v>
      </c>
      <c r="AS22" s="137">
        <f>'Расходы на ЗП ОТ'!AS22</f>
        <v>0</v>
      </c>
      <c r="AT22" s="137">
        <f>'Расходы на ЗП ОТ'!AT22</f>
        <v>0</v>
      </c>
      <c r="AU22" s="137">
        <f>'Расходы на ЗП ОТ'!AU22</f>
        <v>0</v>
      </c>
      <c r="AV22" s="137"/>
      <c r="AW22" s="137">
        <f t="shared" si="0"/>
        <v>0</v>
      </c>
      <c r="AX22" s="137">
        <f t="shared" si="1"/>
        <v>0</v>
      </c>
      <c r="AY22" s="137">
        <f t="shared" si="2"/>
        <v>0</v>
      </c>
      <c r="AZ22" s="137">
        <f t="shared" si="3"/>
        <v>0</v>
      </c>
      <c r="BA22" s="137">
        <f t="shared" si="4"/>
        <v>0</v>
      </c>
      <c r="BB22" s="137">
        <f t="shared" si="5"/>
        <v>0</v>
      </c>
      <c r="BC22" s="137">
        <f t="shared" si="6"/>
        <v>0</v>
      </c>
      <c r="BD22" s="137">
        <f t="shared" si="7"/>
        <v>0</v>
      </c>
      <c r="BE22" s="137">
        <f t="shared" si="8"/>
        <v>0</v>
      </c>
      <c r="BF22" s="137">
        <f t="shared" si="9"/>
        <v>0</v>
      </c>
      <c r="BG22" s="137">
        <f t="shared" si="10"/>
        <v>0</v>
      </c>
    </row>
    <row r="23" spans="1:59" s="138" customFormat="1" ht="30" customHeight="1">
      <c r="A23" s="139" t="s">
        <v>120</v>
      </c>
      <c r="B23" s="139">
        <f>'Расходы на ЗП ОТ'!B23</f>
        <v>0</v>
      </c>
      <c r="C23" s="140">
        <f>'Расходы на ЗП ОТ'!C23</f>
        <v>0</v>
      </c>
      <c r="D23" s="140">
        <f>SUM(D18:D22)</f>
        <v>0</v>
      </c>
      <c r="E23" s="140">
        <f t="shared" ref="E23:F23" si="20">SUM(E18:E22)</f>
        <v>0</v>
      </c>
      <c r="F23" s="140">
        <f t="shared" si="20"/>
        <v>0</v>
      </c>
      <c r="G23" s="140">
        <f t="shared" ref="G23:AI23" si="21">SUM(G18:G22)</f>
        <v>0</v>
      </c>
      <c r="H23" s="140">
        <f t="shared" si="21"/>
        <v>0</v>
      </c>
      <c r="I23" s="140">
        <f t="shared" si="21"/>
        <v>0</v>
      </c>
      <c r="J23" s="140">
        <f t="shared" si="21"/>
        <v>0</v>
      </c>
      <c r="K23" s="140">
        <f t="shared" si="21"/>
        <v>0</v>
      </c>
      <c r="L23" s="140">
        <f t="shared" si="21"/>
        <v>0</v>
      </c>
      <c r="M23" s="140">
        <f t="shared" si="21"/>
        <v>0</v>
      </c>
      <c r="N23" s="140">
        <f t="shared" si="21"/>
        <v>0</v>
      </c>
      <c r="O23" s="140">
        <f t="shared" si="21"/>
        <v>0</v>
      </c>
      <c r="P23" s="140">
        <f t="shared" si="21"/>
        <v>0</v>
      </c>
      <c r="Q23" s="140">
        <f t="shared" si="21"/>
        <v>0</v>
      </c>
      <c r="R23" s="140">
        <f t="shared" si="21"/>
        <v>0</v>
      </c>
      <c r="S23" s="140">
        <f t="shared" si="21"/>
        <v>0</v>
      </c>
      <c r="T23" s="140">
        <f t="shared" si="21"/>
        <v>0</v>
      </c>
      <c r="U23" s="140">
        <f t="shared" si="21"/>
        <v>0</v>
      </c>
      <c r="V23" s="140">
        <f t="shared" si="21"/>
        <v>0</v>
      </c>
      <c r="W23" s="140">
        <f t="shared" si="21"/>
        <v>0</v>
      </c>
      <c r="X23" s="140">
        <f t="shared" si="21"/>
        <v>0</v>
      </c>
      <c r="Y23" s="140">
        <f t="shared" si="21"/>
        <v>0</v>
      </c>
      <c r="Z23" s="140">
        <f t="shared" si="21"/>
        <v>0</v>
      </c>
      <c r="AA23" s="140">
        <f t="shared" si="21"/>
        <v>0</v>
      </c>
      <c r="AB23" s="140">
        <f t="shared" si="21"/>
        <v>0</v>
      </c>
      <c r="AC23" s="140">
        <f t="shared" si="21"/>
        <v>0</v>
      </c>
      <c r="AD23" s="140">
        <f t="shared" si="21"/>
        <v>0</v>
      </c>
      <c r="AE23" s="140">
        <f t="shared" si="21"/>
        <v>0</v>
      </c>
      <c r="AF23" s="140">
        <f t="shared" si="21"/>
        <v>0</v>
      </c>
      <c r="AG23" s="140">
        <f t="shared" si="21"/>
        <v>0</v>
      </c>
      <c r="AH23" s="140">
        <f t="shared" si="21"/>
        <v>0</v>
      </c>
      <c r="AI23" s="140">
        <f t="shared" si="21"/>
        <v>0</v>
      </c>
      <c r="AJ23" s="140"/>
      <c r="AK23" s="140"/>
      <c r="AL23" s="140"/>
      <c r="AM23" s="140"/>
      <c r="AN23" s="140"/>
      <c r="AO23" s="140"/>
      <c r="AP23" s="140"/>
      <c r="AQ23" s="140">
        <f>'Расходы на ЗП ОТ'!AQ23</f>
        <v>0</v>
      </c>
      <c r="AR23" s="140">
        <f>'Расходы на ЗП ОТ'!AR23</f>
        <v>0</v>
      </c>
      <c r="AS23" s="140">
        <f>'Расходы на ЗП ОТ'!AS23</f>
        <v>0</v>
      </c>
      <c r="AT23" s="140">
        <f>'Расходы на ЗП ОТ'!AT23</f>
        <v>0</v>
      </c>
      <c r="AU23" s="140">
        <f>'Расходы на ЗП ОТ'!AU23</f>
        <v>0</v>
      </c>
      <c r="AV23" s="140"/>
      <c r="AW23" s="140">
        <f t="shared" si="0"/>
        <v>0</v>
      </c>
      <c r="AX23" s="140">
        <f t="shared" si="1"/>
        <v>0</v>
      </c>
      <c r="AY23" s="140">
        <f t="shared" si="2"/>
        <v>0</v>
      </c>
      <c r="AZ23" s="140">
        <f t="shared" si="3"/>
        <v>0</v>
      </c>
      <c r="BA23" s="140">
        <f t="shared" si="4"/>
        <v>0</v>
      </c>
      <c r="BB23" s="140">
        <f t="shared" si="5"/>
        <v>0</v>
      </c>
      <c r="BC23" s="140">
        <f t="shared" si="6"/>
        <v>0</v>
      </c>
      <c r="BD23" s="140">
        <f t="shared" si="7"/>
        <v>0</v>
      </c>
      <c r="BE23" s="140">
        <f t="shared" si="8"/>
        <v>0</v>
      </c>
      <c r="BF23" s="140">
        <f t="shared" si="9"/>
        <v>0</v>
      </c>
      <c r="BG23" s="140">
        <f t="shared" si="10"/>
        <v>0</v>
      </c>
    </row>
    <row r="24" spans="1:59" s="141" customFormat="1">
      <c r="A24" s="142" t="s">
        <v>121</v>
      </c>
      <c r="B24" s="142">
        <f>'Расходы на ЗП ОТ'!B24</f>
        <v>0</v>
      </c>
      <c r="C24" s="143">
        <f>'Расходы на ЗП ОТ'!C24</f>
        <v>0</v>
      </c>
      <c r="D24" s="143">
        <f>D23*$B$62</f>
        <v>0</v>
      </c>
      <c r="E24" s="143">
        <f t="shared" ref="E24:AP24" si="22">E23*$B$62</f>
        <v>0</v>
      </c>
      <c r="F24" s="143">
        <f t="shared" si="22"/>
        <v>0</v>
      </c>
      <c r="G24" s="143">
        <f t="shared" si="22"/>
        <v>0</v>
      </c>
      <c r="H24" s="143">
        <f t="shared" si="22"/>
        <v>0</v>
      </c>
      <c r="I24" s="143">
        <f t="shared" si="22"/>
        <v>0</v>
      </c>
      <c r="J24" s="143">
        <f t="shared" si="22"/>
        <v>0</v>
      </c>
      <c r="K24" s="143">
        <f t="shared" si="22"/>
        <v>0</v>
      </c>
      <c r="L24" s="143">
        <f t="shared" si="22"/>
        <v>0</v>
      </c>
      <c r="M24" s="143">
        <f t="shared" si="22"/>
        <v>0</v>
      </c>
      <c r="N24" s="143">
        <f t="shared" si="22"/>
        <v>0</v>
      </c>
      <c r="O24" s="143">
        <f t="shared" si="22"/>
        <v>0</v>
      </c>
      <c r="P24" s="143">
        <f t="shared" si="22"/>
        <v>0</v>
      </c>
      <c r="Q24" s="143">
        <f t="shared" si="22"/>
        <v>0</v>
      </c>
      <c r="R24" s="143">
        <f t="shared" si="22"/>
        <v>0</v>
      </c>
      <c r="S24" s="143">
        <f t="shared" si="22"/>
        <v>0</v>
      </c>
      <c r="T24" s="143">
        <f t="shared" si="22"/>
        <v>0</v>
      </c>
      <c r="U24" s="143">
        <f t="shared" si="22"/>
        <v>0</v>
      </c>
      <c r="V24" s="143">
        <f t="shared" si="22"/>
        <v>0</v>
      </c>
      <c r="W24" s="143">
        <f t="shared" si="22"/>
        <v>0</v>
      </c>
      <c r="X24" s="143">
        <f t="shared" si="22"/>
        <v>0</v>
      </c>
      <c r="Y24" s="143">
        <f t="shared" si="22"/>
        <v>0</v>
      </c>
      <c r="Z24" s="143">
        <f t="shared" si="22"/>
        <v>0</v>
      </c>
      <c r="AA24" s="143">
        <f t="shared" si="22"/>
        <v>0</v>
      </c>
      <c r="AB24" s="143">
        <f t="shared" si="22"/>
        <v>0</v>
      </c>
      <c r="AC24" s="143">
        <f t="shared" si="22"/>
        <v>0</v>
      </c>
      <c r="AD24" s="143">
        <f t="shared" si="22"/>
        <v>0</v>
      </c>
      <c r="AE24" s="143">
        <f t="shared" si="22"/>
        <v>0</v>
      </c>
      <c r="AF24" s="143">
        <f t="shared" si="22"/>
        <v>0</v>
      </c>
      <c r="AG24" s="143">
        <f t="shared" si="22"/>
        <v>0</v>
      </c>
      <c r="AH24" s="143">
        <f t="shared" si="22"/>
        <v>0</v>
      </c>
      <c r="AI24" s="143">
        <f t="shared" si="22"/>
        <v>0</v>
      </c>
      <c r="AJ24" s="143">
        <f t="shared" si="22"/>
        <v>0</v>
      </c>
      <c r="AK24" s="143">
        <f t="shared" si="22"/>
        <v>0</v>
      </c>
      <c r="AL24" s="143">
        <f t="shared" si="22"/>
        <v>0</v>
      </c>
      <c r="AM24" s="143">
        <f t="shared" si="22"/>
        <v>0</v>
      </c>
      <c r="AN24" s="143">
        <f t="shared" si="22"/>
        <v>0</v>
      </c>
      <c r="AO24" s="143">
        <f t="shared" si="22"/>
        <v>0</v>
      </c>
      <c r="AP24" s="143">
        <f t="shared" si="22"/>
        <v>0</v>
      </c>
      <c r="AQ24" s="143">
        <f>'Расходы на ЗП ОТ'!AQ24</f>
        <v>0</v>
      </c>
      <c r="AR24" s="143">
        <f>'Расходы на ЗП ОТ'!AR24</f>
        <v>0</v>
      </c>
      <c r="AS24" s="143">
        <f>'Расходы на ЗП ОТ'!AS24</f>
        <v>0</v>
      </c>
      <c r="AT24" s="143">
        <f>'Расходы на ЗП ОТ'!AT24</f>
        <v>0</v>
      </c>
      <c r="AU24" s="143">
        <f>'Расходы на ЗП ОТ'!AU24</f>
        <v>0</v>
      </c>
      <c r="AV24" s="143"/>
      <c r="AW24" s="143">
        <f t="shared" si="0"/>
        <v>0</v>
      </c>
      <c r="AX24" s="143">
        <f t="shared" si="1"/>
        <v>0</v>
      </c>
      <c r="AY24" s="143">
        <f t="shared" si="2"/>
        <v>0</v>
      </c>
      <c r="AZ24" s="143">
        <f t="shared" si="3"/>
        <v>0</v>
      </c>
      <c r="BA24" s="143">
        <f t="shared" si="4"/>
        <v>0</v>
      </c>
      <c r="BB24" s="143">
        <f t="shared" si="5"/>
        <v>0</v>
      </c>
      <c r="BC24" s="143">
        <f t="shared" si="6"/>
        <v>0</v>
      </c>
      <c r="BD24" s="143">
        <f t="shared" si="7"/>
        <v>0</v>
      </c>
      <c r="BE24" s="143">
        <f t="shared" si="8"/>
        <v>0</v>
      </c>
      <c r="BF24" s="143">
        <f t="shared" si="9"/>
        <v>0</v>
      </c>
      <c r="BG24" s="143">
        <f t="shared" si="10"/>
        <v>0</v>
      </c>
    </row>
    <row r="25" spans="1:59">
      <c r="A25" s="134" t="s">
        <v>134</v>
      </c>
      <c r="B25" s="134"/>
      <c r="C25" s="137"/>
      <c r="D25" s="137"/>
      <c r="E25" s="137"/>
      <c r="F25" s="137"/>
      <c r="G25" s="137"/>
      <c r="H25" s="137"/>
      <c r="I25" s="137"/>
      <c r="J25" s="137"/>
      <c r="K25" s="137"/>
      <c r="L25" s="137"/>
      <c r="M25" s="137"/>
      <c r="N25" s="137"/>
      <c r="O25" s="137"/>
      <c r="P25" s="137"/>
      <c r="Q25" s="137"/>
      <c r="R25" s="137"/>
      <c r="S25" s="137"/>
      <c r="T25" s="137"/>
      <c r="U25" s="137"/>
      <c r="V25" s="137"/>
      <c r="W25" s="137"/>
      <c r="X25" s="137"/>
      <c r="Y25" s="137"/>
      <c r="Z25" s="137"/>
      <c r="AA25" s="137"/>
      <c r="AB25" s="137"/>
      <c r="AC25" s="137"/>
      <c r="AD25" s="137"/>
      <c r="AE25" s="137"/>
      <c r="AF25" s="137"/>
      <c r="AG25" s="137"/>
      <c r="AH25" s="137"/>
      <c r="AI25" s="137"/>
      <c r="AJ25" s="137"/>
      <c r="AK25" s="137"/>
      <c r="AL25" s="137"/>
      <c r="AM25" s="137"/>
      <c r="AN25" s="137"/>
      <c r="AO25" s="137"/>
      <c r="AP25" s="137"/>
      <c r="AQ25" s="137"/>
      <c r="AR25" s="137"/>
      <c r="AS25" s="137"/>
      <c r="AT25" s="137"/>
      <c r="AU25" s="137"/>
      <c r="AV25" s="137"/>
      <c r="AW25" s="137">
        <f t="shared" si="0"/>
        <v>0</v>
      </c>
      <c r="AX25" s="137">
        <f t="shared" si="1"/>
        <v>0</v>
      </c>
      <c r="AY25" s="137">
        <f t="shared" si="2"/>
        <v>0</v>
      </c>
      <c r="AZ25" s="137">
        <f t="shared" si="3"/>
        <v>0</v>
      </c>
      <c r="BA25" s="137">
        <f t="shared" si="4"/>
        <v>0</v>
      </c>
      <c r="BB25" s="137">
        <f t="shared" si="5"/>
        <v>0</v>
      </c>
      <c r="BC25" s="137">
        <f t="shared" si="6"/>
        <v>0</v>
      </c>
      <c r="BD25" s="137">
        <f t="shared" si="7"/>
        <v>0</v>
      </c>
      <c r="BE25" s="137">
        <f t="shared" si="8"/>
        <v>0</v>
      </c>
      <c r="BF25" s="137">
        <f t="shared" si="9"/>
        <v>0</v>
      </c>
      <c r="BG25" s="137">
        <f t="shared" si="10"/>
        <v>0</v>
      </c>
    </row>
    <row r="26" spans="1:59" s="138" customFormat="1" ht="32.25" customHeight="1">
      <c r="A26" s="139" t="s">
        <v>120</v>
      </c>
      <c r="B26" s="139">
        <f>'Расходы на ЗП ОТ'!B26</f>
        <v>0</v>
      </c>
      <c r="C26" s="140">
        <f>'Расходы на ЗП ОТ'!C26</f>
        <v>0</v>
      </c>
      <c r="D26" s="140">
        <f>'Расходы на ЗП ОТ'!D26</f>
        <v>0</v>
      </c>
      <c r="E26" s="140">
        <f>'Расходы на ЗП ОТ'!E26</f>
        <v>0</v>
      </c>
      <c r="F26" s="140">
        <f>'Расходы на ЗП ОТ'!F26</f>
        <v>0</v>
      </c>
      <c r="G26" s="140">
        <f>'Расходы на ЗП ОТ'!G26</f>
        <v>0</v>
      </c>
      <c r="H26" s="140">
        <f>'Расходы на ЗП ОТ'!H26</f>
        <v>0</v>
      </c>
      <c r="I26" s="140">
        <f>'Расходы на ЗП ОТ'!I26</f>
        <v>0</v>
      </c>
      <c r="J26" s="140">
        <f>'Расходы на ЗП ОТ'!J26</f>
        <v>0</v>
      </c>
      <c r="K26" s="140">
        <f>'Расходы на ЗП ОТ'!K26</f>
        <v>0</v>
      </c>
      <c r="L26" s="140">
        <f>'Расходы на ЗП ОТ'!L26</f>
        <v>0</v>
      </c>
      <c r="M26" s="140">
        <f>'Расходы на ЗП ОТ'!M26</f>
        <v>0</v>
      </c>
      <c r="N26" s="140">
        <f>'Расходы на ЗП ОТ'!N26</f>
        <v>0</v>
      </c>
      <c r="O26" s="140">
        <f>'Расходы на ЗП ОТ'!O26</f>
        <v>0</v>
      </c>
      <c r="P26" s="140">
        <f>'Расходы на ЗП ОТ'!P26</f>
        <v>0</v>
      </c>
      <c r="Q26" s="140">
        <f>'Расходы на ЗП ОТ'!Q26</f>
        <v>0</v>
      </c>
      <c r="R26" s="140">
        <f>'Расходы на ЗП ОТ'!R26</f>
        <v>0</v>
      </c>
      <c r="S26" s="140">
        <f>'Расходы на ЗП ОТ'!S26</f>
        <v>0</v>
      </c>
      <c r="T26" s="140">
        <f>'Расходы на ЗП ОТ'!T26</f>
        <v>0</v>
      </c>
      <c r="U26" s="140">
        <f>'Расходы на ЗП ОТ'!U26</f>
        <v>0</v>
      </c>
      <c r="V26" s="140">
        <f>'Расходы на ЗП ОТ'!V26</f>
        <v>0</v>
      </c>
      <c r="W26" s="140">
        <f>'Расходы на ЗП ОТ'!W26</f>
        <v>0</v>
      </c>
      <c r="X26" s="140">
        <f>'Расходы на ЗП ОТ'!X26</f>
        <v>0</v>
      </c>
      <c r="Y26" s="140">
        <f>'Расходы на ЗП ОТ'!Y26</f>
        <v>0</v>
      </c>
      <c r="Z26" s="140">
        <f>'Расходы на ЗП ОТ'!Z26</f>
        <v>0</v>
      </c>
      <c r="AA26" s="140">
        <f>'Расходы на ЗП ОТ'!AA26</f>
        <v>0</v>
      </c>
      <c r="AB26" s="140">
        <f>'Расходы на ЗП ОТ'!AB26</f>
        <v>0</v>
      </c>
      <c r="AC26" s="140">
        <f>'Расходы на ЗП ОТ'!AC26</f>
        <v>0</v>
      </c>
      <c r="AD26" s="140">
        <f>'Расходы на ЗП ОТ'!AD26</f>
        <v>0</v>
      </c>
      <c r="AE26" s="140">
        <f>'Расходы на ЗП ОТ'!AE26</f>
        <v>0</v>
      </c>
      <c r="AF26" s="140">
        <f>'Расходы на ЗП ОТ'!AF26</f>
        <v>0</v>
      </c>
      <c r="AG26" s="140">
        <f>'Расходы на ЗП ОТ'!AG26</f>
        <v>0</v>
      </c>
      <c r="AH26" s="140">
        <f>'Расходы на ЗП ОТ'!AH26</f>
        <v>0</v>
      </c>
      <c r="AI26" s="140">
        <f>'Расходы на ЗП ОТ'!AI26</f>
        <v>0</v>
      </c>
      <c r="AJ26" s="140">
        <f>'Расходы на ЗП ОТ'!AJ26</f>
        <v>0</v>
      </c>
      <c r="AK26" s="140">
        <f>'Расходы на ЗП ОТ'!AK26</f>
        <v>0</v>
      </c>
      <c r="AL26" s="140">
        <f>'Расходы на ЗП ОТ'!AL26</f>
        <v>0</v>
      </c>
      <c r="AM26" s="140">
        <f>'Расходы на ЗП ОТ'!AM26</f>
        <v>0</v>
      </c>
      <c r="AN26" s="140">
        <f>'Расходы на ЗП ОТ'!AN26</f>
        <v>0</v>
      </c>
      <c r="AO26" s="140">
        <f>'Расходы на ЗП ОТ'!AO26</f>
        <v>0</v>
      </c>
      <c r="AP26" s="140">
        <f>'Расходы на ЗП ОТ'!AP26</f>
        <v>0</v>
      </c>
      <c r="AQ26" s="140">
        <f>'Расходы на ЗП ОТ'!AQ26</f>
        <v>0</v>
      </c>
      <c r="AR26" s="140">
        <f>'Расходы на ЗП ОТ'!AR26</f>
        <v>0</v>
      </c>
      <c r="AS26" s="140">
        <f>'Расходы на ЗП ОТ'!AS26</f>
        <v>0</v>
      </c>
      <c r="AT26" s="140">
        <f>'Расходы на ЗП ОТ'!AT26</f>
        <v>0</v>
      </c>
      <c r="AU26" s="140">
        <f>'Расходы на ЗП ОТ'!AU26</f>
        <v>0</v>
      </c>
      <c r="AV26" s="140"/>
      <c r="AW26" s="140">
        <f t="shared" si="0"/>
        <v>0</v>
      </c>
      <c r="AX26" s="140">
        <f t="shared" si="1"/>
        <v>0</v>
      </c>
      <c r="AY26" s="140">
        <f t="shared" si="2"/>
        <v>0</v>
      </c>
      <c r="AZ26" s="140">
        <f t="shared" si="3"/>
        <v>0</v>
      </c>
      <c r="BA26" s="140">
        <f t="shared" si="4"/>
        <v>0</v>
      </c>
      <c r="BB26" s="140">
        <f t="shared" si="5"/>
        <v>0</v>
      </c>
      <c r="BC26" s="140">
        <f t="shared" si="6"/>
        <v>0</v>
      </c>
      <c r="BD26" s="140">
        <f t="shared" si="7"/>
        <v>0</v>
      </c>
      <c r="BE26" s="140">
        <f t="shared" si="8"/>
        <v>0</v>
      </c>
      <c r="BF26" s="140">
        <f t="shared" si="9"/>
        <v>0</v>
      </c>
      <c r="BG26" s="140">
        <f t="shared" si="10"/>
        <v>0</v>
      </c>
    </row>
    <row r="27" spans="1:59" s="141" customFormat="1" ht="29.25" customHeight="1">
      <c r="A27" s="142" t="s">
        <v>121</v>
      </c>
      <c r="B27" s="142">
        <f>'Расходы на ЗП ОТ'!B27</f>
        <v>0</v>
      </c>
      <c r="C27" s="143">
        <f>'Расходы на ЗП ОТ'!C27</f>
        <v>0</v>
      </c>
      <c r="D27" s="143">
        <f>D26*$B$62</f>
        <v>0</v>
      </c>
      <c r="E27" s="143">
        <f t="shared" ref="E27:AP27" si="23">E26*$B$62</f>
        <v>0</v>
      </c>
      <c r="F27" s="143">
        <f t="shared" si="23"/>
        <v>0</v>
      </c>
      <c r="G27" s="143">
        <f t="shared" si="23"/>
        <v>0</v>
      </c>
      <c r="H27" s="143">
        <f t="shared" si="23"/>
        <v>0</v>
      </c>
      <c r="I27" s="143">
        <f t="shared" si="23"/>
        <v>0</v>
      </c>
      <c r="J27" s="143">
        <f t="shared" si="23"/>
        <v>0</v>
      </c>
      <c r="K27" s="143">
        <f t="shared" si="23"/>
        <v>0</v>
      </c>
      <c r="L27" s="143">
        <f t="shared" si="23"/>
        <v>0</v>
      </c>
      <c r="M27" s="143">
        <f t="shared" si="23"/>
        <v>0</v>
      </c>
      <c r="N27" s="143">
        <f t="shared" si="23"/>
        <v>0</v>
      </c>
      <c r="O27" s="143">
        <f t="shared" si="23"/>
        <v>0</v>
      </c>
      <c r="P27" s="143">
        <f t="shared" si="23"/>
        <v>0</v>
      </c>
      <c r="Q27" s="143">
        <f t="shared" si="23"/>
        <v>0</v>
      </c>
      <c r="R27" s="143">
        <f t="shared" si="23"/>
        <v>0</v>
      </c>
      <c r="S27" s="143">
        <f t="shared" si="23"/>
        <v>0</v>
      </c>
      <c r="T27" s="143">
        <f t="shared" si="23"/>
        <v>0</v>
      </c>
      <c r="U27" s="143">
        <f t="shared" si="23"/>
        <v>0</v>
      </c>
      <c r="V27" s="143">
        <f t="shared" si="23"/>
        <v>0</v>
      </c>
      <c r="W27" s="143">
        <f t="shared" si="23"/>
        <v>0</v>
      </c>
      <c r="X27" s="143">
        <f t="shared" si="23"/>
        <v>0</v>
      </c>
      <c r="Y27" s="143">
        <f t="shared" si="23"/>
        <v>0</v>
      </c>
      <c r="Z27" s="143">
        <f t="shared" si="23"/>
        <v>0</v>
      </c>
      <c r="AA27" s="143">
        <f t="shared" si="23"/>
        <v>0</v>
      </c>
      <c r="AB27" s="143">
        <f t="shared" si="23"/>
        <v>0</v>
      </c>
      <c r="AC27" s="143">
        <f t="shared" si="23"/>
        <v>0</v>
      </c>
      <c r="AD27" s="143">
        <f t="shared" si="23"/>
        <v>0</v>
      </c>
      <c r="AE27" s="143">
        <f t="shared" si="23"/>
        <v>0</v>
      </c>
      <c r="AF27" s="143">
        <f t="shared" si="23"/>
        <v>0</v>
      </c>
      <c r="AG27" s="143">
        <f t="shared" si="23"/>
        <v>0</v>
      </c>
      <c r="AH27" s="143">
        <f t="shared" si="23"/>
        <v>0</v>
      </c>
      <c r="AI27" s="143">
        <f t="shared" si="23"/>
        <v>0</v>
      </c>
      <c r="AJ27" s="143">
        <f t="shared" si="23"/>
        <v>0</v>
      </c>
      <c r="AK27" s="143">
        <f t="shared" si="23"/>
        <v>0</v>
      </c>
      <c r="AL27" s="143">
        <f t="shared" si="23"/>
        <v>0</v>
      </c>
      <c r="AM27" s="143">
        <f t="shared" si="23"/>
        <v>0</v>
      </c>
      <c r="AN27" s="143">
        <f t="shared" si="23"/>
        <v>0</v>
      </c>
      <c r="AO27" s="143">
        <f t="shared" si="23"/>
        <v>0</v>
      </c>
      <c r="AP27" s="143">
        <f t="shared" si="23"/>
        <v>0</v>
      </c>
      <c r="AQ27" s="143">
        <f>'Расходы на ЗП ОТ'!AQ27</f>
        <v>0</v>
      </c>
      <c r="AR27" s="143">
        <f>'Расходы на ЗП ОТ'!AR27</f>
        <v>0</v>
      </c>
      <c r="AS27" s="143">
        <f>'Расходы на ЗП ОТ'!AS27</f>
        <v>0</v>
      </c>
      <c r="AT27" s="143">
        <f>'Расходы на ЗП ОТ'!AT27</f>
        <v>0</v>
      </c>
      <c r="AU27" s="143">
        <f>'Расходы на ЗП ОТ'!AU27</f>
        <v>0</v>
      </c>
      <c r="AV27" s="143"/>
      <c r="AW27" s="143">
        <f t="shared" si="0"/>
        <v>0</v>
      </c>
      <c r="AX27" s="143">
        <f t="shared" si="1"/>
        <v>0</v>
      </c>
      <c r="AY27" s="143">
        <f t="shared" si="2"/>
        <v>0</v>
      </c>
      <c r="AZ27" s="143">
        <f t="shared" si="3"/>
        <v>0</v>
      </c>
      <c r="BA27" s="143">
        <f t="shared" si="4"/>
        <v>0</v>
      </c>
      <c r="BB27" s="143">
        <f t="shared" si="5"/>
        <v>0</v>
      </c>
      <c r="BC27" s="143">
        <f t="shared" si="6"/>
        <v>0</v>
      </c>
      <c r="BD27" s="143">
        <f t="shared" si="7"/>
        <v>0</v>
      </c>
      <c r="BE27" s="143">
        <f t="shared" si="8"/>
        <v>0</v>
      </c>
      <c r="BF27" s="143">
        <f t="shared" si="9"/>
        <v>0</v>
      </c>
      <c r="BG27" s="143">
        <f t="shared" si="10"/>
        <v>0</v>
      </c>
    </row>
    <row r="28" spans="1:59" ht="34.5" customHeight="1">
      <c r="A28" s="134" t="s">
        <v>135</v>
      </c>
      <c r="B28" s="134"/>
      <c r="C28" s="137"/>
      <c r="D28" s="137"/>
      <c r="E28" s="137"/>
      <c r="F28" s="137"/>
      <c r="G28" s="137"/>
      <c r="H28" s="137"/>
      <c r="I28" s="137"/>
      <c r="J28" s="137"/>
      <c r="K28" s="137"/>
      <c r="L28" s="137"/>
      <c r="M28" s="137"/>
      <c r="N28" s="137"/>
      <c r="O28" s="137"/>
      <c r="P28" s="137"/>
      <c r="Q28" s="137"/>
      <c r="R28" s="137"/>
      <c r="S28" s="137"/>
      <c r="T28" s="137"/>
      <c r="U28" s="137"/>
      <c r="V28" s="137"/>
      <c r="W28" s="137"/>
      <c r="X28" s="137"/>
      <c r="Y28" s="137"/>
      <c r="Z28" s="137"/>
      <c r="AA28" s="137"/>
      <c r="AB28" s="137"/>
      <c r="AC28" s="137"/>
      <c r="AD28" s="137"/>
      <c r="AE28" s="137"/>
      <c r="AF28" s="137"/>
      <c r="AG28" s="137"/>
      <c r="AH28" s="137"/>
      <c r="AI28" s="137"/>
      <c r="AJ28" s="137"/>
      <c r="AK28" s="137"/>
      <c r="AL28" s="137"/>
      <c r="AM28" s="137"/>
      <c r="AN28" s="137"/>
      <c r="AO28" s="137"/>
      <c r="AP28" s="137"/>
      <c r="AQ28" s="137">
        <f>'Расходы на ЗП ОТ'!AQ28</f>
        <v>0</v>
      </c>
      <c r="AR28" s="137">
        <f>'Расходы на ЗП ОТ'!AR28</f>
        <v>0</v>
      </c>
      <c r="AS28" s="137">
        <f>'Расходы на ЗП ОТ'!AS28</f>
        <v>0</v>
      </c>
      <c r="AT28" s="137">
        <f>'Расходы на ЗП ОТ'!AT28</f>
        <v>0</v>
      </c>
      <c r="AU28" s="137">
        <f>'Расходы на ЗП ОТ'!AU28</f>
        <v>0</v>
      </c>
      <c r="AV28" s="137"/>
      <c r="AW28" s="137">
        <f t="shared" si="0"/>
        <v>0</v>
      </c>
      <c r="AX28" s="137">
        <f t="shared" si="1"/>
        <v>0</v>
      </c>
      <c r="AY28" s="137">
        <f t="shared" si="2"/>
        <v>0</v>
      </c>
      <c r="AZ28" s="137">
        <f t="shared" si="3"/>
        <v>0</v>
      </c>
      <c r="BA28" s="137">
        <f t="shared" si="4"/>
        <v>0</v>
      </c>
      <c r="BB28" s="137">
        <f t="shared" si="5"/>
        <v>0</v>
      </c>
      <c r="BC28" s="137">
        <f t="shared" si="6"/>
        <v>0</v>
      </c>
      <c r="BD28" s="137">
        <f t="shared" si="7"/>
        <v>0</v>
      </c>
      <c r="BE28" s="137">
        <f t="shared" si="8"/>
        <v>0</v>
      </c>
      <c r="BF28" s="137">
        <f t="shared" si="9"/>
        <v>0</v>
      </c>
      <c r="BG28" s="137">
        <f t="shared" si="10"/>
        <v>0</v>
      </c>
    </row>
    <row r="29" spans="1:59" ht="29.25" customHeight="1">
      <c r="A29" s="134" t="s">
        <v>136</v>
      </c>
      <c r="B29" s="134">
        <f>'Расходы на ЗП ОТ'!B29</f>
        <v>0</v>
      </c>
      <c r="C29" s="137">
        <f>'Расходы на ЗП ОТ'!C29</f>
        <v>0</v>
      </c>
      <c r="D29" s="137">
        <f>'Расходы на ЗП ОТ'!D29</f>
        <v>0</v>
      </c>
      <c r="E29" s="137">
        <f>'Расходы на ЗП ОТ'!E29</f>
        <v>0</v>
      </c>
      <c r="F29" s="137">
        <f>'Расходы на ЗП ОТ'!F29</f>
        <v>0</v>
      </c>
      <c r="G29" s="137">
        <f>'Расходы на ЗП ОТ'!G29</f>
        <v>0</v>
      </c>
      <c r="H29" s="137">
        <f>'Расходы на ЗП ОТ'!H29</f>
        <v>0</v>
      </c>
      <c r="I29" s="137">
        <f>'Расходы на ЗП ОТ'!I29</f>
        <v>0</v>
      </c>
      <c r="J29" s="137">
        <f>'Расходы на ЗП ОТ'!J29</f>
        <v>0</v>
      </c>
      <c r="K29" s="137">
        <f>'Расходы на ЗП ОТ'!K29</f>
        <v>0</v>
      </c>
      <c r="L29" s="137">
        <f>'Расходы на ЗП ОТ'!L29</f>
        <v>0</v>
      </c>
      <c r="M29" s="137">
        <f>'Расходы на ЗП ОТ'!M29</f>
        <v>0</v>
      </c>
      <c r="N29" s="137">
        <f>'Расходы на ЗП ОТ'!N29</f>
        <v>0</v>
      </c>
      <c r="O29" s="137">
        <f>'Расходы на ЗП ОТ'!O29</f>
        <v>0</v>
      </c>
      <c r="P29" s="137">
        <f>'Расходы на ЗП ОТ'!P29</f>
        <v>0</v>
      </c>
      <c r="Q29" s="137">
        <f>'Расходы на ЗП ОТ'!Q29</f>
        <v>0</v>
      </c>
      <c r="R29" s="137">
        <f>'Расходы на ЗП ОТ'!R29</f>
        <v>0</v>
      </c>
      <c r="S29" s="137">
        <f>'Расходы на ЗП ОТ'!S29</f>
        <v>0</v>
      </c>
      <c r="T29" s="137">
        <f>'Расходы на ЗП ОТ'!T29</f>
        <v>0</v>
      </c>
      <c r="U29" s="137">
        <f>'Расходы на ЗП ОТ'!U29</f>
        <v>0</v>
      </c>
      <c r="V29" s="137">
        <f>'Расходы на ЗП ОТ'!V29</f>
        <v>0</v>
      </c>
      <c r="W29" s="137">
        <f>'Расходы на ЗП ОТ'!W29</f>
        <v>0</v>
      </c>
      <c r="X29" s="137">
        <f>'Расходы на ЗП ОТ'!X29</f>
        <v>0</v>
      </c>
      <c r="Y29" s="137">
        <f>'Расходы на ЗП ОТ'!Y29</f>
        <v>0</v>
      </c>
      <c r="Z29" s="137">
        <f>'Расходы на ЗП ОТ'!Z29</f>
        <v>0</v>
      </c>
      <c r="AA29" s="137">
        <f>'Расходы на ЗП ОТ'!AA29</f>
        <v>0</v>
      </c>
      <c r="AB29" s="137">
        <f>'Расходы на ЗП ОТ'!AB29</f>
        <v>0</v>
      </c>
      <c r="AC29" s="137">
        <f>'Расходы на ЗП ОТ'!AC29</f>
        <v>0</v>
      </c>
      <c r="AD29" s="137">
        <f>'Расходы на ЗП ОТ'!AD29</f>
        <v>0</v>
      </c>
      <c r="AE29" s="137">
        <f>'Расходы на ЗП ОТ'!AE29</f>
        <v>0</v>
      </c>
      <c r="AF29" s="137">
        <f>'Расходы на ЗП ОТ'!AF29</f>
        <v>0</v>
      </c>
      <c r="AG29" s="137">
        <f>'Расходы на ЗП ОТ'!AG29</f>
        <v>0</v>
      </c>
      <c r="AH29" s="137">
        <f>'Расходы на ЗП ОТ'!AH29</f>
        <v>0</v>
      </c>
      <c r="AI29" s="137">
        <f>'Расходы на ЗП ОТ'!AI29</f>
        <v>0</v>
      </c>
      <c r="AJ29" s="137">
        <f>'Расходы на ЗП ОТ'!AJ29</f>
        <v>0</v>
      </c>
      <c r="AK29" s="137">
        <f>'Расходы на ЗП ОТ'!AK29</f>
        <v>0</v>
      </c>
      <c r="AL29" s="137">
        <f>'Расходы на ЗП ОТ'!AL29</f>
        <v>0</v>
      </c>
      <c r="AM29" s="137">
        <f>'Расходы на ЗП ОТ'!AM29</f>
        <v>0</v>
      </c>
      <c r="AN29" s="137">
        <f>'Расходы на ЗП ОТ'!AN29</f>
        <v>0</v>
      </c>
      <c r="AO29" s="137">
        <f>'Расходы на ЗП ОТ'!AO29</f>
        <v>0</v>
      </c>
      <c r="AP29" s="137">
        <f>'Расходы на ЗП ОТ'!AP29</f>
        <v>0</v>
      </c>
      <c r="AQ29" s="137">
        <f>'Расходы на ЗП ОТ'!AQ29</f>
        <v>0</v>
      </c>
      <c r="AR29" s="137">
        <f>'Расходы на ЗП ОТ'!AR29</f>
        <v>0</v>
      </c>
      <c r="AS29" s="137">
        <f>'Расходы на ЗП ОТ'!AS29</f>
        <v>0</v>
      </c>
      <c r="AT29" s="137">
        <f>'Расходы на ЗП ОТ'!AT29</f>
        <v>0</v>
      </c>
      <c r="AU29" s="137">
        <f>'Расходы на ЗП ОТ'!AU29</f>
        <v>0</v>
      </c>
      <c r="AV29" s="137"/>
      <c r="AW29" s="137">
        <f t="shared" si="0"/>
        <v>0</v>
      </c>
      <c r="AX29" s="137">
        <f t="shared" si="1"/>
        <v>0</v>
      </c>
      <c r="AY29" s="137">
        <f t="shared" si="2"/>
        <v>0</v>
      </c>
      <c r="AZ29" s="137">
        <f t="shared" si="3"/>
        <v>0</v>
      </c>
      <c r="BA29" s="137">
        <f t="shared" si="4"/>
        <v>0</v>
      </c>
      <c r="BB29" s="137">
        <f t="shared" si="5"/>
        <v>0</v>
      </c>
      <c r="BC29" s="137">
        <f t="shared" si="6"/>
        <v>0</v>
      </c>
      <c r="BD29" s="137">
        <f t="shared" si="7"/>
        <v>0</v>
      </c>
      <c r="BE29" s="137">
        <f t="shared" si="8"/>
        <v>0</v>
      </c>
      <c r="BF29" s="137">
        <f t="shared" si="9"/>
        <v>0</v>
      </c>
      <c r="BG29" s="137">
        <f t="shared" si="10"/>
        <v>0</v>
      </c>
    </row>
    <row r="30" spans="1:59" ht="29.25" customHeight="1">
      <c r="A30" s="134" t="s">
        <v>137</v>
      </c>
      <c r="B30" s="134">
        <f>'Расходы на ЗП ОТ'!B30</f>
        <v>0</v>
      </c>
      <c r="C30" s="137">
        <f>'Расходы на ЗП ОТ'!C30</f>
        <v>0</v>
      </c>
      <c r="D30" s="137">
        <f>'Расходы на ЗП ОТ'!D30</f>
        <v>0</v>
      </c>
      <c r="E30" s="137">
        <f>'Расходы на ЗП ОТ'!E30</f>
        <v>0</v>
      </c>
      <c r="F30" s="137">
        <f>'Расходы на ЗП ОТ'!F30</f>
        <v>0</v>
      </c>
      <c r="G30" s="137">
        <f>'Расходы на ЗП ОТ'!G30</f>
        <v>0</v>
      </c>
      <c r="H30" s="137">
        <f>'Расходы на ЗП ОТ'!H30</f>
        <v>0</v>
      </c>
      <c r="I30" s="137">
        <f>'Расходы на ЗП ОТ'!I30</f>
        <v>0</v>
      </c>
      <c r="J30" s="137">
        <f>'Расходы на ЗП ОТ'!J30</f>
        <v>0</v>
      </c>
      <c r="K30" s="137">
        <f>'Расходы на ЗП ОТ'!K30</f>
        <v>0</v>
      </c>
      <c r="L30" s="137">
        <f>'Расходы на ЗП ОТ'!L30</f>
        <v>0</v>
      </c>
      <c r="M30" s="137">
        <f>'Расходы на ЗП ОТ'!M30</f>
        <v>0</v>
      </c>
      <c r="N30" s="137">
        <f>'Расходы на ЗП ОТ'!N30</f>
        <v>0</v>
      </c>
      <c r="O30" s="137">
        <f>'Расходы на ЗП ОТ'!O30</f>
        <v>0</v>
      </c>
      <c r="P30" s="137">
        <f>'Расходы на ЗП ОТ'!P30</f>
        <v>0</v>
      </c>
      <c r="Q30" s="137">
        <f>'Расходы на ЗП ОТ'!Q30</f>
        <v>0</v>
      </c>
      <c r="R30" s="137">
        <f>'Расходы на ЗП ОТ'!R30</f>
        <v>0</v>
      </c>
      <c r="S30" s="137">
        <f>'Расходы на ЗП ОТ'!S30</f>
        <v>0</v>
      </c>
      <c r="T30" s="137">
        <f>'Расходы на ЗП ОТ'!T30</f>
        <v>0</v>
      </c>
      <c r="U30" s="137">
        <f>'Расходы на ЗП ОТ'!U30</f>
        <v>0</v>
      </c>
      <c r="V30" s="137">
        <f>'Расходы на ЗП ОТ'!V30</f>
        <v>0</v>
      </c>
      <c r="W30" s="137">
        <f>'Расходы на ЗП ОТ'!W30</f>
        <v>0</v>
      </c>
      <c r="X30" s="137">
        <f>'Расходы на ЗП ОТ'!X30</f>
        <v>0</v>
      </c>
      <c r="Y30" s="137">
        <f>'Расходы на ЗП ОТ'!Y30</f>
        <v>0</v>
      </c>
      <c r="Z30" s="137">
        <f>'Расходы на ЗП ОТ'!Z30</f>
        <v>0</v>
      </c>
      <c r="AA30" s="137">
        <f>'Расходы на ЗП ОТ'!AA30</f>
        <v>0</v>
      </c>
      <c r="AB30" s="137">
        <f>'Расходы на ЗП ОТ'!AB30</f>
        <v>0</v>
      </c>
      <c r="AC30" s="137">
        <f>'Расходы на ЗП ОТ'!AC30</f>
        <v>0</v>
      </c>
      <c r="AD30" s="137">
        <f>'Расходы на ЗП ОТ'!AD30</f>
        <v>0</v>
      </c>
      <c r="AE30" s="137">
        <f>'Расходы на ЗП ОТ'!AE30</f>
        <v>0</v>
      </c>
      <c r="AF30" s="137">
        <f>'Расходы на ЗП ОТ'!AF30</f>
        <v>0</v>
      </c>
      <c r="AG30" s="137">
        <f>'Расходы на ЗП ОТ'!AG30</f>
        <v>0</v>
      </c>
      <c r="AH30" s="137">
        <f>'Расходы на ЗП ОТ'!AH30</f>
        <v>0</v>
      </c>
      <c r="AI30" s="137">
        <f>'Расходы на ЗП ОТ'!AI30</f>
        <v>0</v>
      </c>
      <c r="AJ30" s="137">
        <f>'Расходы на ЗП ОТ'!AJ30</f>
        <v>0</v>
      </c>
      <c r="AK30" s="137">
        <f>'Расходы на ЗП ОТ'!AK30</f>
        <v>0</v>
      </c>
      <c r="AL30" s="137">
        <f>'Расходы на ЗП ОТ'!AL30</f>
        <v>0</v>
      </c>
      <c r="AM30" s="137">
        <f>'Расходы на ЗП ОТ'!AM30</f>
        <v>0</v>
      </c>
      <c r="AN30" s="137">
        <f>'Расходы на ЗП ОТ'!AN30</f>
        <v>0</v>
      </c>
      <c r="AO30" s="137">
        <f>'Расходы на ЗП ОТ'!AO30</f>
        <v>0</v>
      </c>
      <c r="AP30" s="137">
        <f>'Расходы на ЗП ОТ'!AP30</f>
        <v>0</v>
      </c>
      <c r="AQ30" s="137">
        <f>'Расходы на ЗП ОТ'!AQ30</f>
        <v>0</v>
      </c>
      <c r="AR30" s="137">
        <f>'Расходы на ЗП ОТ'!AR30</f>
        <v>0</v>
      </c>
      <c r="AS30" s="137">
        <f>'Расходы на ЗП ОТ'!AS30</f>
        <v>0</v>
      </c>
      <c r="AT30" s="137">
        <f>'Расходы на ЗП ОТ'!AT30</f>
        <v>0</v>
      </c>
      <c r="AU30" s="137">
        <f>'Расходы на ЗП ОТ'!AU30</f>
        <v>0</v>
      </c>
      <c r="AV30" s="137"/>
      <c r="AW30" s="137">
        <f t="shared" si="0"/>
        <v>0</v>
      </c>
      <c r="AX30" s="137">
        <f t="shared" si="1"/>
        <v>0</v>
      </c>
      <c r="AY30" s="137">
        <f t="shared" si="2"/>
        <v>0</v>
      </c>
      <c r="AZ30" s="137">
        <f t="shared" si="3"/>
        <v>0</v>
      </c>
      <c r="BA30" s="137">
        <f t="shared" si="4"/>
        <v>0</v>
      </c>
      <c r="BB30" s="137">
        <f t="shared" si="5"/>
        <v>0</v>
      </c>
      <c r="BC30" s="137">
        <f t="shared" si="6"/>
        <v>0</v>
      </c>
      <c r="BD30" s="137">
        <f t="shared" si="7"/>
        <v>0</v>
      </c>
      <c r="BE30" s="137">
        <f t="shared" si="8"/>
        <v>0</v>
      </c>
      <c r="BF30" s="137">
        <f t="shared" si="9"/>
        <v>0</v>
      </c>
      <c r="BG30" s="137">
        <f t="shared" si="10"/>
        <v>0</v>
      </c>
    </row>
    <row r="31" spans="1:59" ht="30.75" customHeight="1">
      <c r="A31" s="134" t="s">
        <v>138</v>
      </c>
      <c r="B31" s="134">
        <f>'Расходы на ЗП ОТ'!B31</f>
        <v>0</v>
      </c>
      <c r="C31" s="137">
        <f>'Расходы на ЗП ОТ'!C31</f>
        <v>0</v>
      </c>
      <c r="D31" s="137">
        <f>'Расходы на ЗП ОТ'!D31</f>
        <v>0</v>
      </c>
      <c r="E31" s="137">
        <f>'Расходы на ЗП ОТ'!E31</f>
        <v>0</v>
      </c>
      <c r="F31" s="137">
        <f>'Расходы на ЗП ОТ'!F31</f>
        <v>0</v>
      </c>
      <c r="G31" s="137">
        <f>'Расходы на ЗП ОТ'!G31</f>
        <v>0</v>
      </c>
      <c r="H31" s="137">
        <f>'Расходы на ЗП ОТ'!H31</f>
        <v>0</v>
      </c>
      <c r="I31" s="137">
        <f>'Расходы на ЗП ОТ'!I31</f>
        <v>0</v>
      </c>
      <c r="J31" s="137">
        <f>'Расходы на ЗП ОТ'!J31</f>
        <v>0</v>
      </c>
      <c r="K31" s="137">
        <f>'Расходы на ЗП ОТ'!K31</f>
        <v>0</v>
      </c>
      <c r="L31" s="137">
        <f>'Расходы на ЗП ОТ'!L31</f>
        <v>0</v>
      </c>
      <c r="M31" s="137">
        <f>'Расходы на ЗП ОТ'!M31</f>
        <v>0</v>
      </c>
      <c r="N31" s="137">
        <f>'Расходы на ЗП ОТ'!N31</f>
        <v>0</v>
      </c>
      <c r="O31" s="137">
        <f>'Расходы на ЗП ОТ'!O31</f>
        <v>0</v>
      </c>
      <c r="P31" s="137">
        <f>'Расходы на ЗП ОТ'!P31</f>
        <v>0</v>
      </c>
      <c r="Q31" s="137">
        <f>'Расходы на ЗП ОТ'!Q31</f>
        <v>0</v>
      </c>
      <c r="R31" s="137">
        <f>'Расходы на ЗП ОТ'!R31</f>
        <v>0</v>
      </c>
      <c r="S31" s="137">
        <f>'Расходы на ЗП ОТ'!S31</f>
        <v>0</v>
      </c>
      <c r="T31" s="137">
        <f>'Расходы на ЗП ОТ'!T31</f>
        <v>0</v>
      </c>
      <c r="U31" s="137">
        <f>'Расходы на ЗП ОТ'!U31</f>
        <v>0</v>
      </c>
      <c r="V31" s="137">
        <f>'Расходы на ЗП ОТ'!V31</f>
        <v>0</v>
      </c>
      <c r="W31" s="137">
        <f>'Расходы на ЗП ОТ'!W31</f>
        <v>0</v>
      </c>
      <c r="X31" s="137">
        <f>'Расходы на ЗП ОТ'!X31</f>
        <v>0</v>
      </c>
      <c r="Y31" s="137">
        <f>'Расходы на ЗП ОТ'!Y31</f>
        <v>0</v>
      </c>
      <c r="Z31" s="137">
        <f>'Расходы на ЗП ОТ'!Z31</f>
        <v>0</v>
      </c>
      <c r="AA31" s="137">
        <f>'Расходы на ЗП ОТ'!AA31</f>
        <v>0</v>
      </c>
      <c r="AB31" s="137">
        <f>'Расходы на ЗП ОТ'!AB31</f>
        <v>0</v>
      </c>
      <c r="AC31" s="137">
        <f>'Расходы на ЗП ОТ'!AC31</f>
        <v>0</v>
      </c>
      <c r="AD31" s="137">
        <f>'Расходы на ЗП ОТ'!AD31</f>
        <v>0</v>
      </c>
      <c r="AE31" s="137">
        <f>'Расходы на ЗП ОТ'!AE31</f>
        <v>0</v>
      </c>
      <c r="AF31" s="137">
        <f>'Расходы на ЗП ОТ'!AF31</f>
        <v>0</v>
      </c>
      <c r="AG31" s="137">
        <f>'Расходы на ЗП ОТ'!AG31</f>
        <v>0</v>
      </c>
      <c r="AH31" s="137">
        <f>'Расходы на ЗП ОТ'!AH31</f>
        <v>0</v>
      </c>
      <c r="AI31" s="137">
        <f>'Расходы на ЗП ОТ'!AI31</f>
        <v>0</v>
      </c>
      <c r="AJ31" s="137">
        <f>'Расходы на ЗП ОТ'!AJ31</f>
        <v>0</v>
      </c>
      <c r="AK31" s="137">
        <f>'Расходы на ЗП ОТ'!AK31</f>
        <v>0</v>
      </c>
      <c r="AL31" s="137">
        <f>'Расходы на ЗП ОТ'!AL31</f>
        <v>0</v>
      </c>
      <c r="AM31" s="137">
        <f>'Расходы на ЗП ОТ'!AM31</f>
        <v>0</v>
      </c>
      <c r="AN31" s="137">
        <f>'Расходы на ЗП ОТ'!AN31</f>
        <v>0</v>
      </c>
      <c r="AO31" s="137">
        <f>'Расходы на ЗП ОТ'!AO31</f>
        <v>0</v>
      </c>
      <c r="AP31" s="137">
        <f>'Расходы на ЗП ОТ'!AP31</f>
        <v>0</v>
      </c>
      <c r="AQ31" s="137">
        <f>'Расходы на ЗП ОТ'!AQ31</f>
        <v>0</v>
      </c>
      <c r="AR31" s="137">
        <f>'Расходы на ЗП ОТ'!AR31</f>
        <v>0</v>
      </c>
      <c r="AS31" s="137">
        <f>'Расходы на ЗП ОТ'!AS31</f>
        <v>0</v>
      </c>
      <c r="AT31" s="137">
        <f>'Расходы на ЗП ОТ'!AT31</f>
        <v>0</v>
      </c>
      <c r="AU31" s="137">
        <f>'Расходы на ЗП ОТ'!AU31</f>
        <v>0</v>
      </c>
      <c r="AV31" s="137"/>
      <c r="AW31" s="137">
        <f t="shared" si="0"/>
        <v>0</v>
      </c>
      <c r="AX31" s="137">
        <f t="shared" si="1"/>
        <v>0</v>
      </c>
      <c r="AY31" s="137">
        <f t="shared" si="2"/>
        <v>0</v>
      </c>
      <c r="AZ31" s="137">
        <f t="shared" si="3"/>
        <v>0</v>
      </c>
      <c r="BA31" s="137">
        <f t="shared" si="4"/>
        <v>0</v>
      </c>
      <c r="BB31" s="137">
        <f t="shared" si="5"/>
        <v>0</v>
      </c>
      <c r="BC31" s="137">
        <f t="shared" si="6"/>
        <v>0</v>
      </c>
      <c r="BD31" s="137">
        <f t="shared" si="7"/>
        <v>0</v>
      </c>
      <c r="BE31" s="137">
        <f t="shared" si="8"/>
        <v>0</v>
      </c>
      <c r="BF31" s="137">
        <f t="shared" si="9"/>
        <v>0</v>
      </c>
      <c r="BG31" s="137">
        <f t="shared" si="10"/>
        <v>0</v>
      </c>
    </row>
    <row r="32" spans="1:59" ht="27.75" customHeight="1">
      <c r="A32" s="134" t="s">
        <v>178</v>
      </c>
      <c r="B32" s="134">
        <f>'Расходы на ЗП ОТ'!B32</f>
        <v>0</v>
      </c>
      <c r="C32" s="137">
        <f>'Расходы на ЗП ОТ'!C32</f>
        <v>0</v>
      </c>
      <c r="D32" s="137">
        <f>'Расходы на ЗП ОТ'!D32</f>
        <v>0</v>
      </c>
      <c r="E32" s="137">
        <f>'Расходы на ЗП ОТ'!E32</f>
        <v>0</v>
      </c>
      <c r="F32" s="137">
        <f>'Расходы на ЗП ОТ'!F32</f>
        <v>0</v>
      </c>
      <c r="G32" s="137">
        <f>'Расходы на ЗП ОТ'!G32</f>
        <v>0</v>
      </c>
      <c r="H32" s="137">
        <f>'Расходы на ЗП ОТ'!H32</f>
        <v>0</v>
      </c>
      <c r="I32" s="137">
        <f>'Расходы на ЗП ОТ'!I32</f>
        <v>0</v>
      </c>
      <c r="J32" s="137">
        <f>'Расходы на ЗП ОТ'!J32</f>
        <v>0</v>
      </c>
      <c r="K32" s="137">
        <f>'Расходы на ЗП ОТ'!K32</f>
        <v>0</v>
      </c>
      <c r="L32" s="137">
        <f>'Расходы на ЗП ОТ'!L32</f>
        <v>0</v>
      </c>
      <c r="M32" s="137">
        <f>'Расходы на ЗП ОТ'!M32</f>
        <v>0</v>
      </c>
      <c r="N32" s="137">
        <f>'Расходы на ЗП ОТ'!N32</f>
        <v>0</v>
      </c>
      <c r="O32" s="137">
        <f>'Расходы на ЗП ОТ'!O32</f>
        <v>0</v>
      </c>
      <c r="P32" s="137">
        <f>'Расходы на ЗП ОТ'!P32</f>
        <v>0</v>
      </c>
      <c r="Q32" s="137">
        <f>'Расходы на ЗП ОТ'!Q32</f>
        <v>0</v>
      </c>
      <c r="R32" s="137">
        <f>'Расходы на ЗП ОТ'!R32</f>
        <v>0</v>
      </c>
      <c r="S32" s="137">
        <f>'Расходы на ЗП ОТ'!S32</f>
        <v>0</v>
      </c>
      <c r="T32" s="137">
        <f>'Расходы на ЗП ОТ'!T32</f>
        <v>0</v>
      </c>
      <c r="U32" s="137">
        <f>'Расходы на ЗП ОТ'!U32</f>
        <v>0</v>
      </c>
      <c r="V32" s="137">
        <f>'Расходы на ЗП ОТ'!V32</f>
        <v>0</v>
      </c>
      <c r="W32" s="137">
        <f>'Расходы на ЗП ОТ'!W32</f>
        <v>0</v>
      </c>
      <c r="X32" s="137">
        <f>'Расходы на ЗП ОТ'!X32</f>
        <v>0</v>
      </c>
      <c r="Y32" s="137">
        <f>'Расходы на ЗП ОТ'!Y32</f>
        <v>0</v>
      </c>
      <c r="Z32" s="137">
        <f>'Расходы на ЗП ОТ'!Z32</f>
        <v>0</v>
      </c>
      <c r="AA32" s="137">
        <f>'Расходы на ЗП ОТ'!AA32</f>
        <v>0</v>
      </c>
      <c r="AB32" s="137">
        <f>'Расходы на ЗП ОТ'!AB32</f>
        <v>0</v>
      </c>
      <c r="AC32" s="137">
        <f>'Расходы на ЗП ОТ'!AC32</f>
        <v>0</v>
      </c>
      <c r="AD32" s="137">
        <f>'Расходы на ЗП ОТ'!AD32</f>
        <v>0</v>
      </c>
      <c r="AE32" s="137">
        <f>'Расходы на ЗП ОТ'!AE32</f>
        <v>0</v>
      </c>
      <c r="AF32" s="137">
        <f>'Расходы на ЗП ОТ'!AF32</f>
        <v>0</v>
      </c>
      <c r="AG32" s="137">
        <f>'Расходы на ЗП ОТ'!AG32</f>
        <v>0</v>
      </c>
      <c r="AH32" s="137">
        <f>'Расходы на ЗП ОТ'!AH32</f>
        <v>0</v>
      </c>
      <c r="AI32" s="137">
        <f>'Расходы на ЗП ОТ'!AI32</f>
        <v>0</v>
      </c>
      <c r="AJ32" s="137">
        <f>'Расходы на ЗП ОТ'!AJ32</f>
        <v>0</v>
      </c>
      <c r="AK32" s="137">
        <f>'Расходы на ЗП ОТ'!AK32</f>
        <v>0</v>
      </c>
      <c r="AL32" s="137">
        <f>'Расходы на ЗП ОТ'!AL32</f>
        <v>0</v>
      </c>
      <c r="AM32" s="137">
        <f>'Расходы на ЗП ОТ'!AM32</f>
        <v>0</v>
      </c>
      <c r="AN32" s="137">
        <f>'Расходы на ЗП ОТ'!AN32</f>
        <v>0</v>
      </c>
      <c r="AO32" s="137">
        <f>'Расходы на ЗП ОТ'!AO32</f>
        <v>0</v>
      </c>
      <c r="AP32" s="137">
        <f>'Расходы на ЗП ОТ'!AP32</f>
        <v>0</v>
      </c>
      <c r="AQ32" s="137">
        <f>'Расходы на ЗП ОТ'!AQ32</f>
        <v>0</v>
      </c>
      <c r="AR32" s="137">
        <f>'Расходы на ЗП ОТ'!AR32</f>
        <v>0</v>
      </c>
      <c r="AS32" s="137">
        <f>'Расходы на ЗП ОТ'!AS32</f>
        <v>0</v>
      </c>
      <c r="AT32" s="137">
        <f>'Расходы на ЗП ОТ'!AT32</f>
        <v>0</v>
      </c>
      <c r="AU32" s="137">
        <f>'Расходы на ЗП ОТ'!AU32</f>
        <v>0</v>
      </c>
      <c r="AV32" s="137"/>
      <c r="AW32" s="137">
        <f t="shared" si="0"/>
        <v>0</v>
      </c>
      <c r="AX32" s="137">
        <f t="shared" si="1"/>
        <v>0</v>
      </c>
      <c r="AY32" s="137">
        <f t="shared" si="2"/>
        <v>0</v>
      </c>
      <c r="AZ32" s="137">
        <f t="shared" si="3"/>
        <v>0</v>
      </c>
      <c r="BA32" s="137">
        <f t="shared" si="4"/>
        <v>0</v>
      </c>
      <c r="BB32" s="137">
        <f t="shared" si="5"/>
        <v>0</v>
      </c>
      <c r="BC32" s="137">
        <f t="shared" si="6"/>
        <v>0</v>
      </c>
      <c r="BD32" s="137">
        <f t="shared" si="7"/>
        <v>0</v>
      </c>
      <c r="BE32" s="137">
        <f t="shared" si="8"/>
        <v>0</v>
      </c>
      <c r="BF32" s="137">
        <f t="shared" si="9"/>
        <v>0</v>
      </c>
      <c r="BG32" s="137">
        <f t="shared" si="10"/>
        <v>0</v>
      </c>
    </row>
    <row r="33" spans="1:59" ht="23.25" customHeight="1">
      <c r="A33" s="134" t="s">
        <v>179</v>
      </c>
      <c r="B33" s="134">
        <f>'Расходы на ЗП ОТ'!B33</f>
        <v>0</v>
      </c>
      <c r="C33" s="137">
        <f>'Расходы на ЗП ОТ'!C33</f>
        <v>0</v>
      </c>
      <c r="D33" s="137">
        <f>'Расходы на ЗП ОТ'!D33</f>
        <v>0</v>
      </c>
      <c r="E33" s="137">
        <f>'Расходы на ЗП ОТ'!E33</f>
        <v>0</v>
      </c>
      <c r="F33" s="137">
        <f>'Расходы на ЗП ОТ'!F33</f>
        <v>0</v>
      </c>
      <c r="G33" s="137">
        <f>'Расходы на ЗП ОТ'!G33</f>
        <v>0</v>
      </c>
      <c r="H33" s="137">
        <f>'Расходы на ЗП ОТ'!H33</f>
        <v>0</v>
      </c>
      <c r="I33" s="137">
        <f>'Расходы на ЗП ОТ'!I33</f>
        <v>0</v>
      </c>
      <c r="J33" s="137">
        <f>'Расходы на ЗП ОТ'!J33</f>
        <v>0</v>
      </c>
      <c r="K33" s="137">
        <f>'Расходы на ЗП ОТ'!K33</f>
        <v>0</v>
      </c>
      <c r="L33" s="137">
        <f>'Расходы на ЗП ОТ'!L33</f>
        <v>0</v>
      </c>
      <c r="M33" s="137">
        <f>'Расходы на ЗП ОТ'!M33</f>
        <v>0</v>
      </c>
      <c r="N33" s="137">
        <f>'Расходы на ЗП ОТ'!N33</f>
        <v>0</v>
      </c>
      <c r="O33" s="137">
        <f>'Расходы на ЗП ОТ'!O33</f>
        <v>0</v>
      </c>
      <c r="P33" s="137">
        <f>'Расходы на ЗП ОТ'!P33</f>
        <v>0</v>
      </c>
      <c r="Q33" s="137">
        <f>'Расходы на ЗП ОТ'!Q33</f>
        <v>0</v>
      </c>
      <c r="R33" s="137">
        <f>'Расходы на ЗП ОТ'!R33</f>
        <v>0</v>
      </c>
      <c r="S33" s="137">
        <f>'Расходы на ЗП ОТ'!S33</f>
        <v>0</v>
      </c>
      <c r="T33" s="137">
        <f>'Расходы на ЗП ОТ'!T33</f>
        <v>0</v>
      </c>
      <c r="U33" s="137">
        <f>'Расходы на ЗП ОТ'!U33</f>
        <v>0</v>
      </c>
      <c r="V33" s="137">
        <f>'Расходы на ЗП ОТ'!V33</f>
        <v>0</v>
      </c>
      <c r="W33" s="137">
        <f>'Расходы на ЗП ОТ'!W33</f>
        <v>0</v>
      </c>
      <c r="X33" s="137">
        <f>'Расходы на ЗП ОТ'!X33</f>
        <v>0</v>
      </c>
      <c r="Y33" s="137">
        <f>'Расходы на ЗП ОТ'!Y33</f>
        <v>0</v>
      </c>
      <c r="Z33" s="137">
        <f>'Расходы на ЗП ОТ'!Z33</f>
        <v>0</v>
      </c>
      <c r="AA33" s="137">
        <f>'Расходы на ЗП ОТ'!AA33</f>
        <v>0</v>
      </c>
      <c r="AB33" s="137">
        <f>'Расходы на ЗП ОТ'!AB33</f>
        <v>0</v>
      </c>
      <c r="AC33" s="137">
        <f>'Расходы на ЗП ОТ'!AC33</f>
        <v>0</v>
      </c>
      <c r="AD33" s="137">
        <f>'Расходы на ЗП ОТ'!AD33</f>
        <v>0</v>
      </c>
      <c r="AE33" s="137">
        <f>'Расходы на ЗП ОТ'!AE33</f>
        <v>0</v>
      </c>
      <c r="AF33" s="137">
        <f>'Расходы на ЗП ОТ'!AF33</f>
        <v>0</v>
      </c>
      <c r="AG33" s="137">
        <f>'Расходы на ЗП ОТ'!AG33</f>
        <v>0</v>
      </c>
      <c r="AH33" s="137">
        <f>'Расходы на ЗП ОТ'!AH33</f>
        <v>0</v>
      </c>
      <c r="AI33" s="137">
        <f>'Расходы на ЗП ОТ'!AI33</f>
        <v>0</v>
      </c>
      <c r="AJ33" s="137">
        <f>'Расходы на ЗП ОТ'!AJ33</f>
        <v>0</v>
      </c>
      <c r="AK33" s="137">
        <f>'Расходы на ЗП ОТ'!AK33</f>
        <v>0</v>
      </c>
      <c r="AL33" s="137">
        <f>'Расходы на ЗП ОТ'!AL33</f>
        <v>0</v>
      </c>
      <c r="AM33" s="137">
        <f>'Расходы на ЗП ОТ'!AM33</f>
        <v>0</v>
      </c>
      <c r="AN33" s="137">
        <f>'Расходы на ЗП ОТ'!AN33</f>
        <v>0</v>
      </c>
      <c r="AO33" s="137">
        <f>'Расходы на ЗП ОТ'!AO33</f>
        <v>0</v>
      </c>
      <c r="AP33" s="137">
        <f>'Расходы на ЗП ОТ'!AP33</f>
        <v>0</v>
      </c>
      <c r="AQ33" s="137">
        <f>'Расходы на ЗП ОТ'!AQ33</f>
        <v>0</v>
      </c>
      <c r="AR33" s="137">
        <f>'Расходы на ЗП ОТ'!AR33</f>
        <v>0</v>
      </c>
      <c r="AS33" s="137">
        <f>'Расходы на ЗП ОТ'!AS33</f>
        <v>0</v>
      </c>
      <c r="AT33" s="137">
        <f>'Расходы на ЗП ОТ'!AT33</f>
        <v>0</v>
      </c>
      <c r="AU33" s="137">
        <f>'Расходы на ЗП ОТ'!AU33</f>
        <v>0</v>
      </c>
      <c r="AV33" s="137"/>
      <c r="AW33" s="137">
        <f t="shared" si="0"/>
        <v>0</v>
      </c>
      <c r="AX33" s="137">
        <f t="shared" si="1"/>
        <v>0</v>
      </c>
      <c r="AY33" s="137">
        <f t="shared" si="2"/>
        <v>0</v>
      </c>
      <c r="AZ33" s="137">
        <f t="shared" si="3"/>
        <v>0</v>
      </c>
      <c r="BA33" s="137">
        <f t="shared" si="4"/>
        <v>0</v>
      </c>
      <c r="BB33" s="137">
        <f t="shared" si="5"/>
        <v>0</v>
      </c>
      <c r="BC33" s="137">
        <f t="shared" si="6"/>
        <v>0</v>
      </c>
      <c r="BD33" s="137">
        <f t="shared" si="7"/>
        <v>0</v>
      </c>
      <c r="BE33" s="137">
        <f t="shared" si="8"/>
        <v>0</v>
      </c>
      <c r="BF33" s="137">
        <f t="shared" si="9"/>
        <v>0</v>
      </c>
      <c r="BG33" s="137">
        <f t="shared" si="10"/>
        <v>0</v>
      </c>
    </row>
    <row r="34" spans="1:59" s="138" customFormat="1" ht="32.25" customHeight="1">
      <c r="A34" s="139" t="s">
        <v>120</v>
      </c>
      <c r="B34" s="139">
        <f>'Расходы на ЗП ОТ'!B34</f>
        <v>0</v>
      </c>
      <c r="C34" s="140">
        <f>'Расходы на ЗП ОТ'!C34</f>
        <v>0</v>
      </c>
      <c r="D34" s="140">
        <f t="shared" ref="D34:F34" si="24">SUM(D29:D33)</f>
        <v>0</v>
      </c>
      <c r="E34" s="140">
        <f>SUM(E29:E33)</f>
        <v>0</v>
      </c>
      <c r="F34" s="140">
        <f t="shared" si="24"/>
        <v>0</v>
      </c>
      <c r="G34" s="140">
        <f t="shared" ref="G34:AP34" si="25">SUM(G29:G33)</f>
        <v>0</v>
      </c>
      <c r="H34" s="140">
        <f t="shared" si="25"/>
        <v>0</v>
      </c>
      <c r="I34" s="140">
        <f t="shared" si="25"/>
        <v>0</v>
      </c>
      <c r="J34" s="140">
        <f t="shared" si="25"/>
        <v>0</v>
      </c>
      <c r="K34" s="140">
        <f t="shared" si="25"/>
        <v>0</v>
      </c>
      <c r="L34" s="140">
        <f t="shared" si="25"/>
        <v>0</v>
      </c>
      <c r="M34" s="140">
        <f t="shared" si="25"/>
        <v>0</v>
      </c>
      <c r="N34" s="140">
        <f t="shared" si="25"/>
        <v>0</v>
      </c>
      <c r="O34" s="140">
        <f t="shared" si="25"/>
        <v>0</v>
      </c>
      <c r="P34" s="140">
        <f t="shared" si="25"/>
        <v>0</v>
      </c>
      <c r="Q34" s="140">
        <f t="shared" si="25"/>
        <v>0</v>
      </c>
      <c r="R34" s="140">
        <f t="shared" si="25"/>
        <v>0</v>
      </c>
      <c r="S34" s="140">
        <f t="shared" si="25"/>
        <v>0</v>
      </c>
      <c r="T34" s="140">
        <f t="shared" si="25"/>
        <v>0</v>
      </c>
      <c r="U34" s="140">
        <f t="shared" si="25"/>
        <v>0</v>
      </c>
      <c r="V34" s="140">
        <f t="shared" si="25"/>
        <v>0</v>
      </c>
      <c r="W34" s="140">
        <f t="shared" si="25"/>
        <v>0</v>
      </c>
      <c r="X34" s="140">
        <f t="shared" si="25"/>
        <v>0</v>
      </c>
      <c r="Y34" s="140">
        <f t="shared" si="25"/>
        <v>0</v>
      </c>
      <c r="Z34" s="140">
        <f t="shared" si="25"/>
        <v>0</v>
      </c>
      <c r="AA34" s="140">
        <f t="shared" si="25"/>
        <v>0</v>
      </c>
      <c r="AB34" s="140">
        <f t="shared" si="25"/>
        <v>0</v>
      </c>
      <c r="AC34" s="140">
        <f t="shared" si="25"/>
        <v>0</v>
      </c>
      <c r="AD34" s="140">
        <f t="shared" si="25"/>
        <v>0</v>
      </c>
      <c r="AE34" s="140">
        <f t="shared" si="25"/>
        <v>0</v>
      </c>
      <c r="AF34" s="140">
        <f t="shared" si="25"/>
        <v>0</v>
      </c>
      <c r="AG34" s="140">
        <f t="shared" si="25"/>
        <v>0</v>
      </c>
      <c r="AH34" s="140">
        <f t="shared" si="25"/>
        <v>0</v>
      </c>
      <c r="AI34" s="140">
        <f t="shared" si="25"/>
        <v>0</v>
      </c>
      <c r="AJ34" s="140">
        <f t="shared" si="25"/>
        <v>0</v>
      </c>
      <c r="AK34" s="140">
        <f t="shared" si="25"/>
        <v>0</v>
      </c>
      <c r="AL34" s="140">
        <f t="shared" si="25"/>
        <v>0</v>
      </c>
      <c r="AM34" s="140">
        <f t="shared" si="25"/>
        <v>0</v>
      </c>
      <c r="AN34" s="140">
        <f t="shared" si="25"/>
        <v>0</v>
      </c>
      <c r="AO34" s="140">
        <f t="shared" si="25"/>
        <v>0</v>
      </c>
      <c r="AP34" s="140">
        <f t="shared" si="25"/>
        <v>0</v>
      </c>
      <c r="AQ34" s="140">
        <f>'Расходы на ЗП ОТ'!AQ34</f>
        <v>0</v>
      </c>
      <c r="AR34" s="140">
        <f>'Расходы на ЗП ОТ'!AR34</f>
        <v>0</v>
      </c>
      <c r="AS34" s="140">
        <f>'Расходы на ЗП ОТ'!AS34</f>
        <v>0</v>
      </c>
      <c r="AT34" s="140">
        <f>'Расходы на ЗП ОТ'!AT34</f>
        <v>0</v>
      </c>
      <c r="AU34" s="140">
        <f>'Расходы на ЗП ОТ'!AU34</f>
        <v>0</v>
      </c>
      <c r="AV34" s="140"/>
      <c r="AW34" s="140">
        <f t="shared" si="0"/>
        <v>0</v>
      </c>
      <c r="AX34" s="140">
        <f t="shared" si="1"/>
        <v>0</v>
      </c>
      <c r="AY34" s="140">
        <f t="shared" si="2"/>
        <v>0</v>
      </c>
      <c r="AZ34" s="140">
        <f t="shared" si="3"/>
        <v>0</v>
      </c>
      <c r="BA34" s="140">
        <f t="shared" si="4"/>
        <v>0</v>
      </c>
      <c r="BB34" s="140">
        <f t="shared" si="5"/>
        <v>0</v>
      </c>
      <c r="BC34" s="140">
        <f t="shared" si="6"/>
        <v>0</v>
      </c>
      <c r="BD34" s="140">
        <f t="shared" si="7"/>
        <v>0</v>
      </c>
      <c r="BE34" s="140">
        <f t="shared" si="8"/>
        <v>0</v>
      </c>
      <c r="BF34" s="140">
        <f t="shared" si="9"/>
        <v>0</v>
      </c>
      <c r="BG34" s="140">
        <f t="shared" si="10"/>
        <v>0</v>
      </c>
    </row>
    <row r="35" spans="1:59" s="141" customFormat="1" ht="28.5" customHeight="1">
      <c r="A35" s="142" t="s">
        <v>121</v>
      </c>
      <c r="B35" s="142">
        <f>'Расходы на ЗП ОТ'!B35</f>
        <v>0</v>
      </c>
      <c r="C35" s="143">
        <f>'Расходы на ЗП ОТ'!C35</f>
        <v>0</v>
      </c>
      <c r="D35" s="143">
        <f>D34*$B$62</f>
        <v>0</v>
      </c>
      <c r="E35" s="143">
        <f t="shared" ref="E35:AP35" si="26">E34*$B$62</f>
        <v>0</v>
      </c>
      <c r="F35" s="143">
        <f t="shared" si="26"/>
        <v>0</v>
      </c>
      <c r="G35" s="143">
        <f t="shared" si="26"/>
        <v>0</v>
      </c>
      <c r="H35" s="143">
        <f t="shared" si="26"/>
        <v>0</v>
      </c>
      <c r="I35" s="143">
        <f t="shared" si="26"/>
        <v>0</v>
      </c>
      <c r="J35" s="143">
        <f t="shared" si="26"/>
        <v>0</v>
      </c>
      <c r="K35" s="143">
        <f t="shared" si="26"/>
        <v>0</v>
      </c>
      <c r="L35" s="143">
        <f t="shared" si="26"/>
        <v>0</v>
      </c>
      <c r="M35" s="143">
        <f t="shared" si="26"/>
        <v>0</v>
      </c>
      <c r="N35" s="143">
        <f t="shared" si="26"/>
        <v>0</v>
      </c>
      <c r="O35" s="143">
        <f t="shared" si="26"/>
        <v>0</v>
      </c>
      <c r="P35" s="143">
        <f t="shared" si="26"/>
        <v>0</v>
      </c>
      <c r="Q35" s="143">
        <f t="shared" si="26"/>
        <v>0</v>
      </c>
      <c r="R35" s="143">
        <f t="shared" si="26"/>
        <v>0</v>
      </c>
      <c r="S35" s="143">
        <f t="shared" si="26"/>
        <v>0</v>
      </c>
      <c r="T35" s="143">
        <f t="shared" si="26"/>
        <v>0</v>
      </c>
      <c r="U35" s="143">
        <f t="shared" si="26"/>
        <v>0</v>
      </c>
      <c r="V35" s="143">
        <f t="shared" si="26"/>
        <v>0</v>
      </c>
      <c r="W35" s="143">
        <f t="shared" si="26"/>
        <v>0</v>
      </c>
      <c r="X35" s="143">
        <f t="shared" si="26"/>
        <v>0</v>
      </c>
      <c r="Y35" s="143">
        <f t="shared" si="26"/>
        <v>0</v>
      </c>
      <c r="Z35" s="143">
        <f t="shared" si="26"/>
        <v>0</v>
      </c>
      <c r="AA35" s="143">
        <f t="shared" si="26"/>
        <v>0</v>
      </c>
      <c r="AB35" s="143">
        <f t="shared" si="26"/>
        <v>0</v>
      </c>
      <c r="AC35" s="143">
        <f t="shared" si="26"/>
        <v>0</v>
      </c>
      <c r="AD35" s="143">
        <f t="shared" si="26"/>
        <v>0</v>
      </c>
      <c r="AE35" s="143">
        <f t="shared" si="26"/>
        <v>0</v>
      </c>
      <c r="AF35" s="143">
        <f t="shared" si="26"/>
        <v>0</v>
      </c>
      <c r="AG35" s="143">
        <f t="shared" si="26"/>
        <v>0</v>
      </c>
      <c r="AH35" s="143">
        <f t="shared" si="26"/>
        <v>0</v>
      </c>
      <c r="AI35" s="143">
        <f t="shared" si="26"/>
        <v>0</v>
      </c>
      <c r="AJ35" s="143">
        <f t="shared" si="26"/>
        <v>0</v>
      </c>
      <c r="AK35" s="143">
        <f t="shared" si="26"/>
        <v>0</v>
      </c>
      <c r="AL35" s="143">
        <f t="shared" si="26"/>
        <v>0</v>
      </c>
      <c r="AM35" s="143">
        <f t="shared" si="26"/>
        <v>0</v>
      </c>
      <c r="AN35" s="143">
        <f t="shared" si="26"/>
        <v>0</v>
      </c>
      <c r="AO35" s="143">
        <f t="shared" si="26"/>
        <v>0</v>
      </c>
      <c r="AP35" s="143">
        <f t="shared" si="26"/>
        <v>0</v>
      </c>
      <c r="AQ35" s="143">
        <f>'Расходы на ЗП ОТ'!AQ35</f>
        <v>0</v>
      </c>
      <c r="AR35" s="143">
        <f>'Расходы на ЗП ОТ'!AR35</f>
        <v>0</v>
      </c>
      <c r="AS35" s="143">
        <f>'Расходы на ЗП ОТ'!AS35</f>
        <v>0</v>
      </c>
      <c r="AT35" s="143">
        <f>'Расходы на ЗП ОТ'!AT35</f>
        <v>0</v>
      </c>
      <c r="AU35" s="143">
        <f>'Расходы на ЗП ОТ'!AU35</f>
        <v>0</v>
      </c>
      <c r="AV35" s="143"/>
      <c r="AW35" s="143">
        <f t="shared" si="0"/>
        <v>0</v>
      </c>
      <c r="AX35" s="143">
        <f t="shared" si="1"/>
        <v>0</v>
      </c>
      <c r="AY35" s="143">
        <f t="shared" si="2"/>
        <v>0</v>
      </c>
      <c r="AZ35" s="143">
        <f t="shared" si="3"/>
        <v>0</v>
      </c>
      <c r="BA35" s="143">
        <f t="shared" si="4"/>
        <v>0</v>
      </c>
      <c r="BB35" s="143">
        <f t="shared" si="5"/>
        <v>0</v>
      </c>
      <c r="BC35" s="143">
        <f t="shared" si="6"/>
        <v>0</v>
      </c>
      <c r="BD35" s="143">
        <f t="shared" si="7"/>
        <v>0</v>
      </c>
      <c r="BE35" s="143">
        <f t="shared" si="8"/>
        <v>0</v>
      </c>
      <c r="BF35" s="143">
        <f t="shared" si="9"/>
        <v>0</v>
      </c>
      <c r="BG35" s="143">
        <f t="shared" si="10"/>
        <v>0</v>
      </c>
    </row>
    <row r="36" spans="1:59" ht="48" customHeight="1">
      <c r="A36" s="134" t="s">
        <v>141</v>
      </c>
      <c r="B36" s="134"/>
      <c r="C36" s="134"/>
      <c r="D36" s="134"/>
      <c r="E36" s="134"/>
      <c r="F36" s="134"/>
      <c r="G36" s="134"/>
      <c r="H36" s="134"/>
      <c r="I36" s="134"/>
      <c r="J36" s="134"/>
      <c r="K36" s="134"/>
      <c r="L36" s="134"/>
      <c r="M36" s="134"/>
      <c r="N36" s="134"/>
      <c r="O36" s="134"/>
      <c r="P36" s="134"/>
      <c r="Q36" s="134"/>
      <c r="R36" s="134"/>
      <c r="S36" s="134"/>
      <c r="T36" s="134"/>
      <c r="U36" s="134"/>
      <c r="V36" s="134"/>
      <c r="W36" s="134"/>
      <c r="X36" s="134"/>
      <c r="Y36" s="134"/>
      <c r="Z36" s="134"/>
      <c r="AA36" s="134"/>
      <c r="AB36" s="134"/>
      <c r="AC36" s="134"/>
      <c r="AD36" s="134"/>
      <c r="AE36" s="134"/>
      <c r="AF36" s="134"/>
      <c r="AG36" s="134"/>
      <c r="AH36" s="134"/>
      <c r="AI36" s="134"/>
      <c r="AJ36" s="134"/>
      <c r="AK36" s="134"/>
      <c r="AL36" s="134"/>
      <c r="AM36" s="134"/>
      <c r="AN36" s="134"/>
      <c r="AO36" s="134"/>
      <c r="AP36" s="134"/>
      <c r="AQ36" s="137"/>
      <c r="AR36" s="137"/>
      <c r="AS36" s="137"/>
      <c r="AT36" s="137"/>
      <c r="AU36" s="137"/>
      <c r="AV36" s="134"/>
      <c r="AW36" s="134">
        <f t="shared" si="0"/>
        <v>0</v>
      </c>
      <c r="AX36" s="134">
        <f t="shared" si="1"/>
        <v>0</v>
      </c>
      <c r="AY36" s="134">
        <f t="shared" si="2"/>
        <v>0</v>
      </c>
      <c r="AZ36" s="134">
        <f t="shared" si="3"/>
        <v>0</v>
      </c>
      <c r="BA36" s="134">
        <f t="shared" si="4"/>
        <v>0</v>
      </c>
      <c r="BB36" s="134">
        <f t="shared" si="5"/>
        <v>0</v>
      </c>
      <c r="BC36" s="134">
        <f t="shared" si="6"/>
        <v>0</v>
      </c>
      <c r="BD36" s="134">
        <f t="shared" si="7"/>
        <v>0</v>
      </c>
      <c r="BE36" s="134">
        <f t="shared" si="8"/>
        <v>0</v>
      </c>
      <c r="BF36" s="134">
        <f t="shared" si="9"/>
        <v>0</v>
      </c>
      <c r="BG36" s="137">
        <f t="shared" si="10"/>
        <v>0</v>
      </c>
    </row>
    <row r="37" spans="1:59">
      <c r="A37" s="134" t="s">
        <v>142</v>
      </c>
      <c r="B37" s="134">
        <f>'Расходы на ЗП ОТ'!B37</f>
        <v>0</v>
      </c>
      <c r="C37" s="134">
        <f>'Расходы на ЗП ОТ'!C37</f>
        <v>0</v>
      </c>
      <c r="D37" s="134">
        <f>'Расходы на ЗП ОТ'!D37</f>
        <v>0</v>
      </c>
      <c r="E37" s="134">
        <f>'Расходы на ЗП ОТ'!E37</f>
        <v>0</v>
      </c>
      <c r="F37" s="134">
        <f>'Расходы на ЗП ОТ'!F37</f>
        <v>0</v>
      </c>
      <c r="G37" s="134">
        <f>'Расходы на ЗП ОТ'!G37</f>
        <v>0</v>
      </c>
      <c r="H37" s="134">
        <f>'Расходы на ЗП ОТ'!H37</f>
        <v>0</v>
      </c>
      <c r="I37" s="134">
        <f>'Расходы на ЗП ОТ'!I37</f>
        <v>0</v>
      </c>
      <c r="J37" s="134">
        <f>'Расходы на ЗП ОТ'!J37</f>
        <v>0</v>
      </c>
      <c r="K37" s="134">
        <f>'Расходы на ЗП ОТ'!K37</f>
        <v>0</v>
      </c>
      <c r="L37" s="134">
        <f>'Расходы на ЗП ОТ'!L37</f>
        <v>0</v>
      </c>
      <c r="M37" s="134">
        <f>'Расходы на ЗП ОТ'!M37</f>
        <v>0</v>
      </c>
      <c r="N37" s="134">
        <f>'Расходы на ЗП ОТ'!N37</f>
        <v>0</v>
      </c>
      <c r="O37" s="134">
        <f>'Расходы на ЗП ОТ'!O37</f>
        <v>0</v>
      </c>
      <c r="P37" s="134">
        <f>'Расходы на ЗП ОТ'!P37</f>
        <v>0</v>
      </c>
      <c r="Q37" s="134">
        <f>'Расходы на ЗП ОТ'!Q37</f>
        <v>0</v>
      </c>
      <c r="R37" s="134">
        <f>'Расходы на ЗП ОТ'!R37</f>
        <v>0</v>
      </c>
      <c r="S37" s="134">
        <f>'Расходы на ЗП ОТ'!S37</f>
        <v>0</v>
      </c>
      <c r="T37" s="134">
        <f>'Расходы на ЗП ОТ'!T37</f>
        <v>0</v>
      </c>
      <c r="U37" s="134">
        <f>'Расходы на ЗП ОТ'!U37</f>
        <v>0</v>
      </c>
      <c r="V37" s="134">
        <f>'Расходы на ЗП ОТ'!V37</f>
        <v>0</v>
      </c>
      <c r="W37" s="134">
        <f>'Расходы на ЗП ОТ'!W37</f>
        <v>0</v>
      </c>
      <c r="X37" s="134">
        <f>'Расходы на ЗП ОТ'!X37</f>
        <v>0</v>
      </c>
      <c r="Y37" s="134">
        <f>'Расходы на ЗП ОТ'!Y37</f>
        <v>0</v>
      </c>
      <c r="Z37" s="134">
        <f>'Расходы на ЗП ОТ'!Z37</f>
        <v>0</v>
      </c>
      <c r="AA37" s="134">
        <f>'Расходы на ЗП ОТ'!AA37</f>
        <v>0</v>
      </c>
      <c r="AB37" s="134">
        <f>'Расходы на ЗП ОТ'!AB37</f>
        <v>0</v>
      </c>
      <c r="AC37" s="134">
        <f>'Расходы на ЗП ОТ'!AC37</f>
        <v>0</v>
      </c>
      <c r="AD37" s="134">
        <f>'Расходы на ЗП ОТ'!AD37</f>
        <v>0</v>
      </c>
      <c r="AE37" s="134">
        <f>'Расходы на ЗП ОТ'!AE37</f>
        <v>0</v>
      </c>
      <c r="AF37" s="134">
        <f>'Расходы на ЗП ОТ'!AF37</f>
        <v>0</v>
      </c>
      <c r="AG37" s="134">
        <f>'Расходы на ЗП ОТ'!AG37</f>
        <v>0</v>
      </c>
      <c r="AH37" s="134">
        <f>'Расходы на ЗП ОТ'!AH37</f>
        <v>0</v>
      </c>
      <c r="AI37" s="134">
        <f>'Расходы на ЗП ОТ'!AI37</f>
        <v>0</v>
      </c>
      <c r="AJ37" s="134">
        <f>'Расходы на ЗП ОТ'!AJ37</f>
        <v>0</v>
      </c>
      <c r="AK37" s="134">
        <f>'Расходы на ЗП ОТ'!AK37</f>
        <v>0</v>
      </c>
      <c r="AL37" s="134">
        <f>'Расходы на ЗП ОТ'!AL37</f>
        <v>0</v>
      </c>
      <c r="AM37" s="134">
        <f>'Расходы на ЗП ОТ'!AM37</f>
        <v>0</v>
      </c>
      <c r="AN37" s="134">
        <f>'Расходы на ЗП ОТ'!AN37</f>
        <v>0</v>
      </c>
      <c r="AO37" s="134">
        <f>'Расходы на ЗП ОТ'!AO37</f>
        <v>0</v>
      </c>
      <c r="AP37" s="134">
        <f>'Расходы на ЗП ОТ'!AP37</f>
        <v>0</v>
      </c>
      <c r="AQ37" s="137">
        <f>'Расходы на ЗП ОТ'!AQ37</f>
        <v>0</v>
      </c>
      <c r="AR37" s="137">
        <f>'Расходы на ЗП ОТ'!AR37</f>
        <v>0</v>
      </c>
      <c r="AS37" s="137">
        <f>'Расходы на ЗП ОТ'!AS37</f>
        <v>0</v>
      </c>
      <c r="AT37" s="137">
        <f>'Расходы на ЗП ОТ'!AT37</f>
        <v>0</v>
      </c>
      <c r="AU37" s="137">
        <f>'Расходы на ЗП ОТ'!AU37</f>
        <v>0</v>
      </c>
      <c r="AV37" s="134"/>
      <c r="AW37" s="134">
        <f t="shared" si="0"/>
        <v>0</v>
      </c>
      <c r="AX37" s="134">
        <f t="shared" si="1"/>
        <v>0</v>
      </c>
      <c r="AY37" s="134">
        <f t="shared" si="2"/>
        <v>0</v>
      </c>
      <c r="AZ37" s="134">
        <f t="shared" si="3"/>
        <v>0</v>
      </c>
      <c r="BA37" s="134">
        <f t="shared" si="4"/>
        <v>0</v>
      </c>
      <c r="BB37" s="134">
        <f t="shared" si="5"/>
        <v>0</v>
      </c>
      <c r="BC37" s="134">
        <f t="shared" si="6"/>
        <v>0</v>
      </c>
      <c r="BD37" s="134">
        <f t="shared" si="7"/>
        <v>0</v>
      </c>
      <c r="BE37" s="134">
        <f t="shared" si="8"/>
        <v>0</v>
      </c>
      <c r="BF37" s="134">
        <f t="shared" si="9"/>
        <v>0</v>
      </c>
      <c r="BG37" s="137">
        <f t="shared" si="10"/>
        <v>0</v>
      </c>
    </row>
    <row r="38" spans="1:59">
      <c r="A38" s="134" t="s">
        <v>143</v>
      </c>
      <c r="B38" s="134">
        <f>'Расходы на ЗП ОТ'!B38</f>
        <v>0</v>
      </c>
      <c r="C38" s="134">
        <f>'Расходы на ЗП ОТ'!C38</f>
        <v>0</v>
      </c>
      <c r="D38" s="134">
        <f>'Расходы на ЗП ОТ'!D38</f>
        <v>0</v>
      </c>
      <c r="E38" s="134">
        <f>'Расходы на ЗП ОТ'!E38</f>
        <v>0</v>
      </c>
      <c r="F38" s="134">
        <f>'Расходы на ЗП ОТ'!F38</f>
        <v>0</v>
      </c>
      <c r="G38" s="134">
        <f>'Расходы на ЗП ОТ'!G38</f>
        <v>0</v>
      </c>
      <c r="H38" s="134">
        <f>'Расходы на ЗП ОТ'!H38</f>
        <v>0</v>
      </c>
      <c r="I38" s="134">
        <f>'Расходы на ЗП ОТ'!I38</f>
        <v>0</v>
      </c>
      <c r="J38" s="134">
        <f>'Расходы на ЗП ОТ'!J38</f>
        <v>0</v>
      </c>
      <c r="K38" s="134">
        <f>'Расходы на ЗП ОТ'!K38</f>
        <v>0</v>
      </c>
      <c r="L38" s="134">
        <f>'Расходы на ЗП ОТ'!L38</f>
        <v>0</v>
      </c>
      <c r="M38" s="134">
        <f>'Расходы на ЗП ОТ'!M38</f>
        <v>0</v>
      </c>
      <c r="N38" s="134">
        <f>'Расходы на ЗП ОТ'!N38</f>
        <v>0</v>
      </c>
      <c r="O38" s="134">
        <f>'Расходы на ЗП ОТ'!O38</f>
        <v>0</v>
      </c>
      <c r="P38" s="134">
        <f>'Расходы на ЗП ОТ'!P38</f>
        <v>0</v>
      </c>
      <c r="Q38" s="134">
        <f>'Расходы на ЗП ОТ'!Q38</f>
        <v>0</v>
      </c>
      <c r="R38" s="134">
        <f>'Расходы на ЗП ОТ'!R38</f>
        <v>0</v>
      </c>
      <c r="S38" s="134">
        <f>'Расходы на ЗП ОТ'!S38</f>
        <v>0</v>
      </c>
      <c r="T38" s="134">
        <f>'Расходы на ЗП ОТ'!T38</f>
        <v>0</v>
      </c>
      <c r="U38" s="134">
        <f>'Расходы на ЗП ОТ'!U38</f>
        <v>0</v>
      </c>
      <c r="V38" s="134">
        <f>'Расходы на ЗП ОТ'!V38</f>
        <v>0</v>
      </c>
      <c r="W38" s="134">
        <f>'Расходы на ЗП ОТ'!W38</f>
        <v>0</v>
      </c>
      <c r="X38" s="134">
        <f>'Расходы на ЗП ОТ'!X38</f>
        <v>0</v>
      </c>
      <c r="Y38" s="134">
        <f>'Расходы на ЗП ОТ'!Y38</f>
        <v>0</v>
      </c>
      <c r="Z38" s="134">
        <f>'Расходы на ЗП ОТ'!Z38</f>
        <v>0</v>
      </c>
      <c r="AA38" s="134">
        <f>'Расходы на ЗП ОТ'!AA38</f>
        <v>0</v>
      </c>
      <c r="AB38" s="134">
        <f>'Расходы на ЗП ОТ'!AB38</f>
        <v>0</v>
      </c>
      <c r="AC38" s="134">
        <f>'Расходы на ЗП ОТ'!AC38</f>
        <v>0</v>
      </c>
      <c r="AD38" s="134">
        <f>'Расходы на ЗП ОТ'!AD38</f>
        <v>0</v>
      </c>
      <c r="AE38" s="134">
        <f>'Расходы на ЗП ОТ'!AE38</f>
        <v>0</v>
      </c>
      <c r="AF38" s="134">
        <f>'Расходы на ЗП ОТ'!AF38</f>
        <v>0</v>
      </c>
      <c r="AG38" s="134">
        <f>'Расходы на ЗП ОТ'!AG38</f>
        <v>0</v>
      </c>
      <c r="AH38" s="134">
        <f>'Расходы на ЗП ОТ'!AH38</f>
        <v>0</v>
      </c>
      <c r="AI38" s="134">
        <f>'Расходы на ЗП ОТ'!AI38</f>
        <v>0</v>
      </c>
      <c r="AJ38" s="134">
        <f>'Расходы на ЗП ОТ'!AJ38</f>
        <v>0</v>
      </c>
      <c r="AK38" s="134">
        <f>'Расходы на ЗП ОТ'!AK38</f>
        <v>0</v>
      </c>
      <c r="AL38" s="134">
        <f>'Расходы на ЗП ОТ'!AL38</f>
        <v>0</v>
      </c>
      <c r="AM38" s="134">
        <f>'Расходы на ЗП ОТ'!AM38</f>
        <v>0</v>
      </c>
      <c r="AN38" s="134">
        <f>'Расходы на ЗП ОТ'!AN38</f>
        <v>0</v>
      </c>
      <c r="AO38" s="134">
        <f>'Расходы на ЗП ОТ'!AO38</f>
        <v>0</v>
      </c>
      <c r="AP38" s="134">
        <f>'Расходы на ЗП ОТ'!AP38</f>
        <v>0</v>
      </c>
      <c r="AQ38" s="137">
        <f>'Расходы на ЗП ОТ'!AQ38</f>
        <v>0</v>
      </c>
      <c r="AR38" s="137">
        <f>'Расходы на ЗП ОТ'!AR38</f>
        <v>0</v>
      </c>
      <c r="AS38" s="137">
        <f>'Расходы на ЗП ОТ'!AS38</f>
        <v>0</v>
      </c>
      <c r="AT38" s="137">
        <f>'Расходы на ЗП ОТ'!AT38</f>
        <v>0</v>
      </c>
      <c r="AU38" s="137">
        <f>'Расходы на ЗП ОТ'!AU38</f>
        <v>0</v>
      </c>
      <c r="AV38" s="134"/>
      <c r="AW38" s="134">
        <f t="shared" si="0"/>
        <v>0</v>
      </c>
      <c r="AX38" s="134">
        <f t="shared" si="1"/>
        <v>0</v>
      </c>
      <c r="AY38" s="134">
        <f t="shared" si="2"/>
        <v>0</v>
      </c>
      <c r="AZ38" s="134">
        <f t="shared" si="3"/>
        <v>0</v>
      </c>
      <c r="BA38" s="134">
        <f t="shared" si="4"/>
        <v>0</v>
      </c>
      <c r="BB38" s="134">
        <f t="shared" si="5"/>
        <v>0</v>
      </c>
      <c r="BC38" s="134">
        <f t="shared" si="6"/>
        <v>0</v>
      </c>
      <c r="BD38" s="134">
        <f t="shared" si="7"/>
        <v>0</v>
      </c>
      <c r="BE38" s="134">
        <f t="shared" si="8"/>
        <v>0</v>
      </c>
      <c r="BF38" s="134">
        <f t="shared" si="9"/>
        <v>0</v>
      </c>
      <c r="BG38" s="137">
        <f t="shared" si="10"/>
        <v>0</v>
      </c>
    </row>
    <row r="39" spans="1:59">
      <c r="A39" s="134" t="s">
        <v>144</v>
      </c>
      <c r="B39" s="134">
        <f>'Расходы на ЗП ОТ'!B39</f>
        <v>0</v>
      </c>
      <c r="C39" s="134">
        <f>'Расходы на ЗП ОТ'!C39</f>
        <v>0</v>
      </c>
      <c r="D39" s="134">
        <f>'Расходы на ЗП ОТ'!D39</f>
        <v>0</v>
      </c>
      <c r="E39" s="134">
        <f>'Расходы на ЗП ОТ'!E39</f>
        <v>0</v>
      </c>
      <c r="F39" s="134">
        <f>'Расходы на ЗП ОТ'!F39</f>
        <v>0</v>
      </c>
      <c r="G39" s="134">
        <f>'Расходы на ЗП ОТ'!G39</f>
        <v>0</v>
      </c>
      <c r="H39" s="134">
        <f>'Расходы на ЗП ОТ'!H39</f>
        <v>0</v>
      </c>
      <c r="I39" s="134">
        <f>'Расходы на ЗП ОТ'!I39</f>
        <v>0</v>
      </c>
      <c r="J39" s="134">
        <f>'Расходы на ЗП ОТ'!J39</f>
        <v>0</v>
      </c>
      <c r="K39" s="134">
        <f>'Расходы на ЗП ОТ'!K39</f>
        <v>0</v>
      </c>
      <c r="L39" s="134">
        <f>'Расходы на ЗП ОТ'!L39</f>
        <v>0</v>
      </c>
      <c r="M39" s="134">
        <f>'Расходы на ЗП ОТ'!M39</f>
        <v>0</v>
      </c>
      <c r="N39" s="134">
        <f>'Расходы на ЗП ОТ'!N39</f>
        <v>0</v>
      </c>
      <c r="O39" s="134">
        <f>'Расходы на ЗП ОТ'!O39</f>
        <v>0</v>
      </c>
      <c r="P39" s="134">
        <f>'Расходы на ЗП ОТ'!P39</f>
        <v>0</v>
      </c>
      <c r="Q39" s="134">
        <f>'Расходы на ЗП ОТ'!Q39</f>
        <v>0</v>
      </c>
      <c r="R39" s="134">
        <f>'Расходы на ЗП ОТ'!R39</f>
        <v>0</v>
      </c>
      <c r="S39" s="134">
        <f>'Расходы на ЗП ОТ'!S39</f>
        <v>0</v>
      </c>
      <c r="T39" s="134">
        <f>'Расходы на ЗП ОТ'!T39</f>
        <v>0</v>
      </c>
      <c r="U39" s="134">
        <f>'Расходы на ЗП ОТ'!U39</f>
        <v>0</v>
      </c>
      <c r="V39" s="134">
        <f>'Расходы на ЗП ОТ'!V39</f>
        <v>0</v>
      </c>
      <c r="W39" s="134">
        <f>'Расходы на ЗП ОТ'!W39</f>
        <v>0</v>
      </c>
      <c r="X39" s="134">
        <f>'Расходы на ЗП ОТ'!X39</f>
        <v>0</v>
      </c>
      <c r="Y39" s="134">
        <f>'Расходы на ЗП ОТ'!Y39</f>
        <v>0</v>
      </c>
      <c r="Z39" s="134">
        <f>'Расходы на ЗП ОТ'!Z39</f>
        <v>0</v>
      </c>
      <c r="AA39" s="134">
        <f>'Расходы на ЗП ОТ'!AA39</f>
        <v>0</v>
      </c>
      <c r="AB39" s="134">
        <f>'Расходы на ЗП ОТ'!AB39</f>
        <v>0</v>
      </c>
      <c r="AC39" s="134">
        <f>'Расходы на ЗП ОТ'!AC39</f>
        <v>0</v>
      </c>
      <c r="AD39" s="134">
        <f>'Расходы на ЗП ОТ'!AD39</f>
        <v>0</v>
      </c>
      <c r="AE39" s="134">
        <f>'Расходы на ЗП ОТ'!AE39</f>
        <v>0</v>
      </c>
      <c r="AF39" s="134">
        <f>'Расходы на ЗП ОТ'!AF39</f>
        <v>0</v>
      </c>
      <c r="AG39" s="134">
        <f>'Расходы на ЗП ОТ'!AG39</f>
        <v>0</v>
      </c>
      <c r="AH39" s="134">
        <f>'Расходы на ЗП ОТ'!AH39</f>
        <v>0</v>
      </c>
      <c r="AI39" s="134">
        <f>'Расходы на ЗП ОТ'!AI39</f>
        <v>0</v>
      </c>
      <c r="AJ39" s="134">
        <f>'Расходы на ЗП ОТ'!AJ39</f>
        <v>0</v>
      </c>
      <c r="AK39" s="134">
        <f>'Расходы на ЗП ОТ'!AK39</f>
        <v>0</v>
      </c>
      <c r="AL39" s="134">
        <f>'Расходы на ЗП ОТ'!AL39</f>
        <v>0</v>
      </c>
      <c r="AM39" s="134">
        <f>'Расходы на ЗП ОТ'!AM39</f>
        <v>0</v>
      </c>
      <c r="AN39" s="134">
        <f>'Расходы на ЗП ОТ'!AN39</f>
        <v>0</v>
      </c>
      <c r="AO39" s="134">
        <f>'Расходы на ЗП ОТ'!AO39</f>
        <v>0</v>
      </c>
      <c r="AP39" s="134">
        <f>'Расходы на ЗП ОТ'!AP39</f>
        <v>0</v>
      </c>
      <c r="AQ39" s="137">
        <f>'Расходы на ЗП ОТ'!AQ39</f>
        <v>0</v>
      </c>
      <c r="AR39" s="137">
        <f>'Расходы на ЗП ОТ'!AR39</f>
        <v>0</v>
      </c>
      <c r="AS39" s="137">
        <f>'Расходы на ЗП ОТ'!AS39</f>
        <v>0</v>
      </c>
      <c r="AT39" s="137">
        <f>'Расходы на ЗП ОТ'!AT39</f>
        <v>0</v>
      </c>
      <c r="AU39" s="137">
        <f>'Расходы на ЗП ОТ'!AU39</f>
        <v>0</v>
      </c>
      <c r="AV39" s="134"/>
      <c r="AW39" s="134">
        <f t="shared" si="0"/>
        <v>0</v>
      </c>
      <c r="AX39" s="134">
        <f t="shared" si="1"/>
        <v>0</v>
      </c>
      <c r="AY39" s="134">
        <f t="shared" si="2"/>
        <v>0</v>
      </c>
      <c r="AZ39" s="134">
        <f t="shared" si="3"/>
        <v>0</v>
      </c>
      <c r="BA39" s="134">
        <f t="shared" si="4"/>
        <v>0</v>
      </c>
      <c r="BB39" s="134">
        <f t="shared" si="5"/>
        <v>0</v>
      </c>
      <c r="BC39" s="134">
        <f t="shared" si="6"/>
        <v>0</v>
      </c>
      <c r="BD39" s="134">
        <f t="shared" si="7"/>
        <v>0</v>
      </c>
      <c r="BE39" s="134">
        <f t="shared" si="8"/>
        <v>0</v>
      </c>
      <c r="BF39" s="134">
        <f t="shared" si="9"/>
        <v>0</v>
      </c>
      <c r="BG39" s="137">
        <f t="shared" si="10"/>
        <v>0</v>
      </c>
    </row>
    <row r="40" spans="1:59">
      <c r="A40" s="134" t="s">
        <v>145</v>
      </c>
      <c r="B40" s="134">
        <f>'Расходы на ЗП ОТ'!B40</f>
        <v>0</v>
      </c>
      <c r="C40" s="134">
        <f>'Расходы на ЗП ОТ'!C40</f>
        <v>0</v>
      </c>
      <c r="D40" s="134">
        <f>'Расходы на ЗП ОТ'!D40</f>
        <v>0</v>
      </c>
      <c r="E40" s="134">
        <f>'Расходы на ЗП ОТ'!E40</f>
        <v>0</v>
      </c>
      <c r="F40" s="134">
        <f>'Расходы на ЗП ОТ'!F40</f>
        <v>0</v>
      </c>
      <c r="G40" s="134">
        <f>'Расходы на ЗП ОТ'!G40</f>
        <v>0</v>
      </c>
      <c r="H40" s="134">
        <f>'Расходы на ЗП ОТ'!H40</f>
        <v>0</v>
      </c>
      <c r="I40" s="134">
        <f>'Расходы на ЗП ОТ'!I40</f>
        <v>0</v>
      </c>
      <c r="J40" s="134">
        <f>'Расходы на ЗП ОТ'!J40</f>
        <v>0</v>
      </c>
      <c r="K40" s="134">
        <f>'Расходы на ЗП ОТ'!K40</f>
        <v>0</v>
      </c>
      <c r="L40" s="134">
        <f>'Расходы на ЗП ОТ'!L40</f>
        <v>0</v>
      </c>
      <c r="M40" s="134">
        <f>'Расходы на ЗП ОТ'!M40</f>
        <v>0</v>
      </c>
      <c r="N40" s="134">
        <f>'Расходы на ЗП ОТ'!N40</f>
        <v>0</v>
      </c>
      <c r="O40" s="134">
        <f>'Расходы на ЗП ОТ'!O40</f>
        <v>0</v>
      </c>
      <c r="P40" s="134">
        <f>'Расходы на ЗП ОТ'!P40</f>
        <v>0</v>
      </c>
      <c r="Q40" s="134">
        <f>'Расходы на ЗП ОТ'!Q40</f>
        <v>0</v>
      </c>
      <c r="R40" s="134">
        <f>'Расходы на ЗП ОТ'!R40</f>
        <v>0</v>
      </c>
      <c r="S40" s="134">
        <f>'Расходы на ЗП ОТ'!S40</f>
        <v>0</v>
      </c>
      <c r="T40" s="134">
        <f>'Расходы на ЗП ОТ'!T40</f>
        <v>0</v>
      </c>
      <c r="U40" s="134">
        <f>'Расходы на ЗП ОТ'!U40</f>
        <v>0</v>
      </c>
      <c r="V40" s="134">
        <f>'Расходы на ЗП ОТ'!V40</f>
        <v>0</v>
      </c>
      <c r="W40" s="134">
        <f>'Расходы на ЗП ОТ'!W40</f>
        <v>0</v>
      </c>
      <c r="X40" s="134">
        <f>'Расходы на ЗП ОТ'!X40</f>
        <v>0</v>
      </c>
      <c r="Y40" s="134">
        <f>'Расходы на ЗП ОТ'!Y40</f>
        <v>0</v>
      </c>
      <c r="Z40" s="134">
        <f>'Расходы на ЗП ОТ'!Z40</f>
        <v>0</v>
      </c>
      <c r="AA40" s="134">
        <f>'Расходы на ЗП ОТ'!AA40</f>
        <v>0</v>
      </c>
      <c r="AB40" s="134">
        <f>'Расходы на ЗП ОТ'!AB40</f>
        <v>0</v>
      </c>
      <c r="AC40" s="134">
        <f>'Расходы на ЗП ОТ'!AC40</f>
        <v>0</v>
      </c>
      <c r="AD40" s="134">
        <f>'Расходы на ЗП ОТ'!AD40</f>
        <v>0</v>
      </c>
      <c r="AE40" s="134">
        <f>'Расходы на ЗП ОТ'!AE40</f>
        <v>0</v>
      </c>
      <c r="AF40" s="134">
        <f>'Расходы на ЗП ОТ'!AF40</f>
        <v>0</v>
      </c>
      <c r="AG40" s="134">
        <f>'Расходы на ЗП ОТ'!AG40</f>
        <v>0</v>
      </c>
      <c r="AH40" s="134">
        <f>'Расходы на ЗП ОТ'!AH40</f>
        <v>0</v>
      </c>
      <c r="AI40" s="134">
        <f>'Расходы на ЗП ОТ'!AI40</f>
        <v>0</v>
      </c>
      <c r="AJ40" s="134">
        <f>'Расходы на ЗП ОТ'!AJ40</f>
        <v>0</v>
      </c>
      <c r="AK40" s="134">
        <f>'Расходы на ЗП ОТ'!AK40</f>
        <v>0</v>
      </c>
      <c r="AL40" s="134">
        <f>'Расходы на ЗП ОТ'!AL40</f>
        <v>0</v>
      </c>
      <c r="AM40" s="134">
        <f>'Расходы на ЗП ОТ'!AM40</f>
        <v>0</v>
      </c>
      <c r="AN40" s="134">
        <f>'Расходы на ЗП ОТ'!AN40</f>
        <v>0</v>
      </c>
      <c r="AO40" s="134">
        <f>'Расходы на ЗП ОТ'!AO40</f>
        <v>0</v>
      </c>
      <c r="AP40" s="134">
        <f>'Расходы на ЗП ОТ'!AP40</f>
        <v>0</v>
      </c>
      <c r="AQ40" s="137">
        <f>'Расходы на ЗП ОТ'!AQ40</f>
        <v>0</v>
      </c>
      <c r="AR40" s="137">
        <f>'Расходы на ЗП ОТ'!AR40</f>
        <v>0</v>
      </c>
      <c r="AS40" s="137">
        <f>'Расходы на ЗП ОТ'!AS40</f>
        <v>0</v>
      </c>
      <c r="AT40" s="137">
        <f>'Расходы на ЗП ОТ'!AT40</f>
        <v>0</v>
      </c>
      <c r="AU40" s="137">
        <f>'Расходы на ЗП ОТ'!AU40</f>
        <v>0</v>
      </c>
      <c r="AV40" s="134"/>
      <c r="AW40" s="134">
        <f t="shared" si="0"/>
        <v>0</v>
      </c>
      <c r="AX40" s="134">
        <f t="shared" si="1"/>
        <v>0</v>
      </c>
      <c r="AY40" s="134">
        <f t="shared" si="2"/>
        <v>0</v>
      </c>
      <c r="AZ40" s="134">
        <f t="shared" si="3"/>
        <v>0</v>
      </c>
      <c r="BA40" s="134">
        <f t="shared" si="4"/>
        <v>0</v>
      </c>
      <c r="BB40" s="134">
        <f t="shared" si="5"/>
        <v>0</v>
      </c>
      <c r="BC40" s="134">
        <f t="shared" si="6"/>
        <v>0</v>
      </c>
      <c r="BD40" s="134">
        <f t="shared" si="7"/>
        <v>0</v>
      </c>
      <c r="BE40" s="134">
        <f t="shared" si="8"/>
        <v>0</v>
      </c>
      <c r="BF40" s="134">
        <f t="shared" si="9"/>
        <v>0</v>
      </c>
      <c r="BG40" s="137">
        <f t="shared" si="10"/>
        <v>0</v>
      </c>
    </row>
    <row r="41" spans="1:59">
      <c r="A41" s="134" t="s">
        <v>146</v>
      </c>
      <c r="B41" s="134">
        <f>'Расходы на ЗП ОТ'!B41</f>
        <v>0</v>
      </c>
      <c r="C41" s="134">
        <f>'Расходы на ЗП ОТ'!C41</f>
        <v>0</v>
      </c>
      <c r="D41" s="134">
        <f>'Расходы на ЗП ОТ'!D41</f>
        <v>0</v>
      </c>
      <c r="E41" s="134">
        <f>'Расходы на ЗП ОТ'!E41</f>
        <v>0</v>
      </c>
      <c r="F41" s="134">
        <f>'Расходы на ЗП ОТ'!F41</f>
        <v>0</v>
      </c>
      <c r="G41" s="134">
        <f>'Расходы на ЗП ОТ'!G41</f>
        <v>0</v>
      </c>
      <c r="H41" s="134">
        <f>'Расходы на ЗП ОТ'!H41</f>
        <v>0</v>
      </c>
      <c r="I41" s="134">
        <f>'Расходы на ЗП ОТ'!I41</f>
        <v>0</v>
      </c>
      <c r="J41" s="134">
        <f>'Расходы на ЗП ОТ'!J41</f>
        <v>0</v>
      </c>
      <c r="K41" s="134">
        <f>'Расходы на ЗП ОТ'!K41</f>
        <v>0</v>
      </c>
      <c r="L41" s="134">
        <f>'Расходы на ЗП ОТ'!L41</f>
        <v>0</v>
      </c>
      <c r="M41" s="134">
        <f>'Расходы на ЗП ОТ'!M41</f>
        <v>0</v>
      </c>
      <c r="N41" s="134">
        <f>'Расходы на ЗП ОТ'!N41</f>
        <v>0</v>
      </c>
      <c r="O41" s="134">
        <f>'Расходы на ЗП ОТ'!O41</f>
        <v>0</v>
      </c>
      <c r="P41" s="134">
        <f>'Расходы на ЗП ОТ'!P41</f>
        <v>0</v>
      </c>
      <c r="Q41" s="134">
        <f>'Расходы на ЗП ОТ'!Q41</f>
        <v>0</v>
      </c>
      <c r="R41" s="134">
        <f>'Расходы на ЗП ОТ'!R41</f>
        <v>0</v>
      </c>
      <c r="S41" s="134">
        <f>'Расходы на ЗП ОТ'!S41</f>
        <v>0</v>
      </c>
      <c r="T41" s="134">
        <f>'Расходы на ЗП ОТ'!T41</f>
        <v>0</v>
      </c>
      <c r="U41" s="134">
        <f>'Расходы на ЗП ОТ'!U41</f>
        <v>0</v>
      </c>
      <c r="V41" s="134">
        <f>'Расходы на ЗП ОТ'!V41</f>
        <v>0</v>
      </c>
      <c r="W41" s="134">
        <f>'Расходы на ЗП ОТ'!W41</f>
        <v>0</v>
      </c>
      <c r="X41" s="134">
        <f>'Расходы на ЗП ОТ'!X41</f>
        <v>0</v>
      </c>
      <c r="Y41" s="134">
        <f>'Расходы на ЗП ОТ'!Y41</f>
        <v>0</v>
      </c>
      <c r="Z41" s="134">
        <f>'Расходы на ЗП ОТ'!Z41</f>
        <v>0</v>
      </c>
      <c r="AA41" s="134">
        <f>'Расходы на ЗП ОТ'!AA41</f>
        <v>0</v>
      </c>
      <c r="AB41" s="134">
        <f>'Расходы на ЗП ОТ'!AB41</f>
        <v>0</v>
      </c>
      <c r="AC41" s="134">
        <f>'Расходы на ЗП ОТ'!AC41</f>
        <v>0</v>
      </c>
      <c r="AD41" s="134">
        <f>'Расходы на ЗП ОТ'!AD41</f>
        <v>0</v>
      </c>
      <c r="AE41" s="134">
        <f>'Расходы на ЗП ОТ'!AE41</f>
        <v>0</v>
      </c>
      <c r="AF41" s="134">
        <f>'Расходы на ЗП ОТ'!AF41</f>
        <v>0</v>
      </c>
      <c r="AG41" s="134">
        <f>'Расходы на ЗП ОТ'!AG41</f>
        <v>0</v>
      </c>
      <c r="AH41" s="134">
        <f>'Расходы на ЗП ОТ'!AH41</f>
        <v>0</v>
      </c>
      <c r="AI41" s="134">
        <f>'Расходы на ЗП ОТ'!AI41</f>
        <v>0</v>
      </c>
      <c r="AJ41" s="134">
        <f>'Расходы на ЗП ОТ'!AJ41</f>
        <v>0</v>
      </c>
      <c r="AK41" s="134">
        <f>'Расходы на ЗП ОТ'!AK41</f>
        <v>0</v>
      </c>
      <c r="AL41" s="134">
        <f>'Расходы на ЗП ОТ'!AL41</f>
        <v>0</v>
      </c>
      <c r="AM41" s="134">
        <f>'Расходы на ЗП ОТ'!AM41</f>
        <v>0</v>
      </c>
      <c r="AN41" s="134">
        <f>'Расходы на ЗП ОТ'!AN41</f>
        <v>0</v>
      </c>
      <c r="AO41" s="134">
        <f>'Расходы на ЗП ОТ'!AO41</f>
        <v>0</v>
      </c>
      <c r="AP41" s="134">
        <f>'Расходы на ЗП ОТ'!AP41</f>
        <v>0</v>
      </c>
      <c r="AQ41" s="137">
        <f>'Расходы на ЗП ОТ'!AQ41</f>
        <v>0</v>
      </c>
      <c r="AR41" s="137">
        <f>'Расходы на ЗП ОТ'!AR41</f>
        <v>0</v>
      </c>
      <c r="AS41" s="137">
        <f>'Расходы на ЗП ОТ'!AS41</f>
        <v>0</v>
      </c>
      <c r="AT41" s="137">
        <f>'Расходы на ЗП ОТ'!AT41</f>
        <v>0</v>
      </c>
      <c r="AU41" s="137">
        <f>'Расходы на ЗП ОТ'!AU41</f>
        <v>0</v>
      </c>
      <c r="AV41" s="134"/>
      <c r="AW41" s="134">
        <f t="shared" si="0"/>
        <v>0</v>
      </c>
      <c r="AX41" s="134">
        <f t="shared" si="1"/>
        <v>0</v>
      </c>
      <c r="AY41" s="134">
        <f t="shared" si="2"/>
        <v>0</v>
      </c>
      <c r="AZ41" s="134">
        <f t="shared" si="3"/>
        <v>0</v>
      </c>
      <c r="BA41" s="134">
        <f t="shared" si="4"/>
        <v>0</v>
      </c>
      <c r="BB41" s="134">
        <f t="shared" si="5"/>
        <v>0</v>
      </c>
      <c r="BC41" s="134">
        <f t="shared" si="6"/>
        <v>0</v>
      </c>
      <c r="BD41" s="134">
        <f t="shared" si="7"/>
        <v>0</v>
      </c>
      <c r="BE41" s="134">
        <f t="shared" si="8"/>
        <v>0</v>
      </c>
      <c r="BF41" s="134">
        <f t="shared" si="9"/>
        <v>0</v>
      </c>
      <c r="BG41" s="137">
        <f t="shared" si="10"/>
        <v>0</v>
      </c>
    </row>
    <row r="42" spans="1:59">
      <c r="A42" s="134" t="s">
        <v>147</v>
      </c>
      <c r="B42" s="134">
        <f>'Расходы на ЗП ОТ'!B42</f>
        <v>0</v>
      </c>
      <c r="C42" s="134">
        <f>'Расходы на ЗП ОТ'!C42</f>
        <v>0</v>
      </c>
      <c r="D42" s="134">
        <f>'Расходы на ЗП ОТ'!D42</f>
        <v>0</v>
      </c>
      <c r="E42" s="134">
        <f>'Расходы на ЗП ОТ'!E42</f>
        <v>0</v>
      </c>
      <c r="F42" s="134">
        <f>'Расходы на ЗП ОТ'!F42</f>
        <v>0</v>
      </c>
      <c r="G42" s="134">
        <f>'Расходы на ЗП ОТ'!G42</f>
        <v>0</v>
      </c>
      <c r="H42" s="134">
        <f>'Расходы на ЗП ОТ'!H42</f>
        <v>0</v>
      </c>
      <c r="I42" s="134">
        <f>'Расходы на ЗП ОТ'!I42</f>
        <v>0</v>
      </c>
      <c r="J42" s="134">
        <f>'Расходы на ЗП ОТ'!J42</f>
        <v>0</v>
      </c>
      <c r="K42" s="134">
        <f>'Расходы на ЗП ОТ'!K42</f>
        <v>0</v>
      </c>
      <c r="L42" s="134">
        <f>'Расходы на ЗП ОТ'!L42</f>
        <v>0</v>
      </c>
      <c r="M42" s="134">
        <f>'Расходы на ЗП ОТ'!M42</f>
        <v>0</v>
      </c>
      <c r="N42" s="134">
        <f>'Расходы на ЗП ОТ'!N42</f>
        <v>0</v>
      </c>
      <c r="O42" s="134">
        <f>'Расходы на ЗП ОТ'!O42</f>
        <v>0</v>
      </c>
      <c r="P42" s="134">
        <f>'Расходы на ЗП ОТ'!P42</f>
        <v>0</v>
      </c>
      <c r="Q42" s="134">
        <f>'Расходы на ЗП ОТ'!Q42</f>
        <v>0</v>
      </c>
      <c r="R42" s="134">
        <f>'Расходы на ЗП ОТ'!R42</f>
        <v>0</v>
      </c>
      <c r="S42" s="134">
        <f>'Расходы на ЗП ОТ'!S42</f>
        <v>0</v>
      </c>
      <c r="T42" s="134">
        <f>'Расходы на ЗП ОТ'!T42</f>
        <v>0</v>
      </c>
      <c r="U42" s="134">
        <f>'Расходы на ЗП ОТ'!U42</f>
        <v>0</v>
      </c>
      <c r="V42" s="134">
        <f>'Расходы на ЗП ОТ'!V42</f>
        <v>0</v>
      </c>
      <c r="W42" s="134">
        <f>'Расходы на ЗП ОТ'!W42</f>
        <v>0</v>
      </c>
      <c r="X42" s="134">
        <f>'Расходы на ЗП ОТ'!X42</f>
        <v>0</v>
      </c>
      <c r="Y42" s="134">
        <f>'Расходы на ЗП ОТ'!Y42</f>
        <v>0</v>
      </c>
      <c r="Z42" s="134">
        <f>'Расходы на ЗП ОТ'!Z42</f>
        <v>0</v>
      </c>
      <c r="AA42" s="134">
        <f>'Расходы на ЗП ОТ'!AA42</f>
        <v>0</v>
      </c>
      <c r="AB42" s="134">
        <f>'Расходы на ЗП ОТ'!AB42</f>
        <v>0</v>
      </c>
      <c r="AC42" s="134">
        <f>'Расходы на ЗП ОТ'!AC42</f>
        <v>0</v>
      </c>
      <c r="AD42" s="134">
        <f>'Расходы на ЗП ОТ'!AD42</f>
        <v>0</v>
      </c>
      <c r="AE42" s="134">
        <f>'Расходы на ЗП ОТ'!AE42</f>
        <v>0</v>
      </c>
      <c r="AF42" s="134">
        <f>'Расходы на ЗП ОТ'!AF42</f>
        <v>0</v>
      </c>
      <c r="AG42" s="134">
        <f>'Расходы на ЗП ОТ'!AG42</f>
        <v>0</v>
      </c>
      <c r="AH42" s="134">
        <f>'Расходы на ЗП ОТ'!AH42</f>
        <v>0</v>
      </c>
      <c r="AI42" s="134">
        <f>'Расходы на ЗП ОТ'!AI42</f>
        <v>0</v>
      </c>
      <c r="AJ42" s="134">
        <f>'Расходы на ЗП ОТ'!AJ42</f>
        <v>0</v>
      </c>
      <c r="AK42" s="134">
        <f>'Расходы на ЗП ОТ'!AK42</f>
        <v>0</v>
      </c>
      <c r="AL42" s="134">
        <f>'Расходы на ЗП ОТ'!AL42</f>
        <v>0</v>
      </c>
      <c r="AM42" s="134">
        <f>'Расходы на ЗП ОТ'!AM42</f>
        <v>0</v>
      </c>
      <c r="AN42" s="134">
        <f>'Расходы на ЗП ОТ'!AN42</f>
        <v>0</v>
      </c>
      <c r="AO42" s="134">
        <f>'Расходы на ЗП ОТ'!AO42</f>
        <v>0</v>
      </c>
      <c r="AP42" s="134">
        <f>'Расходы на ЗП ОТ'!AP42</f>
        <v>0</v>
      </c>
      <c r="AQ42" s="137">
        <f>'Расходы на ЗП ОТ'!AQ42</f>
        <v>0</v>
      </c>
      <c r="AR42" s="137">
        <f>'Расходы на ЗП ОТ'!AR42</f>
        <v>0</v>
      </c>
      <c r="AS42" s="137">
        <f>'Расходы на ЗП ОТ'!AS42</f>
        <v>0</v>
      </c>
      <c r="AT42" s="137">
        <f>'Расходы на ЗП ОТ'!AT42</f>
        <v>0</v>
      </c>
      <c r="AU42" s="137">
        <f>'Расходы на ЗП ОТ'!AU42</f>
        <v>0</v>
      </c>
      <c r="AV42" s="134"/>
      <c r="AW42" s="134">
        <f t="shared" si="0"/>
        <v>0</v>
      </c>
      <c r="AX42" s="134">
        <f t="shared" si="1"/>
        <v>0</v>
      </c>
      <c r="AY42" s="134">
        <f t="shared" si="2"/>
        <v>0</v>
      </c>
      <c r="AZ42" s="134">
        <f t="shared" si="3"/>
        <v>0</v>
      </c>
      <c r="BA42" s="134">
        <f t="shared" si="4"/>
        <v>0</v>
      </c>
      <c r="BB42" s="134">
        <f t="shared" si="5"/>
        <v>0</v>
      </c>
      <c r="BC42" s="134">
        <f t="shared" si="6"/>
        <v>0</v>
      </c>
      <c r="BD42" s="134">
        <f t="shared" si="7"/>
        <v>0</v>
      </c>
      <c r="BE42" s="134">
        <f t="shared" si="8"/>
        <v>0</v>
      </c>
      <c r="BF42" s="134">
        <f t="shared" si="9"/>
        <v>0</v>
      </c>
      <c r="BG42" s="137">
        <f t="shared" si="10"/>
        <v>0</v>
      </c>
    </row>
    <row r="43" spans="1:59">
      <c r="A43" s="134" t="s">
        <v>148</v>
      </c>
      <c r="B43" s="134">
        <f>'Расходы на ЗП ОТ'!B43</f>
        <v>0</v>
      </c>
      <c r="C43" s="134">
        <f>'Расходы на ЗП ОТ'!C43</f>
        <v>0</v>
      </c>
      <c r="D43" s="134">
        <f>'Расходы на ЗП ОТ'!D43</f>
        <v>0</v>
      </c>
      <c r="E43" s="134">
        <f>'Расходы на ЗП ОТ'!E43</f>
        <v>0</v>
      </c>
      <c r="F43" s="134">
        <f>'Расходы на ЗП ОТ'!F43</f>
        <v>0</v>
      </c>
      <c r="G43" s="134">
        <f>'Расходы на ЗП ОТ'!G43</f>
        <v>0</v>
      </c>
      <c r="H43" s="134">
        <f>'Расходы на ЗП ОТ'!H43</f>
        <v>0</v>
      </c>
      <c r="I43" s="134">
        <f>'Расходы на ЗП ОТ'!I43</f>
        <v>0</v>
      </c>
      <c r="J43" s="134">
        <f>'Расходы на ЗП ОТ'!J43</f>
        <v>0</v>
      </c>
      <c r="K43" s="134">
        <f>'Расходы на ЗП ОТ'!K43</f>
        <v>0</v>
      </c>
      <c r="L43" s="134">
        <f>'Расходы на ЗП ОТ'!L43</f>
        <v>0</v>
      </c>
      <c r="M43" s="134">
        <f>'Расходы на ЗП ОТ'!M43</f>
        <v>0</v>
      </c>
      <c r="N43" s="134">
        <f>'Расходы на ЗП ОТ'!N43</f>
        <v>0</v>
      </c>
      <c r="O43" s="134">
        <f>'Расходы на ЗП ОТ'!O43</f>
        <v>0</v>
      </c>
      <c r="P43" s="134">
        <f>'Расходы на ЗП ОТ'!P43</f>
        <v>0</v>
      </c>
      <c r="Q43" s="134">
        <f>'Расходы на ЗП ОТ'!Q43</f>
        <v>0</v>
      </c>
      <c r="R43" s="134">
        <f>'Расходы на ЗП ОТ'!R43</f>
        <v>0</v>
      </c>
      <c r="S43" s="134">
        <f>'Расходы на ЗП ОТ'!S43</f>
        <v>0</v>
      </c>
      <c r="T43" s="134">
        <f>'Расходы на ЗП ОТ'!T43</f>
        <v>0</v>
      </c>
      <c r="U43" s="134">
        <f>'Расходы на ЗП ОТ'!U43</f>
        <v>0</v>
      </c>
      <c r="V43" s="134">
        <f>'Расходы на ЗП ОТ'!V43</f>
        <v>0</v>
      </c>
      <c r="W43" s="134">
        <f>'Расходы на ЗП ОТ'!W43</f>
        <v>0</v>
      </c>
      <c r="X43" s="134">
        <f>'Расходы на ЗП ОТ'!X43</f>
        <v>0</v>
      </c>
      <c r="Y43" s="134">
        <f>'Расходы на ЗП ОТ'!Y43</f>
        <v>0</v>
      </c>
      <c r="Z43" s="134">
        <f>'Расходы на ЗП ОТ'!Z43</f>
        <v>0</v>
      </c>
      <c r="AA43" s="134">
        <f>'Расходы на ЗП ОТ'!AA43</f>
        <v>0</v>
      </c>
      <c r="AB43" s="134">
        <f>'Расходы на ЗП ОТ'!AB43</f>
        <v>0</v>
      </c>
      <c r="AC43" s="134">
        <f>'Расходы на ЗП ОТ'!AC43</f>
        <v>0</v>
      </c>
      <c r="AD43" s="134">
        <f>'Расходы на ЗП ОТ'!AD43</f>
        <v>0</v>
      </c>
      <c r="AE43" s="134">
        <f>'Расходы на ЗП ОТ'!AE43</f>
        <v>0</v>
      </c>
      <c r="AF43" s="134">
        <f>'Расходы на ЗП ОТ'!AF43</f>
        <v>0</v>
      </c>
      <c r="AG43" s="134">
        <f>'Расходы на ЗП ОТ'!AG43</f>
        <v>0</v>
      </c>
      <c r="AH43" s="134">
        <f>'Расходы на ЗП ОТ'!AH43</f>
        <v>0</v>
      </c>
      <c r="AI43" s="134">
        <f>'Расходы на ЗП ОТ'!AI43</f>
        <v>0</v>
      </c>
      <c r="AJ43" s="134">
        <f>'Расходы на ЗП ОТ'!AJ43</f>
        <v>0</v>
      </c>
      <c r="AK43" s="134">
        <f>'Расходы на ЗП ОТ'!AK43</f>
        <v>0</v>
      </c>
      <c r="AL43" s="134">
        <f>'Расходы на ЗП ОТ'!AL43</f>
        <v>0</v>
      </c>
      <c r="AM43" s="134">
        <f>'Расходы на ЗП ОТ'!AM43</f>
        <v>0</v>
      </c>
      <c r="AN43" s="134">
        <f>'Расходы на ЗП ОТ'!AN43</f>
        <v>0</v>
      </c>
      <c r="AO43" s="134">
        <f>'Расходы на ЗП ОТ'!AO43</f>
        <v>0</v>
      </c>
      <c r="AP43" s="134">
        <f>'Расходы на ЗП ОТ'!AP43</f>
        <v>0</v>
      </c>
      <c r="AQ43" s="137">
        <f>'Расходы на ЗП ОТ'!AQ43</f>
        <v>0</v>
      </c>
      <c r="AR43" s="137">
        <f>'Расходы на ЗП ОТ'!AR43</f>
        <v>0</v>
      </c>
      <c r="AS43" s="137">
        <f>'Расходы на ЗП ОТ'!AS43</f>
        <v>0</v>
      </c>
      <c r="AT43" s="137">
        <f>'Расходы на ЗП ОТ'!AT43</f>
        <v>0</v>
      </c>
      <c r="AU43" s="137">
        <f>'Расходы на ЗП ОТ'!AU43</f>
        <v>0</v>
      </c>
      <c r="AV43" s="134"/>
      <c r="AW43" s="134">
        <f t="shared" si="0"/>
        <v>0</v>
      </c>
      <c r="AX43" s="134">
        <f t="shared" si="1"/>
        <v>0</v>
      </c>
      <c r="AY43" s="134">
        <f t="shared" si="2"/>
        <v>0</v>
      </c>
      <c r="AZ43" s="134">
        <f t="shared" si="3"/>
        <v>0</v>
      </c>
      <c r="BA43" s="134">
        <f t="shared" si="4"/>
        <v>0</v>
      </c>
      <c r="BB43" s="134">
        <f t="shared" si="5"/>
        <v>0</v>
      </c>
      <c r="BC43" s="134">
        <f t="shared" si="6"/>
        <v>0</v>
      </c>
      <c r="BD43" s="134">
        <f t="shared" si="7"/>
        <v>0</v>
      </c>
      <c r="BE43" s="134">
        <f t="shared" si="8"/>
        <v>0</v>
      </c>
      <c r="BF43" s="134">
        <f t="shared" si="9"/>
        <v>0</v>
      </c>
      <c r="BG43" s="137">
        <f t="shared" si="10"/>
        <v>0</v>
      </c>
    </row>
    <row r="44" spans="1:59">
      <c r="A44" s="134" t="s">
        <v>149</v>
      </c>
      <c r="B44" s="134">
        <f>'Расходы на ЗП ОТ'!B44</f>
        <v>0</v>
      </c>
      <c r="C44" s="134">
        <f>'Расходы на ЗП ОТ'!C44</f>
        <v>0</v>
      </c>
      <c r="D44" s="134">
        <f>'Расходы на ЗП ОТ'!D44</f>
        <v>0</v>
      </c>
      <c r="E44" s="134">
        <f>'Расходы на ЗП ОТ'!E44</f>
        <v>0</v>
      </c>
      <c r="F44" s="134">
        <f>'Расходы на ЗП ОТ'!F44</f>
        <v>0</v>
      </c>
      <c r="G44" s="134">
        <f>'Расходы на ЗП ОТ'!G44</f>
        <v>0</v>
      </c>
      <c r="H44" s="134">
        <f>'Расходы на ЗП ОТ'!H44</f>
        <v>0</v>
      </c>
      <c r="I44" s="134">
        <f>'Расходы на ЗП ОТ'!I44</f>
        <v>0</v>
      </c>
      <c r="J44" s="134">
        <f>'Расходы на ЗП ОТ'!J44</f>
        <v>0</v>
      </c>
      <c r="K44" s="134">
        <f>'Расходы на ЗП ОТ'!K44</f>
        <v>0</v>
      </c>
      <c r="L44" s="134">
        <f>'Расходы на ЗП ОТ'!L44</f>
        <v>0</v>
      </c>
      <c r="M44" s="134">
        <f>'Расходы на ЗП ОТ'!M44</f>
        <v>0</v>
      </c>
      <c r="N44" s="134">
        <f>'Расходы на ЗП ОТ'!N44</f>
        <v>0</v>
      </c>
      <c r="O44" s="134">
        <f>'Расходы на ЗП ОТ'!O44</f>
        <v>0</v>
      </c>
      <c r="P44" s="134">
        <f>'Расходы на ЗП ОТ'!P44</f>
        <v>0</v>
      </c>
      <c r="Q44" s="134">
        <f>'Расходы на ЗП ОТ'!Q44</f>
        <v>0</v>
      </c>
      <c r="R44" s="134">
        <f>'Расходы на ЗП ОТ'!R44</f>
        <v>0</v>
      </c>
      <c r="S44" s="134">
        <f>'Расходы на ЗП ОТ'!S44</f>
        <v>0</v>
      </c>
      <c r="T44" s="134">
        <f>'Расходы на ЗП ОТ'!T44</f>
        <v>0</v>
      </c>
      <c r="U44" s="134">
        <f>'Расходы на ЗП ОТ'!U44</f>
        <v>0</v>
      </c>
      <c r="V44" s="134">
        <f>'Расходы на ЗП ОТ'!V44</f>
        <v>0</v>
      </c>
      <c r="W44" s="134">
        <f>'Расходы на ЗП ОТ'!W44</f>
        <v>0</v>
      </c>
      <c r="X44" s="134">
        <f>'Расходы на ЗП ОТ'!X44</f>
        <v>0</v>
      </c>
      <c r="Y44" s="134">
        <f>'Расходы на ЗП ОТ'!Y44</f>
        <v>0</v>
      </c>
      <c r="Z44" s="134">
        <f>'Расходы на ЗП ОТ'!Z44</f>
        <v>0</v>
      </c>
      <c r="AA44" s="134">
        <f>'Расходы на ЗП ОТ'!AA44</f>
        <v>0</v>
      </c>
      <c r="AB44" s="134">
        <f>'Расходы на ЗП ОТ'!AB44</f>
        <v>0</v>
      </c>
      <c r="AC44" s="134">
        <f>'Расходы на ЗП ОТ'!AC44</f>
        <v>0</v>
      </c>
      <c r="AD44" s="134">
        <f>'Расходы на ЗП ОТ'!AD44</f>
        <v>0</v>
      </c>
      <c r="AE44" s="134">
        <f>'Расходы на ЗП ОТ'!AE44</f>
        <v>0</v>
      </c>
      <c r="AF44" s="134">
        <f>'Расходы на ЗП ОТ'!AF44</f>
        <v>0</v>
      </c>
      <c r="AG44" s="134">
        <f>'Расходы на ЗП ОТ'!AG44</f>
        <v>0</v>
      </c>
      <c r="AH44" s="134">
        <f>'Расходы на ЗП ОТ'!AH44</f>
        <v>0</v>
      </c>
      <c r="AI44" s="134">
        <f>'Расходы на ЗП ОТ'!AI44</f>
        <v>0</v>
      </c>
      <c r="AJ44" s="134">
        <f>'Расходы на ЗП ОТ'!AJ44</f>
        <v>0</v>
      </c>
      <c r="AK44" s="134">
        <f>'Расходы на ЗП ОТ'!AK44</f>
        <v>0</v>
      </c>
      <c r="AL44" s="134">
        <f>'Расходы на ЗП ОТ'!AL44</f>
        <v>0</v>
      </c>
      <c r="AM44" s="134">
        <f>'Расходы на ЗП ОТ'!AM44</f>
        <v>0</v>
      </c>
      <c r="AN44" s="134">
        <f>'Расходы на ЗП ОТ'!AN44</f>
        <v>0</v>
      </c>
      <c r="AO44" s="134">
        <f>'Расходы на ЗП ОТ'!AO44</f>
        <v>0</v>
      </c>
      <c r="AP44" s="134">
        <f>'Расходы на ЗП ОТ'!AP44</f>
        <v>0</v>
      </c>
      <c r="AQ44" s="137">
        <f>'Расходы на ЗП ОТ'!AQ44</f>
        <v>0</v>
      </c>
      <c r="AR44" s="137">
        <f>'Расходы на ЗП ОТ'!AR44</f>
        <v>0</v>
      </c>
      <c r="AS44" s="137">
        <f>'Расходы на ЗП ОТ'!AS44</f>
        <v>0</v>
      </c>
      <c r="AT44" s="137">
        <f>'Расходы на ЗП ОТ'!AT44</f>
        <v>0</v>
      </c>
      <c r="AU44" s="137">
        <f>'Расходы на ЗП ОТ'!AU44</f>
        <v>0</v>
      </c>
      <c r="AV44" s="134"/>
      <c r="AW44" s="134">
        <f t="shared" si="0"/>
        <v>0</v>
      </c>
      <c r="AX44" s="134">
        <f t="shared" si="1"/>
        <v>0</v>
      </c>
      <c r="AY44" s="134">
        <f t="shared" si="2"/>
        <v>0</v>
      </c>
      <c r="AZ44" s="134">
        <f t="shared" si="3"/>
        <v>0</v>
      </c>
      <c r="BA44" s="134">
        <f t="shared" si="4"/>
        <v>0</v>
      </c>
      <c r="BB44" s="134">
        <f t="shared" si="5"/>
        <v>0</v>
      </c>
      <c r="BC44" s="134">
        <f t="shared" si="6"/>
        <v>0</v>
      </c>
      <c r="BD44" s="134">
        <f t="shared" si="7"/>
        <v>0</v>
      </c>
      <c r="BE44" s="134">
        <f t="shared" si="8"/>
        <v>0</v>
      </c>
      <c r="BF44" s="134">
        <f t="shared" si="9"/>
        <v>0</v>
      </c>
      <c r="BG44" s="137">
        <f t="shared" si="10"/>
        <v>0</v>
      </c>
    </row>
    <row r="45" spans="1:59">
      <c r="A45" s="134" t="s">
        <v>150</v>
      </c>
      <c r="B45" s="134">
        <f>'Расходы на ЗП ОТ'!B45</f>
        <v>0</v>
      </c>
      <c r="C45" s="134">
        <f>'Расходы на ЗП ОТ'!C45</f>
        <v>0</v>
      </c>
      <c r="D45" s="134">
        <f>'Расходы на ЗП ОТ'!D45</f>
        <v>0</v>
      </c>
      <c r="E45" s="134">
        <f>'Расходы на ЗП ОТ'!E45</f>
        <v>0</v>
      </c>
      <c r="F45" s="134">
        <f>'Расходы на ЗП ОТ'!F45</f>
        <v>0</v>
      </c>
      <c r="G45" s="134">
        <f>'Расходы на ЗП ОТ'!G45</f>
        <v>0</v>
      </c>
      <c r="H45" s="134">
        <f>'Расходы на ЗП ОТ'!H45</f>
        <v>0</v>
      </c>
      <c r="I45" s="134">
        <f>'Расходы на ЗП ОТ'!I45</f>
        <v>0</v>
      </c>
      <c r="J45" s="134">
        <f>'Расходы на ЗП ОТ'!J45</f>
        <v>0</v>
      </c>
      <c r="K45" s="134">
        <f>'Расходы на ЗП ОТ'!K45</f>
        <v>0</v>
      </c>
      <c r="L45" s="134">
        <f>'Расходы на ЗП ОТ'!L45</f>
        <v>0</v>
      </c>
      <c r="M45" s="134">
        <f>'Расходы на ЗП ОТ'!M45</f>
        <v>0</v>
      </c>
      <c r="N45" s="134">
        <f>'Расходы на ЗП ОТ'!N45</f>
        <v>0</v>
      </c>
      <c r="O45" s="134">
        <f>'Расходы на ЗП ОТ'!O45</f>
        <v>0</v>
      </c>
      <c r="P45" s="134">
        <f>'Расходы на ЗП ОТ'!P45</f>
        <v>0</v>
      </c>
      <c r="Q45" s="134">
        <f>'Расходы на ЗП ОТ'!Q45</f>
        <v>0</v>
      </c>
      <c r="R45" s="134">
        <f>'Расходы на ЗП ОТ'!R45</f>
        <v>0</v>
      </c>
      <c r="S45" s="134">
        <f>'Расходы на ЗП ОТ'!S45</f>
        <v>0</v>
      </c>
      <c r="T45" s="134">
        <f>'Расходы на ЗП ОТ'!T45</f>
        <v>0</v>
      </c>
      <c r="U45" s="134">
        <f>'Расходы на ЗП ОТ'!U45</f>
        <v>0</v>
      </c>
      <c r="V45" s="134">
        <f>'Расходы на ЗП ОТ'!V45</f>
        <v>0</v>
      </c>
      <c r="W45" s="134">
        <f>'Расходы на ЗП ОТ'!W45</f>
        <v>0</v>
      </c>
      <c r="X45" s="134">
        <f>'Расходы на ЗП ОТ'!X45</f>
        <v>0</v>
      </c>
      <c r="Y45" s="134">
        <f>'Расходы на ЗП ОТ'!Y45</f>
        <v>0</v>
      </c>
      <c r="Z45" s="134">
        <f>'Расходы на ЗП ОТ'!Z45</f>
        <v>0</v>
      </c>
      <c r="AA45" s="134">
        <f>'Расходы на ЗП ОТ'!AA45</f>
        <v>0</v>
      </c>
      <c r="AB45" s="134">
        <f>'Расходы на ЗП ОТ'!AB45</f>
        <v>0</v>
      </c>
      <c r="AC45" s="134">
        <f>'Расходы на ЗП ОТ'!AC45</f>
        <v>0</v>
      </c>
      <c r="AD45" s="134">
        <f>'Расходы на ЗП ОТ'!AD45</f>
        <v>0</v>
      </c>
      <c r="AE45" s="134">
        <f>'Расходы на ЗП ОТ'!AE45</f>
        <v>0</v>
      </c>
      <c r="AF45" s="134">
        <f>'Расходы на ЗП ОТ'!AF45</f>
        <v>0</v>
      </c>
      <c r="AG45" s="134">
        <f>'Расходы на ЗП ОТ'!AG45</f>
        <v>0</v>
      </c>
      <c r="AH45" s="134">
        <f>'Расходы на ЗП ОТ'!AH45</f>
        <v>0</v>
      </c>
      <c r="AI45" s="134">
        <f>'Расходы на ЗП ОТ'!AI45</f>
        <v>0</v>
      </c>
      <c r="AJ45" s="134">
        <f>'Расходы на ЗП ОТ'!AJ45</f>
        <v>0</v>
      </c>
      <c r="AK45" s="134">
        <f>'Расходы на ЗП ОТ'!AK45</f>
        <v>0</v>
      </c>
      <c r="AL45" s="134">
        <f>'Расходы на ЗП ОТ'!AL45</f>
        <v>0</v>
      </c>
      <c r="AM45" s="134">
        <f>'Расходы на ЗП ОТ'!AM45</f>
        <v>0</v>
      </c>
      <c r="AN45" s="134">
        <f>'Расходы на ЗП ОТ'!AN45</f>
        <v>0</v>
      </c>
      <c r="AO45" s="134">
        <f>'Расходы на ЗП ОТ'!AO45</f>
        <v>0</v>
      </c>
      <c r="AP45" s="134">
        <f>'Расходы на ЗП ОТ'!AP45</f>
        <v>0</v>
      </c>
      <c r="AQ45" s="137">
        <f>'Расходы на ЗП ОТ'!AQ45</f>
        <v>0</v>
      </c>
      <c r="AR45" s="137">
        <f>'Расходы на ЗП ОТ'!AR45</f>
        <v>0</v>
      </c>
      <c r="AS45" s="137">
        <f>'Расходы на ЗП ОТ'!AS45</f>
        <v>0</v>
      </c>
      <c r="AT45" s="137">
        <f>'Расходы на ЗП ОТ'!AT45</f>
        <v>0</v>
      </c>
      <c r="AU45" s="137">
        <f>'Расходы на ЗП ОТ'!AU45</f>
        <v>0</v>
      </c>
      <c r="AV45" s="134"/>
      <c r="AW45" s="134">
        <f t="shared" si="0"/>
        <v>0</v>
      </c>
      <c r="AX45" s="134">
        <f t="shared" si="1"/>
        <v>0</v>
      </c>
      <c r="AY45" s="134">
        <f t="shared" si="2"/>
        <v>0</v>
      </c>
      <c r="AZ45" s="134">
        <f t="shared" si="3"/>
        <v>0</v>
      </c>
      <c r="BA45" s="134">
        <f t="shared" si="4"/>
        <v>0</v>
      </c>
      <c r="BB45" s="134">
        <f t="shared" si="5"/>
        <v>0</v>
      </c>
      <c r="BC45" s="134">
        <f t="shared" si="6"/>
        <v>0</v>
      </c>
      <c r="BD45" s="134">
        <f t="shared" si="7"/>
        <v>0</v>
      </c>
      <c r="BE45" s="134">
        <f t="shared" si="8"/>
        <v>0</v>
      </c>
      <c r="BF45" s="134">
        <f t="shared" si="9"/>
        <v>0</v>
      </c>
      <c r="BG45" s="137">
        <f t="shared" si="10"/>
        <v>0</v>
      </c>
    </row>
    <row r="46" spans="1:59" ht="28.8">
      <c r="A46" s="134" t="s">
        <v>151</v>
      </c>
      <c r="B46" s="134">
        <f>'Расходы на ЗП ОТ'!B46</f>
        <v>0</v>
      </c>
      <c r="C46" s="134">
        <f>'Расходы на ЗП ОТ'!C46</f>
        <v>0</v>
      </c>
      <c r="D46" s="134">
        <f>'Расходы на ЗП ОТ'!D46</f>
        <v>0</v>
      </c>
      <c r="E46" s="134">
        <f>'Расходы на ЗП ОТ'!E46</f>
        <v>0</v>
      </c>
      <c r="F46" s="134">
        <f>'Расходы на ЗП ОТ'!F46</f>
        <v>0</v>
      </c>
      <c r="G46" s="134">
        <f>'Расходы на ЗП ОТ'!G46</f>
        <v>0</v>
      </c>
      <c r="H46" s="134">
        <f>'Расходы на ЗП ОТ'!H46</f>
        <v>0</v>
      </c>
      <c r="I46" s="134">
        <f>'Расходы на ЗП ОТ'!I46</f>
        <v>0</v>
      </c>
      <c r="J46" s="134">
        <f>'Расходы на ЗП ОТ'!J46</f>
        <v>0</v>
      </c>
      <c r="K46" s="134">
        <f>'Расходы на ЗП ОТ'!K46</f>
        <v>0</v>
      </c>
      <c r="L46" s="134">
        <f>'Расходы на ЗП ОТ'!L46</f>
        <v>0</v>
      </c>
      <c r="M46" s="134">
        <f>'Расходы на ЗП ОТ'!M46</f>
        <v>0</v>
      </c>
      <c r="N46" s="134">
        <f>'Расходы на ЗП ОТ'!N46</f>
        <v>0</v>
      </c>
      <c r="O46" s="134">
        <f>'Расходы на ЗП ОТ'!O46</f>
        <v>0</v>
      </c>
      <c r="P46" s="134">
        <f>'Расходы на ЗП ОТ'!P46</f>
        <v>0</v>
      </c>
      <c r="Q46" s="134">
        <f>'Расходы на ЗП ОТ'!Q46</f>
        <v>0</v>
      </c>
      <c r="R46" s="134">
        <f>'Расходы на ЗП ОТ'!R46</f>
        <v>0</v>
      </c>
      <c r="S46" s="134">
        <f>'Расходы на ЗП ОТ'!S46</f>
        <v>0</v>
      </c>
      <c r="T46" s="134">
        <f>'Расходы на ЗП ОТ'!T46</f>
        <v>0</v>
      </c>
      <c r="U46" s="134">
        <f>'Расходы на ЗП ОТ'!U46</f>
        <v>0</v>
      </c>
      <c r="V46" s="134">
        <f>'Расходы на ЗП ОТ'!V46</f>
        <v>0</v>
      </c>
      <c r="W46" s="134">
        <f>'Расходы на ЗП ОТ'!W46</f>
        <v>0</v>
      </c>
      <c r="X46" s="134">
        <f>'Расходы на ЗП ОТ'!X46</f>
        <v>0</v>
      </c>
      <c r="Y46" s="134">
        <f>'Расходы на ЗП ОТ'!Y46</f>
        <v>0</v>
      </c>
      <c r="Z46" s="134">
        <f>'Расходы на ЗП ОТ'!Z46</f>
        <v>0</v>
      </c>
      <c r="AA46" s="134">
        <f>'Расходы на ЗП ОТ'!AA46</f>
        <v>0</v>
      </c>
      <c r="AB46" s="134">
        <f>'Расходы на ЗП ОТ'!AB46</f>
        <v>0</v>
      </c>
      <c r="AC46" s="134">
        <f>'Расходы на ЗП ОТ'!AC46</f>
        <v>0</v>
      </c>
      <c r="AD46" s="134">
        <f>'Расходы на ЗП ОТ'!AD46</f>
        <v>0</v>
      </c>
      <c r="AE46" s="134">
        <f>'Расходы на ЗП ОТ'!AE46</f>
        <v>0</v>
      </c>
      <c r="AF46" s="134">
        <f>'Расходы на ЗП ОТ'!AF46</f>
        <v>0</v>
      </c>
      <c r="AG46" s="134">
        <f>'Расходы на ЗП ОТ'!AG46</f>
        <v>0</v>
      </c>
      <c r="AH46" s="134">
        <f>'Расходы на ЗП ОТ'!AH46</f>
        <v>0</v>
      </c>
      <c r="AI46" s="134">
        <f>'Расходы на ЗП ОТ'!AI46</f>
        <v>0</v>
      </c>
      <c r="AJ46" s="134">
        <f>'Расходы на ЗП ОТ'!AJ46</f>
        <v>0</v>
      </c>
      <c r="AK46" s="134">
        <f>'Расходы на ЗП ОТ'!AK46</f>
        <v>0</v>
      </c>
      <c r="AL46" s="134">
        <f>'Расходы на ЗП ОТ'!AL46</f>
        <v>0</v>
      </c>
      <c r="AM46" s="134">
        <f>'Расходы на ЗП ОТ'!AM46</f>
        <v>0</v>
      </c>
      <c r="AN46" s="134">
        <f>'Расходы на ЗП ОТ'!AN46</f>
        <v>0</v>
      </c>
      <c r="AO46" s="134">
        <f>'Расходы на ЗП ОТ'!AO46</f>
        <v>0</v>
      </c>
      <c r="AP46" s="134">
        <f>'Расходы на ЗП ОТ'!AP46</f>
        <v>0</v>
      </c>
      <c r="AQ46" s="137">
        <f>'Расходы на ЗП ОТ'!AQ46</f>
        <v>0</v>
      </c>
      <c r="AR46" s="137">
        <f>'Расходы на ЗП ОТ'!AR46</f>
        <v>0</v>
      </c>
      <c r="AS46" s="137">
        <f>'Расходы на ЗП ОТ'!AS46</f>
        <v>0</v>
      </c>
      <c r="AT46" s="137">
        <f>'Расходы на ЗП ОТ'!AT46</f>
        <v>0</v>
      </c>
      <c r="AU46" s="137">
        <f>'Расходы на ЗП ОТ'!AU46</f>
        <v>0</v>
      </c>
      <c r="AV46" s="134"/>
      <c r="AW46" s="134">
        <f t="shared" si="0"/>
        <v>0</v>
      </c>
      <c r="AX46" s="134">
        <f t="shared" si="1"/>
        <v>0</v>
      </c>
      <c r="AY46" s="134">
        <f t="shared" si="2"/>
        <v>0</v>
      </c>
      <c r="AZ46" s="134">
        <f t="shared" si="3"/>
        <v>0</v>
      </c>
      <c r="BA46" s="134">
        <f t="shared" si="4"/>
        <v>0</v>
      </c>
      <c r="BB46" s="134">
        <f t="shared" si="5"/>
        <v>0</v>
      </c>
      <c r="BC46" s="134">
        <f t="shared" si="6"/>
        <v>0</v>
      </c>
      <c r="BD46" s="134">
        <f t="shared" si="7"/>
        <v>0</v>
      </c>
      <c r="BE46" s="134">
        <f t="shared" si="8"/>
        <v>0</v>
      </c>
      <c r="BF46" s="134">
        <f t="shared" si="9"/>
        <v>0</v>
      </c>
      <c r="BG46" s="137">
        <f t="shared" si="10"/>
        <v>0</v>
      </c>
    </row>
    <row r="47" spans="1:59" s="415" customFormat="1" ht="28.8">
      <c r="A47" s="413" t="s">
        <v>120</v>
      </c>
      <c r="B47" s="414">
        <f>'Расходы на ЗП ОТ'!B47</f>
        <v>0</v>
      </c>
      <c r="C47" s="414">
        <f>'Расходы на ЗП ОТ'!C47</f>
        <v>0</v>
      </c>
      <c r="D47" s="413">
        <f>SUM(D37:D46)</f>
        <v>0</v>
      </c>
      <c r="E47" s="413">
        <f t="shared" ref="E47:AP47" si="27">SUM(E37:E46)</f>
        <v>0</v>
      </c>
      <c r="F47" s="413">
        <f t="shared" si="27"/>
        <v>0</v>
      </c>
      <c r="G47" s="413">
        <f t="shared" si="27"/>
        <v>0</v>
      </c>
      <c r="H47" s="413">
        <f t="shared" si="27"/>
        <v>0</v>
      </c>
      <c r="I47" s="413">
        <f t="shared" si="27"/>
        <v>0</v>
      </c>
      <c r="J47" s="413">
        <f t="shared" si="27"/>
        <v>0</v>
      </c>
      <c r="K47" s="413">
        <f t="shared" si="27"/>
        <v>0</v>
      </c>
      <c r="L47" s="413">
        <f t="shared" si="27"/>
        <v>0</v>
      </c>
      <c r="M47" s="413">
        <f t="shared" si="27"/>
        <v>0</v>
      </c>
      <c r="N47" s="413">
        <f t="shared" si="27"/>
        <v>0</v>
      </c>
      <c r="O47" s="413">
        <f t="shared" si="27"/>
        <v>0</v>
      </c>
      <c r="P47" s="413">
        <f t="shared" si="27"/>
        <v>0</v>
      </c>
      <c r="Q47" s="413">
        <f t="shared" si="27"/>
        <v>0</v>
      </c>
      <c r="R47" s="413">
        <f t="shared" si="27"/>
        <v>0</v>
      </c>
      <c r="S47" s="413">
        <f t="shared" si="27"/>
        <v>0</v>
      </c>
      <c r="T47" s="413">
        <f t="shared" si="27"/>
        <v>0</v>
      </c>
      <c r="U47" s="413">
        <f t="shared" si="27"/>
        <v>0</v>
      </c>
      <c r="V47" s="413">
        <f t="shared" si="27"/>
        <v>0</v>
      </c>
      <c r="W47" s="413">
        <f t="shared" si="27"/>
        <v>0</v>
      </c>
      <c r="X47" s="413">
        <f t="shared" si="27"/>
        <v>0</v>
      </c>
      <c r="Y47" s="413">
        <f t="shared" si="27"/>
        <v>0</v>
      </c>
      <c r="Z47" s="413">
        <f t="shared" si="27"/>
        <v>0</v>
      </c>
      <c r="AA47" s="413">
        <f t="shared" si="27"/>
        <v>0</v>
      </c>
      <c r="AB47" s="413">
        <f t="shared" si="27"/>
        <v>0</v>
      </c>
      <c r="AC47" s="413">
        <f t="shared" si="27"/>
        <v>0</v>
      </c>
      <c r="AD47" s="413">
        <f t="shared" si="27"/>
        <v>0</v>
      </c>
      <c r="AE47" s="413">
        <f t="shared" si="27"/>
        <v>0</v>
      </c>
      <c r="AF47" s="413">
        <f t="shared" si="27"/>
        <v>0</v>
      </c>
      <c r="AG47" s="413">
        <f t="shared" si="27"/>
        <v>0</v>
      </c>
      <c r="AH47" s="413">
        <f t="shared" si="27"/>
        <v>0</v>
      </c>
      <c r="AI47" s="413">
        <f t="shared" si="27"/>
        <v>0</v>
      </c>
      <c r="AJ47" s="413">
        <f t="shared" si="27"/>
        <v>0</v>
      </c>
      <c r="AK47" s="413">
        <f t="shared" si="27"/>
        <v>0</v>
      </c>
      <c r="AL47" s="413">
        <f t="shared" si="27"/>
        <v>0</v>
      </c>
      <c r="AM47" s="413">
        <f t="shared" si="27"/>
        <v>0</v>
      </c>
      <c r="AN47" s="413">
        <f t="shared" si="27"/>
        <v>0</v>
      </c>
      <c r="AO47" s="413">
        <f t="shared" si="27"/>
        <v>0</v>
      </c>
      <c r="AP47" s="413">
        <f t="shared" si="27"/>
        <v>0</v>
      </c>
      <c r="AQ47" s="413">
        <f>'Расходы на ЗП ОТ'!AQ47</f>
        <v>0</v>
      </c>
      <c r="AR47" s="413">
        <f>'Расходы на ЗП ОТ'!AR47</f>
        <v>0</v>
      </c>
      <c r="AS47" s="413">
        <f>'Расходы на ЗП ОТ'!AS47</f>
        <v>0</v>
      </c>
      <c r="AT47" s="413">
        <f>'Расходы на ЗП ОТ'!AT47</f>
        <v>0</v>
      </c>
      <c r="AU47" s="413">
        <f>'Расходы на ЗП ОТ'!AU47</f>
        <v>0</v>
      </c>
      <c r="AV47" s="413"/>
      <c r="AW47" s="413">
        <f t="shared" si="0"/>
        <v>0</v>
      </c>
      <c r="AX47" s="413">
        <f t="shared" si="1"/>
        <v>0</v>
      </c>
      <c r="AY47" s="413">
        <f t="shared" si="2"/>
        <v>0</v>
      </c>
      <c r="AZ47" s="413">
        <f t="shared" si="3"/>
        <v>0</v>
      </c>
      <c r="BA47" s="413">
        <f t="shared" si="4"/>
        <v>0</v>
      </c>
      <c r="BB47" s="413">
        <f t="shared" si="5"/>
        <v>0</v>
      </c>
      <c r="BC47" s="413">
        <f t="shared" si="6"/>
        <v>0</v>
      </c>
      <c r="BD47" s="413">
        <f t="shared" si="7"/>
        <v>0</v>
      </c>
      <c r="BE47" s="413">
        <f t="shared" si="8"/>
        <v>0</v>
      </c>
      <c r="BF47" s="413">
        <f t="shared" si="9"/>
        <v>0</v>
      </c>
      <c r="BG47" s="413">
        <f t="shared" si="10"/>
        <v>0</v>
      </c>
    </row>
    <row r="48" spans="1:59" s="141" customFormat="1" ht="28.8">
      <c r="A48" s="142" t="s">
        <v>152</v>
      </c>
      <c r="B48" s="145"/>
      <c r="C48" s="142"/>
      <c r="D48" s="142">
        <f>D47*$B$62</f>
        <v>0</v>
      </c>
      <c r="E48" s="142">
        <f t="shared" ref="E48:AP48" si="28">E47*$B$62</f>
        <v>0</v>
      </c>
      <c r="F48" s="142">
        <f t="shared" si="28"/>
        <v>0</v>
      </c>
      <c r="G48" s="142">
        <f t="shared" si="28"/>
        <v>0</v>
      </c>
      <c r="H48" s="142">
        <f t="shared" si="28"/>
        <v>0</v>
      </c>
      <c r="I48" s="142">
        <f t="shared" si="28"/>
        <v>0</v>
      </c>
      <c r="J48" s="142">
        <f t="shared" si="28"/>
        <v>0</v>
      </c>
      <c r="K48" s="142">
        <f t="shared" si="28"/>
        <v>0</v>
      </c>
      <c r="L48" s="142">
        <f t="shared" si="28"/>
        <v>0</v>
      </c>
      <c r="M48" s="142">
        <f t="shared" si="28"/>
        <v>0</v>
      </c>
      <c r="N48" s="142">
        <f t="shared" si="28"/>
        <v>0</v>
      </c>
      <c r="O48" s="142">
        <f t="shared" si="28"/>
        <v>0</v>
      </c>
      <c r="P48" s="142">
        <f t="shared" si="28"/>
        <v>0</v>
      </c>
      <c r="Q48" s="142">
        <f t="shared" si="28"/>
        <v>0</v>
      </c>
      <c r="R48" s="142">
        <f t="shared" si="28"/>
        <v>0</v>
      </c>
      <c r="S48" s="142">
        <f t="shared" si="28"/>
        <v>0</v>
      </c>
      <c r="T48" s="142">
        <f t="shared" si="28"/>
        <v>0</v>
      </c>
      <c r="U48" s="142">
        <f t="shared" si="28"/>
        <v>0</v>
      </c>
      <c r="V48" s="142">
        <f t="shared" si="28"/>
        <v>0</v>
      </c>
      <c r="W48" s="142">
        <f t="shared" si="28"/>
        <v>0</v>
      </c>
      <c r="X48" s="142">
        <f t="shared" si="28"/>
        <v>0</v>
      </c>
      <c r="Y48" s="142">
        <f t="shared" si="28"/>
        <v>0</v>
      </c>
      <c r="Z48" s="142">
        <f t="shared" si="28"/>
        <v>0</v>
      </c>
      <c r="AA48" s="142">
        <f t="shared" si="28"/>
        <v>0</v>
      </c>
      <c r="AB48" s="142">
        <f t="shared" si="28"/>
        <v>0</v>
      </c>
      <c r="AC48" s="142">
        <f t="shared" si="28"/>
        <v>0</v>
      </c>
      <c r="AD48" s="142">
        <f t="shared" si="28"/>
        <v>0</v>
      </c>
      <c r="AE48" s="142">
        <f t="shared" si="28"/>
        <v>0</v>
      </c>
      <c r="AF48" s="142">
        <f t="shared" si="28"/>
        <v>0</v>
      </c>
      <c r="AG48" s="142">
        <f t="shared" si="28"/>
        <v>0</v>
      </c>
      <c r="AH48" s="142">
        <f t="shared" si="28"/>
        <v>0</v>
      </c>
      <c r="AI48" s="142">
        <f t="shared" si="28"/>
        <v>0</v>
      </c>
      <c r="AJ48" s="142">
        <f t="shared" si="28"/>
        <v>0</v>
      </c>
      <c r="AK48" s="142">
        <f t="shared" si="28"/>
        <v>0</v>
      </c>
      <c r="AL48" s="142">
        <f t="shared" si="28"/>
        <v>0</v>
      </c>
      <c r="AM48" s="142">
        <f t="shared" si="28"/>
        <v>0</v>
      </c>
      <c r="AN48" s="142">
        <f t="shared" si="28"/>
        <v>0</v>
      </c>
      <c r="AO48" s="142">
        <f t="shared" si="28"/>
        <v>0</v>
      </c>
      <c r="AP48" s="142">
        <f t="shared" si="28"/>
        <v>0</v>
      </c>
      <c r="AQ48" s="142">
        <f>'Расходы на ЗП ОТ'!AQ48</f>
        <v>0</v>
      </c>
      <c r="AR48" s="142">
        <f>'Расходы на ЗП ОТ'!AR48</f>
        <v>0</v>
      </c>
      <c r="AS48" s="142">
        <f>'Расходы на ЗП ОТ'!AS48</f>
        <v>0</v>
      </c>
      <c r="AT48" s="142">
        <f>'Расходы на ЗП ОТ'!AT48</f>
        <v>0</v>
      </c>
      <c r="AU48" s="142">
        <f>'Расходы на ЗП ОТ'!AU48</f>
        <v>0</v>
      </c>
      <c r="AV48" s="142"/>
      <c r="AW48" s="142">
        <f t="shared" si="0"/>
        <v>0</v>
      </c>
      <c r="AX48" s="142">
        <f t="shared" si="1"/>
        <v>0</v>
      </c>
      <c r="AY48" s="142">
        <f t="shared" si="2"/>
        <v>0</v>
      </c>
      <c r="AZ48" s="142">
        <f t="shared" si="3"/>
        <v>0</v>
      </c>
      <c r="BA48" s="142">
        <f t="shared" si="4"/>
        <v>0</v>
      </c>
      <c r="BB48" s="142">
        <f t="shared" si="5"/>
        <v>0</v>
      </c>
      <c r="BC48" s="142">
        <f t="shared" si="6"/>
        <v>0</v>
      </c>
      <c r="BD48" s="142">
        <f t="shared" si="7"/>
        <v>0</v>
      </c>
      <c r="BE48" s="142">
        <f t="shared" si="8"/>
        <v>0</v>
      </c>
      <c r="BF48" s="142">
        <f t="shared" si="9"/>
        <v>0</v>
      </c>
      <c r="BG48" s="142">
        <f t="shared" si="10"/>
        <v>0</v>
      </c>
    </row>
    <row r="49" spans="1:59" s="418" customFormat="1" ht="43.2">
      <c r="A49" s="416" t="s">
        <v>153</v>
      </c>
      <c r="B49" s="416"/>
      <c r="C49" s="416"/>
      <c r="D49" s="416">
        <f>D6+D15+D23+D26+D34+D47</f>
        <v>0</v>
      </c>
      <c r="E49" s="416">
        <f>E6+E15+E23+E26+E34+E47</f>
        <v>0</v>
      </c>
      <c r="F49" s="416">
        <f>F6+F15+F23+F26+F34+F47</f>
        <v>0</v>
      </c>
      <c r="G49" s="416">
        <f t="shared" ref="G49:R49" si="29">G6+G15+G23+G26+G34+G47</f>
        <v>0</v>
      </c>
      <c r="H49" s="417">
        <f t="shared" si="29"/>
        <v>0</v>
      </c>
      <c r="I49" s="417">
        <f t="shared" si="29"/>
        <v>0</v>
      </c>
      <c r="J49" s="417">
        <f t="shared" si="29"/>
        <v>0</v>
      </c>
      <c r="K49" s="417">
        <f t="shared" si="29"/>
        <v>0</v>
      </c>
      <c r="L49" s="417">
        <f t="shared" si="29"/>
        <v>0</v>
      </c>
      <c r="M49" s="417">
        <f t="shared" si="29"/>
        <v>0</v>
      </c>
      <c r="N49" s="417">
        <f t="shared" si="29"/>
        <v>0</v>
      </c>
      <c r="O49" s="417">
        <f t="shared" si="29"/>
        <v>0</v>
      </c>
      <c r="P49" s="417">
        <f t="shared" si="29"/>
        <v>0</v>
      </c>
      <c r="Q49" s="417">
        <f t="shared" si="29"/>
        <v>0</v>
      </c>
      <c r="R49" s="417">
        <f t="shared" si="29"/>
        <v>0</v>
      </c>
      <c r="S49" s="417">
        <f>S6+S15+S23+S26+S34+S47</f>
        <v>0</v>
      </c>
      <c r="T49" s="417">
        <f>T6+T15+T23+T26+T34+T47</f>
        <v>9765.7800000000007</v>
      </c>
      <c r="U49" s="417">
        <f>U6+U15+U23+U26+U34+U47</f>
        <v>9765.7800000000007</v>
      </c>
      <c r="V49" s="417">
        <f>V6+V15+V23+V26+V34+V47</f>
        <v>9765.7800000000007</v>
      </c>
      <c r="W49" s="417">
        <f t="shared" ref="W49:AP49" si="30">W6+W15+W23+W26+W34+W47</f>
        <v>9765.7800000000007</v>
      </c>
      <c r="X49" s="417">
        <f t="shared" si="30"/>
        <v>10351.7268</v>
      </c>
      <c r="Y49" s="417">
        <f t="shared" si="30"/>
        <v>10351.7268</v>
      </c>
      <c r="Z49" s="417">
        <f t="shared" si="30"/>
        <v>10351.7268</v>
      </c>
      <c r="AA49" s="417">
        <f t="shared" si="30"/>
        <v>10351.7268</v>
      </c>
      <c r="AB49" s="417">
        <f t="shared" si="30"/>
        <v>10972.830408000002</v>
      </c>
      <c r="AC49" s="417">
        <f t="shared" si="30"/>
        <v>10972.830408000002</v>
      </c>
      <c r="AD49" s="417">
        <f t="shared" si="30"/>
        <v>10972.830408000002</v>
      </c>
      <c r="AE49" s="417">
        <f t="shared" si="30"/>
        <v>10972.830408000002</v>
      </c>
      <c r="AF49" s="417">
        <f t="shared" si="30"/>
        <v>11609.761944480002</v>
      </c>
      <c r="AG49" s="417">
        <f t="shared" si="30"/>
        <v>11609.761944480002</v>
      </c>
      <c r="AH49" s="417">
        <f t="shared" si="30"/>
        <v>11609.761944480002</v>
      </c>
      <c r="AI49" s="417">
        <f t="shared" si="30"/>
        <v>11609.761944480002</v>
      </c>
      <c r="AJ49" s="417">
        <f t="shared" si="30"/>
        <v>12306.3476611488</v>
      </c>
      <c r="AK49" s="417">
        <f t="shared" si="30"/>
        <v>12306.3476611488</v>
      </c>
      <c r="AL49" s="417">
        <f t="shared" si="30"/>
        <v>12306.3476611488</v>
      </c>
      <c r="AM49" s="417">
        <f t="shared" si="30"/>
        <v>12306.3476611488</v>
      </c>
      <c r="AN49" s="417">
        <f t="shared" si="30"/>
        <v>13044.728520817733</v>
      </c>
      <c r="AO49" s="417">
        <f t="shared" si="30"/>
        <v>13044.728520817733</v>
      </c>
      <c r="AP49" s="417">
        <f t="shared" si="30"/>
        <v>13044.728520817733</v>
      </c>
      <c r="AQ49" s="417">
        <f>'Расходы на ЗП ОТ'!AQ49</f>
        <v>13044.728520817733</v>
      </c>
      <c r="AR49" s="417">
        <f>'Расходы на ЗП ОТ'!AR49</f>
        <v>13827.412232066798</v>
      </c>
      <c r="AS49" s="417">
        <f>'Расходы на ЗП ОТ'!AS49</f>
        <v>13827.412232066798</v>
      </c>
      <c r="AT49" s="417">
        <f>'Расходы на ЗП ОТ'!AT49</f>
        <v>13827.412232066798</v>
      </c>
      <c r="AU49" s="417">
        <f>'Расходы на ЗП ОТ'!AU49</f>
        <v>13827.412232066798</v>
      </c>
      <c r="AV49" s="417" t="str">
        <f t="shared" ref="AV49:AV58" si="31">A49</f>
        <v>Всего расходов на ЗП:</v>
      </c>
      <c r="AW49" s="417">
        <f t="shared" si="0"/>
        <v>0</v>
      </c>
      <c r="AX49" s="417">
        <f t="shared" si="1"/>
        <v>0</v>
      </c>
      <c r="AY49" s="417">
        <f t="shared" si="2"/>
        <v>0</v>
      </c>
      <c r="AZ49" s="417">
        <f t="shared" si="3"/>
        <v>0</v>
      </c>
      <c r="BA49" s="417">
        <f t="shared" si="4"/>
        <v>39063.120000000003</v>
      </c>
      <c r="BB49" s="417">
        <f t="shared" si="5"/>
        <v>41406.907200000001</v>
      </c>
      <c r="BC49" s="417">
        <f t="shared" si="6"/>
        <v>43891.321632000007</v>
      </c>
      <c r="BD49" s="417">
        <f t="shared" si="7"/>
        <v>46439.047777920008</v>
      </c>
      <c r="BE49" s="417">
        <f t="shared" si="8"/>
        <v>49225.390644595202</v>
      </c>
      <c r="BF49" s="417">
        <f t="shared" si="9"/>
        <v>52178.914083270931</v>
      </c>
      <c r="BG49" s="417">
        <f t="shared" si="10"/>
        <v>52178.914083270931</v>
      </c>
    </row>
    <row r="50" spans="1:59" s="148" customFormat="1" ht="28.8">
      <c r="A50" s="134" t="s">
        <v>154</v>
      </c>
      <c r="B50" s="134"/>
      <c r="C50" s="134"/>
      <c r="D50" s="134"/>
      <c r="E50" s="134"/>
      <c r="F50" s="134"/>
      <c r="G50" s="134">
        <f>SUM(D49:G49)</f>
        <v>0</v>
      </c>
      <c r="H50" s="137"/>
      <c r="I50" s="137"/>
      <c r="J50" s="137"/>
      <c r="K50" s="137">
        <f>SUM(H49:K49)</f>
        <v>0</v>
      </c>
      <c r="L50" s="137"/>
      <c r="M50" s="137"/>
      <c r="N50" s="137"/>
      <c r="O50" s="137">
        <f>SUM(L49:O49)</f>
        <v>0</v>
      </c>
      <c r="P50" s="137"/>
      <c r="Q50" s="137"/>
      <c r="R50" s="137"/>
      <c r="S50" s="137">
        <f>SUM(P49:S49)</f>
        <v>0</v>
      </c>
      <c r="T50" s="137"/>
      <c r="U50" s="137"/>
      <c r="V50" s="137"/>
      <c r="W50" s="137">
        <f>SUM(T49:W49)</f>
        <v>39063.120000000003</v>
      </c>
      <c r="X50" s="137"/>
      <c r="Y50" s="137"/>
      <c r="Z50" s="137"/>
      <c r="AA50" s="137">
        <f>SUM(X49:AA49)</f>
        <v>41406.907200000001</v>
      </c>
      <c r="AB50" s="137"/>
      <c r="AC50" s="137"/>
      <c r="AD50" s="137"/>
      <c r="AE50" s="137">
        <f>SUM(AB49:AE49)</f>
        <v>43891.321632000007</v>
      </c>
      <c r="AF50" s="137"/>
      <c r="AG50" s="137"/>
      <c r="AH50" s="137"/>
      <c r="AI50" s="137">
        <f>SUM(AF49:AI49)</f>
        <v>46439.047777920008</v>
      </c>
      <c r="AJ50" s="137"/>
      <c r="AK50" s="137"/>
      <c r="AL50" s="137"/>
      <c r="AM50" s="137">
        <f t="shared" ref="AM50" si="32">SUM(AJ49:AM49)</f>
        <v>49225.390644595202</v>
      </c>
      <c r="AN50" s="137"/>
      <c r="AO50" s="137"/>
      <c r="AP50" s="137"/>
      <c r="AQ50" s="137">
        <f>'Расходы на ЗП ОТ'!AQ50</f>
        <v>52178.914083270931</v>
      </c>
      <c r="AR50" s="137"/>
      <c r="AS50" s="137"/>
      <c r="AT50" s="137"/>
      <c r="AU50" s="137">
        <f>'Расходы на ЗП ОТ'!AU50</f>
        <v>55309.64892826719</v>
      </c>
      <c r="AV50" s="147" t="str">
        <f t="shared" si="31"/>
        <v>Расходы на ЗП в год:</v>
      </c>
      <c r="AW50" s="137">
        <f t="shared" si="0"/>
        <v>0</v>
      </c>
      <c r="AX50" s="137">
        <f t="shared" si="1"/>
        <v>0</v>
      </c>
      <c r="AY50" s="137">
        <f t="shared" si="2"/>
        <v>0</v>
      </c>
      <c r="AZ50" s="137">
        <f t="shared" si="3"/>
        <v>0</v>
      </c>
      <c r="BA50" s="137">
        <f t="shared" si="4"/>
        <v>39063.120000000003</v>
      </c>
      <c r="BB50" s="137">
        <f t="shared" si="5"/>
        <v>41406.907200000001</v>
      </c>
      <c r="BC50" s="137">
        <f t="shared" si="6"/>
        <v>43891.321632000007</v>
      </c>
      <c r="BD50" s="137">
        <f t="shared" si="7"/>
        <v>46439.047777920008</v>
      </c>
      <c r="BE50" s="137">
        <f t="shared" si="8"/>
        <v>49225.390644595202</v>
      </c>
      <c r="BF50" s="137">
        <f t="shared" si="9"/>
        <v>52178.914083270931</v>
      </c>
      <c r="BG50" s="137">
        <f t="shared" si="10"/>
        <v>52178.914083270931</v>
      </c>
    </row>
    <row r="51" spans="1:59" s="418" customFormat="1" ht="43.2">
      <c r="A51" s="416" t="s">
        <v>180</v>
      </c>
      <c r="B51" s="416"/>
      <c r="C51" s="416"/>
      <c r="D51" s="416">
        <f>D7+D16+D24+D27+D35+D48</f>
        <v>0</v>
      </c>
      <c r="E51" s="416">
        <f>E7+E16+E24+E27+E35+E48</f>
        <v>0</v>
      </c>
      <c r="F51" s="416">
        <f>F7+F16+F24+F27+F35+F48</f>
        <v>0</v>
      </c>
      <c r="G51" s="416">
        <f t="shared" ref="G51:R51" si="33">G7+G16+G24+G27+G35+G48</f>
        <v>0</v>
      </c>
      <c r="H51" s="417">
        <f t="shared" si="33"/>
        <v>0</v>
      </c>
      <c r="I51" s="417">
        <f>I7+I16+I24+I27+I35+I48</f>
        <v>0</v>
      </c>
      <c r="J51" s="417">
        <f t="shared" si="33"/>
        <v>0</v>
      </c>
      <c r="K51" s="417">
        <f t="shared" si="33"/>
        <v>0</v>
      </c>
      <c r="L51" s="417">
        <f t="shared" si="33"/>
        <v>0</v>
      </c>
      <c r="M51" s="417">
        <f t="shared" si="33"/>
        <v>0</v>
      </c>
      <c r="N51" s="417">
        <f t="shared" si="33"/>
        <v>0</v>
      </c>
      <c r="O51" s="417">
        <f t="shared" si="33"/>
        <v>0</v>
      </c>
      <c r="P51" s="417">
        <f t="shared" si="33"/>
        <v>0</v>
      </c>
      <c r="Q51" s="417">
        <f t="shared" si="33"/>
        <v>0</v>
      </c>
      <c r="R51" s="417">
        <f t="shared" si="33"/>
        <v>0</v>
      </c>
      <c r="S51" s="417">
        <f>S7+S16+S24+S27+S35+S48</f>
        <v>0</v>
      </c>
      <c r="T51" s="417">
        <f>T7+T16+T24+T27+T35+T48</f>
        <v>2929.7340000000004</v>
      </c>
      <c r="U51" s="417">
        <f>U7+U16+U24+U27+U35+U48</f>
        <v>2929.7340000000004</v>
      </c>
      <c r="V51" s="417">
        <f>V7+V16+V24+V27+V35+V48</f>
        <v>2929.7340000000004</v>
      </c>
      <c r="W51" s="417">
        <f t="shared" ref="W51:AP51" si="34">W7+W16+W24+W27+W35+W48</f>
        <v>2929.7340000000004</v>
      </c>
      <c r="X51" s="417">
        <f t="shared" si="34"/>
        <v>3105.5180399999999</v>
      </c>
      <c r="Y51" s="417">
        <f t="shared" si="34"/>
        <v>3105.5180399999999</v>
      </c>
      <c r="Z51" s="417">
        <f t="shared" si="34"/>
        <v>3105.5180399999999</v>
      </c>
      <c r="AA51" s="417">
        <f t="shared" si="34"/>
        <v>3105.5180399999999</v>
      </c>
      <c r="AB51" s="417">
        <f t="shared" si="34"/>
        <v>3291.8491223999999</v>
      </c>
      <c r="AC51" s="417">
        <f t="shared" si="34"/>
        <v>3291.8491223999999</v>
      </c>
      <c r="AD51" s="417">
        <f t="shared" si="34"/>
        <v>3291.8491223999999</v>
      </c>
      <c r="AE51" s="417">
        <f t="shared" si="34"/>
        <v>3291.8491223999999</v>
      </c>
      <c r="AF51" s="417">
        <f t="shared" si="34"/>
        <v>3482.9285833440008</v>
      </c>
      <c r="AG51" s="417">
        <f t="shared" si="34"/>
        <v>3482.9285833440008</v>
      </c>
      <c r="AH51" s="417">
        <f t="shared" si="34"/>
        <v>3482.9285833440008</v>
      </c>
      <c r="AI51" s="417">
        <f t="shared" si="34"/>
        <v>3482.9285833440008</v>
      </c>
      <c r="AJ51" s="417">
        <f t="shared" si="34"/>
        <v>3691.9042983446402</v>
      </c>
      <c r="AK51" s="417">
        <f t="shared" si="34"/>
        <v>3691.9042983446402</v>
      </c>
      <c r="AL51" s="417">
        <f t="shared" si="34"/>
        <v>3691.9042983446402</v>
      </c>
      <c r="AM51" s="417">
        <f t="shared" si="34"/>
        <v>3691.9042983446402</v>
      </c>
      <c r="AN51" s="417">
        <f t="shared" si="34"/>
        <v>3913.4185562453195</v>
      </c>
      <c r="AO51" s="417">
        <f t="shared" si="34"/>
        <v>3913.4185562453195</v>
      </c>
      <c r="AP51" s="417">
        <f t="shared" si="34"/>
        <v>3913.4185562453195</v>
      </c>
      <c r="AQ51" s="417">
        <f>'Расходы на ЗП ОТ'!AQ51</f>
        <v>3913.4185562453195</v>
      </c>
      <c r="AR51" s="417">
        <f>'Расходы на ЗП ОТ'!AR51</f>
        <v>4148.2236696200389</v>
      </c>
      <c r="AS51" s="417">
        <f>'Расходы на ЗП ОТ'!AS51</f>
        <v>4148.2236696200389</v>
      </c>
      <c r="AT51" s="417">
        <f>'Расходы на ЗП ОТ'!AT51</f>
        <v>4148.2236696200389</v>
      </c>
      <c r="AU51" s="417">
        <f>'Расходы на ЗП ОТ'!AU51</f>
        <v>4148.2236696200389</v>
      </c>
      <c r="AV51" s="417" t="str">
        <f t="shared" si="31"/>
        <v>Расходы на страховые взносы ФНС:</v>
      </c>
      <c r="AW51" s="417">
        <f t="shared" si="0"/>
        <v>0</v>
      </c>
      <c r="AX51" s="417">
        <f t="shared" si="1"/>
        <v>0</v>
      </c>
      <c r="AY51" s="417">
        <f t="shared" si="2"/>
        <v>0</v>
      </c>
      <c r="AZ51" s="417">
        <f t="shared" si="3"/>
        <v>0</v>
      </c>
      <c r="BA51" s="417">
        <f t="shared" si="4"/>
        <v>11718.936000000002</v>
      </c>
      <c r="BB51" s="417">
        <f t="shared" si="5"/>
        <v>12422.07216</v>
      </c>
      <c r="BC51" s="417">
        <f t="shared" si="6"/>
        <v>13167.3964896</v>
      </c>
      <c r="BD51" s="417">
        <f t="shared" si="7"/>
        <v>13931.714333376003</v>
      </c>
      <c r="BE51" s="417">
        <f t="shared" si="8"/>
        <v>14767.617193378561</v>
      </c>
      <c r="BF51" s="417">
        <f t="shared" si="9"/>
        <v>15653.674224981278</v>
      </c>
      <c r="BG51" s="417">
        <f t="shared" si="10"/>
        <v>15653.674224981278</v>
      </c>
    </row>
    <row r="52" spans="1:59" ht="28.8">
      <c r="A52" s="134" t="s">
        <v>156</v>
      </c>
      <c r="B52" s="134"/>
      <c r="C52" s="134"/>
      <c r="D52" s="134">
        <f>D49+D51</f>
        <v>0</v>
      </c>
      <c r="E52" s="134">
        <f t="shared" ref="E52:AI52" si="35">E49+E51</f>
        <v>0</v>
      </c>
      <c r="F52" s="134">
        <f t="shared" si="35"/>
        <v>0</v>
      </c>
      <c r="G52" s="134">
        <f t="shared" si="35"/>
        <v>0</v>
      </c>
      <c r="H52" s="137">
        <f>H49+H51</f>
        <v>0</v>
      </c>
      <c r="I52" s="137">
        <f t="shared" si="35"/>
        <v>0</v>
      </c>
      <c r="J52" s="137">
        <f t="shared" si="35"/>
        <v>0</v>
      </c>
      <c r="K52" s="137">
        <f t="shared" si="35"/>
        <v>0</v>
      </c>
      <c r="L52" s="137">
        <f t="shared" si="35"/>
        <v>0</v>
      </c>
      <c r="M52" s="137">
        <f t="shared" si="35"/>
        <v>0</v>
      </c>
      <c r="N52" s="137">
        <f t="shared" si="35"/>
        <v>0</v>
      </c>
      <c r="O52" s="137">
        <f t="shared" si="35"/>
        <v>0</v>
      </c>
      <c r="P52" s="137">
        <f t="shared" si="35"/>
        <v>0</v>
      </c>
      <c r="Q52" s="137">
        <f t="shared" si="35"/>
        <v>0</v>
      </c>
      <c r="R52" s="137">
        <f t="shared" si="35"/>
        <v>0</v>
      </c>
      <c r="S52" s="137">
        <f t="shared" si="35"/>
        <v>0</v>
      </c>
      <c r="T52" s="137">
        <f t="shared" si="35"/>
        <v>12695.514000000001</v>
      </c>
      <c r="U52" s="137">
        <f t="shared" si="35"/>
        <v>12695.514000000001</v>
      </c>
      <c r="V52" s="137">
        <f t="shared" si="35"/>
        <v>12695.514000000001</v>
      </c>
      <c r="W52" s="137">
        <f t="shared" si="35"/>
        <v>12695.514000000001</v>
      </c>
      <c r="X52" s="137">
        <f t="shared" si="35"/>
        <v>13457.244839999999</v>
      </c>
      <c r="Y52" s="137">
        <f t="shared" si="35"/>
        <v>13457.244839999999</v>
      </c>
      <c r="Z52" s="137">
        <f t="shared" si="35"/>
        <v>13457.244839999999</v>
      </c>
      <c r="AA52" s="137">
        <f t="shared" si="35"/>
        <v>13457.244839999999</v>
      </c>
      <c r="AB52" s="137">
        <f t="shared" si="35"/>
        <v>14264.679530400001</v>
      </c>
      <c r="AC52" s="137">
        <f t="shared" si="35"/>
        <v>14264.679530400001</v>
      </c>
      <c r="AD52" s="137">
        <f t="shared" si="35"/>
        <v>14264.679530400001</v>
      </c>
      <c r="AE52" s="137">
        <f t="shared" si="35"/>
        <v>14264.679530400001</v>
      </c>
      <c r="AF52" s="137">
        <f t="shared" si="35"/>
        <v>15092.690527824003</v>
      </c>
      <c r="AG52" s="137">
        <f t="shared" si="35"/>
        <v>15092.690527824003</v>
      </c>
      <c r="AH52" s="137">
        <f t="shared" si="35"/>
        <v>15092.690527824003</v>
      </c>
      <c r="AI52" s="137">
        <f t="shared" si="35"/>
        <v>15092.690527824003</v>
      </c>
      <c r="AJ52" s="137">
        <f t="shared" ref="AJ52:AP52" si="36">AJ49+AJ51</f>
        <v>15998.25195949344</v>
      </c>
      <c r="AK52" s="137">
        <f t="shared" si="36"/>
        <v>15998.25195949344</v>
      </c>
      <c r="AL52" s="137">
        <f t="shared" si="36"/>
        <v>15998.25195949344</v>
      </c>
      <c r="AM52" s="137">
        <f t="shared" si="36"/>
        <v>15998.25195949344</v>
      </c>
      <c r="AN52" s="137">
        <f t="shared" si="36"/>
        <v>16958.147077063051</v>
      </c>
      <c r="AO52" s="137">
        <f t="shared" si="36"/>
        <v>16958.147077063051</v>
      </c>
      <c r="AP52" s="137">
        <f t="shared" si="36"/>
        <v>16958.147077063051</v>
      </c>
      <c r="AQ52" s="137">
        <f>'Расходы на ЗП ОТ'!AQ52</f>
        <v>16958.147077063051</v>
      </c>
      <c r="AR52" s="137">
        <f>'Расходы на ЗП ОТ'!AR52</f>
        <v>17975.635901686834</v>
      </c>
      <c r="AS52" s="137">
        <f>'Расходы на ЗП ОТ'!AS52</f>
        <v>17975.635901686834</v>
      </c>
      <c r="AT52" s="137">
        <f>'Расходы на ЗП ОТ'!AT52</f>
        <v>17975.635901686834</v>
      </c>
      <c r="AU52" s="137">
        <f>'Расходы на ЗП ОТ'!AU52</f>
        <v>17975.635901686834</v>
      </c>
      <c r="AV52" s="147" t="str">
        <f t="shared" si="31"/>
        <v>ЗП и взносы ФНС:</v>
      </c>
      <c r="AW52" s="137">
        <f t="shared" si="0"/>
        <v>0</v>
      </c>
      <c r="AX52" s="137">
        <f t="shared" si="1"/>
        <v>0</v>
      </c>
      <c r="AY52" s="137">
        <f t="shared" si="2"/>
        <v>0</v>
      </c>
      <c r="AZ52" s="137">
        <f t="shared" si="3"/>
        <v>0</v>
      </c>
      <c r="BA52" s="137">
        <f t="shared" si="4"/>
        <v>50782.056000000004</v>
      </c>
      <c r="BB52" s="137">
        <f t="shared" si="5"/>
        <v>53828.979359999998</v>
      </c>
      <c r="BC52" s="137">
        <f t="shared" si="6"/>
        <v>57058.718121600003</v>
      </c>
      <c r="BD52" s="137">
        <f t="shared" si="7"/>
        <v>60370.762111296011</v>
      </c>
      <c r="BE52" s="137">
        <f t="shared" si="8"/>
        <v>63993.007837973761</v>
      </c>
      <c r="BF52" s="137">
        <f t="shared" si="9"/>
        <v>67832.588308252205</v>
      </c>
      <c r="BG52" s="137">
        <f t="shared" si="10"/>
        <v>67832.588308252205</v>
      </c>
    </row>
    <row r="53" spans="1:59" s="422" customFormat="1" ht="43.2">
      <c r="A53" s="419" t="s">
        <v>157</v>
      </c>
      <c r="B53" s="419"/>
      <c r="C53" s="419"/>
      <c r="D53" s="419">
        <f>D49*0.014</f>
        <v>0</v>
      </c>
      <c r="E53" s="419">
        <f t="shared" ref="E53:G53" si="37">E49*0.014</f>
        <v>0</v>
      </c>
      <c r="F53" s="419">
        <f t="shared" si="37"/>
        <v>0</v>
      </c>
      <c r="G53" s="419">
        <f t="shared" si="37"/>
        <v>0</v>
      </c>
      <c r="H53" s="420">
        <f>H49*$B$61</f>
        <v>0</v>
      </c>
      <c r="I53" s="420">
        <f t="shared" ref="I53:S53" si="38">I49*$B$61</f>
        <v>0</v>
      </c>
      <c r="J53" s="420">
        <f t="shared" si="38"/>
        <v>0</v>
      </c>
      <c r="K53" s="420">
        <f t="shared" si="38"/>
        <v>0</v>
      </c>
      <c r="L53" s="420">
        <f t="shared" si="38"/>
        <v>0</v>
      </c>
      <c r="M53" s="420">
        <f t="shared" si="38"/>
        <v>0</v>
      </c>
      <c r="N53" s="420">
        <f t="shared" si="38"/>
        <v>0</v>
      </c>
      <c r="O53" s="420">
        <f t="shared" si="38"/>
        <v>0</v>
      </c>
      <c r="P53" s="420">
        <f t="shared" si="38"/>
        <v>0</v>
      </c>
      <c r="Q53" s="420">
        <f t="shared" si="38"/>
        <v>0</v>
      </c>
      <c r="R53" s="420">
        <f t="shared" si="38"/>
        <v>0</v>
      </c>
      <c r="S53" s="420">
        <f t="shared" si="38"/>
        <v>0</v>
      </c>
      <c r="T53" s="420">
        <f>T49*$B$61</f>
        <v>29.297340000000002</v>
      </c>
      <c r="U53" s="420">
        <f t="shared" ref="U53:AP53" si="39">U49*$B$61</f>
        <v>29.297340000000002</v>
      </c>
      <c r="V53" s="420">
        <f t="shared" si="39"/>
        <v>29.297340000000002</v>
      </c>
      <c r="W53" s="420">
        <f t="shared" si="39"/>
        <v>29.297340000000002</v>
      </c>
      <c r="X53" s="420">
        <f t="shared" si="39"/>
        <v>31.055180400000001</v>
      </c>
      <c r="Y53" s="420">
        <f t="shared" si="39"/>
        <v>31.055180400000001</v>
      </c>
      <c r="Z53" s="420">
        <f t="shared" si="39"/>
        <v>31.055180400000001</v>
      </c>
      <c r="AA53" s="420">
        <f t="shared" si="39"/>
        <v>31.055180400000001</v>
      </c>
      <c r="AB53" s="420">
        <f t="shared" si="39"/>
        <v>32.918491224000007</v>
      </c>
      <c r="AC53" s="420">
        <f t="shared" si="39"/>
        <v>32.918491224000007</v>
      </c>
      <c r="AD53" s="420">
        <f t="shared" si="39"/>
        <v>32.918491224000007</v>
      </c>
      <c r="AE53" s="420">
        <f t="shared" si="39"/>
        <v>32.918491224000007</v>
      </c>
      <c r="AF53" s="420">
        <f t="shared" si="39"/>
        <v>34.829285833440004</v>
      </c>
      <c r="AG53" s="420">
        <f t="shared" si="39"/>
        <v>34.829285833440004</v>
      </c>
      <c r="AH53" s="420">
        <f t="shared" si="39"/>
        <v>34.829285833440004</v>
      </c>
      <c r="AI53" s="420">
        <f t="shared" si="39"/>
        <v>34.829285833440004</v>
      </c>
      <c r="AJ53" s="420">
        <f t="shared" si="39"/>
        <v>36.919042983446403</v>
      </c>
      <c r="AK53" s="420">
        <f t="shared" si="39"/>
        <v>36.919042983446403</v>
      </c>
      <c r="AL53" s="420">
        <f t="shared" si="39"/>
        <v>36.919042983446403</v>
      </c>
      <c r="AM53" s="420">
        <f t="shared" si="39"/>
        <v>36.919042983446403</v>
      </c>
      <c r="AN53" s="420">
        <f t="shared" si="39"/>
        <v>39.134185562453197</v>
      </c>
      <c r="AO53" s="420">
        <f t="shared" si="39"/>
        <v>39.134185562453197</v>
      </c>
      <c r="AP53" s="420">
        <f t="shared" si="39"/>
        <v>39.134185562453197</v>
      </c>
      <c r="AQ53" s="420">
        <f>'Расходы на ЗП ОТ'!AQ53</f>
        <v>39.134185562453197</v>
      </c>
      <c r="AR53" s="420">
        <f>'Расходы на ЗП ОТ'!AR53</f>
        <v>41.482236696200388</v>
      </c>
      <c r="AS53" s="420">
        <f>'Расходы на ЗП ОТ'!AS53</f>
        <v>41.482236696200388</v>
      </c>
      <c r="AT53" s="420">
        <f>'Расходы на ЗП ОТ'!AT53</f>
        <v>41.482236696200388</v>
      </c>
      <c r="AU53" s="420">
        <f>'Расходы на ЗП ОТ'!AU53</f>
        <v>41.482236696200388</v>
      </c>
      <c r="AV53" s="417" t="str">
        <f t="shared" si="31"/>
        <v>Страховые взносы ФСС (НС и ПЗ)</v>
      </c>
      <c r="AW53" s="420">
        <f t="shared" si="0"/>
        <v>0</v>
      </c>
      <c r="AX53" s="420">
        <f t="shared" si="1"/>
        <v>0</v>
      </c>
      <c r="AY53" s="420">
        <f t="shared" si="2"/>
        <v>0</v>
      </c>
      <c r="AZ53" s="420">
        <f t="shared" si="3"/>
        <v>0</v>
      </c>
      <c r="BA53" s="420">
        <f t="shared" si="4"/>
        <v>117.18936000000001</v>
      </c>
      <c r="BB53" s="420">
        <f t="shared" si="5"/>
        <v>124.2207216</v>
      </c>
      <c r="BC53" s="420">
        <f t="shared" si="6"/>
        <v>131.67396489600003</v>
      </c>
      <c r="BD53" s="420">
        <f t="shared" si="7"/>
        <v>139.31714333376001</v>
      </c>
      <c r="BE53" s="420">
        <f t="shared" si="8"/>
        <v>147.67617193378561</v>
      </c>
      <c r="BF53" s="420">
        <f t="shared" si="9"/>
        <v>156.53674224981279</v>
      </c>
      <c r="BG53" s="421">
        <f t="shared" si="10"/>
        <v>156.53674224981279</v>
      </c>
    </row>
    <row r="54" spans="1:59" ht="28.8">
      <c r="A54" s="134" t="s">
        <v>158</v>
      </c>
      <c r="B54" s="134"/>
      <c r="C54" s="134"/>
      <c r="D54" s="134">
        <f>D52+D53</f>
        <v>0</v>
      </c>
      <c r="E54" s="134">
        <f t="shared" ref="E54:AH54" si="40">E52+E53</f>
        <v>0</v>
      </c>
      <c r="F54" s="134">
        <f t="shared" si="40"/>
        <v>0</v>
      </c>
      <c r="G54" s="134">
        <f t="shared" si="40"/>
        <v>0</v>
      </c>
      <c r="H54" s="137">
        <f>H52+H53</f>
        <v>0</v>
      </c>
      <c r="I54" s="137">
        <f t="shared" si="40"/>
        <v>0</v>
      </c>
      <c r="J54" s="137">
        <f t="shared" si="40"/>
        <v>0</v>
      </c>
      <c r="K54" s="137">
        <f t="shared" si="40"/>
        <v>0</v>
      </c>
      <c r="L54" s="137">
        <f t="shared" si="40"/>
        <v>0</v>
      </c>
      <c r="M54" s="137">
        <f t="shared" si="40"/>
        <v>0</v>
      </c>
      <c r="N54" s="137">
        <f t="shared" si="40"/>
        <v>0</v>
      </c>
      <c r="O54" s="137">
        <f t="shared" si="40"/>
        <v>0</v>
      </c>
      <c r="P54" s="137">
        <f t="shared" si="40"/>
        <v>0</v>
      </c>
      <c r="Q54" s="137">
        <f t="shared" si="40"/>
        <v>0</v>
      </c>
      <c r="R54" s="137">
        <f t="shared" si="40"/>
        <v>0</v>
      </c>
      <c r="S54" s="137">
        <f t="shared" si="40"/>
        <v>0</v>
      </c>
      <c r="T54" s="137">
        <f t="shared" si="40"/>
        <v>12724.81134</v>
      </c>
      <c r="U54" s="137">
        <f t="shared" si="40"/>
        <v>12724.81134</v>
      </c>
      <c r="V54" s="137">
        <f t="shared" si="40"/>
        <v>12724.81134</v>
      </c>
      <c r="W54" s="137">
        <f t="shared" si="40"/>
        <v>12724.81134</v>
      </c>
      <c r="X54" s="137">
        <f t="shared" si="40"/>
        <v>13488.3000204</v>
      </c>
      <c r="Y54" s="137">
        <f t="shared" si="40"/>
        <v>13488.3000204</v>
      </c>
      <c r="Z54" s="137">
        <f t="shared" si="40"/>
        <v>13488.3000204</v>
      </c>
      <c r="AA54" s="137">
        <f t="shared" si="40"/>
        <v>13488.3000204</v>
      </c>
      <c r="AB54" s="137">
        <f t="shared" si="40"/>
        <v>14297.598021624</v>
      </c>
      <c r="AC54" s="137">
        <f t="shared" si="40"/>
        <v>14297.598021624</v>
      </c>
      <c r="AD54" s="137">
        <f t="shared" si="40"/>
        <v>14297.598021624</v>
      </c>
      <c r="AE54" s="137">
        <f t="shared" si="40"/>
        <v>14297.598021624</v>
      </c>
      <c r="AF54" s="137">
        <f t="shared" si="40"/>
        <v>15127.519813657444</v>
      </c>
      <c r="AG54" s="137">
        <f t="shared" si="40"/>
        <v>15127.519813657444</v>
      </c>
      <c r="AH54" s="137">
        <f t="shared" si="40"/>
        <v>15127.519813657444</v>
      </c>
      <c r="AI54" s="137">
        <f>AI52+AI53</f>
        <v>15127.519813657444</v>
      </c>
      <c r="AJ54" s="137">
        <f t="shared" ref="AJ54:AP54" si="41">AJ52+AJ53</f>
        <v>16035.171002476887</v>
      </c>
      <c r="AK54" s="137">
        <f t="shared" si="41"/>
        <v>16035.171002476887</v>
      </c>
      <c r="AL54" s="137">
        <f t="shared" si="41"/>
        <v>16035.171002476887</v>
      </c>
      <c r="AM54" s="137">
        <f t="shared" si="41"/>
        <v>16035.171002476887</v>
      </c>
      <c r="AN54" s="137">
        <f t="shared" si="41"/>
        <v>16997.281262625504</v>
      </c>
      <c r="AO54" s="137">
        <f t="shared" si="41"/>
        <v>16997.281262625504</v>
      </c>
      <c r="AP54" s="137">
        <f t="shared" si="41"/>
        <v>16997.281262625504</v>
      </c>
      <c r="AQ54" s="137">
        <f>'Расходы на ЗП ОТ'!AQ54</f>
        <v>16997.281262625504</v>
      </c>
      <c r="AR54" s="137">
        <f>'Расходы на ЗП ОТ'!AR54</f>
        <v>18017.118138383034</v>
      </c>
      <c r="AS54" s="137">
        <f>'Расходы на ЗП ОТ'!AS54</f>
        <v>18017.118138383034</v>
      </c>
      <c r="AT54" s="137">
        <f>'Расходы на ЗП ОТ'!AT54</f>
        <v>18017.118138383034</v>
      </c>
      <c r="AU54" s="137">
        <f>'Расходы на ЗП ОТ'!AU54</f>
        <v>18017.118138383034</v>
      </c>
      <c r="AV54" s="147" t="str">
        <f t="shared" si="31"/>
        <v>ЗП и все взносы</v>
      </c>
      <c r="AW54" s="137">
        <f t="shared" si="0"/>
        <v>0</v>
      </c>
      <c r="AX54" s="137">
        <f t="shared" si="1"/>
        <v>0</v>
      </c>
      <c r="AY54" s="137">
        <f t="shared" si="2"/>
        <v>0</v>
      </c>
      <c r="AZ54" s="137">
        <f t="shared" si="3"/>
        <v>0</v>
      </c>
      <c r="BA54" s="137">
        <f t="shared" si="4"/>
        <v>50899.245360000001</v>
      </c>
      <c r="BB54" s="137">
        <f t="shared" si="5"/>
        <v>53953.2000816</v>
      </c>
      <c r="BC54" s="137">
        <f t="shared" si="6"/>
        <v>57190.392086496002</v>
      </c>
      <c r="BD54" s="137">
        <f t="shared" si="7"/>
        <v>60510.079254629774</v>
      </c>
      <c r="BE54" s="137">
        <f t="shared" si="8"/>
        <v>64140.684009907549</v>
      </c>
      <c r="BF54" s="426">
        <f t="shared" si="9"/>
        <v>67989.125050502014</v>
      </c>
      <c r="BG54" s="137">
        <f t="shared" si="10"/>
        <v>67989.125050502014</v>
      </c>
    </row>
    <row r="55" spans="1:59">
      <c r="A55" s="134" t="s">
        <v>159</v>
      </c>
      <c r="B55" s="134"/>
      <c r="C55" s="134"/>
      <c r="D55" s="134"/>
      <c r="E55" s="134"/>
      <c r="F55" s="134"/>
      <c r="G55" s="134">
        <f>SUM(D54:G54)</f>
        <v>0</v>
      </c>
      <c r="H55" s="137"/>
      <c r="I55" s="137"/>
      <c r="J55" s="137"/>
      <c r="K55" s="137">
        <f>SUM(H54:K54)</f>
        <v>0</v>
      </c>
      <c r="L55" s="137"/>
      <c r="M55" s="137"/>
      <c r="N55" s="137"/>
      <c r="O55" s="137">
        <f>SUM(L54:O54)</f>
        <v>0</v>
      </c>
      <c r="P55" s="137"/>
      <c r="Q55" s="137"/>
      <c r="R55" s="137"/>
      <c r="S55" s="137">
        <f>SUM(P54:S54)</f>
        <v>0</v>
      </c>
      <c r="T55" s="137"/>
      <c r="U55" s="137"/>
      <c r="V55" s="137"/>
      <c r="W55" s="137">
        <f>SUM(T54:W54)</f>
        <v>50899.245360000001</v>
      </c>
      <c r="X55" s="137"/>
      <c r="Y55" s="137"/>
      <c r="Z55" s="137"/>
      <c r="AA55" s="137">
        <f t="shared" ref="AA55:AI55" si="42">SUM(X54:AA54)</f>
        <v>53953.2000816</v>
      </c>
      <c r="AB55" s="137"/>
      <c r="AC55" s="137"/>
      <c r="AD55" s="137"/>
      <c r="AE55" s="137">
        <f t="shared" si="42"/>
        <v>57190.392086496002</v>
      </c>
      <c r="AF55" s="137"/>
      <c r="AG55" s="137"/>
      <c r="AH55" s="137"/>
      <c r="AI55" s="137">
        <f t="shared" si="42"/>
        <v>60510.079254629774</v>
      </c>
      <c r="AJ55" s="137"/>
      <c r="AK55" s="137"/>
      <c r="AL55" s="137"/>
      <c r="AM55" s="137">
        <f>SUM(AJ54:AM54)</f>
        <v>64140.684009907549</v>
      </c>
      <c r="AN55" s="137"/>
      <c r="AO55" s="137"/>
      <c r="AP55" s="137"/>
      <c r="AQ55" s="137">
        <f>'Расходы на ЗП ОТ'!AQ55</f>
        <v>67989.125050502014</v>
      </c>
      <c r="AR55" s="137">
        <f>'Расходы на ЗП ОТ'!AR55</f>
        <v>72068.472553532134</v>
      </c>
      <c r="AS55" s="137">
        <f>'Расходы на ЗП ОТ'!AS55</f>
        <v>72068.472553532134</v>
      </c>
      <c r="AT55" s="137">
        <f>'Расходы на ЗП ОТ'!AT55</f>
        <v>72068.472553532134</v>
      </c>
      <c r="AU55" s="137">
        <f>'Расходы на ЗП ОТ'!AU55</f>
        <v>72068.472553532134</v>
      </c>
      <c r="AV55" s="137" t="s">
        <v>181</v>
      </c>
      <c r="AW55" s="137">
        <f t="shared" si="0"/>
        <v>0</v>
      </c>
      <c r="AX55" s="137">
        <f t="shared" si="1"/>
        <v>0</v>
      </c>
      <c r="AY55" s="137">
        <f t="shared" si="2"/>
        <v>0</v>
      </c>
      <c r="AZ55" s="137">
        <f t="shared" si="3"/>
        <v>0</v>
      </c>
      <c r="BA55" s="137">
        <f t="shared" si="4"/>
        <v>50899.245360000001</v>
      </c>
      <c r="BB55" s="137">
        <f t="shared" si="5"/>
        <v>53953.2000816</v>
      </c>
      <c r="BC55" s="137">
        <f t="shared" si="6"/>
        <v>57190.392086496002</v>
      </c>
      <c r="BD55" s="137">
        <f t="shared" si="7"/>
        <v>60510.079254629774</v>
      </c>
      <c r="BE55" s="137">
        <f t="shared" si="8"/>
        <v>64140.684009907549</v>
      </c>
      <c r="BF55" s="137">
        <f t="shared" si="9"/>
        <v>67989.125050502014</v>
      </c>
      <c r="BG55" s="137">
        <f t="shared" si="10"/>
        <v>67989.125050502014</v>
      </c>
    </row>
    <row r="56" spans="1:59">
      <c r="A56" s="134" t="str">
        <f>'Расходы на ЗП ОТ'!A56</f>
        <v>НДФЛ РФ</v>
      </c>
      <c r="B56" s="149">
        <f>'Расходы на ЗП ОТ'!B56</f>
        <v>0.13</v>
      </c>
      <c r="C56" s="134">
        <f>'Расходы на ЗП ОТ'!C56</f>
        <v>0</v>
      </c>
      <c r="D56" s="134">
        <f>'Расходы на ЗП ОТ'!D56</f>
        <v>0</v>
      </c>
      <c r="E56" s="134">
        <f>'Расходы на ЗП ОТ'!E56</f>
        <v>0</v>
      </c>
      <c r="F56" s="134">
        <f>'Расходы на ЗП ОТ'!F56</f>
        <v>0</v>
      </c>
      <c r="G56" s="134">
        <f>'Расходы на ЗП ОТ'!G56</f>
        <v>0</v>
      </c>
      <c r="H56" s="137">
        <f>'Расходы на ЗП ОТ'!H56</f>
        <v>0</v>
      </c>
      <c r="I56" s="137">
        <f>'Расходы на ЗП ОТ'!I56</f>
        <v>0</v>
      </c>
      <c r="J56" s="137">
        <f>'Расходы на ЗП ОТ'!J56</f>
        <v>0</v>
      </c>
      <c r="K56" s="137">
        <f>'Расходы на ЗП ОТ'!K56</f>
        <v>0</v>
      </c>
      <c r="L56" s="137">
        <f>'Расходы на ЗП ОТ'!L56</f>
        <v>0</v>
      </c>
      <c r="M56" s="137">
        <f>'Расходы на ЗП ОТ'!M56</f>
        <v>0</v>
      </c>
      <c r="N56" s="137">
        <f>'Расходы на ЗП ОТ'!N56</f>
        <v>0</v>
      </c>
      <c r="O56" s="137">
        <f>'Расходы на ЗП ОТ'!O56</f>
        <v>0</v>
      </c>
      <c r="P56" s="137">
        <f>'Расходы на ЗП ОТ'!P56</f>
        <v>0</v>
      </c>
      <c r="Q56" s="137">
        <f>'Расходы на ЗП ОТ'!Q56</f>
        <v>0</v>
      </c>
      <c r="R56" s="137">
        <f>'Расходы на ЗП ОТ'!R56</f>
        <v>0</v>
      </c>
      <c r="S56" s="137">
        <f>'Расходы на ЗП ОТ'!S56</f>
        <v>0</v>
      </c>
      <c r="T56" s="137">
        <f>'Расходы на ЗП ОТ'!T56</f>
        <v>1269.5514000000001</v>
      </c>
      <c r="U56" s="137">
        <f>'Расходы на ЗП ОТ'!U56</f>
        <v>1269.5514000000001</v>
      </c>
      <c r="V56" s="137">
        <f>'Расходы на ЗП ОТ'!V56</f>
        <v>1269.5514000000001</v>
      </c>
      <c r="W56" s="137">
        <f>'Расходы на ЗП ОТ'!W56</f>
        <v>1269.5514000000001</v>
      </c>
      <c r="X56" s="137">
        <f>'Расходы на ЗП ОТ'!X56</f>
        <v>1345.7244840000001</v>
      </c>
      <c r="Y56" s="137">
        <f>'Расходы на ЗП ОТ'!Y56</f>
        <v>1345.7244840000001</v>
      </c>
      <c r="Z56" s="137">
        <f>'Расходы на ЗП ОТ'!Z56</f>
        <v>1345.7244840000001</v>
      </c>
      <c r="AA56" s="137">
        <f>'Расходы на ЗП ОТ'!AA56</f>
        <v>1345.7244840000001</v>
      </c>
      <c r="AB56" s="137">
        <f>'Расходы на ЗП ОТ'!AB56</f>
        <v>1426.4679530400003</v>
      </c>
      <c r="AC56" s="137">
        <f>'Расходы на ЗП ОТ'!AC56</f>
        <v>1426.4679530400003</v>
      </c>
      <c r="AD56" s="137">
        <f>'Расходы на ЗП ОТ'!AD56</f>
        <v>1426.4679530400003</v>
      </c>
      <c r="AE56" s="137">
        <f>'Расходы на ЗП ОТ'!AE56</f>
        <v>1426.4679530400003</v>
      </c>
      <c r="AF56" s="137">
        <f>'Расходы на ЗП ОТ'!AF56</f>
        <v>1509.2690527824004</v>
      </c>
      <c r="AG56" s="137">
        <f>'Расходы на ЗП ОТ'!AG56</f>
        <v>1509.2690527824004</v>
      </c>
      <c r="AH56" s="137">
        <f>'Расходы на ЗП ОТ'!AH56</f>
        <v>1509.2690527824004</v>
      </c>
      <c r="AI56" s="137">
        <f>'Расходы на ЗП ОТ'!AI56</f>
        <v>1509.2690527824004</v>
      </c>
      <c r="AJ56" s="137">
        <f>'Расходы на ЗП ОТ'!AJ56</f>
        <v>1599.8251959493441</v>
      </c>
      <c r="AK56" s="137">
        <f>'Расходы на ЗП ОТ'!AK56</f>
        <v>1599.8251959493441</v>
      </c>
      <c r="AL56" s="137">
        <f>'Расходы на ЗП ОТ'!AL56</f>
        <v>1599.8251959493441</v>
      </c>
      <c r="AM56" s="137">
        <f>'Расходы на ЗП ОТ'!AM56</f>
        <v>1599.8251959493441</v>
      </c>
      <c r="AN56" s="137">
        <f>'Расходы на ЗП ОТ'!AN56</f>
        <v>1695.8147077063054</v>
      </c>
      <c r="AO56" s="137">
        <f>'Расходы на ЗП ОТ'!AO56</f>
        <v>1695.8147077063054</v>
      </c>
      <c r="AP56" s="137">
        <f>'Расходы на ЗП ОТ'!AP56</f>
        <v>1695.8147077063054</v>
      </c>
      <c r="AQ56" s="137">
        <f>'Расходы на ЗП ОТ'!AQ56</f>
        <v>1695.8147077063054</v>
      </c>
      <c r="AR56" s="137">
        <f>'Расходы на ЗП ОТ'!AR56</f>
        <v>1797.5635901686837</v>
      </c>
      <c r="AS56" s="137">
        <f>'Расходы на ЗП ОТ'!AS56</f>
        <v>1797.5635901686837</v>
      </c>
      <c r="AT56" s="137">
        <f>'Расходы на ЗП ОТ'!AT56</f>
        <v>1797.5635901686837</v>
      </c>
      <c r="AU56" s="137">
        <f>'Расходы на ЗП ОТ'!AU56</f>
        <v>1797.5635901686837</v>
      </c>
      <c r="AV56" s="137" t="str">
        <f t="shared" si="31"/>
        <v>НДФЛ РФ</v>
      </c>
      <c r="AW56" s="137">
        <f t="shared" si="0"/>
        <v>0</v>
      </c>
      <c r="AX56" s="137">
        <f t="shared" si="1"/>
        <v>0</v>
      </c>
      <c r="AY56" s="137">
        <f t="shared" si="2"/>
        <v>0</v>
      </c>
      <c r="AZ56" s="137">
        <f t="shared" si="3"/>
        <v>0</v>
      </c>
      <c r="BA56" s="137">
        <f t="shared" si="4"/>
        <v>5078.2056000000002</v>
      </c>
      <c r="BB56" s="137">
        <f t="shared" si="5"/>
        <v>5382.8979360000003</v>
      </c>
      <c r="BC56" s="137">
        <f t="shared" si="6"/>
        <v>5705.8718121600014</v>
      </c>
      <c r="BD56" s="137">
        <f t="shared" si="7"/>
        <v>6037.0762111296017</v>
      </c>
      <c r="BE56" s="137">
        <f t="shared" si="8"/>
        <v>6399.3007837973764</v>
      </c>
      <c r="BF56" s="137">
        <f t="shared" si="9"/>
        <v>6783.2588308252216</v>
      </c>
      <c r="BG56" s="137">
        <f t="shared" si="10"/>
        <v>6783.2588308252216</v>
      </c>
    </row>
    <row r="57" spans="1:59">
      <c r="A57" s="134" t="str">
        <f>'Расходы на ЗП ОТ'!A57</f>
        <v>НДФЛ ИРС</v>
      </c>
      <c r="B57" s="149">
        <f>'Расходы на ЗП ОТ'!B57</f>
        <v>0.3</v>
      </c>
      <c r="C57" s="134">
        <f>'Расходы на ЗП ОТ'!C57</f>
        <v>0</v>
      </c>
      <c r="D57" s="134">
        <f>'Расходы на ЗП ОТ'!D57</f>
        <v>0</v>
      </c>
      <c r="E57" s="134">
        <f>'Расходы на ЗП ОТ'!E57</f>
        <v>0</v>
      </c>
      <c r="F57" s="134">
        <f>'Расходы на ЗП ОТ'!F57</f>
        <v>0</v>
      </c>
      <c r="G57" s="134">
        <f>'Расходы на ЗП ОТ'!G57</f>
        <v>0</v>
      </c>
      <c r="H57" s="137">
        <f>'Расходы на ЗП ОТ'!H57</f>
        <v>0</v>
      </c>
      <c r="I57" s="137">
        <f>'Расходы на ЗП ОТ'!I57</f>
        <v>0</v>
      </c>
      <c r="J57" s="137">
        <f>'Расходы на ЗП ОТ'!J57</f>
        <v>0</v>
      </c>
      <c r="K57" s="137">
        <f>'Расходы на ЗП ОТ'!K57</f>
        <v>0</v>
      </c>
      <c r="L57" s="137">
        <f>'Расходы на ЗП ОТ'!L57</f>
        <v>0</v>
      </c>
      <c r="M57" s="137">
        <f>'Расходы на ЗП ОТ'!M57</f>
        <v>0</v>
      </c>
      <c r="N57" s="137">
        <f>'Расходы на ЗП ОТ'!N57</f>
        <v>0</v>
      </c>
      <c r="O57" s="137">
        <f>'Расходы на ЗП ОТ'!O57</f>
        <v>0</v>
      </c>
      <c r="P57" s="137">
        <f>'Расходы на ЗП ОТ'!P57</f>
        <v>0</v>
      </c>
      <c r="Q57" s="137">
        <f>'Расходы на ЗП ОТ'!Q57</f>
        <v>0</v>
      </c>
      <c r="R57" s="137">
        <f>'Расходы на ЗП ОТ'!R57</f>
        <v>0</v>
      </c>
      <c r="S57" s="137">
        <f>'Расходы на ЗП ОТ'!S57</f>
        <v>0</v>
      </c>
      <c r="T57" s="137">
        <f>'Расходы на ЗП ОТ'!T57</f>
        <v>0</v>
      </c>
      <c r="U57" s="137">
        <f>'Расходы на ЗП ОТ'!U57</f>
        <v>0</v>
      </c>
      <c r="V57" s="137">
        <f>'Расходы на ЗП ОТ'!V57</f>
        <v>0</v>
      </c>
      <c r="W57" s="137">
        <f>'Расходы на ЗП ОТ'!W57</f>
        <v>0</v>
      </c>
      <c r="X57" s="137">
        <f>'Расходы на ЗП ОТ'!X57</f>
        <v>0</v>
      </c>
      <c r="Y57" s="137">
        <f>'Расходы на ЗП ОТ'!Y57</f>
        <v>0</v>
      </c>
      <c r="Z57" s="137">
        <f>'Расходы на ЗП ОТ'!Z57</f>
        <v>0</v>
      </c>
      <c r="AA57" s="137">
        <f>'Расходы на ЗП ОТ'!AA57</f>
        <v>0</v>
      </c>
      <c r="AB57" s="137">
        <f>'Расходы на ЗП ОТ'!AB57</f>
        <v>0</v>
      </c>
      <c r="AC57" s="137">
        <f>'Расходы на ЗП ОТ'!AC57</f>
        <v>0</v>
      </c>
      <c r="AD57" s="137">
        <f>'Расходы на ЗП ОТ'!AD57</f>
        <v>0</v>
      </c>
      <c r="AE57" s="137">
        <f>'Расходы на ЗП ОТ'!AE57</f>
        <v>0</v>
      </c>
      <c r="AF57" s="137">
        <f>'Расходы на ЗП ОТ'!AF57</f>
        <v>0</v>
      </c>
      <c r="AG57" s="137">
        <f>'Расходы на ЗП ОТ'!AG57</f>
        <v>0</v>
      </c>
      <c r="AH57" s="137">
        <f>'Расходы на ЗП ОТ'!AH57</f>
        <v>0</v>
      </c>
      <c r="AI57" s="137">
        <f>'Расходы на ЗП ОТ'!AI57</f>
        <v>0</v>
      </c>
      <c r="AJ57" s="137">
        <f>'Расходы на ЗП ОТ'!AJ57</f>
        <v>0</v>
      </c>
      <c r="AK57" s="137">
        <f>'Расходы на ЗП ОТ'!AK57</f>
        <v>0</v>
      </c>
      <c r="AL57" s="137">
        <f>'Расходы на ЗП ОТ'!AL57</f>
        <v>0</v>
      </c>
      <c r="AM57" s="137">
        <f>'Расходы на ЗП ОТ'!AM57</f>
        <v>0</v>
      </c>
      <c r="AN57" s="137">
        <f>'Расходы на ЗП ОТ'!AN57</f>
        <v>0</v>
      </c>
      <c r="AO57" s="137">
        <f>'Расходы на ЗП ОТ'!AO57</f>
        <v>0</v>
      </c>
      <c r="AP57" s="137">
        <f>'Расходы на ЗП ОТ'!AP57</f>
        <v>0</v>
      </c>
      <c r="AQ57" s="137">
        <f>'Расходы на ЗП ОТ'!AQ57</f>
        <v>0</v>
      </c>
      <c r="AR57" s="137">
        <f>'Расходы на ЗП ОТ'!AR57</f>
        <v>0</v>
      </c>
      <c r="AS57" s="137">
        <f>'Расходы на ЗП ОТ'!AS57</f>
        <v>0</v>
      </c>
      <c r="AT57" s="137">
        <f>'Расходы на ЗП ОТ'!AT57</f>
        <v>0</v>
      </c>
      <c r="AU57" s="137">
        <f>'Расходы на ЗП ОТ'!AU57</f>
        <v>0</v>
      </c>
      <c r="AV57" s="137" t="str">
        <f t="shared" si="31"/>
        <v>НДФЛ ИРС</v>
      </c>
      <c r="AW57" s="137">
        <f t="shared" si="0"/>
        <v>0</v>
      </c>
      <c r="AX57" s="137">
        <f t="shared" si="1"/>
        <v>0</v>
      </c>
      <c r="AY57" s="137">
        <f t="shared" si="2"/>
        <v>0</v>
      </c>
      <c r="AZ57" s="137">
        <f t="shared" si="3"/>
        <v>0</v>
      </c>
      <c r="BA57" s="137">
        <f t="shared" si="4"/>
        <v>0</v>
      </c>
      <c r="BB57" s="137">
        <f t="shared" si="5"/>
        <v>0</v>
      </c>
      <c r="BC57" s="137">
        <f t="shared" si="6"/>
        <v>0</v>
      </c>
      <c r="BD57" s="137">
        <f t="shared" si="7"/>
        <v>0</v>
      </c>
      <c r="BE57" s="137">
        <f t="shared" si="8"/>
        <v>0</v>
      </c>
      <c r="BF57" s="137">
        <f t="shared" si="9"/>
        <v>0</v>
      </c>
      <c r="BG57" s="137">
        <f t="shared" si="10"/>
        <v>0</v>
      </c>
    </row>
    <row r="58" spans="1:59">
      <c r="A58" s="134" t="str">
        <f>'Расходы на ЗП ОТ'!A58</f>
        <v>НДФЛ итого</v>
      </c>
      <c r="B58" s="134"/>
      <c r="C58" s="134">
        <f>'Расходы на ЗП ОТ'!C58</f>
        <v>0</v>
      </c>
      <c r="D58" s="134">
        <f>'Расходы на ЗП ОТ'!D58</f>
        <v>0</v>
      </c>
      <c r="E58" s="134">
        <f>'Расходы на ЗП ОТ'!E58</f>
        <v>0</v>
      </c>
      <c r="F58" s="134">
        <f>'Расходы на ЗП ОТ'!F58</f>
        <v>0</v>
      </c>
      <c r="G58" s="134">
        <f>'Расходы на ЗП ОТ'!G58</f>
        <v>0</v>
      </c>
      <c r="H58" s="137">
        <f>'Расходы на ЗП ОТ'!H58</f>
        <v>0</v>
      </c>
      <c r="I58" s="137">
        <f>'Расходы на ЗП ОТ'!I58</f>
        <v>0</v>
      </c>
      <c r="J58" s="137">
        <f>'Расходы на ЗП ОТ'!J58</f>
        <v>0</v>
      </c>
      <c r="K58" s="137">
        <f>'Расходы на ЗП ОТ'!K58</f>
        <v>0</v>
      </c>
      <c r="L58" s="137">
        <f>'Расходы на ЗП ОТ'!L58</f>
        <v>0</v>
      </c>
      <c r="M58" s="137">
        <f>'Расходы на ЗП ОТ'!M58</f>
        <v>0</v>
      </c>
      <c r="N58" s="137">
        <f>'Расходы на ЗП ОТ'!N58</f>
        <v>0</v>
      </c>
      <c r="O58" s="137">
        <f>'Расходы на ЗП ОТ'!O58</f>
        <v>0</v>
      </c>
      <c r="P58" s="137">
        <f>'Расходы на ЗП ОТ'!P58</f>
        <v>0</v>
      </c>
      <c r="Q58" s="137">
        <f>'Расходы на ЗП ОТ'!Q58</f>
        <v>0</v>
      </c>
      <c r="R58" s="137">
        <f>'Расходы на ЗП ОТ'!R58</f>
        <v>0</v>
      </c>
      <c r="S58" s="137">
        <f>'Расходы на ЗП ОТ'!S58</f>
        <v>0</v>
      </c>
      <c r="T58" s="137">
        <f>'Расходы на ЗП ОТ'!T58</f>
        <v>1269.5514000000001</v>
      </c>
      <c r="U58" s="137">
        <f>'Расходы на ЗП ОТ'!U58</f>
        <v>1269.5514000000001</v>
      </c>
      <c r="V58" s="137">
        <f>'Расходы на ЗП ОТ'!V58</f>
        <v>1269.5514000000001</v>
      </c>
      <c r="W58" s="137">
        <f>'Расходы на ЗП ОТ'!W58</f>
        <v>1269.5514000000001</v>
      </c>
      <c r="X58" s="137">
        <f>'Расходы на ЗП ОТ'!X58</f>
        <v>1345.7244840000001</v>
      </c>
      <c r="Y58" s="137">
        <f>'Расходы на ЗП ОТ'!Y58</f>
        <v>1345.7244840000001</v>
      </c>
      <c r="Z58" s="137">
        <f>'Расходы на ЗП ОТ'!Z58</f>
        <v>1345.7244840000001</v>
      </c>
      <c r="AA58" s="137">
        <f>'Расходы на ЗП ОТ'!AA58</f>
        <v>1345.7244840000001</v>
      </c>
      <c r="AB58" s="137">
        <f>'Расходы на ЗП ОТ'!AB58</f>
        <v>1426.4679530400003</v>
      </c>
      <c r="AC58" s="137">
        <f>'Расходы на ЗП ОТ'!AC58</f>
        <v>1426.4679530400003</v>
      </c>
      <c r="AD58" s="137">
        <f>'Расходы на ЗП ОТ'!AD58</f>
        <v>1426.4679530400003</v>
      </c>
      <c r="AE58" s="137">
        <f>'Расходы на ЗП ОТ'!AE58</f>
        <v>1426.4679530400003</v>
      </c>
      <c r="AF58" s="137">
        <f>'Расходы на ЗП ОТ'!AF58</f>
        <v>1509.2690527824004</v>
      </c>
      <c r="AG58" s="137">
        <f>'Расходы на ЗП ОТ'!AG58</f>
        <v>1509.2690527824004</v>
      </c>
      <c r="AH58" s="137">
        <f>'Расходы на ЗП ОТ'!AH58</f>
        <v>1509.2690527824004</v>
      </c>
      <c r="AI58" s="137">
        <f>'Расходы на ЗП ОТ'!AI58</f>
        <v>1509.2690527824004</v>
      </c>
      <c r="AJ58" s="137">
        <f>'Расходы на ЗП ОТ'!AJ58</f>
        <v>1599.8251959493441</v>
      </c>
      <c r="AK58" s="137">
        <f>'Расходы на ЗП ОТ'!AK58</f>
        <v>1599.8251959493441</v>
      </c>
      <c r="AL58" s="137">
        <f>'Расходы на ЗП ОТ'!AL58</f>
        <v>1599.8251959493441</v>
      </c>
      <c r="AM58" s="137">
        <f>'Расходы на ЗП ОТ'!AM58</f>
        <v>1599.8251959493441</v>
      </c>
      <c r="AN58" s="137">
        <f>'Расходы на ЗП ОТ'!AN58</f>
        <v>1695.8147077063054</v>
      </c>
      <c r="AO58" s="137">
        <f>'Расходы на ЗП ОТ'!AO58</f>
        <v>1695.8147077063054</v>
      </c>
      <c r="AP58" s="137">
        <f>'Расходы на ЗП ОТ'!AP58</f>
        <v>1695.8147077063054</v>
      </c>
      <c r="AQ58" s="137">
        <f>'Расходы на ЗП ОТ'!AQ58</f>
        <v>1695.8147077063054</v>
      </c>
      <c r="AR58" s="137">
        <f>'Расходы на ЗП ОТ'!AR58</f>
        <v>1797.5635901686837</v>
      </c>
      <c r="AS58" s="137">
        <f>'Расходы на ЗП ОТ'!AS58</f>
        <v>1797.5635901686837</v>
      </c>
      <c r="AT58" s="137">
        <f>'Расходы на ЗП ОТ'!AT58</f>
        <v>1797.5635901686837</v>
      </c>
      <c r="AU58" s="137">
        <f>'Расходы на ЗП ОТ'!AU58</f>
        <v>1797.5635901686837</v>
      </c>
      <c r="AV58" s="137" t="str">
        <f t="shared" si="31"/>
        <v>НДФЛ итого</v>
      </c>
      <c r="AW58" s="137">
        <f t="shared" si="0"/>
        <v>0</v>
      </c>
      <c r="AX58" s="137">
        <f t="shared" si="1"/>
        <v>0</v>
      </c>
      <c r="AY58" s="137">
        <f t="shared" si="2"/>
        <v>0</v>
      </c>
      <c r="AZ58" s="137">
        <f t="shared" si="3"/>
        <v>0</v>
      </c>
      <c r="BA58" s="137">
        <f t="shared" si="4"/>
        <v>5078.2056000000002</v>
      </c>
      <c r="BB58" s="137">
        <f t="shared" si="5"/>
        <v>5382.8979360000003</v>
      </c>
      <c r="BC58" s="137">
        <f t="shared" si="6"/>
        <v>5705.8718121600014</v>
      </c>
      <c r="BD58" s="137">
        <f t="shared" si="7"/>
        <v>6037.0762111296017</v>
      </c>
      <c r="BE58" s="137">
        <f t="shared" si="8"/>
        <v>6399.3007837973764</v>
      </c>
      <c r="BF58" s="137">
        <f t="shared" si="9"/>
        <v>6783.2588308252216</v>
      </c>
      <c r="BG58" s="137">
        <f t="shared" si="10"/>
        <v>6783.2588308252216</v>
      </c>
    </row>
    <row r="59" spans="1:59">
      <c r="AQ59" s="137"/>
      <c r="AR59" s="137"/>
      <c r="AS59" s="137"/>
      <c r="AT59" s="137"/>
      <c r="AU59" s="137"/>
      <c r="BF59" s="150"/>
    </row>
    <row r="60" spans="1:59" s="146" customFormat="1">
      <c r="A60" s="151" t="s">
        <v>163</v>
      </c>
      <c r="B60" s="151"/>
      <c r="C60" s="151"/>
      <c r="D60" s="91" t="str">
        <f>D1</f>
        <v>I кв. 1 г.</v>
      </c>
      <c r="E60" s="91" t="str">
        <f t="shared" ref="E60:AU60" si="43">E1</f>
        <v>II кв. 1 г.</v>
      </c>
      <c r="F60" s="91" t="str">
        <f t="shared" si="43"/>
        <v>III кв. 1 г.</v>
      </c>
      <c r="G60" s="91" t="str">
        <f t="shared" si="43"/>
        <v>IV кв. 1 г.</v>
      </c>
      <c r="H60" s="91" t="str">
        <f t="shared" si="43"/>
        <v>I кв. 2 г.</v>
      </c>
      <c r="I60" s="91" t="str">
        <f t="shared" si="43"/>
        <v>II кв. 2 г.</v>
      </c>
      <c r="J60" s="91" t="str">
        <f t="shared" si="43"/>
        <v>III кв. 2 г.</v>
      </c>
      <c r="K60" s="91" t="str">
        <f t="shared" si="43"/>
        <v>IV кв. 2 г.</v>
      </c>
      <c r="L60" s="91" t="str">
        <f t="shared" si="43"/>
        <v>I кв. 3 г.</v>
      </c>
      <c r="M60" s="91" t="str">
        <f t="shared" si="43"/>
        <v>II кв. 3 г.</v>
      </c>
      <c r="N60" s="91" t="str">
        <f t="shared" si="43"/>
        <v>III кв. 3 г.</v>
      </c>
      <c r="O60" s="91" t="str">
        <f t="shared" si="43"/>
        <v>IV кв. 3 г.</v>
      </c>
      <c r="P60" s="91" t="str">
        <f t="shared" si="43"/>
        <v>I кв. 4 г.</v>
      </c>
      <c r="Q60" s="91" t="str">
        <f t="shared" si="43"/>
        <v>II кв. 4 г.</v>
      </c>
      <c r="R60" s="91" t="str">
        <f t="shared" si="43"/>
        <v>III кв. 4 г.</v>
      </c>
      <c r="S60" s="91" t="str">
        <f t="shared" si="43"/>
        <v>IV кв. 4 г.</v>
      </c>
      <c r="T60" s="91" t="str">
        <f t="shared" si="43"/>
        <v>I кв. 5 г.</v>
      </c>
      <c r="U60" s="91" t="str">
        <f t="shared" si="43"/>
        <v>II кв. 5 г.</v>
      </c>
      <c r="V60" s="91" t="str">
        <f t="shared" si="43"/>
        <v>III кв. 5 г.</v>
      </c>
      <c r="W60" s="91" t="str">
        <f t="shared" si="43"/>
        <v>IV кв. 5 г.</v>
      </c>
      <c r="X60" s="91" t="str">
        <f t="shared" si="43"/>
        <v>I кв. 6 г.</v>
      </c>
      <c r="Y60" s="91" t="str">
        <f t="shared" si="43"/>
        <v>II кв. 6 г.</v>
      </c>
      <c r="Z60" s="91" t="str">
        <f t="shared" si="43"/>
        <v>III кв. 6 г.</v>
      </c>
      <c r="AA60" s="91" t="str">
        <f t="shared" si="43"/>
        <v>IV кв. 6 г.</v>
      </c>
      <c r="AB60" s="91" t="str">
        <f t="shared" si="43"/>
        <v>I кв. 7 г.</v>
      </c>
      <c r="AC60" s="91" t="str">
        <f t="shared" si="43"/>
        <v>II кв. 7 г.</v>
      </c>
      <c r="AD60" s="91" t="str">
        <f t="shared" si="43"/>
        <v>III кв. 7 г.</v>
      </c>
      <c r="AE60" s="91" t="str">
        <f t="shared" si="43"/>
        <v>IV кв. 7 г.</v>
      </c>
      <c r="AF60" s="91" t="str">
        <f t="shared" si="43"/>
        <v>I кв. 8 г.</v>
      </c>
      <c r="AG60" s="91" t="str">
        <f t="shared" si="43"/>
        <v>II кв. 8 г.</v>
      </c>
      <c r="AH60" s="91" t="str">
        <f t="shared" si="43"/>
        <v>III кв. 8 г.</v>
      </c>
      <c r="AI60" s="91" t="str">
        <f t="shared" si="43"/>
        <v>IV кв. 8 г.</v>
      </c>
      <c r="AJ60" s="91" t="str">
        <f t="shared" si="43"/>
        <v>I кв. 9 г.</v>
      </c>
      <c r="AK60" s="91" t="str">
        <f t="shared" si="43"/>
        <v>II кв. 9 г.</v>
      </c>
      <c r="AL60" s="91" t="str">
        <f t="shared" si="43"/>
        <v>III кв. 9 г.</v>
      </c>
      <c r="AM60" s="91" t="str">
        <f t="shared" si="43"/>
        <v>IV кв. 9 г.</v>
      </c>
      <c r="AN60" s="91" t="str">
        <f t="shared" si="43"/>
        <v>I кв. 10 г.</v>
      </c>
      <c r="AO60" s="91" t="str">
        <f t="shared" si="43"/>
        <v>II кв. 10 г.</v>
      </c>
      <c r="AP60" s="91" t="str">
        <f t="shared" si="43"/>
        <v>III кв. 10 г.</v>
      </c>
      <c r="AQ60" s="91" t="str">
        <f t="shared" si="43"/>
        <v>IV кв. 10 г.</v>
      </c>
      <c r="AR60" s="91" t="str">
        <f t="shared" si="43"/>
        <v>I кв. 11 г.</v>
      </c>
      <c r="AS60" s="91" t="str">
        <f t="shared" si="43"/>
        <v>II кв. 11 г.</v>
      </c>
      <c r="AT60" s="91" t="str">
        <f t="shared" si="43"/>
        <v>III кв. 11 г.</v>
      </c>
      <c r="AU60" s="91" t="str">
        <f t="shared" si="43"/>
        <v>IV кв. 11 г.</v>
      </c>
    </row>
    <row r="61" spans="1:59">
      <c r="A61" s="152" t="s">
        <v>182</v>
      </c>
      <c r="B61" s="153">
        <f>'Расходы на ЗП ОТ'!B60</f>
        <v>3.0000000000000001E-3</v>
      </c>
      <c r="C61" s="154"/>
      <c r="D61" s="152">
        <f>D53</f>
        <v>0</v>
      </c>
      <c r="E61" s="152">
        <f t="shared" ref="E61:AU61" si="44">E53</f>
        <v>0</v>
      </c>
      <c r="F61" s="152">
        <f t="shared" si="44"/>
        <v>0</v>
      </c>
      <c r="G61" s="152">
        <f t="shared" si="44"/>
        <v>0</v>
      </c>
      <c r="H61" s="155">
        <f t="shared" si="44"/>
        <v>0</v>
      </c>
      <c r="I61" s="155">
        <f t="shared" si="44"/>
        <v>0</v>
      </c>
      <c r="J61" s="155">
        <f t="shared" si="44"/>
        <v>0</v>
      </c>
      <c r="K61" s="155">
        <f t="shared" si="44"/>
        <v>0</v>
      </c>
      <c r="L61" s="155">
        <f t="shared" si="44"/>
        <v>0</v>
      </c>
      <c r="M61" s="155">
        <f t="shared" si="44"/>
        <v>0</v>
      </c>
      <c r="N61" s="155">
        <f t="shared" si="44"/>
        <v>0</v>
      </c>
      <c r="O61" s="155">
        <f t="shared" si="44"/>
        <v>0</v>
      </c>
      <c r="P61" s="155">
        <f t="shared" si="44"/>
        <v>0</v>
      </c>
      <c r="Q61" s="155">
        <f t="shared" si="44"/>
        <v>0</v>
      </c>
      <c r="R61" s="155">
        <f t="shared" si="44"/>
        <v>0</v>
      </c>
      <c r="S61" s="155">
        <f t="shared" si="44"/>
        <v>0</v>
      </c>
      <c r="T61" s="155">
        <f t="shared" si="44"/>
        <v>29.297340000000002</v>
      </c>
      <c r="U61" s="155">
        <f t="shared" si="44"/>
        <v>29.297340000000002</v>
      </c>
      <c r="V61" s="155">
        <f t="shared" si="44"/>
        <v>29.297340000000002</v>
      </c>
      <c r="W61" s="155">
        <f t="shared" si="44"/>
        <v>29.297340000000002</v>
      </c>
      <c r="X61" s="155">
        <f t="shared" si="44"/>
        <v>31.055180400000001</v>
      </c>
      <c r="Y61" s="155">
        <f t="shared" si="44"/>
        <v>31.055180400000001</v>
      </c>
      <c r="Z61" s="155">
        <f t="shared" si="44"/>
        <v>31.055180400000001</v>
      </c>
      <c r="AA61" s="155">
        <f t="shared" si="44"/>
        <v>31.055180400000001</v>
      </c>
      <c r="AB61" s="155">
        <f t="shared" si="44"/>
        <v>32.918491224000007</v>
      </c>
      <c r="AC61" s="155">
        <f t="shared" si="44"/>
        <v>32.918491224000007</v>
      </c>
      <c r="AD61" s="155">
        <f t="shared" si="44"/>
        <v>32.918491224000007</v>
      </c>
      <c r="AE61" s="155">
        <f t="shared" si="44"/>
        <v>32.918491224000007</v>
      </c>
      <c r="AF61" s="155">
        <f t="shared" si="44"/>
        <v>34.829285833440004</v>
      </c>
      <c r="AG61" s="155">
        <f t="shared" si="44"/>
        <v>34.829285833440004</v>
      </c>
      <c r="AH61" s="155">
        <f t="shared" si="44"/>
        <v>34.829285833440004</v>
      </c>
      <c r="AI61" s="155">
        <f t="shared" si="44"/>
        <v>34.829285833440004</v>
      </c>
      <c r="AJ61" s="155">
        <f t="shared" si="44"/>
        <v>36.919042983446403</v>
      </c>
      <c r="AK61" s="155">
        <f t="shared" si="44"/>
        <v>36.919042983446403</v>
      </c>
      <c r="AL61" s="155">
        <f t="shared" si="44"/>
        <v>36.919042983446403</v>
      </c>
      <c r="AM61" s="155">
        <f t="shared" si="44"/>
        <v>36.919042983446403</v>
      </c>
      <c r="AN61" s="155">
        <f t="shared" si="44"/>
        <v>39.134185562453197</v>
      </c>
      <c r="AO61" s="155">
        <f t="shared" si="44"/>
        <v>39.134185562453197</v>
      </c>
      <c r="AP61" s="155">
        <f t="shared" si="44"/>
        <v>39.134185562453197</v>
      </c>
      <c r="AQ61" s="155">
        <f t="shared" si="44"/>
        <v>39.134185562453197</v>
      </c>
      <c r="AR61" s="155">
        <f t="shared" si="44"/>
        <v>41.482236696200388</v>
      </c>
      <c r="AS61" s="155">
        <f t="shared" si="44"/>
        <v>41.482236696200388</v>
      </c>
      <c r="AT61" s="155">
        <f t="shared" si="44"/>
        <v>41.482236696200388</v>
      </c>
      <c r="AU61" s="155">
        <f t="shared" si="44"/>
        <v>41.482236696200388</v>
      </c>
    </row>
    <row r="62" spans="1:59">
      <c r="A62" s="152" t="s">
        <v>166</v>
      </c>
      <c r="B62" s="156">
        <f>SUM(B64:B66)</f>
        <v>0.3</v>
      </c>
      <c r="C62" s="154"/>
      <c r="D62" s="152">
        <f>D51</f>
        <v>0</v>
      </c>
      <c r="E62" s="152">
        <f t="shared" ref="E62:AI62" si="45">E51</f>
        <v>0</v>
      </c>
      <c r="F62" s="152">
        <f t="shared" si="45"/>
        <v>0</v>
      </c>
      <c r="G62" s="152">
        <f t="shared" si="45"/>
        <v>0</v>
      </c>
      <c r="H62" s="155">
        <f t="shared" si="45"/>
        <v>0</v>
      </c>
      <c r="I62" s="155">
        <f t="shared" si="45"/>
        <v>0</v>
      </c>
      <c r="J62" s="155">
        <f t="shared" si="45"/>
        <v>0</v>
      </c>
      <c r="K62" s="155">
        <f t="shared" si="45"/>
        <v>0</v>
      </c>
      <c r="L62" s="155">
        <f t="shared" si="45"/>
        <v>0</v>
      </c>
      <c r="M62" s="155">
        <f t="shared" si="45"/>
        <v>0</v>
      </c>
      <c r="N62" s="155">
        <f t="shared" si="45"/>
        <v>0</v>
      </c>
      <c r="O62" s="155">
        <f t="shared" si="45"/>
        <v>0</v>
      </c>
      <c r="P62" s="155">
        <f t="shared" si="45"/>
        <v>0</v>
      </c>
      <c r="Q62" s="155">
        <f t="shared" si="45"/>
        <v>0</v>
      </c>
      <c r="R62" s="155">
        <f t="shared" si="45"/>
        <v>0</v>
      </c>
      <c r="S62" s="155">
        <f t="shared" si="45"/>
        <v>0</v>
      </c>
      <c r="T62" s="155">
        <f t="shared" si="45"/>
        <v>2929.7340000000004</v>
      </c>
      <c r="U62" s="155">
        <f t="shared" si="45"/>
        <v>2929.7340000000004</v>
      </c>
      <c r="V62" s="155">
        <f t="shared" si="45"/>
        <v>2929.7340000000004</v>
      </c>
      <c r="W62" s="155">
        <f t="shared" si="45"/>
        <v>2929.7340000000004</v>
      </c>
      <c r="X62" s="155">
        <f t="shared" si="45"/>
        <v>3105.5180399999999</v>
      </c>
      <c r="Y62" s="155">
        <f t="shared" si="45"/>
        <v>3105.5180399999999</v>
      </c>
      <c r="Z62" s="155">
        <f t="shared" si="45"/>
        <v>3105.5180399999999</v>
      </c>
      <c r="AA62" s="155">
        <f t="shared" si="45"/>
        <v>3105.5180399999999</v>
      </c>
      <c r="AB62" s="155">
        <f t="shared" si="45"/>
        <v>3291.8491223999999</v>
      </c>
      <c r="AC62" s="155">
        <f t="shared" si="45"/>
        <v>3291.8491223999999</v>
      </c>
      <c r="AD62" s="155">
        <f t="shared" si="45"/>
        <v>3291.8491223999999</v>
      </c>
      <c r="AE62" s="155">
        <f t="shared" si="45"/>
        <v>3291.8491223999999</v>
      </c>
      <c r="AF62" s="155">
        <f t="shared" si="45"/>
        <v>3482.9285833440008</v>
      </c>
      <c r="AG62" s="155">
        <f t="shared" si="45"/>
        <v>3482.9285833440008</v>
      </c>
      <c r="AH62" s="155">
        <f t="shared" si="45"/>
        <v>3482.9285833440008</v>
      </c>
      <c r="AI62" s="155">
        <f t="shared" si="45"/>
        <v>3482.9285833440008</v>
      </c>
      <c r="AJ62" s="155">
        <f>AJ51</f>
        <v>3691.9042983446402</v>
      </c>
      <c r="AK62" s="155">
        <f t="shared" ref="AK62:AU62" si="46">AK51</f>
        <v>3691.9042983446402</v>
      </c>
      <c r="AL62" s="155">
        <f t="shared" si="46"/>
        <v>3691.9042983446402</v>
      </c>
      <c r="AM62" s="155">
        <f t="shared" si="46"/>
        <v>3691.9042983446402</v>
      </c>
      <c r="AN62" s="155">
        <f t="shared" si="46"/>
        <v>3913.4185562453195</v>
      </c>
      <c r="AO62" s="155">
        <f t="shared" si="46"/>
        <v>3913.4185562453195</v>
      </c>
      <c r="AP62" s="155">
        <f t="shared" si="46"/>
        <v>3913.4185562453195</v>
      </c>
      <c r="AQ62" s="155">
        <f t="shared" si="46"/>
        <v>3913.4185562453195</v>
      </c>
      <c r="AR62" s="155">
        <f t="shared" si="46"/>
        <v>4148.2236696200389</v>
      </c>
      <c r="AS62" s="155">
        <f t="shared" si="46"/>
        <v>4148.2236696200389</v>
      </c>
      <c r="AT62" s="155">
        <f t="shared" si="46"/>
        <v>4148.2236696200389</v>
      </c>
      <c r="AU62" s="155">
        <f t="shared" si="46"/>
        <v>4148.2236696200389</v>
      </c>
    </row>
    <row r="63" spans="1:59">
      <c r="A63" s="152" t="s">
        <v>167</v>
      </c>
      <c r="B63" s="152"/>
      <c r="C63" s="154" t="s">
        <v>183</v>
      </c>
      <c r="D63" s="152">
        <f>SUM(D64:D66)</f>
        <v>0</v>
      </c>
      <c r="E63" s="152">
        <f t="shared" ref="E63:AL63" si="47">SUM(E64:E66)</f>
        <v>0</v>
      </c>
      <c r="F63" s="152">
        <f t="shared" si="47"/>
        <v>0</v>
      </c>
      <c r="G63" s="152">
        <f t="shared" si="47"/>
        <v>0</v>
      </c>
      <c r="H63" s="155">
        <f t="shared" si="47"/>
        <v>0</v>
      </c>
      <c r="I63" s="155">
        <f t="shared" si="47"/>
        <v>0</v>
      </c>
      <c r="J63" s="155">
        <f t="shared" si="47"/>
        <v>0</v>
      </c>
      <c r="K63" s="155">
        <f t="shared" si="47"/>
        <v>0</v>
      </c>
      <c r="L63" s="155">
        <f t="shared" si="47"/>
        <v>0</v>
      </c>
      <c r="M63" s="155">
        <f t="shared" si="47"/>
        <v>0</v>
      </c>
      <c r="N63" s="155">
        <f t="shared" si="47"/>
        <v>0</v>
      </c>
      <c r="O63" s="155">
        <f t="shared" si="47"/>
        <v>0</v>
      </c>
      <c r="P63" s="155">
        <f t="shared" si="47"/>
        <v>0</v>
      </c>
      <c r="Q63" s="155">
        <f t="shared" si="47"/>
        <v>0</v>
      </c>
      <c r="R63" s="155">
        <f t="shared" si="47"/>
        <v>0</v>
      </c>
      <c r="S63" s="155">
        <f t="shared" si="47"/>
        <v>0</v>
      </c>
      <c r="T63" s="155">
        <f t="shared" si="47"/>
        <v>2929.7340000000004</v>
      </c>
      <c r="U63" s="155">
        <f t="shared" si="47"/>
        <v>2929.7340000000004</v>
      </c>
      <c r="V63" s="155">
        <f t="shared" si="47"/>
        <v>2929.7340000000004</v>
      </c>
      <c r="W63" s="155">
        <f t="shared" si="47"/>
        <v>2929.7340000000004</v>
      </c>
      <c r="X63" s="155">
        <f t="shared" si="47"/>
        <v>3105.5180399999999</v>
      </c>
      <c r="Y63" s="155">
        <f t="shared" si="47"/>
        <v>3105.5180399999999</v>
      </c>
      <c r="Z63" s="155">
        <f t="shared" si="47"/>
        <v>3105.5180399999999</v>
      </c>
      <c r="AA63" s="155">
        <f t="shared" si="47"/>
        <v>3105.5180399999999</v>
      </c>
      <c r="AB63" s="155">
        <f t="shared" si="47"/>
        <v>3291.8491224000004</v>
      </c>
      <c r="AC63" s="155">
        <f t="shared" si="47"/>
        <v>3291.8491224000004</v>
      </c>
      <c r="AD63" s="155">
        <f t="shared" si="47"/>
        <v>3291.8491224000004</v>
      </c>
      <c r="AE63" s="155">
        <f t="shared" si="47"/>
        <v>3291.8491224000004</v>
      </c>
      <c r="AF63" s="155">
        <f t="shared" si="47"/>
        <v>3482.9285833440008</v>
      </c>
      <c r="AG63" s="155">
        <f t="shared" si="47"/>
        <v>3482.9285833440008</v>
      </c>
      <c r="AH63" s="155">
        <f t="shared" si="47"/>
        <v>3482.9285833440008</v>
      </c>
      <c r="AI63" s="155">
        <f t="shared" si="47"/>
        <v>3482.9285833440008</v>
      </c>
      <c r="AJ63" s="157">
        <f t="shared" si="47"/>
        <v>3691.9042983446402</v>
      </c>
      <c r="AK63" s="157">
        <f t="shared" si="47"/>
        <v>3691.9042983446402</v>
      </c>
      <c r="AL63" s="157">
        <f t="shared" si="47"/>
        <v>3691.9042983446402</v>
      </c>
      <c r="AM63" s="157">
        <f>SUM(AM64:AM66)</f>
        <v>3691.9042983446402</v>
      </c>
      <c r="AN63" s="157">
        <f>SUM(AN64:AN66)</f>
        <v>3913.4185562453195</v>
      </c>
      <c r="AO63" s="157">
        <f t="shared" ref="AO63:AU63" si="48">SUM(AO64:AO66)</f>
        <v>3913.4185562453195</v>
      </c>
      <c r="AP63" s="157">
        <f t="shared" si="48"/>
        <v>3913.4185562453195</v>
      </c>
      <c r="AQ63" s="157">
        <f t="shared" si="48"/>
        <v>3913.4185562453195</v>
      </c>
      <c r="AR63" s="157">
        <f t="shared" si="48"/>
        <v>4148.2236696200389</v>
      </c>
      <c r="AS63" s="157">
        <f t="shared" si="48"/>
        <v>4148.2236696200389</v>
      </c>
      <c r="AT63" s="157">
        <f t="shared" si="48"/>
        <v>4148.2236696200389</v>
      </c>
      <c r="AU63" s="157">
        <f t="shared" si="48"/>
        <v>4148.2236696200389</v>
      </c>
    </row>
    <row r="64" spans="1:59">
      <c r="A64" s="152" t="s">
        <v>184</v>
      </c>
      <c r="B64" s="158">
        <v>0.22</v>
      </c>
      <c r="C64" s="154"/>
      <c r="D64" s="152">
        <f>D49*$B$64</f>
        <v>0</v>
      </c>
      <c r="E64" s="152">
        <f t="shared" ref="E64:AU64" si="49">E49*$B$64</f>
        <v>0</v>
      </c>
      <c r="F64" s="152">
        <f t="shared" si="49"/>
        <v>0</v>
      </c>
      <c r="G64" s="152">
        <f t="shared" si="49"/>
        <v>0</v>
      </c>
      <c r="H64" s="152">
        <f t="shared" si="49"/>
        <v>0</v>
      </c>
      <c r="I64" s="152">
        <f t="shared" si="49"/>
        <v>0</v>
      </c>
      <c r="J64" s="152">
        <f t="shared" si="49"/>
        <v>0</v>
      </c>
      <c r="K64" s="152">
        <f t="shared" si="49"/>
        <v>0</v>
      </c>
      <c r="L64" s="152">
        <f t="shared" si="49"/>
        <v>0</v>
      </c>
      <c r="M64" s="152">
        <f t="shared" si="49"/>
        <v>0</v>
      </c>
      <c r="N64" s="152">
        <f t="shared" si="49"/>
        <v>0</v>
      </c>
      <c r="O64" s="152">
        <f t="shared" si="49"/>
        <v>0</v>
      </c>
      <c r="P64" s="152">
        <f t="shared" si="49"/>
        <v>0</v>
      </c>
      <c r="Q64" s="152">
        <f t="shared" si="49"/>
        <v>0</v>
      </c>
      <c r="R64" s="152">
        <f t="shared" si="49"/>
        <v>0</v>
      </c>
      <c r="S64" s="152">
        <f t="shared" si="49"/>
        <v>0</v>
      </c>
      <c r="T64" s="155">
        <f t="shared" si="49"/>
        <v>2148.4716000000003</v>
      </c>
      <c r="U64" s="155">
        <f t="shared" si="49"/>
        <v>2148.4716000000003</v>
      </c>
      <c r="V64" s="155">
        <f t="shared" si="49"/>
        <v>2148.4716000000003</v>
      </c>
      <c r="W64" s="155">
        <f t="shared" si="49"/>
        <v>2148.4716000000003</v>
      </c>
      <c r="X64" s="155">
        <f t="shared" si="49"/>
        <v>2277.3798959999999</v>
      </c>
      <c r="Y64" s="155">
        <f t="shared" si="49"/>
        <v>2277.3798959999999</v>
      </c>
      <c r="Z64" s="155">
        <f t="shared" si="49"/>
        <v>2277.3798959999999</v>
      </c>
      <c r="AA64" s="155">
        <f t="shared" si="49"/>
        <v>2277.3798959999999</v>
      </c>
      <c r="AB64" s="155">
        <f t="shared" si="49"/>
        <v>2414.0226897600005</v>
      </c>
      <c r="AC64" s="155">
        <f t="shared" si="49"/>
        <v>2414.0226897600005</v>
      </c>
      <c r="AD64" s="155">
        <f t="shared" si="49"/>
        <v>2414.0226897600005</v>
      </c>
      <c r="AE64" s="155">
        <f t="shared" si="49"/>
        <v>2414.0226897600005</v>
      </c>
      <c r="AF64" s="155">
        <f t="shared" si="49"/>
        <v>2554.1476277856004</v>
      </c>
      <c r="AG64" s="155">
        <f t="shared" si="49"/>
        <v>2554.1476277856004</v>
      </c>
      <c r="AH64" s="155">
        <f t="shared" si="49"/>
        <v>2554.1476277856004</v>
      </c>
      <c r="AI64" s="155">
        <f t="shared" si="49"/>
        <v>2554.1476277856004</v>
      </c>
      <c r="AJ64" s="155">
        <f t="shared" si="49"/>
        <v>2707.3964854527362</v>
      </c>
      <c r="AK64" s="155">
        <f t="shared" si="49"/>
        <v>2707.3964854527362</v>
      </c>
      <c r="AL64" s="155">
        <f t="shared" si="49"/>
        <v>2707.3964854527362</v>
      </c>
      <c r="AM64" s="155">
        <f t="shared" si="49"/>
        <v>2707.3964854527362</v>
      </c>
      <c r="AN64" s="155">
        <f t="shared" si="49"/>
        <v>2869.8402745799012</v>
      </c>
      <c r="AO64" s="155">
        <f t="shared" si="49"/>
        <v>2869.8402745799012</v>
      </c>
      <c r="AP64" s="155">
        <f t="shared" si="49"/>
        <v>2869.8402745799012</v>
      </c>
      <c r="AQ64" s="155">
        <f t="shared" si="49"/>
        <v>2869.8402745799012</v>
      </c>
      <c r="AR64" s="155">
        <f t="shared" si="49"/>
        <v>3042.0306910546956</v>
      </c>
      <c r="AS64" s="155">
        <f t="shared" si="49"/>
        <v>3042.0306910546956</v>
      </c>
      <c r="AT64" s="155">
        <f t="shared" si="49"/>
        <v>3042.0306910546956</v>
      </c>
      <c r="AU64" s="155">
        <f t="shared" si="49"/>
        <v>3042.0306910546956</v>
      </c>
    </row>
    <row r="65" spans="1:47" ht="43.2">
      <c r="A65" s="152" t="s">
        <v>185</v>
      </c>
      <c r="B65" s="153">
        <v>2.9000000000000001E-2</v>
      </c>
      <c r="C65" s="154"/>
      <c r="D65" s="152">
        <f>D49*$B$65</f>
        <v>0</v>
      </c>
      <c r="E65" s="152">
        <f t="shared" ref="E65:AU65" si="50">E49*$B$65</f>
        <v>0</v>
      </c>
      <c r="F65" s="152">
        <f t="shared" si="50"/>
        <v>0</v>
      </c>
      <c r="G65" s="152">
        <f t="shared" si="50"/>
        <v>0</v>
      </c>
      <c r="H65" s="152">
        <f t="shared" si="50"/>
        <v>0</v>
      </c>
      <c r="I65" s="152">
        <f t="shared" si="50"/>
        <v>0</v>
      </c>
      <c r="J65" s="152">
        <f t="shared" si="50"/>
        <v>0</v>
      </c>
      <c r="K65" s="152">
        <f t="shared" si="50"/>
        <v>0</v>
      </c>
      <c r="L65" s="152">
        <f t="shared" si="50"/>
        <v>0</v>
      </c>
      <c r="M65" s="152">
        <f t="shared" si="50"/>
        <v>0</v>
      </c>
      <c r="N65" s="152">
        <f t="shared" si="50"/>
        <v>0</v>
      </c>
      <c r="O65" s="152">
        <f t="shared" si="50"/>
        <v>0</v>
      </c>
      <c r="P65" s="152">
        <f t="shared" si="50"/>
        <v>0</v>
      </c>
      <c r="Q65" s="152">
        <f t="shared" si="50"/>
        <v>0</v>
      </c>
      <c r="R65" s="152">
        <f t="shared" si="50"/>
        <v>0</v>
      </c>
      <c r="S65" s="152">
        <f t="shared" si="50"/>
        <v>0</v>
      </c>
      <c r="T65" s="155">
        <f t="shared" si="50"/>
        <v>283.20762000000002</v>
      </c>
      <c r="U65" s="155">
        <f t="shared" si="50"/>
        <v>283.20762000000002</v>
      </c>
      <c r="V65" s="155">
        <f t="shared" si="50"/>
        <v>283.20762000000002</v>
      </c>
      <c r="W65" s="155">
        <f t="shared" si="50"/>
        <v>283.20762000000002</v>
      </c>
      <c r="X65" s="155">
        <f t="shared" si="50"/>
        <v>300.20007720000001</v>
      </c>
      <c r="Y65" s="155">
        <f t="shared" si="50"/>
        <v>300.20007720000001</v>
      </c>
      <c r="Z65" s="155">
        <f t="shared" si="50"/>
        <v>300.20007720000001</v>
      </c>
      <c r="AA65" s="155">
        <f t="shared" si="50"/>
        <v>300.20007720000001</v>
      </c>
      <c r="AB65" s="155">
        <f t="shared" si="50"/>
        <v>318.21208183200008</v>
      </c>
      <c r="AC65" s="155">
        <f t="shared" si="50"/>
        <v>318.21208183200008</v>
      </c>
      <c r="AD65" s="155">
        <f t="shared" si="50"/>
        <v>318.21208183200008</v>
      </c>
      <c r="AE65" s="155">
        <f t="shared" si="50"/>
        <v>318.21208183200008</v>
      </c>
      <c r="AF65" s="155">
        <f t="shared" si="50"/>
        <v>336.68309638992008</v>
      </c>
      <c r="AG65" s="155">
        <f t="shared" si="50"/>
        <v>336.68309638992008</v>
      </c>
      <c r="AH65" s="155">
        <f t="shared" si="50"/>
        <v>336.68309638992008</v>
      </c>
      <c r="AI65" s="155">
        <f t="shared" si="50"/>
        <v>336.68309638992008</v>
      </c>
      <c r="AJ65" s="155">
        <f t="shared" si="50"/>
        <v>356.88408217331522</v>
      </c>
      <c r="AK65" s="155">
        <f t="shared" si="50"/>
        <v>356.88408217331522</v>
      </c>
      <c r="AL65" s="155">
        <f t="shared" si="50"/>
        <v>356.88408217331522</v>
      </c>
      <c r="AM65" s="155">
        <f t="shared" si="50"/>
        <v>356.88408217331522</v>
      </c>
      <c r="AN65" s="155">
        <f t="shared" si="50"/>
        <v>378.29712710371427</v>
      </c>
      <c r="AO65" s="155">
        <f t="shared" si="50"/>
        <v>378.29712710371427</v>
      </c>
      <c r="AP65" s="155">
        <f t="shared" si="50"/>
        <v>378.29712710371427</v>
      </c>
      <c r="AQ65" s="155">
        <f t="shared" si="50"/>
        <v>378.29712710371427</v>
      </c>
      <c r="AR65" s="155">
        <f t="shared" si="50"/>
        <v>400.99495472993715</v>
      </c>
      <c r="AS65" s="155">
        <f t="shared" si="50"/>
        <v>400.99495472993715</v>
      </c>
      <c r="AT65" s="155">
        <f t="shared" si="50"/>
        <v>400.99495472993715</v>
      </c>
      <c r="AU65" s="155">
        <f t="shared" si="50"/>
        <v>400.99495472993715</v>
      </c>
    </row>
    <row r="66" spans="1:47" ht="28.8">
      <c r="A66" s="152" t="s">
        <v>186</v>
      </c>
      <c r="B66" s="153">
        <v>5.0999999999999997E-2</v>
      </c>
      <c r="C66" s="154"/>
      <c r="D66" s="152">
        <f>D49*$B$66</f>
        <v>0</v>
      </c>
      <c r="E66" s="152">
        <f t="shared" ref="E66:AU66" si="51">E49*$B$66</f>
        <v>0</v>
      </c>
      <c r="F66" s="152">
        <f t="shared" si="51"/>
        <v>0</v>
      </c>
      <c r="G66" s="152">
        <f t="shared" si="51"/>
        <v>0</v>
      </c>
      <c r="H66" s="152">
        <f t="shared" si="51"/>
        <v>0</v>
      </c>
      <c r="I66" s="152">
        <f t="shared" si="51"/>
        <v>0</v>
      </c>
      <c r="J66" s="152">
        <f t="shared" si="51"/>
        <v>0</v>
      </c>
      <c r="K66" s="152">
        <f t="shared" si="51"/>
        <v>0</v>
      </c>
      <c r="L66" s="152">
        <f t="shared" si="51"/>
        <v>0</v>
      </c>
      <c r="M66" s="152">
        <f t="shared" si="51"/>
        <v>0</v>
      </c>
      <c r="N66" s="152">
        <f t="shared" si="51"/>
        <v>0</v>
      </c>
      <c r="O66" s="152">
        <f t="shared" si="51"/>
        <v>0</v>
      </c>
      <c r="P66" s="152">
        <f t="shared" si="51"/>
        <v>0</v>
      </c>
      <c r="Q66" s="152">
        <f t="shared" si="51"/>
        <v>0</v>
      </c>
      <c r="R66" s="152">
        <f t="shared" si="51"/>
        <v>0</v>
      </c>
      <c r="S66" s="152">
        <f t="shared" si="51"/>
        <v>0</v>
      </c>
      <c r="T66" s="155">
        <f t="shared" si="51"/>
        <v>498.05477999999999</v>
      </c>
      <c r="U66" s="155">
        <f t="shared" si="51"/>
        <v>498.05477999999999</v>
      </c>
      <c r="V66" s="155">
        <f t="shared" si="51"/>
        <v>498.05477999999999</v>
      </c>
      <c r="W66" s="155">
        <f t="shared" si="51"/>
        <v>498.05477999999999</v>
      </c>
      <c r="X66" s="155">
        <f t="shared" si="51"/>
        <v>527.9380668</v>
      </c>
      <c r="Y66" s="155">
        <f t="shared" si="51"/>
        <v>527.9380668</v>
      </c>
      <c r="Z66" s="155">
        <f t="shared" si="51"/>
        <v>527.9380668</v>
      </c>
      <c r="AA66" s="155">
        <f t="shared" si="51"/>
        <v>527.9380668</v>
      </c>
      <c r="AB66" s="155">
        <f t="shared" si="51"/>
        <v>559.61435080800004</v>
      </c>
      <c r="AC66" s="155">
        <f t="shared" si="51"/>
        <v>559.61435080800004</v>
      </c>
      <c r="AD66" s="155">
        <f t="shared" si="51"/>
        <v>559.61435080800004</v>
      </c>
      <c r="AE66" s="155">
        <f t="shared" si="51"/>
        <v>559.61435080800004</v>
      </c>
      <c r="AF66" s="155">
        <f t="shared" si="51"/>
        <v>592.09785916848011</v>
      </c>
      <c r="AG66" s="155">
        <f t="shared" si="51"/>
        <v>592.09785916848011</v>
      </c>
      <c r="AH66" s="155">
        <f t="shared" si="51"/>
        <v>592.09785916848011</v>
      </c>
      <c r="AI66" s="155">
        <f t="shared" si="51"/>
        <v>592.09785916848011</v>
      </c>
      <c r="AJ66" s="155">
        <f t="shared" si="51"/>
        <v>627.62373071858883</v>
      </c>
      <c r="AK66" s="155">
        <f t="shared" si="51"/>
        <v>627.62373071858883</v>
      </c>
      <c r="AL66" s="155">
        <f t="shared" si="51"/>
        <v>627.62373071858883</v>
      </c>
      <c r="AM66" s="155">
        <f t="shared" si="51"/>
        <v>627.62373071858883</v>
      </c>
      <c r="AN66" s="155">
        <f t="shared" si="51"/>
        <v>665.28115456170428</v>
      </c>
      <c r="AO66" s="155">
        <f t="shared" si="51"/>
        <v>665.28115456170428</v>
      </c>
      <c r="AP66" s="155">
        <f t="shared" si="51"/>
        <v>665.28115456170428</v>
      </c>
      <c r="AQ66" s="155">
        <f t="shared" si="51"/>
        <v>665.28115456170428</v>
      </c>
      <c r="AR66" s="155">
        <f t="shared" si="51"/>
        <v>705.19802383540662</v>
      </c>
      <c r="AS66" s="155">
        <f t="shared" si="51"/>
        <v>705.19802383540662</v>
      </c>
      <c r="AT66" s="155">
        <f t="shared" si="51"/>
        <v>705.19802383540662</v>
      </c>
      <c r="AU66" s="155">
        <f t="shared" si="51"/>
        <v>705.19802383540662</v>
      </c>
    </row>
    <row r="68" spans="1:47">
      <c r="A68" s="151" t="s">
        <v>163</v>
      </c>
      <c r="B68" s="119" t="str">
        <f>AW1</f>
        <v>1 год</v>
      </c>
      <c r="C68" s="119" t="str">
        <f t="shared" ref="C68:L68" si="52">AX1</f>
        <v>2 год</v>
      </c>
      <c r="D68" s="119" t="str">
        <f t="shared" si="52"/>
        <v>3 год</v>
      </c>
      <c r="E68" s="119" t="str">
        <f t="shared" si="52"/>
        <v>4 год</v>
      </c>
      <c r="F68" s="119" t="str">
        <f t="shared" si="52"/>
        <v>5 год</v>
      </c>
      <c r="G68" s="119" t="str">
        <f t="shared" si="52"/>
        <v>6 год</v>
      </c>
      <c r="H68" s="119" t="str">
        <f t="shared" si="52"/>
        <v>7 год</v>
      </c>
      <c r="I68" s="119" t="str">
        <f t="shared" si="52"/>
        <v>8 год</v>
      </c>
      <c r="J68" s="119" t="str">
        <f t="shared" si="52"/>
        <v>9 год</v>
      </c>
      <c r="K68" s="119" t="str">
        <f t="shared" si="52"/>
        <v>10 год</v>
      </c>
      <c r="L68" s="119" t="str">
        <f t="shared" si="52"/>
        <v>11 год</v>
      </c>
    </row>
    <row r="69" spans="1:47">
      <c r="A69" s="152" t="s">
        <v>187</v>
      </c>
      <c r="B69" s="159">
        <f t="shared" ref="B69:B74" si="53">SUM(D61:G61)</f>
        <v>0</v>
      </c>
      <c r="C69" s="159">
        <f t="shared" ref="C69:C74" si="54">SUM(H61:K61)</f>
        <v>0</v>
      </c>
      <c r="D69" s="160">
        <f t="shared" ref="D69:D74" si="55">SUM(L61:O61)</f>
        <v>0</v>
      </c>
      <c r="E69" s="159">
        <f t="shared" ref="E69:E74" si="56">SUM(P61:S61)</f>
        <v>0</v>
      </c>
      <c r="F69" s="159">
        <f t="shared" ref="F69:F74" si="57">SUM(T61:W61)</f>
        <v>117.18936000000001</v>
      </c>
      <c r="G69" s="159">
        <f t="shared" ref="G69:G74" si="58">SUM(X61:AA61)</f>
        <v>124.2207216</v>
      </c>
      <c r="H69" s="159">
        <f t="shared" ref="H69:H74" si="59">SUM(AB61:AE61)</f>
        <v>131.67396489600003</v>
      </c>
      <c r="I69" s="159">
        <f t="shared" ref="I69:I74" si="60">SUM(AF61:AI61)</f>
        <v>139.31714333376001</v>
      </c>
      <c r="J69" s="159">
        <f>SUM(AJ61:AM61)</f>
        <v>147.67617193378561</v>
      </c>
      <c r="K69" s="159">
        <f>SUM(AN61:AQ61)</f>
        <v>156.53674224981279</v>
      </c>
      <c r="L69" s="159">
        <f>SUM(AR61:AU61)</f>
        <v>165.92894678480155</v>
      </c>
    </row>
    <row r="70" spans="1:47">
      <c r="A70" s="152" t="s">
        <v>166</v>
      </c>
      <c r="B70" s="159">
        <f t="shared" si="53"/>
        <v>0</v>
      </c>
      <c r="C70" s="159">
        <f t="shared" si="54"/>
        <v>0</v>
      </c>
      <c r="D70" s="160">
        <f t="shared" si="55"/>
        <v>0</v>
      </c>
      <c r="E70" s="159">
        <f t="shared" si="56"/>
        <v>0</v>
      </c>
      <c r="F70" s="159">
        <f t="shared" si="57"/>
        <v>11718.936000000002</v>
      </c>
      <c r="G70" s="159">
        <f t="shared" si="58"/>
        <v>12422.07216</v>
      </c>
      <c r="H70" s="159">
        <f t="shared" si="59"/>
        <v>13167.3964896</v>
      </c>
      <c r="I70" s="159">
        <f t="shared" si="60"/>
        <v>13931.714333376003</v>
      </c>
      <c r="J70" s="159">
        <f>SUM(J72:J74)</f>
        <v>14767.617193378561</v>
      </c>
      <c r="K70" s="159">
        <f>SUM(K72:K74)</f>
        <v>15653.674224981278</v>
      </c>
      <c r="L70" s="159">
        <f t="shared" ref="L70:L74" si="61">SUM(AR62:AU62)</f>
        <v>16592.894678480156</v>
      </c>
    </row>
    <row r="71" spans="1:47">
      <c r="A71" s="152" t="s">
        <v>167</v>
      </c>
      <c r="B71" s="159"/>
      <c r="C71" s="159"/>
      <c r="D71" s="160"/>
      <c r="E71" s="159"/>
      <c r="F71" s="159"/>
      <c r="G71" s="159"/>
      <c r="H71" s="159"/>
      <c r="I71" s="159"/>
      <c r="J71" s="159"/>
      <c r="K71" s="159"/>
      <c r="L71" s="159"/>
    </row>
    <row r="72" spans="1:47">
      <c r="A72" s="152" t="s">
        <v>188</v>
      </c>
      <c r="B72" s="159">
        <f t="shared" si="53"/>
        <v>0</v>
      </c>
      <c r="C72" s="159">
        <f t="shared" si="54"/>
        <v>0</v>
      </c>
      <c r="D72" s="160">
        <f t="shared" si="55"/>
        <v>0</v>
      </c>
      <c r="E72" s="159">
        <f t="shared" si="56"/>
        <v>0</v>
      </c>
      <c r="F72" s="159">
        <f t="shared" si="57"/>
        <v>8593.8864000000012</v>
      </c>
      <c r="G72" s="159">
        <f t="shared" si="58"/>
        <v>9109.5195839999997</v>
      </c>
      <c r="H72" s="159">
        <f t="shared" si="59"/>
        <v>9656.090759040002</v>
      </c>
      <c r="I72" s="159">
        <f t="shared" si="60"/>
        <v>10216.590511142402</v>
      </c>
      <c r="J72" s="159">
        <f t="shared" ref="J72:J74" si="62">SUM(AJ64:AM64)</f>
        <v>10829.585941810945</v>
      </c>
      <c r="K72" s="159">
        <f t="shared" ref="K72:K74" si="63">SUM(AN64:AQ64)</f>
        <v>11479.361098319605</v>
      </c>
      <c r="L72" s="159">
        <f t="shared" si="61"/>
        <v>12168.122764218782</v>
      </c>
    </row>
    <row r="73" spans="1:47" ht="43.2">
      <c r="A73" s="152" t="s">
        <v>189</v>
      </c>
      <c r="B73" s="159">
        <f t="shared" si="53"/>
        <v>0</v>
      </c>
      <c r="C73" s="159">
        <f t="shared" si="54"/>
        <v>0</v>
      </c>
      <c r="D73" s="160">
        <f t="shared" si="55"/>
        <v>0</v>
      </c>
      <c r="E73" s="159">
        <f t="shared" si="56"/>
        <v>0</v>
      </c>
      <c r="F73" s="159">
        <f t="shared" si="57"/>
        <v>1132.8304800000001</v>
      </c>
      <c r="G73" s="159">
        <f t="shared" si="58"/>
        <v>1200.8003088</v>
      </c>
      <c r="H73" s="159">
        <f t="shared" si="59"/>
        <v>1272.8483273280003</v>
      </c>
      <c r="I73" s="159">
        <f t="shared" si="60"/>
        <v>1346.7323855596803</v>
      </c>
      <c r="J73" s="159">
        <f t="shared" si="62"/>
        <v>1427.5363286932609</v>
      </c>
      <c r="K73" s="159">
        <f t="shared" si="63"/>
        <v>1513.1885084148571</v>
      </c>
      <c r="L73" s="159">
        <f t="shared" si="61"/>
        <v>1603.9798189197486</v>
      </c>
    </row>
    <row r="74" spans="1:47" ht="28.8">
      <c r="A74" s="152" t="s">
        <v>190</v>
      </c>
      <c r="B74" s="159">
        <f t="shared" si="53"/>
        <v>0</v>
      </c>
      <c r="C74" s="159">
        <f t="shared" si="54"/>
        <v>0</v>
      </c>
      <c r="D74" s="160">
        <f t="shared" si="55"/>
        <v>0</v>
      </c>
      <c r="E74" s="159">
        <f t="shared" si="56"/>
        <v>0</v>
      </c>
      <c r="F74" s="159">
        <f t="shared" si="57"/>
        <v>1992.21912</v>
      </c>
      <c r="G74" s="159">
        <f t="shared" si="58"/>
        <v>2111.7522672</v>
      </c>
      <c r="H74" s="159">
        <f t="shared" si="59"/>
        <v>2238.4574032320002</v>
      </c>
      <c r="I74" s="159">
        <f t="shared" si="60"/>
        <v>2368.3914366739205</v>
      </c>
      <c r="J74" s="159">
        <f t="shared" si="62"/>
        <v>2510.4949228743553</v>
      </c>
      <c r="K74" s="159">
        <f t="shared" si="63"/>
        <v>2661.1246182468171</v>
      </c>
      <c r="L74" s="159">
        <f t="shared" si="61"/>
        <v>2820.7920953416265</v>
      </c>
      <c r="M74" s="152"/>
      <c r="N74" s="376" t="s">
        <v>191</v>
      </c>
    </row>
    <row r="75" spans="1:47">
      <c r="A75" s="159" t="s">
        <v>17</v>
      </c>
      <c r="B75" s="159">
        <f>B69+B70</f>
        <v>0</v>
      </c>
      <c r="C75" s="159">
        <f>C69+C70</f>
        <v>0</v>
      </c>
      <c r="D75" s="159">
        <f t="shared" ref="D75:L75" si="64">D69+D70</f>
        <v>0</v>
      </c>
      <c r="E75" s="159">
        <f t="shared" si="64"/>
        <v>0</v>
      </c>
      <c r="F75" s="159">
        <f t="shared" si="64"/>
        <v>11836.125360000002</v>
      </c>
      <c r="G75" s="159">
        <f t="shared" si="64"/>
        <v>12546.2928816</v>
      </c>
      <c r="H75" s="159">
        <f t="shared" si="64"/>
        <v>13299.070454495999</v>
      </c>
      <c r="I75" s="159">
        <f t="shared" si="64"/>
        <v>14071.031476709763</v>
      </c>
      <c r="J75" s="159">
        <f>J69+J70</f>
        <v>14915.293365312347</v>
      </c>
      <c r="K75" s="159">
        <f t="shared" si="64"/>
        <v>15810.210967231091</v>
      </c>
      <c r="L75" s="159">
        <f t="shared" si="64"/>
        <v>16758.823625264959</v>
      </c>
      <c r="M75" s="424" t="s">
        <v>385</v>
      </c>
      <c r="N75" s="165">
        <f>SUM(B75:K75)</f>
        <v>82478.024505349196</v>
      </c>
    </row>
    <row r="76" spans="1:47">
      <c r="M76" s="424" t="s">
        <v>386</v>
      </c>
      <c r="N76" s="165">
        <f>SUM('Расходы на ЗП ОТ'!B74:K74)</f>
        <v>82478.024505349196</v>
      </c>
    </row>
    <row r="77" spans="1:47">
      <c r="M77" s="152"/>
      <c r="N77" s="425">
        <f>N76-N75</f>
        <v>0</v>
      </c>
    </row>
  </sheetData>
  <pageMargins left="0.59055118110236249" right="0.59055118110236249" top="0.98425196850393704" bottom="0.39370078740157477" header="0" footer="0"/>
  <pageSetup paperSize="8" scale="63" firstPageNumber="2147483648" orientation="landscape"/>
  <legacy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Лист11">
    <tabColor theme="0"/>
  </sheetPr>
  <dimension ref="A1:AU54"/>
  <sheetViews>
    <sheetView zoomScale="60" zoomScaleNormal="60" workbookViewId="0">
      <pane xSplit="1" ySplit="1" topLeftCell="B32" activePane="bottomRight" state="frozen"/>
      <selection pane="topRight" activeCell="B1" sqref="B1"/>
      <selection pane="bottomLeft" activeCell="A2" sqref="A2"/>
      <selection pane="bottomRight" activeCell="F41" sqref="F41:K41"/>
    </sheetView>
  </sheetViews>
  <sheetFormatPr defaultColWidth="9.109375" defaultRowHeight="13.8"/>
  <cols>
    <col min="1" max="1" width="19.33203125" style="194" customWidth="1"/>
    <col min="2" max="2" width="12.88671875" style="222" customWidth="1"/>
    <col min="3" max="8" width="15" style="222" customWidth="1"/>
    <col min="9" max="16" width="15" style="193" customWidth="1"/>
    <col min="17" max="49" width="15.44140625" style="193" customWidth="1"/>
    <col min="50" max="16384" width="9.109375" style="193"/>
  </cols>
  <sheetData>
    <row r="1" spans="1:45" s="334" customFormat="1" ht="30.75" customHeight="1">
      <c r="A1" s="332" t="s">
        <v>244</v>
      </c>
      <c r="B1" s="333" t="str">
        <f>'выручка по кв и годам'!D1</f>
        <v>I кв. 1 г.</v>
      </c>
      <c r="C1" s="333" t="str">
        <f>'выручка по кв и годам'!E1</f>
        <v>II кв. 1 г.</v>
      </c>
      <c r="D1" s="333" t="str">
        <f>'выручка по кв и годам'!F1</f>
        <v>III кв. 1 г.</v>
      </c>
      <c r="E1" s="333" t="str">
        <f>'выручка по кв и годам'!G1</f>
        <v>IV кв. 1 г.</v>
      </c>
      <c r="F1" s="333" t="str">
        <f>'выручка по кв и годам'!H1</f>
        <v>I кв. 2 г.</v>
      </c>
      <c r="G1" s="333" t="str">
        <f>'выручка по кв и годам'!I1</f>
        <v>II кв. 2 г.</v>
      </c>
      <c r="H1" s="333" t="str">
        <f>'выручка по кв и годам'!J1</f>
        <v>III кв. 2 г.</v>
      </c>
      <c r="I1" s="333" t="str">
        <f>'выручка по кв и годам'!K1</f>
        <v>IV кв. 2 г.</v>
      </c>
      <c r="J1" s="333" t="str">
        <f>'выручка по кв и годам'!L1</f>
        <v>I кв. 3 г.</v>
      </c>
      <c r="K1" s="333" t="str">
        <f>'выручка по кв и годам'!M1</f>
        <v>II кв. 3 г.</v>
      </c>
      <c r="L1" s="333" t="str">
        <f>'выручка по кв и годам'!N1</f>
        <v>III кв. 3 г.</v>
      </c>
      <c r="M1" s="333" t="str">
        <f>'выручка по кв и годам'!O1</f>
        <v>IV кв. 3 г.</v>
      </c>
      <c r="N1" s="333" t="str">
        <f>'выручка по кв и годам'!P1</f>
        <v>I кв. 4 г.</v>
      </c>
      <c r="O1" s="333" t="str">
        <f>'выручка по кв и годам'!Q1</f>
        <v>II кв. 4 г.</v>
      </c>
      <c r="P1" s="333" t="str">
        <f>'выручка по кв и годам'!R1</f>
        <v>III кв. 4 г.</v>
      </c>
      <c r="Q1" s="333" t="str">
        <f>'выручка по кв и годам'!S1</f>
        <v>IV кв. 4 г.</v>
      </c>
      <c r="R1" s="333" t="str">
        <f>'выручка по кв и годам'!T1</f>
        <v>I кв. 5 г.</v>
      </c>
      <c r="S1" s="333" t="str">
        <f>'выручка по кв и годам'!U1</f>
        <v>II кв. 5 г.</v>
      </c>
      <c r="T1" s="333" t="str">
        <f>'выручка по кв и годам'!V1</f>
        <v>III кв. 5 г.</v>
      </c>
      <c r="U1" s="333" t="str">
        <f>'выручка по кв и годам'!W1</f>
        <v>IV кв. 5 г.</v>
      </c>
      <c r="V1" s="333" t="str">
        <f>'выручка по кв и годам'!X1</f>
        <v>I кв. 6 г.</v>
      </c>
      <c r="W1" s="333" t="str">
        <f>'выручка по кв и годам'!Y1</f>
        <v>II кв. 6 г.</v>
      </c>
      <c r="X1" s="333" t="str">
        <f>'выручка по кв и годам'!Z1</f>
        <v>III кв. 6 г.</v>
      </c>
      <c r="Y1" s="333" t="str">
        <f>'выручка по кв и годам'!AA1</f>
        <v>IV кв. 6 г.</v>
      </c>
      <c r="Z1" s="333" t="str">
        <f>'выручка по кв и годам'!AB1</f>
        <v>I кв. 7 г.</v>
      </c>
      <c r="AA1" s="333" t="str">
        <f>'выручка по кв и годам'!AC1</f>
        <v>II кв. 7 г.</v>
      </c>
      <c r="AB1" s="333" t="str">
        <f>'выручка по кв и годам'!AD1</f>
        <v>III кв. 7 г.</v>
      </c>
      <c r="AC1" s="333" t="str">
        <f>'выручка по кв и годам'!AE1</f>
        <v>IV кв. 7 г.</v>
      </c>
      <c r="AD1" s="333" t="str">
        <f>'выручка по кв и годам'!AF1</f>
        <v>I кв. 8 г.</v>
      </c>
      <c r="AE1" s="333" t="str">
        <f>'выручка по кв и годам'!AG1</f>
        <v>II кв. 8 г.</v>
      </c>
      <c r="AF1" s="333" t="str">
        <f>'выручка по кв и годам'!AH1</f>
        <v>III кв. 8 г.</v>
      </c>
      <c r="AG1" s="333" t="str">
        <f>'выручка по кв и годам'!AI1</f>
        <v>IV кв. 8 г.</v>
      </c>
      <c r="AH1" s="333" t="str">
        <f>'выручка по кв и годам'!AJ1</f>
        <v>I кв. 9 г.</v>
      </c>
      <c r="AI1" s="333" t="str">
        <f>'выручка по кв и годам'!AK1</f>
        <v>II кв. 9 г.</v>
      </c>
      <c r="AJ1" s="333" t="str">
        <f>'выручка по кв и годам'!AL1</f>
        <v>III кв. 9 г.</v>
      </c>
      <c r="AK1" s="333" t="str">
        <f>'выручка по кв и годам'!AM1</f>
        <v>IV кв. 9 г.</v>
      </c>
      <c r="AL1" s="333" t="str">
        <f>'выручка по кв и годам'!AN1</f>
        <v>I кв. 10 г.</v>
      </c>
      <c r="AM1" s="333" t="str">
        <f>'выручка по кв и годам'!AO1</f>
        <v>II кв. 10 г.</v>
      </c>
      <c r="AN1" s="333" t="str">
        <f>'выручка по кв и годам'!AP1</f>
        <v>III кв. 10 г.</v>
      </c>
      <c r="AO1" s="333" t="str">
        <f>'выручка по кв и годам'!AQ1</f>
        <v>IV кв. 10 г.</v>
      </c>
      <c r="AP1" s="333" t="str">
        <f>'выручка по кв и годам'!AR1</f>
        <v>I кв. 11 г.</v>
      </c>
      <c r="AQ1" s="333" t="str">
        <f>'выручка по кв и годам'!AS1</f>
        <v>II кв. 11 г.</v>
      </c>
      <c r="AR1" s="333" t="str">
        <f>'выручка по кв и годам'!AT1</f>
        <v>III кв. 11 г.</v>
      </c>
      <c r="AS1" s="333" t="str">
        <f>'выручка по кв и годам'!AU1</f>
        <v>IV кв. 11 г.</v>
      </c>
    </row>
    <row r="2" spans="1:45" ht="28.8">
      <c r="A2" s="224" t="s">
        <v>245</v>
      </c>
      <c r="B2" s="67">
        <v>0</v>
      </c>
      <c r="C2" s="67">
        <v>0</v>
      </c>
      <c r="D2" s="501">
        <f>(допущения!C28*допущения!C30)/4</f>
        <v>1.35963908325</v>
      </c>
      <c r="E2" s="67">
        <f>D2</f>
        <v>1.35963908325</v>
      </c>
      <c r="F2" s="67">
        <f t="shared" ref="F2:AS2" si="0">E2</f>
        <v>1.35963908325</v>
      </c>
      <c r="G2" s="67">
        <f t="shared" si="0"/>
        <v>1.35963908325</v>
      </c>
      <c r="H2" s="67">
        <f t="shared" si="0"/>
        <v>1.35963908325</v>
      </c>
      <c r="I2" s="67">
        <f t="shared" si="0"/>
        <v>1.35963908325</v>
      </c>
      <c r="J2" s="67">
        <f t="shared" si="0"/>
        <v>1.35963908325</v>
      </c>
      <c r="K2" s="67">
        <f t="shared" si="0"/>
        <v>1.35963908325</v>
      </c>
      <c r="L2" s="67">
        <f t="shared" si="0"/>
        <v>1.35963908325</v>
      </c>
      <c r="M2" s="67">
        <f t="shared" si="0"/>
        <v>1.35963908325</v>
      </c>
      <c r="N2" s="67">
        <f t="shared" si="0"/>
        <v>1.35963908325</v>
      </c>
      <c r="O2" s="67">
        <f t="shared" si="0"/>
        <v>1.35963908325</v>
      </c>
      <c r="P2" s="67">
        <f t="shared" si="0"/>
        <v>1.35963908325</v>
      </c>
      <c r="Q2" s="67">
        <f t="shared" si="0"/>
        <v>1.35963908325</v>
      </c>
      <c r="R2" s="67">
        <f>Q2</f>
        <v>1.35963908325</v>
      </c>
      <c r="S2" s="67">
        <f t="shared" si="0"/>
        <v>1.35963908325</v>
      </c>
      <c r="T2" s="67">
        <f t="shared" si="0"/>
        <v>1.35963908325</v>
      </c>
      <c r="U2" s="67">
        <f t="shared" si="0"/>
        <v>1.35963908325</v>
      </c>
      <c r="V2" s="67">
        <f t="shared" si="0"/>
        <v>1.35963908325</v>
      </c>
      <c r="W2" s="67">
        <f t="shared" si="0"/>
        <v>1.35963908325</v>
      </c>
      <c r="X2" s="67">
        <f t="shared" si="0"/>
        <v>1.35963908325</v>
      </c>
      <c r="Y2" s="67">
        <f t="shared" si="0"/>
        <v>1.35963908325</v>
      </c>
      <c r="Z2" s="67">
        <f t="shared" si="0"/>
        <v>1.35963908325</v>
      </c>
      <c r="AA2" s="67">
        <f t="shared" si="0"/>
        <v>1.35963908325</v>
      </c>
      <c r="AB2" s="67">
        <f t="shared" si="0"/>
        <v>1.35963908325</v>
      </c>
      <c r="AC2" s="67">
        <f t="shared" si="0"/>
        <v>1.35963908325</v>
      </c>
      <c r="AD2" s="67">
        <f t="shared" si="0"/>
        <v>1.35963908325</v>
      </c>
      <c r="AE2" s="67">
        <f t="shared" si="0"/>
        <v>1.35963908325</v>
      </c>
      <c r="AF2" s="67">
        <f t="shared" si="0"/>
        <v>1.35963908325</v>
      </c>
      <c r="AG2" s="67">
        <f t="shared" si="0"/>
        <v>1.35963908325</v>
      </c>
      <c r="AH2" s="67">
        <f t="shared" si="0"/>
        <v>1.35963908325</v>
      </c>
      <c r="AI2" s="67">
        <f t="shared" si="0"/>
        <v>1.35963908325</v>
      </c>
      <c r="AJ2" s="67">
        <f t="shared" si="0"/>
        <v>1.35963908325</v>
      </c>
      <c r="AK2" s="67">
        <f t="shared" si="0"/>
        <v>1.35963908325</v>
      </c>
      <c r="AL2" s="67">
        <f t="shared" si="0"/>
        <v>1.35963908325</v>
      </c>
      <c r="AM2" s="67">
        <f t="shared" si="0"/>
        <v>1.35963908325</v>
      </c>
      <c r="AN2" s="67">
        <f t="shared" si="0"/>
        <v>1.35963908325</v>
      </c>
      <c r="AO2" s="67">
        <f t="shared" si="0"/>
        <v>1.35963908325</v>
      </c>
      <c r="AP2" s="67">
        <f t="shared" si="0"/>
        <v>1.35963908325</v>
      </c>
      <c r="AQ2" s="67">
        <f t="shared" si="0"/>
        <v>1.35963908325</v>
      </c>
      <c r="AR2" s="67">
        <f t="shared" si="0"/>
        <v>1.35963908325</v>
      </c>
      <c r="AS2" s="67">
        <f t="shared" si="0"/>
        <v>1.35963908325</v>
      </c>
    </row>
    <row r="3" spans="1:45" ht="56.25" customHeight="1">
      <c r="A3" s="530" t="s">
        <v>246</v>
      </c>
      <c r="B3" s="531"/>
      <c r="C3" s="225"/>
      <c r="D3" s="67"/>
      <c r="E3" s="67"/>
      <c r="F3" s="225"/>
      <c r="G3" s="225"/>
      <c r="H3" s="225"/>
      <c r="I3" s="225"/>
      <c r="J3" s="225"/>
      <c r="K3" s="225"/>
      <c r="L3" s="225"/>
      <c r="M3" s="225"/>
      <c r="N3" s="225"/>
      <c r="O3" s="225"/>
      <c r="P3" s="225"/>
      <c r="Q3" s="225"/>
      <c r="R3" s="225">
        <f>'Расходы на ЗП ТОР'!T54</f>
        <v>12724.81134</v>
      </c>
      <c r="S3" s="225">
        <f>'Расходы на ЗП ТОР'!U54</f>
        <v>12724.81134</v>
      </c>
      <c r="T3" s="225">
        <f>'Расходы на ЗП ТОР'!V54</f>
        <v>12724.81134</v>
      </c>
      <c r="U3" s="225">
        <f>'Расходы на ЗП ТОР'!W54</f>
        <v>12724.81134</v>
      </c>
      <c r="V3" s="225">
        <f>'Расходы на ЗП ТОР'!X54</f>
        <v>13488.3000204</v>
      </c>
      <c r="W3" s="225">
        <f>'Расходы на ЗП ТОР'!Y54</f>
        <v>13488.3000204</v>
      </c>
      <c r="X3" s="225">
        <f>'Расходы на ЗП ТОР'!Z54</f>
        <v>13488.3000204</v>
      </c>
      <c r="Y3" s="225">
        <f>'Расходы на ЗП ТОР'!AA54</f>
        <v>13488.3000204</v>
      </c>
      <c r="Z3" s="225">
        <f>'Расходы на ЗП ТОР'!AB54</f>
        <v>14297.598021624</v>
      </c>
      <c r="AA3" s="225">
        <f>'Расходы на ЗП ТОР'!AC54</f>
        <v>14297.598021624</v>
      </c>
      <c r="AB3" s="225">
        <f>'Расходы на ЗП ТОР'!AD54</f>
        <v>14297.598021624</v>
      </c>
      <c r="AC3" s="225">
        <f>'Расходы на ЗП ТОР'!AE54</f>
        <v>14297.598021624</v>
      </c>
      <c r="AD3" s="225">
        <f>'Расходы на ЗП ТОР'!AF54</f>
        <v>15127.519813657444</v>
      </c>
      <c r="AE3" s="225">
        <f>'Расходы на ЗП ТОР'!AG54</f>
        <v>15127.519813657444</v>
      </c>
      <c r="AF3" s="225">
        <f>'Расходы на ЗП ТОР'!AH54</f>
        <v>15127.519813657444</v>
      </c>
      <c r="AG3" s="225">
        <f>'Расходы на ЗП ТОР'!AI54</f>
        <v>15127.519813657444</v>
      </c>
      <c r="AH3" s="225">
        <f>'Расходы на ЗП ТОР'!AJ54</f>
        <v>16035.171002476887</v>
      </c>
      <c r="AI3" s="225">
        <f>'Расходы на ЗП ТОР'!AK54</f>
        <v>16035.171002476887</v>
      </c>
      <c r="AJ3" s="225">
        <f>'Расходы на ЗП ТОР'!AL54</f>
        <v>16035.171002476887</v>
      </c>
      <c r="AK3" s="225">
        <f>'Расходы на ЗП ТОР'!AM54</f>
        <v>16035.171002476887</v>
      </c>
      <c r="AL3" s="225">
        <f>'Расходы на ЗП ТОР'!AN54</f>
        <v>16997.281262625504</v>
      </c>
      <c r="AM3" s="225">
        <f>'Расходы на ЗП ТОР'!AO54</f>
        <v>16997.281262625504</v>
      </c>
      <c r="AN3" s="225">
        <f>'Расходы на ЗП ТОР'!AP54</f>
        <v>16997.281262625504</v>
      </c>
      <c r="AO3" s="225">
        <f>'Расходы на ЗП ТОР'!AQ54</f>
        <v>16997.281262625504</v>
      </c>
      <c r="AP3" s="225">
        <f>AN3</f>
        <v>16997.281262625504</v>
      </c>
      <c r="AQ3" s="225">
        <f t="shared" ref="AQ3:AS3" si="1">AO3</f>
        <v>16997.281262625504</v>
      </c>
      <c r="AR3" s="225">
        <f t="shared" si="1"/>
        <v>16997.281262625504</v>
      </c>
      <c r="AS3" s="225">
        <f t="shared" si="1"/>
        <v>16997.281262625504</v>
      </c>
    </row>
    <row r="4" spans="1:45" ht="28.8">
      <c r="A4" s="596" t="s">
        <v>447</v>
      </c>
      <c r="B4" s="501"/>
      <c r="C4" s="67"/>
      <c r="D4" s="67"/>
      <c r="E4" s="225"/>
      <c r="F4" s="225"/>
      <c r="G4" s="225"/>
      <c r="H4" s="225"/>
      <c r="I4" s="225"/>
      <c r="J4" s="225"/>
      <c r="K4" s="225"/>
      <c r="L4" s="225"/>
      <c r="M4" s="225"/>
      <c r="N4" s="225"/>
      <c r="O4" s="225"/>
      <c r="P4" s="225"/>
      <c r="Q4" s="225"/>
      <c r="R4" s="225">
        <f>Себестоимость!S3*допущения!$C$70*допущения!$C$69*1000</f>
        <v>0</v>
      </c>
      <c r="S4" s="225">
        <f>Себестоимость!T3*допущения!$C$70*допущения!$C$69*1000</f>
        <v>0</v>
      </c>
      <c r="T4" s="225">
        <f>Себестоимость!U3*допущения!$C$70*допущения!$C$69*1000</f>
        <v>0</v>
      </c>
      <c r="U4" s="225">
        <f>Себестоимость!V3*допущения!$C$70*допущения!$C$69*1000</f>
        <v>0</v>
      </c>
      <c r="V4" s="225">
        <f>Себестоимость!W3*допущения!$C$70*допущения!$C$69*1000</f>
        <v>0</v>
      </c>
      <c r="W4" s="225">
        <f>Себестоимость!X3*допущения!$C$70*допущения!$C$69*1000</f>
        <v>0</v>
      </c>
      <c r="X4" s="225">
        <f>Себестоимость!Y3*допущения!$C$70*допущения!$C$69*1000</f>
        <v>0</v>
      </c>
      <c r="Y4" s="225">
        <f>Себестоимость!Z3*допущения!$C$70*допущения!$C$69*1000</f>
        <v>0</v>
      </c>
      <c r="Z4" s="225">
        <f>Себестоимость!AA3*допущения!$C$70*допущения!$C$69*1000</f>
        <v>0</v>
      </c>
      <c r="AA4" s="225">
        <f>Себестоимость!AB3*допущения!$C$70*допущения!$C$69*1000</f>
        <v>0</v>
      </c>
      <c r="AB4" s="225">
        <f>Себестоимость!AC3*допущения!$C$70*допущения!$C$69*1000</f>
        <v>0</v>
      </c>
      <c r="AC4" s="225">
        <f>Себестоимость!AD3*допущения!$C$70*допущения!$C$69*1000</f>
        <v>0</v>
      </c>
      <c r="AD4" s="225">
        <f>Себестоимость!AE3*допущения!$C$70*допущения!$C$69*1000</f>
        <v>0</v>
      </c>
      <c r="AE4" s="225">
        <f>Себестоимость!AF3*допущения!$C$70*допущения!$C$69*1000</f>
        <v>0</v>
      </c>
      <c r="AF4" s="225">
        <f>Себестоимость!AG3*допущения!$C$70*допущения!$C$69*1000</f>
        <v>0</v>
      </c>
      <c r="AG4" s="225">
        <f>Себестоимость!AH3*допущения!$C$70*допущения!$C$69*1000</f>
        <v>0</v>
      </c>
      <c r="AH4" s="225">
        <f>Себестоимость!AI3*допущения!$C$70*допущения!$C$69*1000</f>
        <v>0</v>
      </c>
      <c r="AI4" s="225">
        <f>Себестоимость!AJ3*допущения!$C$70*допущения!$C$69*1000</f>
        <v>0</v>
      </c>
      <c r="AJ4" s="225">
        <f>Себестоимость!AK3*допущения!$C$70*допущения!$C$69*1000</f>
        <v>0</v>
      </c>
      <c r="AK4" s="225">
        <f>Себестоимость!AL3*допущения!$C$70*допущения!$C$69*1000</f>
        <v>0</v>
      </c>
      <c r="AL4" s="225">
        <f>Себестоимость!AM3*допущения!$C$70*допущения!$C$69*1000</f>
        <v>0</v>
      </c>
      <c r="AM4" s="225">
        <f>Себестоимость!AN3*допущения!$C$70*допущения!$C$69*1000</f>
        <v>0</v>
      </c>
      <c r="AN4" s="225">
        <f>Себестоимость!AO3*допущения!$C$70*допущения!$C$69*1000</f>
        <v>0</v>
      </c>
      <c r="AO4" s="225">
        <f>Себестоимость!AP3*допущения!$C$70*допущения!$C$69*1000</f>
        <v>0</v>
      </c>
      <c r="AP4" s="225">
        <f>Себестоимость!AQ3*допущения!$C$70*допущения!$C$69*1000</f>
        <v>0</v>
      </c>
      <c r="AQ4" s="225">
        <f>Себестоимость!AR3*допущения!$C$70*допущения!$C$69*1000</f>
        <v>0</v>
      </c>
      <c r="AR4" s="225">
        <f>Себестоимость!AS3*допущения!$C$70*допущения!$C$69*1000</f>
        <v>0</v>
      </c>
      <c r="AS4" s="225">
        <f>Себестоимость!AT3*допущения!$C$70*допущения!$C$69*1000</f>
        <v>0</v>
      </c>
    </row>
    <row r="5" spans="1:45" ht="43.2">
      <c r="A5" s="530" t="s">
        <v>247</v>
      </c>
      <c r="B5" s="501">
        <f>допущения!$C$64*'Расходы на ЗП ТОР'!D54</f>
        <v>0</v>
      </c>
      <c r="C5" s="501">
        <f>допущения!$C$64*'Расходы на ЗП ТОР'!E54</f>
        <v>0</v>
      </c>
      <c r="D5" s="501">
        <f>допущения!$C$64*'Расходы на ЗП ТОР'!F54</f>
        <v>0</v>
      </c>
      <c r="E5" s="501">
        <f>допущения!$C$64*'Расходы на ЗП ТОР'!G54</f>
        <v>0</v>
      </c>
      <c r="F5" s="501">
        <f>допущения!$C$64*'Расходы на ЗП ТОР'!H54</f>
        <v>0</v>
      </c>
      <c r="G5" s="501">
        <f>допущения!$C$64*'Расходы на ЗП ТОР'!I54</f>
        <v>0</v>
      </c>
      <c r="H5" s="501">
        <f>допущения!$C$64*'Расходы на ЗП ТОР'!J54</f>
        <v>0</v>
      </c>
      <c r="I5" s="501">
        <f>допущения!$C$64*'Расходы на ЗП ТОР'!K54</f>
        <v>0</v>
      </c>
      <c r="J5" s="501">
        <f>допущения!$C$64*'Расходы на ЗП ТОР'!L54</f>
        <v>0</v>
      </c>
      <c r="K5" s="501">
        <f>допущения!$C$64*'Расходы на ЗП ТОР'!M54</f>
        <v>0</v>
      </c>
      <c r="L5" s="501">
        <f>допущения!$C$64*'Расходы на ЗП ТОР'!N54</f>
        <v>0</v>
      </c>
      <c r="M5" s="501">
        <f>допущения!$C$64*'Расходы на ЗП ТОР'!O54</f>
        <v>0</v>
      </c>
      <c r="N5" s="501">
        <f>допущения!$C$64*'Расходы на ЗП ТОР'!P54</f>
        <v>0</v>
      </c>
      <c r="O5" s="501">
        <f>допущения!$C$64*'Расходы на ЗП ТОР'!Q54</f>
        <v>0</v>
      </c>
      <c r="P5" s="501">
        <f>допущения!$C$64*'Расходы на ЗП ТОР'!R54</f>
        <v>0</v>
      </c>
      <c r="Q5" s="501">
        <f>допущения!$C$64*'Расходы на ЗП ТОР'!S54</f>
        <v>0</v>
      </c>
      <c r="R5" s="501">
        <f>допущения!$C$64*'Расходы на ЗП ТОР'!T54</f>
        <v>636.24056700000006</v>
      </c>
      <c r="S5" s="501">
        <f>допущения!$C$64*'Расходы на ЗП ТОР'!U54</f>
        <v>636.24056700000006</v>
      </c>
      <c r="T5" s="501">
        <f>допущения!$C$64*'Расходы на ЗП ТОР'!V54</f>
        <v>636.24056700000006</v>
      </c>
      <c r="U5" s="501">
        <f>допущения!$C$64*'Расходы на ЗП ТОР'!W54</f>
        <v>636.24056700000006</v>
      </c>
      <c r="V5" s="501">
        <f>допущения!$C$64*'Расходы на ЗП ТОР'!X54</f>
        <v>674.41500102000009</v>
      </c>
      <c r="W5" s="501">
        <f>допущения!$C$64*'Расходы на ЗП ТОР'!Y54</f>
        <v>674.41500102000009</v>
      </c>
      <c r="X5" s="501">
        <f>допущения!$C$64*'Расходы на ЗП ТОР'!Z54</f>
        <v>674.41500102000009</v>
      </c>
      <c r="Y5" s="501">
        <f>допущения!$C$64*'Расходы на ЗП ТОР'!AA54</f>
        <v>674.41500102000009</v>
      </c>
      <c r="Z5" s="501">
        <f>допущения!$C$64*'Расходы на ЗП ТОР'!AB54</f>
        <v>714.87990108120005</v>
      </c>
      <c r="AA5" s="501">
        <f>допущения!$C$64*'Расходы на ЗП ТОР'!AC54</f>
        <v>714.87990108120005</v>
      </c>
      <c r="AB5" s="501">
        <f>допущения!$C$64*'Расходы на ЗП ТОР'!AD54</f>
        <v>714.87990108120005</v>
      </c>
      <c r="AC5" s="501">
        <f>допущения!$C$64*'Расходы на ЗП ТОР'!AE54</f>
        <v>714.87990108120005</v>
      </c>
      <c r="AD5" s="501">
        <f>допущения!$C$64*'Расходы на ЗП ТОР'!AF54</f>
        <v>756.37599068287227</v>
      </c>
      <c r="AE5" s="501">
        <f>допущения!$C$64*'Расходы на ЗП ТОР'!AG54</f>
        <v>756.37599068287227</v>
      </c>
      <c r="AF5" s="501">
        <f>допущения!$C$64*'Расходы на ЗП ТОР'!AH54</f>
        <v>756.37599068287227</v>
      </c>
      <c r="AG5" s="501">
        <f>допущения!$C$64*'Расходы на ЗП ТОР'!AI54</f>
        <v>756.37599068287227</v>
      </c>
      <c r="AH5" s="501">
        <f>допущения!$C$64*'Расходы на ЗП ТОР'!AJ54</f>
        <v>801.75855012384443</v>
      </c>
      <c r="AI5" s="501">
        <f>допущения!$C$64*'Расходы на ЗП ТОР'!AK54</f>
        <v>801.75855012384443</v>
      </c>
      <c r="AJ5" s="501">
        <f>допущения!$C$64*'Расходы на ЗП ТОР'!AL54</f>
        <v>801.75855012384443</v>
      </c>
      <c r="AK5" s="501">
        <f>допущения!$C$64*'Расходы на ЗП ТОР'!AM54</f>
        <v>801.75855012384443</v>
      </c>
      <c r="AL5" s="501">
        <f>допущения!$C$64*'Расходы на ЗП ТОР'!AN54</f>
        <v>849.8640631312752</v>
      </c>
      <c r="AM5" s="501">
        <f>допущения!$C$64*'Расходы на ЗП ТОР'!AO54</f>
        <v>849.8640631312752</v>
      </c>
      <c r="AN5" s="501">
        <f>допущения!$C$64*'Расходы на ЗП ТОР'!AP54</f>
        <v>849.8640631312752</v>
      </c>
      <c r="AO5" s="501">
        <f>допущения!$C$64*'Расходы на ЗП ТОР'!AQ54</f>
        <v>849.8640631312752</v>
      </c>
      <c r="AP5" s="501">
        <f>AO5</f>
        <v>849.8640631312752</v>
      </c>
      <c r="AQ5" s="501">
        <f t="shared" ref="AQ5:AS5" si="2">AP5</f>
        <v>849.8640631312752</v>
      </c>
      <c r="AR5" s="501">
        <f t="shared" si="2"/>
        <v>849.8640631312752</v>
      </c>
      <c r="AS5" s="501">
        <f t="shared" si="2"/>
        <v>849.8640631312752</v>
      </c>
    </row>
    <row r="6" spans="1:45" ht="44.4" customHeight="1">
      <c r="A6" s="658" t="s">
        <v>500</v>
      </c>
      <c r="B6" s="501">
        <f>Себестоимость!C15+Себестоимость!C14</f>
        <v>0</v>
      </c>
      <c r="C6" s="67">
        <f>Себестоимость!D15+Себестоимость!D14</f>
        <v>0</v>
      </c>
      <c r="D6" s="67">
        <f>Себестоимость!E15+Себестоимость!E14</f>
        <v>0</v>
      </c>
      <c r="E6" s="67">
        <f>Себестоимость!F15+Себестоимость!F14</f>
        <v>0</v>
      </c>
      <c r="F6" s="67">
        <f>Себестоимость!G15+Себестоимость!G14</f>
        <v>0</v>
      </c>
      <c r="G6" s="67">
        <f>Себестоимость!H15+Себестоимость!H14</f>
        <v>0</v>
      </c>
      <c r="H6" s="67">
        <f>Себестоимость!I15+Себестоимость!I14</f>
        <v>0</v>
      </c>
      <c r="I6" s="67">
        <f>Себестоимость!J15+Себестоимость!J14</f>
        <v>0</v>
      </c>
      <c r="J6" s="67">
        <f>Себестоимость!K15+Себестоимость!K14</f>
        <v>0</v>
      </c>
      <c r="K6" s="67">
        <f>Себестоимость!L15+Себестоимость!L14</f>
        <v>0</v>
      </c>
      <c r="L6" s="67">
        <f>Себестоимость!M15+Себестоимость!M14</f>
        <v>0</v>
      </c>
      <c r="M6" s="67">
        <f>Себестоимость!N15+Себестоимость!N14</f>
        <v>0</v>
      </c>
      <c r="N6" s="67">
        <f>Себестоимость!O15+Себестоимость!O14</f>
        <v>0</v>
      </c>
      <c r="O6" s="67">
        <f>Себестоимость!P15+Себестоимость!P14</f>
        <v>0</v>
      </c>
      <c r="P6" s="67">
        <f>Себестоимость!Q15+Себестоимость!Q14</f>
        <v>0</v>
      </c>
      <c r="Q6" s="67">
        <f>Себестоимость!R15+Себестоимость!R14</f>
        <v>0</v>
      </c>
      <c r="R6" s="67">
        <f>Себестоимость!S15+Себестоимость!S14</f>
        <v>17842.790107306446</v>
      </c>
      <c r="S6" s="67">
        <f>Себестоимость!T15+Себестоимость!T14</f>
        <v>17842.790107306446</v>
      </c>
      <c r="T6" s="67">
        <f>Себестоимость!U15+Себестоимость!U14</f>
        <v>17842.790107306446</v>
      </c>
      <c r="U6" s="67">
        <f>Себестоимость!V15+Себестоимость!V14</f>
        <v>17842.790107306446</v>
      </c>
      <c r="V6" s="67">
        <f>Себестоимость!W15+Себестоимость!W14</f>
        <v>25001.077531434283</v>
      </c>
      <c r="W6" s="67">
        <f>Себестоимость!X15+Себестоимость!X14</f>
        <v>25001.077531434283</v>
      </c>
      <c r="X6" s="67">
        <f>Себестоимость!Y15+Себестоимость!Y14</f>
        <v>25001.077531434283</v>
      </c>
      <c r="Y6" s="67">
        <f>Себестоимость!Z15+Себестоимость!Z14</f>
        <v>25001.077531434283</v>
      </c>
      <c r="Z6" s="67">
        <f>Себестоимость!AA15+Себестоимость!AA14</f>
        <v>33527.862534598986</v>
      </c>
      <c r="AA6" s="67">
        <f>Себестоимость!AB15+Себестоимость!AB14</f>
        <v>33527.862534598986</v>
      </c>
      <c r="AB6" s="67">
        <f>Себестоимость!AC15+Себестоимость!AC14</f>
        <v>33527.862534598986</v>
      </c>
      <c r="AC6" s="67">
        <f>Себестоимость!AD15+Себестоимость!AD14</f>
        <v>33527.862534598986</v>
      </c>
      <c r="AD6" s="67">
        <f>Себестоимость!AE15+Себестоимость!AE14</f>
        <v>43594.869715654073</v>
      </c>
      <c r="AE6" s="67">
        <f>Себестоимость!AF15+Себестоимость!AF14</f>
        <v>43594.869715654073</v>
      </c>
      <c r="AF6" s="67">
        <f>Себестоимость!AG15+Себестоимость!AG14</f>
        <v>43594.869715654073</v>
      </c>
      <c r="AG6" s="67">
        <f>Себестоимость!AH15+Себестоимость!AH14</f>
        <v>43594.869715654073</v>
      </c>
      <c r="AH6" s="67">
        <f>Себестоимость!AI15+Себестоимость!AI14</f>
        <v>52753.870767934503</v>
      </c>
      <c r="AI6" s="67">
        <f>Себестоимость!AJ15+Себестоимость!AJ14</f>
        <v>52753.870767934503</v>
      </c>
      <c r="AJ6" s="67">
        <f>Себестоимость!AK15+Себестоимость!AK14</f>
        <v>52753.870767934503</v>
      </c>
      <c r="AK6" s="67">
        <f>Себестоимость!AL15+Себестоимость!AL14</f>
        <v>52753.870767934503</v>
      </c>
      <c r="AL6" s="67">
        <f>Себестоимость!AM15+Себестоимость!AM14</f>
        <v>62842.53379623279</v>
      </c>
      <c r="AM6" s="67">
        <f>Себестоимость!AN15+Себестоимость!AN14</f>
        <v>62842.53379623279</v>
      </c>
      <c r="AN6" s="67">
        <f>Себестоимость!AO15+Себестоимость!AO14</f>
        <v>62842.53379623279</v>
      </c>
      <c r="AO6" s="67">
        <f>Себестоимость!AP15+Себестоимость!AP14</f>
        <v>62842.53379623279</v>
      </c>
      <c r="AP6" s="67">
        <f>Себестоимость!AQ15+Себестоимость!AQ14</f>
        <v>66545.631873059727</v>
      </c>
      <c r="AQ6" s="67">
        <f>Себестоимость!AR15+Себестоимость!AR14</f>
        <v>66545.631873059727</v>
      </c>
      <c r="AR6" s="67">
        <f>Себестоимость!AS15+Себестоимость!AS14</f>
        <v>66545.631873059727</v>
      </c>
      <c r="AS6" s="67">
        <f>Себестоимость!AT15+Себестоимость!AT14</f>
        <v>66545.631873059727</v>
      </c>
    </row>
    <row r="7" spans="1:45" s="223" customFormat="1" ht="115.2">
      <c r="A7" s="529" t="s">
        <v>408</v>
      </c>
      <c r="B7" s="226"/>
      <c r="C7" s="226"/>
      <c r="D7" s="226"/>
      <c r="E7" s="227"/>
      <c r="F7" s="228">
        <f>допущения!$C$66*'выручка по кв и годам'!H5</f>
        <v>0</v>
      </c>
      <c r="G7" s="228">
        <f>допущения!$C$66*'выручка по кв и годам'!I5</f>
        <v>0</v>
      </c>
      <c r="H7" s="228">
        <f>допущения!$C$66*'выручка по кв и годам'!J5</f>
        <v>0</v>
      </c>
      <c r="I7" s="228">
        <f>допущения!$C$66*'выручка по кв и годам'!K5</f>
        <v>0</v>
      </c>
      <c r="J7" s="228">
        <f>допущения!$C$66*'выручка по кв и годам'!L5</f>
        <v>0</v>
      </c>
      <c r="K7" s="228">
        <f>допущения!$C$66*'выручка по кв и годам'!M5</f>
        <v>0</v>
      </c>
      <c r="L7" s="228">
        <f>допущения!$C$66*'выручка по кв и годам'!N5</f>
        <v>0</v>
      </c>
      <c r="M7" s="228">
        <f>допущения!$C$66*'выручка по кв и годам'!O5</f>
        <v>0</v>
      </c>
      <c r="N7" s="228">
        <f>допущения!$C$66*'выручка по кв и годам'!P5</f>
        <v>0</v>
      </c>
      <c r="O7" s="228">
        <f>допущения!$C$66*'выручка по кв и годам'!Q5</f>
        <v>0</v>
      </c>
      <c r="P7" s="228">
        <f>допущения!$C$66*'выручка по кв и годам'!R5</f>
        <v>0</v>
      </c>
      <c r="Q7" s="228">
        <f>допущения!$C$66*'выручка по кв и годам'!S5</f>
        <v>0</v>
      </c>
      <c r="R7" s="228">
        <f>допущения!$C$66*'выручка по кв и годам'!T5</f>
        <v>1523.1650091603065</v>
      </c>
      <c r="S7" s="228">
        <f>допущения!$C$66*'выручка по кв и годам'!U5</f>
        <v>1523.1650091603065</v>
      </c>
      <c r="T7" s="228">
        <f>допущения!$C$66*'выручка по кв и годам'!V5</f>
        <v>1523.1650091603065</v>
      </c>
      <c r="U7" s="228">
        <f>допущения!$C$66*'выручка по кв и годам'!W5</f>
        <v>1523.1650091603065</v>
      </c>
      <c r="V7" s="228">
        <f>допущения!$C$66*'выручка по кв и годам'!X5</f>
        <v>2134.2383258541463</v>
      </c>
      <c r="W7" s="228">
        <f>допущения!$C$66*'выручка по кв и годам'!Y5</f>
        <v>2134.2383258541463</v>
      </c>
      <c r="X7" s="228">
        <f>допущения!$C$66*'выручка по кв и годам'!Z5</f>
        <v>2134.2383258541463</v>
      </c>
      <c r="Y7" s="228">
        <f>допущения!$C$66*'выручка по кв и годам'!AA5</f>
        <v>2134.2383258541463</v>
      </c>
      <c r="Z7" s="228">
        <f>допущения!$C$66*'выручка по кв и годам'!AB5</f>
        <v>2862.1346066121087</v>
      </c>
      <c r="AA7" s="228">
        <f>допущения!$C$66*'выручка по кв и годам'!AC5</f>
        <v>2862.1346066121087</v>
      </c>
      <c r="AB7" s="228">
        <f>допущения!$C$66*'выручка по кв и годам'!AD5</f>
        <v>2862.1346066121087</v>
      </c>
      <c r="AC7" s="228">
        <f>допущения!$C$66*'выручка по кв и годам'!AE5</f>
        <v>2862.1346066121087</v>
      </c>
      <c r="AD7" s="228">
        <f>допущения!$C$66*'выручка по кв и годам'!AF5</f>
        <v>3721.5132684094942</v>
      </c>
      <c r="AE7" s="228">
        <f>допущения!$C$66*'выручка по кв и годам'!AG5</f>
        <v>3721.5132684094942</v>
      </c>
      <c r="AF7" s="228">
        <f>допущения!$C$66*'выручка по кв и годам'!AH5</f>
        <v>3721.5132684094942</v>
      </c>
      <c r="AG7" s="228">
        <f>допущения!$C$66*'выручка по кв и годам'!AI5</f>
        <v>3721.5132684094942</v>
      </c>
      <c r="AH7" s="228">
        <f>допущения!$C$66*'выручка по кв и годам'!AJ5</f>
        <v>4503.3792118968477</v>
      </c>
      <c r="AI7" s="228">
        <f>допущения!$C$66*'выручка по кв и годам'!AK5</f>
        <v>4503.3792118968477</v>
      </c>
      <c r="AJ7" s="228">
        <f>допущения!$C$66*'выручка по кв и годам'!AL5</f>
        <v>4503.3792118968477</v>
      </c>
      <c r="AK7" s="228">
        <f>допущения!$C$66*'выручка по кв и годам'!AM5</f>
        <v>4503.3792118968477</v>
      </c>
      <c r="AL7" s="228">
        <f>допущения!$C$66*'выручка по кв и годам'!AN5</f>
        <v>5364.6065435808478</v>
      </c>
      <c r="AM7" s="228">
        <f>допущения!$C$66*'выручка по кв и годам'!AO5</f>
        <v>5364.6065435808478</v>
      </c>
      <c r="AN7" s="228">
        <f>допущения!$C$66*'выручка по кв и годам'!AP5</f>
        <v>5364.6065435808478</v>
      </c>
      <c r="AO7" s="228">
        <f>допущения!$C$66*'выручка по кв и годам'!AQ5</f>
        <v>5364.6065435808478</v>
      </c>
      <c r="AP7" s="228">
        <f>допущения!$C$66*'выручка по кв и годам'!AR5</f>
        <v>5680.7246720904659</v>
      </c>
      <c r="AQ7" s="228">
        <f>допущения!$C$66*'выручка по кв и годам'!AS5</f>
        <v>5680.7246720904659</v>
      </c>
      <c r="AR7" s="228">
        <f>допущения!$C$66*'выручка по кв и годам'!AT5</f>
        <v>5680.7246720904659</v>
      </c>
      <c r="AS7" s="228">
        <f>допущения!$C$66*'выручка по кв и годам'!AU5</f>
        <v>5680.7246720904659</v>
      </c>
    </row>
    <row r="8" spans="1:45" ht="57.6">
      <c r="A8" s="530" t="s">
        <v>248</v>
      </c>
      <c r="B8" s="501"/>
      <c r="C8" s="67"/>
      <c r="D8" s="67"/>
      <c r="E8" s="225"/>
      <c r="F8" s="225">
        <f>допущения!$C$67*'выручка по кв и годам'!H5</f>
        <v>0</v>
      </c>
      <c r="G8" s="225">
        <f>допущения!$C$67*'выручка по кв и годам'!I5</f>
        <v>0</v>
      </c>
      <c r="H8" s="225">
        <f>допущения!$C$67*'выручка по кв и годам'!J5</f>
        <v>0</v>
      </c>
      <c r="I8" s="225">
        <f>допущения!$C$67*'выручка по кв и годам'!K5</f>
        <v>0</v>
      </c>
      <c r="J8" s="225">
        <f>допущения!$C$67*'выручка по кв и годам'!L5</f>
        <v>0</v>
      </c>
      <c r="K8" s="225">
        <f>допущения!$C$67*'выручка по кв и годам'!M5</f>
        <v>0</v>
      </c>
      <c r="L8" s="225">
        <f>допущения!$C$67*'выручка по кв и годам'!N5</f>
        <v>0</v>
      </c>
      <c r="M8" s="225">
        <f>допущения!$C$67*'выручка по кв и годам'!O5</f>
        <v>0</v>
      </c>
      <c r="N8" s="225">
        <f>допущения!$C$67*'выручка по кв и годам'!P5</f>
        <v>0</v>
      </c>
      <c r="O8" s="225">
        <f>допущения!$C$67*'выручка по кв и годам'!Q5</f>
        <v>0</v>
      </c>
      <c r="P8" s="225">
        <f>допущения!$C$67*'выручка по кв и годам'!R5</f>
        <v>0</v>
      </c>
      <c r="Q8" s="225">
        <f>допущения!$C$67*'выручка по кв и годам'!S5</f>
        <v>0</v>
      </c>
      <c r="R8" s="225">
        <f>допущения!$C$67*'выручка по кв и годам'!T5</f>
        <v>2175.950013086152</v>
      </c>
      <c r="S8" s="225">
        <f>допущения!$C$67*'выручка по кв и годам'!U5</f>
        <v>2175.950013086152</v>
      </c>
      <c r="T8" s="225">
        <f>допущения!$C$67*'выручка по кв и годам'!V5</f>
        <v>2175.950013086152</v>
      </c>
      <c r="U8" s="225">
        <f>допущения!$C$67*'выручка по кв и годам'!W5</f>
        <v>2175.950013086152</v>
      </c>
      <c r="V8" s="225">
        <f>допущения!$C$67*'выручка по кв и годам'!X5</f>
        <v>3048.9118940773519</v>
      </c>
      <c r="W8" s="225">
        <f>допущения!$C$67*'выручка по кв и годам'!Y5</f>
        <v>3048.9118940773519</v>
      </c>
      <c r="X8" s="225">
        <f>допущения!$C$67*'выручка по кв и годам'!Z5</f>
        <v>3048.9118940773519</v>
      </c>
      <c r="Y8" s="225">
        <f>допущения!$C$67*'выручка по кв и годам'!AA5</f>
        <v>3048.9118940773519</v>
      </c>
      <c r="Z8" s="225">
        <f>допущения!$C$67*'выручка по кв и годам'!AB5</f>
        <v>4088.7637237315835</v>
      </c>
      <c r="AA8" s="225">
        <f>допущения!$C$67*'выручка по кв и годам'!AC5</f>
        <v>4088.7637237315835</v>
      </c>
      <c r="AB8" s="225">
        <f>допущения!$C$67*'выручка по кв и годам'!AD5</f>
        <v>4088.7637237315835</v>
      </c>
      <c r="AC8" s="225">
        <f>допущения!$C$67*'выручка по кв и годам'!AE5</f>
        <v>4088.7637237315835</v>
      </c>
      <c r="AD8" s="225">
        <f>допущения!$C$67*'выручка по кв и годам'!AF5</f>
        <v>5316.4475262992773</v>
      </c>
      <c r="AE8" s="225">
        <f>допущения!$C$67*'выручка по кв и годам'!AG5</f>
        <v>5316.4475262992773</v>
      </c>
      <c r="AF8" s="225">
        <f>допущения!$C$67*'выручка по кв и годам'!AH5</f>
        <v>5316.4475262992773</v>
      </c>
      <c r="AG8" s="225">
        <f>допущения!$C$67*'выручка по кв и годам'!AI5</f>
        <v>5316.4475262992773</v>
      </c>
      <c r="AH8" s="225">
        <f>допущения!$C$67*'выручка по кв и годам'!AJ5</f>
        <v>6433.3988741383537</v>
      </c>
      <c r="AI8" s="225">
        <f>допущения!$C$67*'выручка по кв и годам'!AK5</f>
        <v>6433.3988741383537</v>
      </c>
      <c r="AJ8" s="225">
        <f>допущения!$C$67*'выручка по кв и годам'!AL5</f>
        <v>6433.3988741383537</v>
      </c>
      <c r="AK8" s="225">
        <f>допущения!$C$67*'выручка по кв и годам'!AM5</f>
        <v>6433.3988741383537</v>
      </c>
      <c r="AL8" s="225">
        <f>допущения!$C$67*'выручка по кв и годам'!AN5</f>
        <v>7663.7236336869255</v>
      </c>
      <c r="AM8" s="225">
        <f>допущения!$C$67*'выручка по кв и годам'!AO5</f>
        <v>7663.7236336869255</v>
      </c>
      <c r="AN8" s="225">
        <f>допущения!$C$67*'выручка по кв и годам'!AP5</f>
        <v>7663.7236336869255</v>
      </c>
      <c r="AO8" s="225">
        <f>допущения!$C$67*'выручка по кв и годам'!AQ5</f>
        <v>7663.7236336869255</v>
      </c>
      <c r="AP8" s="225">
        <f>допущения!$C$67*'выручка по кв и годам'!AR5</f>
        <v>8115.3209601292365</v>
      </c>
      <c r="AQ8" s="225">
        <f>допущения!$C$67*'выручка по кв и годам'!AS5</f>
        <v>8115.3209601292365</v>
      </c>
      <c r="AR8" s="225">
        <f>допущения!$C$67*'выручка по кв и годам'!AT5</f>
        <v>8115.3209601292365</v>
      </c>
      <c r="AS8" s="225">
        <f>допущения!$C$67*'выручка по кв и годам'!AU5</f>
        <v>8115.3209601292365</v>
      </c>
    </row>
    <row r="9" spans="1:45" ht="28.8">
      <c r="A9" s="530" t="s">
        <v>249</v>
      </c>
      <c r="B9" s="501"/>
      <c r="C9" s="67"/>
      <c r="D9" s="67"/>
      <c r="E9" s="67"/>
      <c r="F9" s="67"/>
      <c r="G9" s="67"/>
      <c r="H9" s="67"/>
      <c r="I9" s="67"/>
      <c r="J9" s="67"/>
      <c r="K9" s="67"/>
      <c r="L9" s="67"/>
      <c r="M9" s="67"/>
      <c r="N9" s="67"/>
      <c r="O9" s="67"/>
      <c r="P9" s="67"/>
      <c r="Q9" s="67"/>
      <c r="R9" s="67">
        <f>допущения!C71</f>
        <v>750</v>
      </c>
      <c r="S9" s="67">
        <f t="shared" ref="S9:AS9" si="3">R9</f>
        <v>750</v>
      </c>
      <c r="T9" s="67">
        <f t="shared" si="3"/>
        <v>750</v>
      </c>
      <c r="U9" s="67">
        <f t="shared" si="3"/>
        <v>750</v>
      </c>
      <c r="V9" s="67">
        <f t="shared" si="3"/>
        <v>750</v>
      </c>
      <c r="W9" s="67">
        <f t="shared" si="3"/>
        <v>750</v>
      </c>
      <c r="X9" s="67">
        <f t="shared" si="3"/>
        <v>750</v>
      </c>
      <c r="Y9" s="67">
        <f t="shared" si="3"/>
        <v>750</v>
      </c>
      <c r="Z9" s="67">
        <f t="shared" si="3"/>
        <v>750</v>
      </c>
      <c r="AA9" s="67">
        <f t="shared" si="3"/>
        <v>750</v>
      </c>
      <c r="AB9" s="67">
        <f t="shared" si="3"/>
        <v>750</v>
      </c>
      <c r="AC9" s="67">
        <f t="shared" si="3"/>
        <v>750</v>
      </c>
      <c r="AD9" s="67">
        <f t="shared" si="3"/>
        <v>750</v>
      </c>
      <c r="AE9" s="67">
        <f t="shared" si="3"/>
        <v>750</v>
      </c>
      <c r="AF9" s="67">
        <f t="shared" si="3"/>
        <v>750</v>
      </c>
      <c r="AG9" s="67">
        <f t="shared" si="3"/>
        <v>750</v>
      </c>
      <c r="AH9" s="67">
        <f t="shared" si="3"/>
        <v>750</v>
      </c>
      <c r="AI9" s="67">
        <f t="shared" si="3"/>
        <v>750</v>
      </c>
      <c r="AJ9" s="67">
        <f t="shared" si="3"/>
        <v>750</v>
      </c>
      <c r="AK9" s="67">
        <f t="shared" si="3"/>
        <v>750</v>
      </c>
      <c r="AL9" s="67">
        <f t="shared" si="3"/>
        <v>750</v>
      </c>
      <c r="AM9" s="67">
        <f t="shared" si="3"/>
        <v>750</v>
      </c>
      <c r="AN9" s="67">
        <f t="shared" si="3"/>
        <v>750</v>
      </c>
      <c r="AO9" s="67">
        <f t="shared" si="3"/>
        <v>750</v>
      </c>
      <c r="AP9" s="67">
        <f t="shared" si="3"/>
        <v>750</v>
      </c>
      <c r="AQ9" s="67">
        <f t="shared" si="3"/>
        <v>750</v>
      </c>
      <c r="AR9" s="67">
        <f t="shared" si="3"/>
        <v>750</v>
      </c>
      <c r="AS9" s="67">
        <f t="shared" si="3"/>
        <v>750</v>
      </c>
    </row>
    <row r="10" spans="1:45" ht="34.5" customHeight="1">
      <c r="A10" s="530" t="s">
        <v>250</v>
      </c>
      <c r="B10" s="226"/>
      <c r="C10" s="226"/>
      <c r="D10" s="226"/>
      <c r="E10" s="227"/>
      <c r="F10" s="227">
        <f>допущения!$C$68*F4</f>
        <v>0</v>
      </c>
      <c r="G10" s="227">
        <f>допущения!$C$68*G4</f>
        <v>0</v>
      </c>
      <c r="H10" s="227">
        <f>допущения!$C$68*H4</f>
        <v>0</v>
      </c>
      <c r="I10" s="227">
        <f>допущения!$C$68*I4</f>
        <v>0</v>
      </c>
      <c r="J10" s="227">
        <f>допущения!$C$68*J4</f>
        <v>0</v>
      </c>
      <c r="K10" s="227">
        <f>допущения!$C$68*K4</f>
        <v>0</v>
      </c>
      <c r="L10" s="227">
        <f>допущения!$C$68*L4</f>
        <v>0</v>
      </c>
      <c r="M10" s="227">
        <f>допущения!$C$68*M4</f>
        <v>0</v>
      </c>
      <c r="N10" s="227">
        <f>допущения!$C$68*N4</f>
        <v>0</v>
      </c>
      <c r="O10" s="227">
        <f>допущения!$C$68*O4</f>
        <v>0</v>
      </c>
      <c r="P10" s="227">
        <f>допущения!$C$68*P4</f>
        <v>0</v>
      </c>
      <c r="Q10" s="227">
        <f>допущения!$C$68*Q4</f>
        <v>0</v>
      </c>
      <c r="R10" s="227">
        <f>допущения!$C$68*R4</f>
        <v>0</v>
      </c>
      <c r="S10" s="227">
        <f>допущения!$C$68*S4</f>
        <v>0</v>
      </c>
      <c r="T10" s="227">
        <f>допущения!$C$68*T4</f>
        <v>0</v>
      </c>
      <c r="U10" s="227">
        <f>допущения!$C$68*U4</f>
        <v>0</v>
      </c>
      <c r="V10" s="227">
        <f>допущения!$C$68*V4</f>
        <v>0</v>
      </c>
      <c r="W10" s="227">
        <f>допущения!$C$68*W4</f>
        <v>0</v>
      </c>
      <c r="X10" s="227">
        <f>допущения!$C$68*X4</f>
        <v>0</v>
      </c>
      <c r="Y10" s="227">
        <f>допущения!$C$68*Y4</f>
        <v>0</v>
      </c>
      <c r="Z10" s="227">
        <f>допущения!$C$68*Z4</f>
        <v>0</v>
      </c>
      <c r="AA10" s="227">
        <f>допущения!$C$68*AA4</f>
        <v>0</v>
      </c>
      <c r="AB10" s="227">
        <f>допущения!$C$68*AB4</f>
        <v>0</v>
      </c>
      <c r="AC10" s="227">
        <f>допущения!$C$68*AC4</f>
        <v>0</v>
      </c>
      <c r="AD10" s="227">
        <f>допущения!$C$68*AD4</f>
        <v>0</v>
      </c>
      <c r="AE10" s="227">
        <f>допущения!$C$68*AE4</f>
        <v>0</v>
      </c>
      <c r="AF10" s="227">
        <f>допущения!$C$68*AF4</f>
        <v>0</v>
      </c>
      <c r="AG10" s="227">
        <f>допущения!$C$68*AG4</f>
        <v>0</v>
      </c>
      <c r="AH10" s="227">
        <f>допущения!$C$68*AH4</f>
        <v>0</v>
      </c>
      <c r="AI10" s="227">
        <f>допущения!$C$68*AI4</f>
        <v>0</v>
      </c>
      <c r="AJ10" s="227">
        <f>допущения!$C$68*AJ4</f>
        <v>0</v>
      </c>
      <c r="AK10" s="227">
        <f>допущения!$C$68*AK4</f>
        <v>0</v>
      </c>
      <c r="AL10" s="227">
        <f>допущения!$C$68*AL4</f>
        <v>0</v>
      </c>
      <c r="AM10" s="227">
        <f>допущения!$C$68*AM4</f>
        <v>0</v>
      </c>
      <c r="AN10" s="227">
        <f>допущения!$C$68*AN4</f>
        <v>0</v>
      </c>
      <c r="AO10" s="227">
        <f>допущения!$C$68*AO4</f>
        <v>0</v>
      </c>
      <c r="AP10" s="227">
        <f>допущения!$C$68*AP4</f>
        <v>0</v>
      </c>
      <c r="AQ10" s="227">
        <f>допущения!$C$68*AQ4</f>
        <v>0</v>
      </c>
      <c r="AR10" s="227">
        <f>допущения!$C$68*AR4</f>
        <v>0</v>
      </c>
      <c r="AS10" s="227">
        <f>допущения!$C$68*AS4</f>
        <v>0</v>
      </c>
    </row>
    <row r="11" spans="1:45" ht="28.8">
      <c r="A11" s="530" t="s">
        <v>251</v>
      </c>
      <c r="B11" s="226"/>
      <c r="C11" s="226"/>
      <c r="D11" s="226"/>
      <c r="E11" s="227"/>
      <c r="F11" s="227"/>
      <c r="G11" s="227"/>
      <c r="H11" s="227"/>
      <c r="I11" s="227"/>
      <c r="J11" s="227"/>
      <c r="K11" s="227"/>
      <c r="L11" s="227"/>
      <c r="M11" s="227"/>
      <c r="N11" s="227"/>
      <c r="O11" s="227"/>
      <c r="P11" s="227"/>
      <c r="Q11" s="225"/>
      <c r="R11" s="225"/>
      <c r="S11" s="225"/>
      <c r="T11" s="225"/>
      <c r="U11" s="225"/>
      <c r="V11" s="225"/>
      <c r="W11" s="225"/>
      <c r="X11" s="225"/>
      <c r="Y11" s="225"/>
      <c r="Z11" s="225"/>
      <c r="AA11" s="225"/>
      <c r="AB11" s="225"/>
      <c r="AC11" s="225"/>
      <c r="AD11" s="225"/>
      <c r="AE11" s="225"/>
      <c r="AF11" s="225"/>
      <c r="AG11" s="225"/>
      <c r="AH11" s="225"/>
      <c r="AI11" s="225"/>
      <c r="AJ11" s="225"/>
      <c r="AK11" s="225"/>
      <c r="AL11" s="225"/>
      <c r="AM11" s="225"/>
      <c r="AN11" s="225"/>
      <c r="AO11" s="225"/>
      <c r="AP11" s="225"/>
      <c r="AQ11" s="225"/>
      <c r="AR11" s="225"/>
      <c r="AS11" s="225"/>
    </row>
    <row r="12" spans="1:45" ht="14.4">
      <c r="A12" s="224" t="s">
        <v>252</v>
      </c>
      <c r="B12" s="226">
        <f>'Расходы на П, строит-во, ввод'!B26</f>
        <v>0</v>
      </c>
      <c r="C12" s="226">
        <f>'Расходы на П, строит-во, ввод'!C26</f>
        <v>0</v>
      </c>
      <c r="D12" s="226">
        <f>'Расходы на П, строит-во, ввод'!D26</f>
        <v>0</v>
      </c>
      <c r="E12" s="226">
        <f>'Расходы на П, строит-во, ввод'!E26</f>
        <v>0</v>
      </c>
      <c r="F12" s="226">
        <f>'Расходы на П, строит-во, ввод'!F26</f>
        <v>0</v>
      </c>
      <c r="G12" s="226">
        <f>'Расходы на П, строит-во, ввод'!G26</f>
        <v>0</v>
      </c>
      <c r="H12" s="226">
        <f>'Расходы на П, строит-во, ввод'!H26</f>
        <v>0</v>
      </c>
      <c r="I12" s="226">
        <f>'Расходы на П, строит-во, ввод'!I26</f>
        <v>0</v>
      </c>
      <c r="J12" s="226">
        <f>'Расходы на П, строит-во, ввод'!J26</f>
        <v>0</v>
      </c>
      <c r="K12" s="226">
        <f>'Расходы на П, строит-во, ввод'!K26</f>
        <v>0</v>
      </c>
      <c r="L12" s="226">
        <f>'Расходы на П, строит-во, ввод'!L26</f>
        <v>0</v>
      </c>
      <c r="M12" s="226">
        <f>'Расходы на П, строит-во, ввод'!M26</f>
        <v>0</v>
      </c>
      <c r="N12" s="226">
        <f>'Расходы на П, строит-во, ввод'!N26</f>
        <v>0</v>
      </c>
      <c r="O12" s="226">
        <f>'Расходы на П, строит-во, ввод'!O26</f>
        <v>0</v>
      </c>
      <c r="P12" s="226">
        <f>'Расходы на П, строит-во, ввод'!P26</f>
        <v>0</v>
      </c>
      <c r="Q12" s="226">
        <f>'Расходы на П, строит-во, ввод'!Q26</f>
        <v>0</v>
      </c>
      <c r="R12" s="226">
        <f>'Расходы на П, строит-во, ввод'!R26</f>
        <v>7016.666666666667</v>
      </c>
      <c r="S12" s="226">
        <f>'Расходы на П, строит-во, ввод'!S26</f>
        <v>7016.666666666667</v>
      </c>
      <c r="T12" s="226">
        <f>'Расходы на П, строит-во, ввод'!T26</f>
        <v>7016.666666666667</v>
      </c>
      <c r="U12" s="226">
        <f>'Расходы на П, строит-во, ввод'!U26</f>
        <v>7016.666666666667</v>
      </c>
      <c r="V12" s="226">
        <f>'Расходы на П, строит-во, ввод'!V26</f>
        <v>7016.666666666667</v>
      </c>
      <c r="W12" s="226">
        <f>'Расходы на П, строит-во, ввод'!W26</f>
        <v>7016.666666666667</v>
      </c>
      <c r="X12" s="226">
        <f>'Расходы на П, строит-во, ввод'!X26</f>
        <v>7016.666666666667</v>
      </c>
      <c r="Y12" s="226">
        <f>'Расходы на П, строит-во, ввод'!Y26</f>
        <v>7016.666666666667</v>
      </c>
      <c r="Z12" s="226">
        <f>'Расходы на П, строит-во, ввод'!Z26</f>
        <v>7016.666666666667</v>
      </c>
      <c r="AA12" s="226">
        <f>'Расходы на П, строит-во, ввод'!AA26</f>
        <v>7016.666666666667</v>
      </c>
      <c r="AB12" s="226">
        <f>'Расходы на П, строит-во, ввод'!AB26</f>
        <v>7016.666666666667</v>
      </c>
      <c r="AC12" s="226">
        <f>'Расходы на П, строит-во, ввод'!AC26</f>
        <v>7016.666666666667</v>
      </c>
      <c r="AD12" s="226">
        <f>'Расходы на П, строит-во, ввод'!AD26</f>
        <v>7016.666666666667</v>
      </c>
      <c r="AE12" s="226">
        <f>'Расходы на П, строит-во, ввод'!AE26</f>
        <v>7016.666666666667</v>
      </c>
      <c r="AF12" s="226">
        <f>'Расходы на П, строит-во, ввод'!AF26</f>
        <v>7016.666666666667</v>
      </c>
      <c r="AG12" s="226">
        <f>'Расходы на П, строит-во, ввод'!AG26</f>
        <v>7016.666666666667</v>
      </c>
      <c r="AH12" s="226">
        <f>'Расходы на П, строит-во, ввод'!AH26</f>
        <v>7016.666666666667</v>
      </c>
      <c r="AI12" s="226">
        <f>'Расходы на П, строит-во, ввод'!AI26</f>
        <v>7016.666666666667</v>
      </c>
      <c r="AJ12" s="226">
        <f>'Расходы на П, строит-во, ввод'!AJ26</f>
        <v>7016.666666666667</v>
      </c>
      <c r="AK12" s="226">
        <f>'Расходы на П, строит-во, ввод'!AK26</f>
        <v>7016.666666666667</v>
      </c>
      <c r="AL12" s="226">
        <f>'Расходы на П, строит-во, ввод'!AL26</f>
        <v>7016.666666666667</v>
      </c>
      <c r="AM12" s="226">
        <f>'Расходы на П, строит-во, ввод'!AM26</f>
        <v>7016.666666666667</v>
      </c>
      <c r="AN12" s="226">
        <f>'Расходы на П, строит-во, ввод'!AN26</f>
        <v>7016.666666666667</v>
      </c>
      <c r="AO12" s="226">
        <f>'Расходы на П, строит-во, ввод'!AO26</f>
        <v>7016.666666666667</v>
      </c>
      <c r="AP12" s="226">
        <f>'Расходы на П, строит-во, ввод'!AP26</f>
        <v>7016.666666666667</v>
      </c>
      <c r="AQ12" s="226">
        <f>'Расходы на П, строит-во, ввод'!AQ26</f>
        <v>7016.666666666667</v>
      </c>
      <c r="AR12" s="226">
        <f>'Расходы на П, строит-во, ввод'!AR26</f>
        <v>7016.666666666667</v>
      </c>
      <c r="AS12" s="226">
        <f>'Расходы на П, строит-во, ввод'!AS26</f>
        <v>7016.666666666667</v>
      </c>
    </row>
    <row r="13" spans="1:45" ht="14.4">
      <c r="A13" s="229" t="s">
        <v>253</v>
      </c>
      <c r="B13" s="226"/>
      <c r="C13" s="226"/>
      <c r="D13" s="226"/>
      <c r="E13" s="227"/>
      <c r="F13" s="227"/>
      <c r="G13" s="227"/>
      <c r="H13" s="227"/>
      <c r="I13" s="227"/>
      <c r="J13" s="227"/>
      <c r="K13" s="227"/>
      <c r="L13" s="227"/>
      <c r="M13" s="227"/>
      <c r="N13" s="227"/>
      <c r="O13" s="227"/>
      <c r="P13" s="227"/>
      <c r="Q13" s="225"/>
      <c r="R13" s="225"/>
      <c r="S13" s="225"/>
      <c r="T13" s="225"/>
      <c r="U13" s="225"/>
      <c r="V13" s="225"/>
      <c r="W13" s="225"/>
      <c r="X13" s="225"/>
      <c r="Y13" s="225"/>
      <c r="Z13" s="225"/>
      <c r="AA13" s="225"/>
      <c r="AB13" s="225"/>
      <c r="AC13" s="225"/>
      <c r="AD13" s="225"/>
      <c r="AE13" s="225"/>
      <c r="AF13" s="225"/>
      <c r="AG13" s="225"/>
      <c r="AH13" s="225"/>
      <c r="AI13" s="225"/>
      <c r="AJ13" s="225"/>
      <c r="AK13" s="225"/>
      <c r="AL13" s="225"/>
      <c r="AM13" s="225"/>
      <c r="AN13" s="225"/>
      <c r="AO13" s="225"/>
      <c r="AP13" s="225"/>
      <c r="AQ13" s="225"/>
      <c r="AR13" s="225"/>
      <c r="AS13" s="225"/>
    </row>
    <row r="14" spans="1:45" ht="14.4">
      <c r="A14" s="634" t="s">
        <v>456</v>
      </c>
      <c r="B14" s="226">
        <f>B22-B21</f>
        <v>0</v>
      </c>
      <c r="C14" s="226">
        <f t="shared" ref="C14:AS14" si="4">C22-C21</f>
        <v>0</v>
      </c>
      <c r="D14" s="226">
        <f t="shared" si="4"/>
        <v>0</v>
      </c>
      <c r="E14" s="226">
        <f t="shared" si="4"/>
        <v>0</v>
      </c>
      <c r="F14" s="226">
        <f t="shared" si="4"/>
        <v>0</v>
      </c>
      <c r="G14" s="226">
        <f t="shared" si="4"/>
        <v>0</v>
      </c>
      <c r="H14" s="226">
        <f t="shared" si="4"/>
        <v>0</v>
      </c>
      <c r="I14" s="226">
        <f t="shared" si="4"/>
        <v>0</v>
      </c>
      <c r="J14" s="226">
        <f t="shared" si="4"/>
        <v>0</v>
      </c>
      <c r="K14" s="226">
        <f t="shared" si="4"/>
        <v>0</v>
      </c>
      <c r="L14" s="226">
        <f t="shared" si="4"/>
        <v>0</v>
      </c>
      <c r="M14" s="226">
        <f t="shared" si="4"/>
        <v>0</v>
      </c>
      <c r="N14" s="226">
        <f t="shared" si="4"/>
        <v>0</v>
      </c>
      <c r="O14" s="226">
        <f t="shared" si="4"/>
        <v>0</v>
      </c>
      <c r="P14" s="226">
        <f t="shared" si="4"/>
        <v>0</v>
      </c>
      <c r="Q14" s="226">
        <f t="shared" si="4"/>
        <v>0</v>
      </c>
      <c r="R14" s="226">
        <f t="shared" si="4"/>
        <v>-3342.7956967823993</v>
      </c>
      <c r="S14" s="226">
        <f t="shared" si="4"/>
        <v>-7676.1289867823943</v>
      </c>
      <c r="T14" s="226">
        <f t="shared" si="4"/>
        <v>4490.5376715509374</v>
      </c>
      <c r="U14" s="226">
        <f t="shared" si="4"/>
        <v>-37176.129021782399</v>
      </c>
      <c r="V14" s="226">
        <f t="shared" si="4"/>
        <v>24317.390390296365</v>
      </c>
      <c r="W14" s="226">
        <f t="shared" si="4"/>
        <v>24317.390390296365</v>
      </c>
      <c r="X14" s="226">
        <f t="shared" si="4"/>
        <v>24317.390390296365</v>
      </c>
      <c r="Y14" s="226">
        <f t="shared" si="4"/>
        <v>24317.390390296365</v>
      </c>
      <c r="Z14" s="226">
        <f t="shared" si="4"/>
        <v>32648.909084111059</v>
      </c>
      <c r="AA14" s="226">
        <f t="shared" si="4"/>
        <v>32648.909084111059</v>
      </c>
      <c r="AB14" s="226">
        <f t="shared" si="4"/>
        <v>32648.909084111059</v>
      </c>
      <c r="AC14" s="226">
        <f t="shared" si="4"/>
        <v>32648.909084111059</v>
      </c>
      <c r="AD14" s="226">
        <f t="shared" si="4"/>
        <v>42486.633962783628</v>
      </c>
      <c r="AE14" s="226">
        <f t="shared" si="4"/>
        <v>42486.633962783628</v>
      </c>
      <c r="AF14" s="226">
        <f t="shared" si="4"/>
        <v>42486.633962783628</v>
      </c>
      <c r="AG14" s="226">
        <f t="shared" si="4"/>
        <v>42486.633962783628</v>
      </c>
      <c r="AH14" s="226">
        <f t="shared" si="4"/>
        <v>51435.507260564831</v>
      </c>
      <c r="AI14" s="226">
        <f t="shared" si="4"/>
        <v>51435.507260564831</v>
      </c>
      <c r="AJ14" s="226">
        <f t="shared" si="4"/>
        <v>51435.507260564831</v>
      </c>
      <c r="AK14" s="226">
        <f t="shared" si="4"/>
        <v>51435.507260564831</v>
      </c>
      <c r="AL14" s="226">
        <f t="shared" si="4"/>
        <v>61293.090729542891</v>
      </c>
      <c r="AM14" s="226">
        <f t="shared" si="4"/>
        <v>61293.090729542891</v>
      </c>
      <c r="AN14" s="226">
        <f t="shared" si="4"/>
        <v>61293.090729542891</v>
      </c>
      <c r="AO14" s="226">
        <f t="shared" si="4"/>
        <v>61293.090729542891</v>
      </c>
      <c r="AP14" s="226">
        <f t="shared" si="4"/>
        <v>64914.901287610235</v>
      </c>
      <c r="AQ14" s="226">
        <f t="shared" si="4"/>
        <v>64914.901287610235</v>
      </c>
      <c r="AR14" s="226">
        <f t="shared" si="4"/>
        <v>64914.901287610235</v>
      </c>
      <c r="AS14" s="226">
        <f t="shared" si="4"/>
        <v>64914.901287610235</v>
      </c>
    </row>
    <row r="15" spans="1:45" ht="14.4">
      <c r="A15" s="224" t="s">
        <v>454</v>
      </c>
      <c r="B15" s="226">
        <f>'Расходы на П, строит-во, ввод'!B35</f>
        <v>0</v>
      </c>
      <c r="C15" s="226">
        <f>'Расходы на П, строит-во, ввод'!C35</f>
        <v>0</v>
      </c>
      <c r="D15" s="226">
        <f>'Расходы на П, строит-во, ввод'!D35</f>
        <v>0</v>
      </c>
      <c r="E15" s="226">
        <f>'Расходы на П, строит-во, ввод'!E35</f>
        <v>0</v>
      </c>
      <c r="F15" s="338">
        <f>'Расходы на П, строит-во, ввод'!F35</f>
        <v>0</v>
      </c>
      <c r="G15" s="338">
        <f>'Расходы на П, строит-во, ввод'!G35</f>
        <v>0</v>
      </c>
      <c r="H15" s="338">
        <f>'Расходы на П, строит-во, ввод'!H35</f>
        <v>0</v>
      </c>
      <c r="I15" s="338">
        <f>'Расходы на П, строит-во, ввод'!I35</f>
        <v>0</v>
      </c>
      <c r="J15" s="338">
        <f>'Расходы на П, строит-во, ввод'!J35</f>
        <v>0</v>
      </c>
      <c r="K15" s="338">
        <f>'Расходы на П, строит-во, ввод'!K35</f>
        <v>0</v>
      </c>
      <c r="L15" s="338">
        <f>'Расходы на П, строит-во, ввод'!L35</f>
        <v>0</v>
      </c>
      <c r="M15" s="338">
        <f>'Расходы на П, строит-во, ввод'!M35</f>
        <v>0</v>
      </c>
      <c r="N15" s="338">
        <f>'Расходы на П, строит-во, ввод'!N35</f>
        <v>0</v>
      </c>
      <c r="O15" s="338">
        <f>'Расходы на П, строит-во, ввод'!O35</f>
        <v>0</v>
      </c>
      <c r="P15" s="338">
        <f>'Расходы на П, строит-во, ввод'!P35</f>
        <v>0</v>
      </c>
      <c r="Q15" s="338">
        <f>'Расходы на П, строит-во, ввод'!Q35</f>
        <v>0</v>
      </c>
      <c r="R15" s="338">
        <f>'Расходы на П, строит-во, ввод'!R35</f>
        <v>0</v>
      </c>
      <c r="S15" s="338">
        <f>'Расходы на П, строит-во, ввод'!S35</f>
        <v>0</v>
      </c>
      <c r="T15" s="338">
        <f>'Расходы на П, строит-во, ввод'!T35</f>
        <v>0</v>
      </c>
      <c r="U15" s="338">
        <f>'Расходы на П, строит-во, ввод'!U35</f>
        <v>0</v>
      </c>
      <c r="V15" s="338">
        <f>'Расходы на П, строит-во, ввод'!V35</f>
        <v>0</v>
      </c>
      <c r="W15" s="338">
        <f>'Расходы на П, строит-во, ввод'!W35</f>
        <v>0</v>
      </c>
      <c r="X15" s="338">
        <f>'Расходы на П, строит-во, ввод'!X35</f>
        <v>0</v>
      </c>
      <c r="Y15" s="226">
        <f>'Расходы на П, строит-во, ввод'!Y35</f>
        <v>1494.1666666666674</v>
      </c>
      <c r="Z15" s="226">
        <f>'Расходы на П, строит-во, ввод'!Z35</f>
        <v>1492.3333333333342</v>
      </c>
      <c r="AA15" s="226">
        <f>'Расходы на П, строит-во, ввод'!AA35</f>
        <v>1490.5000000000009</v>
      </c>
      <c r="AB15" s="226">
        <f>'Расходы на П, строит-во, ввод'!AB35</f>
        <v>1488.6666666666677</v>
      </c>
      <c r="AC15" s="226">
        <f>'Расходы на П, строит-во, ввод'!AC35</f>
        <v>1486.8333333333344</v>
      </c>
      <c r="AD15" s="226">
        <f>'Расходы на П, строит-во, ввод'!AD35</f>
        <v>1485.0000000000011</v>
      </c>
      <c r="AE15" s="226">
        <f>'Расходы на П, строит-во, ввод'!AE35</f>
        <v>1483.1666666666679</v>
      </c>
      <c r="AF15" s="226">
        <f>'Расходы на П, строит-во, ввод'!AF35</f>
        <v>1481.3333333333348</v>
      </c>
      <c r="AG15" s="226">
        <f>'Расходы на П, строит-во, ввод'!AG35</f>
        <v>1479.5000000000016</v>
      </c>
      <c r="AH15" s="226">
        <f>'Расходы на П, строит-во, ввод'!AH35</f>
        <v>1477.6666666666683</v>
      </c>
      <c r="AI15" s="226">
        <f>'Расходы на П, строит-во, ввод'!AI35</f>
        <v>1475.8333333333351</v>
      </c>
      <c r="AJ15" s="226">
        <f>'Расходы на П, строит-во, ввод'!AJ35</f>
        <v>1474.0000000000018</v>
      </c>
      <c r="AK15" s="226">
        <f>'Расходы на П, строит-во, ввод'!AK35</f>
        <v>1472.1666666666686</v>
      </c>
      <c r="AL15" s="226">
        <f>'Расходы на П, строит-во, ввод'!AL35</f>
        <v>1470.3333333333353</v>
      </c>
      <c r="AM15" s="226">
        <f>'Расходы на П, строит-во, ввод'!AM35</f>
        <v>1468.500000000002</v>
      </c>
      <c r="AN15" s="226">
        <f>'Расходы на П, строит-во, ввод'!AN35</f>
        <v>1466.666666666669</v>
      </c>
      <c r="AO15" s="226">
        <f>'Расходы на П, строит-во, ввод'!AO35</f>
        <v>1464.8333333333358</v>
      </c>
      <c r="AP15" s="226">
        <f>'Расходы на П, строит-во, ввод'!AP35</f>
        <v>1463.0000000000025</v>
      </c>
      <c r="AQ15" s="226">
        <f>'Расходы на П, строит-во, ввод'!AQ35</f>
        <v>1461.1666666666692</v>
      </c>
      <c r="AR15" s="226">
        <f>'Расходы на П, строит-во, ввод'!AR35</f>
        <v>1459.333333333336</v>
      </c>
      <c r="AS15" s="226">
        <f>'Расходы на П, строит-во, ввод'!AS35</f>
        <v>1457.5000000000027</v>
      </c>
    </row>
    <row r="16" spans="1:45" ht="30.75" customHeight="1">
      <c r="A16" s="224" t="s">
        <v>204</v>
      </c>
      <c r="B16" s="226">
        <f>'Расходы на П, строит-во, ввод'!B49</f>
        <v>0</v>
      </c>
      <c r="C16" s="226">
        <f>'Расходы на П, строит-во, ввод'!C49</f>
        <v>0</v>
      </c>
      <c r="D16" s="226">
        <f>'Расходы на П, строит-во, ввод'!D49</f>
        <v>0</v>
      </c>
      <c r="E16" s="226">
        <f>'Расходы на П, строит-во, ввод'!E49</f>
        <v>0</v>
      </c>
      <c r="F16" s="226">
        <f>'Расходы на П, строит-во, ввод'!F49</f>
        <v>0</v>
      </c>
      <c r="G16" s="226">
        <f>'Расходы на П, строит-во, ввод'!G49</f>
        <v>0</v>
      </c>
      <c r="H16" s="226">
        <f>'Расходы на П, строит-во, ввод'!H49</f>
        <v>0</v>
      </c>
      <c r="I16" s="226">
        <f>'Расходы на П, строит-во, ввод'!I49</f>
        <v>0</v>
      </c>
      <c r="J16" s="226">
        <f>'Расходы на П, строит-во, ввод'!J49</f>
        <v>0</v>
      </c>
      <c r="K16" s="226">
        <f>'Расходы на П, строит-во, ввод'!K49</f>
        <v>0</v>
      </c>
      <c r="L16" s="226">
        <f>'Расходы на П, строит-во, ввод'!L49</f>
        <v>0</v>
      </c>
      <c r="M16" s="226">
        <f>'Расходы на П, строит-во, ввод'!M49</f>
        <v>0</v>
      </c>
      <c r="N16" s="226">
        <f>'Расходы на П, строит-во, ввод'!N49</f>
        <v>0</v>
      </c>
      <c r="O16" s="226">
        <f>'Расходы на П, строит-во, ввод'!O49</f>
        <v>0</v>
      </c>
      <c r="P16" s="226">
        <f>'Расходы на П, строит-во, ввод'!P49</f>
        <v>0</v>
      </c>
      <c r="Q16" s="226">
        <f>'Расходы на П, строит-во, ввод'!Q49</f>
        <v>0</v>
      </c>
      <c r="R16" s="226">
        <f>'Расходы на П, строит-во, ввод'!R49</f>
        <v>0</v>
      </c>
      <c r="S16" s="226">
        <f>'Расходы на П, строит-во, ввод'!S49</f>
        <v>0</v>
      </c>
      <c r="T16" s="226">
        <f>'Расходы на П, строит-во, ввод'!T49</f>
        <v>0</v>
      </c>
      <c r="U16" s="226">
        <f>'Расходы на П, строит-во, ввод'!U49</f>
        <v>0</v>
      </c>
      <c r="V16" s="226">
        <f>'Расходы на П, строит-во, ввод'!V49</f>
        <v>0</v>
      </c>
      <c r="W16" s="226">
        <f>'Расходы на П, строит-во, ввод'!W49</f>
        <v>0</v>
      </c>
      <c r="X16" s="226">
        <f>'Расходы на П, строит-во, ввод'!X49</f>
        <v>0</v>
      </c>
      <c r="Y16" s="226">
        <f>'Расходы на П, строит-во, ввод'!Y49</f>
        <v>0</v>
      </c>
      <c r="Z16" s="226">
        <f>'Расходы на П, строит-во, ввод'!Z49</f>
        <v>0</v>
      </c>
      <c r="AA16" s="226">
        <f>'Расходы на П, строит-во, ввод'!AA49</f>
        <v>0</v>
      </c>
      <c r="AB16" s="226">
        <f>'Расходы на П, строит-во, ввод'!AB49</f>
        <v>0</v>
      </c>
      <c r="AC16" s="226">
        <f>'Расходы на П, строит-во, ввод'!AC49</f>
        <v>0</v>
      </c>
      <c r="AD16" s="226">
        <f>'Расходы на П, строит-во, ввод'!AD49</f>
        <v>0</v>
      </c>
      <c r="AE16" s="226">
        <f>'Расходы на П, строит-во, ввод'!AE49</f>
        <v>0</v>
      </c>
      <c r="AF16" s="226">
        <f>'Расходы на П, строит-во, ввод'!AF49</f>
        <v>0</v>
      </c>
      <c r="AG16" s="226">
        <f>'Расходы на П, строит-во, ввод'!AG49</f>
        <v>0</v>
      </c>
      <c r="AH16" s="226">
        <f>'Расходы на П, строит-во, ввод'!AH49</f>
        <v>0</v>
      </c>
      <c r="AI16" s="226">
        <f>'Расходы на П, строит-во, ввод'!AI49</f>
        <v>0</v>
      </c>
      <c r="AJ16" s="226">
        <f>'Расходы на П, строит-во, ввод'!AJ49</f>
        <v>0</v>
      </c>
      <c r="AK16" s="226">
        <f>'Расходы на П, строит-во, ввод'!AK49</f>
        <v>0</v>
      </c>
      <c r="AL16" s="226">
        <f>'Расходы на П, строит-во, ввод'!AL49</f>
        <v>0</v>
      </c>
      <c r="AM16" s="226">
        <f>'Расходы на П, строит-во, ввод'!AM49</f>
        <v>0</v>
      </c>
      <c r="AN16" s="226">
        <f>'Расходы на П, строит-во, ввод'!AN49</f>
        <v>0</v>
      </c>
      <c r="AO16" s="226">
        <f>'Расходы на П, строит-во, ввод'!AO49</f>
        <v>0</v>
      </c>
      <c r="AP16" s="226">
        <f>'Расходы на П, строит-во, ввод'!AP49</f>
        <v>0</v>
      </c>
      <c r="AQ16" s="226">
        <f>'Расходы на П, строит-во, ввод'!AQ49</f>
        <v>0</v>
      </c>
      <c r="AR16" s="226">
        <f>'Расходы на П, строит-во, ввод'!AR49</f>
        <v>0</v>
      </c>
      <c r="AS16" s="226">
        <f>'Расходы на П, строит-во, ввод'!AS49</f>
        <v>0</v>
      </c>
    </row>
    <row r="17" spans="1:47" ht="30.75" customHeight="1">
      <c r="A17" s="224" t="s">
        <v>254</v>
      </c>
      <c r="B17" s="67"/>
      <c r="C17" s="67"/>
      <c r="D17" s="67"/>
      <c r="E17" s="225"/>
      <c r="F17" s="225"/>
      <c r="G17" s="225"/>
      <c r="H17" s="225"/>
      <c r="I17" s="225"/>
      <c r="J17" s="225"/>
      <c r="K17" s="225"/>
      <c r="L17" s="225"/>
      <c r="M17" s="225"/>
      <c r="N17" s="225"/>
      <c r="O17" s="225"/>
      <c r="P17" s="225"/>
      <c r="Q17" s="225"/>
      <c r="R17" s="225"/>
      <c r="S17" s="225"/>
      <c r="T17" s="225"/>
      <c r="U17" s="225"/>
      <c r="V17" s="225">
        <f>допущения!$C$34/4*('Расходы на П, строит-во, ввод'!$R$5+'Расходы на П, строит-во, ввод'!$R$6+'Расходы на П, строит-во, ввод'!$R$7)/4</f>
        <v>187.5</v>
      </c>
      <c r="W17" s="225">
        <f>допущения!$C$34/4*('Расходы на П, строит-во, ввод'!$R$5+'Расходы на П, строит-во, ввод'!$R$6+'Расходы на П, строит-во, ввод'!$R$7)/4</f>
        <v>187.5</v>
      </c>
      <c r="X17" s="225">
        <f>допущения!$C$34/4*('Расходы на П, строит-во, ввод'!$R$5+'Расходы на П, строит-во, ввод'!$R$6+'Расходы на П, строит-во, ввод'!$R$7)/4</f>
        <v>187.5</v>
      </c>
      <c r="Y17" s="225">
        <f>допущения!$C$34/4*('Расходы на П, строит-во, ввод'!$R$5+'Расходы на П, строит-во, ввод'!$R$6+'Расходы на П, строит-во, ввод'!$R$7)/4</f>
        <v>187.5</v>
      </c>
      <c r="Z17" s="225">
        <f>допущения!$C$34/4*('Расходы на П, строит-во, ввод'!$R$5+'Расходы на П, строит-во, ввод'!$R$6+'Расходы на П, строит-во, ввод'!$R$7)/4</f>
        <v>187.5</v>
      </c>
      <c r="AA17" s="225">
        <f>допущения!$C$34/4*('Расходы на П, строит-во, ввод'!$R$5+'Расходы на П, строит-во, ввод'!$R$6+'Расходы на П, строит-во, ввод'!$R$7)/4</f>
        <v>187.5</v>
      </c>
      <c r="AB17" s="225">
        <f>допущения!$C$34/4*('Расходы на П, строит-во, ввод'!$R$5+'Расходы на П, строит-во, ввод'!$R$6+'Расходы на П, строит-во, ввод'!$R$7)/4</f>
        <v>187.5</v>
      </c>
      <c r="AC17" s="225">
        <f>допущения!$C$34/4*('Расходы на П, строит-во, ввод'!$R$5+'Расходы на П, строит-во, ввод'!$R$6+'Расходы на П, строит-во, ввод'!$R$7)/4</f>
        <v>187.5</v>
      </c>
      <c r="AD17" s="225">
        <f>допущения!$C$34/4*('Расходы на П, строит-во, ввод'!$R$5+'Расходы на П, строит-во, ввод'!$R$6+'Расходы на П, строит-во, ввод'!$R$7)/4</f>
        <v>187.5</v>
      </c>
      <c r="AE17" s="225">
        <f>допущения!$C$34/4*('Расходы на П, строит-во, ввод'!$R$5+'Расходы на П, строит-во, ввод'!$R$6+'Расходы на П, строит-во, ввод'!$R$7)/4</f>
        <v>187.5</v>
      </c>
      <c r="AF17" s="225">
        <f>допущения!$C$34/4*('Расходы на П, строит-во, ввод'!$R$5+'Расходы на П, строит-во, ввод'!$R$6+'Расходы на П, строит-во, ввод'!$R$7)/4</f>
        <v>187.5</v>
      </c>
      <c r="AG17" s="225">
        <f>допущения!$C$34/4*('Расходы на П, строит-во, ввод'!$R$5+'Расходы на П, строит-во, ввод'!$R$6+'Расходы на П, строит-во, ввод'!$R$7)/4</f>
        <v>187.5</v>
      </c>
      <c r="AH17" s="225">
        <f>допущения!$C$34/4*('Расходы на П, строит-во, ввод'!$R$5+'Расходы на П, строит-во, ввод'!$R$6+'Расходы на П, строит-во, ввод'!$R$7)/4</f>
        <v>187.5</v>
      </c>
      <c r="AI17" s="225">
        <f>допущения!$C$34/4*('Расходы на П, строит-во, ввод'!$R$5+'Расходы на П, строит-во, ввод'!$R$6+'Расходы на П, строит-во, ввод'!$R$7)/4</f>
        <v>187.5</v>
      </c>
      <c r="AJ17" s="225">
        <f>допущения!$C$34/4*('Расходы на П, строит-во, ввод'!$R$5+'Расходы на П, строит-во, ввод'!$R$6+'Расходы на П, строит-во, ввод'!$R$7)/4</f>
        <v>187.5</v>
      </c>
      <c r="AK17" s="225">
        <f>допущения!$C$34/4*('Расходы на П, строит-во, ввод'!$R$5+'Расходы на П, строит-во, ввод'!$R$6+'Расходы на П, строит-во, ввод'!$R$7)/4</f>
        <v>187.5</v>
      </c>
      <c r="AL17" s="225">
        <f>допущения!$C$34/4*('Расходы на П, строит-во, ввод'!$R$5+'Расходы на П, строит-во, ввод'!$R$6+'Расходы на П, строит-во, ввод'!$R$7)/4</f>
        <v>187.5</v>
      </c>
      <c r="AM17" s="225">
        <f>допущения!$C$34/4*('Расходы на П, строит-во, ввод'!$R$5+'Расходы на П, строит-во, ввод'!$R$6+'Расходы на П, строит-во, ввод'!$R$7)/4</f>
        <v>187.5</v>
      </c>
      <c r="AN17" s="225">
        <f>допущения!$C$34/4*('Расходы на П, строит-во, ввод'!$R$5+'Расходы на П, строит-во, ввод'!$R$6+'Расходы на П, строит-во, ввод'!$R$7)/4</f>
        <v>187.5</v>
      </c>
      <c r="AO17" s="225">
        <f>допущения!$C$34/4*('Расходы на П, строит-во, ввод'!$R$5+'Расходы на П, строит-во, ввод'!$R$6+'Расходы на П, строит-во, ввод'!$R$7)/4</f>
        <v>187.5</v>
      </c>
      <c r="AP17" s="225">
        <f>допущения!$C$34/4*('Расходы на П, строит-во, ввод'!$R$5+'Расходы на П, строит-во, ввод'!$R$6+'Расходы на П, строит-во, ввод'!$R$7)/4</f>
        <v>187.5</v>
      </c>
      <c r="AQ17" s="225">
        <f>допущения!$C$34/4*('Расходы на П, строит-во, ввод'!$R$5+'Расходы на П, строит-во, ввод'!$R$6+'Расходы на П, строит-во, ввод'!$R$7)/4</f>
        <v>187.5</v>
      </c>
      <c r="AR17" s="225">
        <f>допущения!$C$34/4*('Расходы на П, строит-во, ввод'!$R$5+'Расходы на П, строит-во, ввод'!$R$6+'Расходы на П, строит-во, ввод'!$R$7)/4</f>
        <v>187.5</v>
      </c>
      <c r="AS17" s="225">
        <f>допущения!$C$34/4*('Расходы на П, строит-во, ввод'!$R$5+'Расходы на П, строит-во, ввод'!$R$6+'Расходы на П, строит-во, ввод'!$R$7)/4</f>
        <v>187.5</v>
      </c>
    </row>
    <row r="18" spans="1:47" s="337" customFormat="1" ht="14.4">
      <c r="A18" s="335" t="s">
        <v>255</v>
      </c>
      <c r="B18" s="336">
        <f t="shared" ref="B18:E18" si="5">SUM(B2:B17)</f>
        <v>0</v>
      </c>
      <c r="C18" s="336">
        <f t="shared" si="5"/>
        <v>0</v>
      </c>
      <c r="D18" s="336">
        <f>SUM(D2:D17)</f>
        <v>1.35963908325</v>
      </c>
      <c r="E18" s="336">
        <f t="shared" si="5"/>
        <v>1.35963908325</v>
      </c>
      <c r="F18" s="336">
        <f>SUM(F2:F17)</f>
        <v>1.35963908325</v>
      </c>
      <c r="G18" s="336">
        <f t="shared" ref="G18:AS18" si="6">SUM(G2:G17)</f>
        <v>1.35963908325</v>
      </c>
      <c r="H18" s="336">
        <f t="shared" si="6"/>
        <v>1.35963908325</v>
      </c>
      <c r="I18" s="336">
        <f>SUM(I2:I17)</f>
        <v>1.35963908325</v>
      </c>
      <c r="J18" s="336">
        <f t="shared" si="6"/>
        <v>1.35963908325</v>
      </c>
      <c r="K18" s="336">
        <f t="shared" si="6"/>
        <v>1.35963908325</v>
      </c>
      <c r="L18" s="336">
        <f t="shared" si="6"/>
        <v>1.35963908325</v>
      </c>
      <c r="M18" s="336">
        <f t="shared" si="6"/>
        <v>1.35963908325</v>
      </c>
      <c r="N18" s="336">
        <f t="shared" si="6"/>
        <v>1.35963908325</v>
      </c>
      <c r="O18" s="336">
        <f t="shared" si="6"/>
        <v>1.35963908325</v>
      </c>
      <c r="P18" s="336">
        <f t="shared" si="6"/>
        <v>1.35963908325</v>
      </c>
      <c r="Q18" s="336">
        <f t="shared" si="6"/>
        <v>1.35963908325</v>
      </c>
      <c r="R18" s="336">
        <f t="shared" si="6"/>
        <v>39328.187645520418</v>
      </c>
      <c r="S18" s="336">
        <f t="shared" si="6"/>
        <v>34994.854355520423</v>
      </c>
      <c r="T18" s="336">
        <f t="shared" si="6"/>
        <v>47161.521013853751</v>
      </c>
      <c r="U18" s="336">
        <f t="shared" si="6"/>
        <v>5494.8543205204187</v>
      </c>
      <c r="V18" s="336">
        <f t="shared" si="6"/>
        <v>76619.859468832059</v>
      </c>
      <c r="W18" s="336">
        <f t="shared" si="6"/>
        <v>76619.859468832059</v>
      </c>
      <c r="X18" s="336">
        <f t="shared" si="6"/>
        <v>76619.859468832059</v>
      </c>
      <c r="Y18" s="336">
        <f t="shared" si="6"/>
        <v>78114.026135498731</v>
      </c>
      <c r="Z18" s="336">
        <f>SUM(Z2:Z17)</f>
        <v>97588.007510842188</v>
      </c>
      <c r="AA18" s="336">
        <f t="shared" si="6"/>
        <v>97586.174177508859</v>
      </c>
      <c r="AB18" s="336">
        <f t="shared" si="6"/>
        <v>97584.340844175531</v>
      </c>
      <c r="AC18" s="336">
        <f t="shared" si="6"/>
        <v>97582.507510842188</v>
      </c>
      <c r="AD18" s="336">
        <f t="shared" si="6"/>
        <v>120443.8865832367</v>
      </c>
      <c r="AE18" s="336">
        <f t="shared" si="6"/>
        <v>120442.05324990337</v>
      </c>
      <c r="AF18" s="336">
        <f t="shared" si="6"/>
        <v>120440.21991657003</v>
      </c>
      <c r="AG18" s="336">
        <f t="shared" si="6"/>
        <v>120438.3865832367</v>
      </c>
      <c r="AH18" s="336">
        <f t="shared" si="6"/>
        <v>141396.27863955183</v>
      </c>
      <c r="AI18" s="336">
        <f t="shared" si="6"/>
        <v>141394.44530621852</v>
      </c>
      <c r="AJ18" s="336">
        <f t="shared" si="6"/>
        <v>141392.61197288518</v>
      </c>
      <c r="AK18" s="336">
        <f t="shared" si="6"/>
        <v>141390.77863955183</v>
      </c>
      <c r="AL18" s="336">
        <f t="shared" si="6"/>
        <v>164436.95966788349</v>
      </c>
      <c r="AM18" s="336">
        <f t="shared" si="6"/>
        <v>164435.12633455015</v>
      </c>
      <c r="AN18" s="336">
        <f t="shared" si="6"/>
        <v>164433.29300121681</v>
      </c>
      <c r="AO18" s="336">
        <f t="shared" si="6"/>
        <v>164431.45966788349</v>
      </c>
      <c r="AP18" s="336">
        <f t="shared" si="6"/>
        <v>172522.25042439636</v>
      </c>
      <c r="AQ18" s="336">
        <f t="shared" si="6"/>
        <v>172520.41709106302</v>
      </c>
      <c r="AR18" s="336">
        <f t="shared" si="6"/>
        <v>172518.58375772971</v>
      </c>
      <c r="AS18" s="336">
        <f t="shared" si="6"/>
        <v>172516.75042439636</v>
      </c>
    </row>
    <row r="19" spans="1:47" s="343" customFormat="1" ht="28.8">
      <c r="A19" s="339" t="s">
        <v>256</v>
      </c>
      <c r="B19" s="340"/>
      <c r="C19" s="340"/>
      <c r="D19" s="340"/>
      <c r="E19" s="341">
        <f>B18+C18+D18+E18</f>
        <v>2.7192781665000001</v>
      </c>
      <c r="F19" s="341"/>
      <c r="G19" s="341"/>
      <c r="H19" s="341"/>
      <c r="I19" s="342">
        <f>F18+G18+H18+I18</f>
        <v>5.4385563330000002</v>
      </c>
      <c r="J19" s="341"/>
      <c r="K19" s="341"/>
      <c r="L19" s="341"/>
      <c r="M19" s="341">
        <f>J18+K18+L18+M18</f>
        <v>5.4385563330000002</v>
      </c>
      <c r="N19" s="341"/>
      <c r="O19" s="341"/>
      <c r="P19" s="341"/>
      <c r="Q19" s="341">
        <f>N18+O18+P18+Q18</f>
        <v>5.4385563330000002</v>
      </c>
      <c r="R19" s="341"/>
      <c r="S19" s="341"/>
      <c r="T19" s="341"/>
      <c r="U19" s="341">
        <f>R18+S18+T18+U18</f>
        <v>126979.41733541501</v>
      </c>
      <c r="V19" s="341"/>
      <c r="W19" s="341"/>
      <c r="X19" s="341"/>
      <c r="Y19" s="341">
        <f>V18+W18+X18+Y18</f>
        <v>307973.60454199492</v>
      </c>
      <c r="Z19" s="341"/>
      <c r="AA19" s="341"/>
      <c r="AB19" s="341"/>
      <c r="AC19" s="341">
        <f>Z18+AA18+AB18+AC18</f>
        <v>390341.03004336875</v>
      </c>
      <c r="AD19" s="341"/>
      <c r="AE19" s="341"/>
      <c r="AF19" s="341"/>
      <c r="AG19" s="341">
        <f>AD18+AE18+AF18+AG18</f>
        <v>481764.5463329468</v>
      </c>
      <c r="AH19" s="341"/>
      <c r="AI19" s="341"/>
      <c r="AJ19" s="341"/>
      <c r="AK19" s="341">
        <f>AH18+AI18+AJ18+AK18</f>
        <v>565574.11455820734</v>
      </c>
      <c r="AL19" s="341"/>
      <c r="AM19" s="341"/>
      <c r="AN19" s="341"/>
      <c r="AO19" s="341">
        <f>AL18+AM18+AN18+AO18</f>
        <v>657736.83867153397</v>
      </c>
      <c r="AP19" s="341"/>
      <c r="AQ19" s="341"/>
      <c r="AR19" s="341"/>
      <c r="AS19" s="341">
        <f>AP18+AQ18+AR18+AS18</f>
        <v>690078.00169758545</v>
      </c>
    </row>
    <row r="20" spans="1:47" s="479" customFormat="1" ht="14.4">
      <c r="A20" s="629"/>
      <c r="B20" s="630"/>
      <c r="C20" s="630"/>
      <c r="D20" s="630"/>
      <c r="E20" s="631"/>
      <c r="F20" s="631"/>
      <c r="G20" s="631"/>
      <c r="H20" s="631"/>
      <c r="I20" s="632"/>
      <c r="J20" s="631"/>
      <c r="K20" s="631"/>
      <c r="L20" s="631"/>
      <c r="M20" s="631"/>
      <c r="N20" s="631"/>
      <c r="O20" s="631"/>
      <c r="P20" s="631"/>
      <c r="Q20" s="631"/>
      <c r="R20" s="631"/>
      <c r="S20" s="631"/>
      <c r="T20" s="631"/>
      <c r="U20" s="631"/>
      <c r="V20" s="631"/>
      <c r="W20" s="631"/>
      <c r="X20" s="631"/>
      <c r="Y20" s="631"/>
      <c r="Z20" s="631"/>
      <c r="AA20" s="631"/>
      <c r="AB20" s="631"/>
      <c r="AC20" s="631"/>
      <c r="AD20" s="631"/>
      <c r="AE20" s="631"/>
      <c r="AF20" s="631"/>
      <c r="AG20" s="631"/>
      <c r="AH20" s="631"/>
      <c r="AI20" s="631"/>
      <c r="AJ20" s="631"/>
      <c r="AK20" s="631"/>
      <c r="AL20" s="631"/>
      <c r="AM20" s="631"/>
      <c r="AN20" s="631"/>
      <c r="AO20" s="631"/>
      <c r="AP20" s="631"/>
      <c r="AQ20" s="631"/>
      <c r="AR20" s="631"/>
      <c r="AS20" s="631"/>
    </row>
    <row r="21" spans="1:47" s="479" customFormat="1" ht="15.6">
      <c r="A21" s="172" t="s">
        <v>457</v>
      </c>
      <c r="B21" s="226">
        <f>допущения!$C$19*SUM('Расходы ТОР'!B4:B8)</f>
        <v>0</v>
      </c>
      <c r="C21" s="226">
        <f>допущения!$C$19*SUM('Расходы ТОР'!C4:C8)</f>
        <v>0</v>
      </c>
      <c r="D21" s="226">
        <f>допущения!$C$19*SUM('Расходы ТОР'!D4:D8)</f>
        <v>0</v>
      </c>
      <c r="E21" s="226">
        <f>допущения!$C$19*SUM('Расходы ТОР'!E4:E8)</f>
        <v>0</v>
      </c>
      <c r="F21" s="226">
        <f>допущения!$C$19*SUM('Расходы ТОР'!F4:F8)</f>
        <v>0</v>
      </c>
      <c r="G21" s="226">
        <f>допущения!$C$19*SUM('Расходы ТОР'!G4:G8)</f>
        <v>0</v>
      </c>
      <c r="H21" s="226">
        <f>допущения!$C$19*SUM('Расходы ТОР'!H4:H8)</f>
        <v>0</v>
      </c>
      <c r="I21" s="226">
        <f>допущения!$C$19*SUM('Расходы ТОР'!I4:I8)</f>
        <v>0</v>
      </c>
      <c r="J21" s="226">
        <f>допущения!$C$19*SUM('Расходы ТОР'!J4:J8)</f>
        <v>0</v>
      </c>
      <c r="K21" s="226">
        <f>допущения!$C$19*SUM('Расходы ТОР'!K4:K8)</f>
        <v>0</v>
      </c>
      <c r="L21" s="226">
        <f>допущения!$C$19*SUM('Расходы ТОР'!L4:L8)</f>
        <v>0</v>
      </c>
      <c r="M21" s="226">
        <f>допущения!$C$19*SUM('Расходы ТОР'!M4:M8)</f>
        <v>0</v>
      </c>
      <c r="N21" s="226">
        <f>допущения!$C$19*SUM('Расходы ТОР'!N4:N8)</f>
        <v>0</v>
      </c>
      <c r="O21" s="226">
        <f>допущения!$C$19*SUM('Расходы ТОР'!O4:O8)+'Расходы на П, строит-во, ввод'!M15</f>
        <v>0</v>
      </c>
      <c r="P21" s="226">
        <f>допущения!$C$19*SUM('Расходы ТОР'!P4:P8)+'Расходы на П, строит-во, ввод'!N15</f>
        <v>0</v>
      </c>
      <c r="Q21" s="226">
        <f>допущения!$C$19*SUM('Расходы ТОР'!Q4:Q8)+'Расходы на П, строит-во, ввод'!O15</f>
        <v>0</v>
      </c>
      <c r="R21" s="226">
        <f>допущения!$C$19*SUM('Расходы ТОР'!R4:R8)++'Расходы на П, строит-во, ввод'!K15</f>
        <v>25102.29582764392</v>
      </c>
      <c r="S21" s="226">
        <f>допущения!$C$19*SUM('Расходы ТОР'!S4:S8)++'Расходы на П, строит-во, ввод'!L15</f>
        <v>29435.629117643915</v>
      </c>
      <c r="T21" s="226">
        <f>допущения!$C$19*SUM('Расходы ТОР'!T4:T8)+'Расходы на П, строит-во, ввод'!P15</f>
        <v>17268.962459310584</v>
      </c>
      <c r="U21" s="226">
        <f>допущения!$C$19*SUM('Расходы ТОР'!U4:U8)+'Расходы на П, строит-во, ввод'!Q15</f>
        <v>58935.629152643916</v>
      </c>
      <c r="V21" s="226">
        <f>допущения!$C$19*SUM('Расходы ТОР'!V4:V8)</f>
        <v>6171.7285504771562</v>
      </c>
      <c r="W21" s="226">
        <f>допущения!$C$19*SUM('Расходы ТОР'!W4:W8)</f>
        <v>6171.7285504771562</v>
      </c>
      <c r="X21" s="226">
        <f>допущения!$C$19*SUM('Расходы ТОР'!X4:X8)</f>
        <v>6171.7285504771562</v>
      </c>
      <c r="Y21" s="226">
        <f>допущения!$C$19*SUM('Расходы ТОР'!Y4:Y8)</f>
        <v>6171.7285504771562</v>
      </c>
      <c r="Z21" s="226">
        <f>допущения!$C$19*SUM('Расходы ТОР'!Z4:Z8)</f>
        <v>8238.7281532047764</v>
      </c>
      <c r="AA21" s="226">
        <f>допущения!$C$19*SUM('Расходы ТОР'!AA4:AA8)</f>
        <v>8238.7281532047764</v>
      </c>
      <c r="AB21" s="226">
        <f>допущения!$C$19*SUM('Расходы ТОР'!AB4:AB8)</f>
        <v>8238.7281532047764</v>
      </c>
      <c r="AC21" s="226">
        <f>допущения!$C$19*SUM('Расходы ТОР'!AC4:AC8)</f>
        <v>8238.7281532047764</v>
      </c>
      <c r="AD21" s="226">
        <f>допущения!$C$19*SUM('Расходы ТОР'!AD4:AD8)</f>
        <v>10677.841300209144</v>
      </c>
      <c r="AE21" s="226">
        <f>допущения!$C$19*SUM('Расходы ТОР'!AE4:AE8)</f>
        <v>10677.841300209144</v>
      </c>
      <c r="AF21" s="226">
        <f>допущения!$C$19*SUM('Расходы ТОР'!AF4:AF8)</f>
        <v>10677.841300209144</v>
      </c>
      <c r="AG21" s="226">
        <f>допущения!$C$19*SUM('Расходы ТОР'!AG4:AG8)</f>
        <v>10677.841300209144</v>
      </c>
      <c r="AH21" s="226">
        <f>допущения!$C$19*SUM('Расходы ТОР'!AH4:AH8)</f>
        <v>12898.481480818709</v>
      </c>
      <c r="AI21" s="226">
        <f>допущения!$C$19*SUM('Расходы ТОР'!AI4:AI8)</f>
        <v>12898.481480818709</v>
      </c>
      <c r="AJ21" s="226">
        <f>допущения!$C$19*SUM('Расходы ТОР'!AJ4:AJ8)</f>
        <v>12898.481480818709</v>
      </c>
      <c r="AK21" s="226">
        <f>допущения!$C$19*SUM('Расходы ТОР'!AK4:AK8)</f>
        <v>12898.481480818709</v>
      </c>
      <c r="AL21" s="226">
        <f>допущения!$C$19*SUM('Расходы ТОР'!AL4:AL8)</f>
        <v>15344.145607326367</v>
      </c>
      <c r="AM21" s="226">
        <f>допущения!$C$19*SUM('Расходы ТОР'!AM4:AM8)</f>
        <v>15344.145607326367</v>
      </c>
      <c r="AN21" s="226">
        <f>допущения!$C$19*SUM('Расходы ТОР'!AN4:AN8)</f>
        <v>15344.145607326367</v>
      </c>
      <c r="AO21" s="226">
        <f>допущения!$C$19*SUM('Расходы ТОР'!AO4:AO8)</f>
        <v>15344.145607326367</v>
      </c>
      <c r="AP21" s="226">
        <f>допущения!$C$19*SUM('Расходы ТОР'!AP4:AP8)</f>
        <v>16238.308313682141</v>
      </c>
      <c r="AQ21" s="226">
        <f>допущения!$C$19*SUM('Расходы ТОР'!AQ4:AQ8)</f>
        <v>16238.308313682141</v>
      </c>
      <c r="AR21" s="226">
        <f>допущения!$C$19*SUM('Расходы ТОР'!AR4:AR8)</f>
        <v>16238.308313682141</v>
      </c>
      <c r="AS21" s="226">
        <f>допущения!$C$19*SUM('Расходы ТОР'!AS4:AS8)</f>
        <v>16238.308313682141</v>
      </c>
    </row>
    <row r="22" spans="1:47" ht="15.6">
      <c r="A22" s="172" t="s">
        <v>458</v>
      </c>
      <c r="B22" s="226">
        <f>допущения!$C$19*'выручка по кв и годам'!D5</f>
        <v>0</v>
      </c>
      <c r="C22" s="226">
        <f>допущения!$C$19*'выручка по кв и годам'!E5</f>
        <v>0</v>
      </c>
      <c r="D22" s="226">
        <f>допущения!$C$19*'выручка по кв и годам'!F5</f>
        <v>0</v>
      </c>
      <c r="E22" s="226">
        <f>допущения!$C$19*'выручка по кв и годам'!G5</f>
        <v>0</v>
      </c>
      <c r="F22" s="226">
        <f>допущения!$C$19*'выручка по кв и годам'!H5</f>
        <v>0</v>
      </c>
      <c r="G22" s="226">
        <f>допущения!$C$19*'выручка по кв и годам'!I5</f>
        <v>0</v>
      </c>
      <c r="H22" s="226">
        <f>допущения!$C$19*'выручка по кв и годам'!J5</f>
        <v>0</v>
      </c>
      <c r="I22" s="226">
        <f>допущения!$C$19*'выручка по кв и годам'!K5</f>
        <v>0</v>
      </c>
      <c r="J22" s="226">
        <f>допущения!$C$19*'выручка по кв и годам'!L5</f>
        <v>0</v>
      </c>
      <c r="K22" s="226">
        <f>допущения!$C$19*'выручка по кв и годам'!M5</f>
        <v>0</v>
      </c>
      <c r="L22" s="226">
        <f>допущения!$C$19*'выручка по кв и годам'!N5</f>
        <v>0</v>
      </c>
      <c r="M22" s="226">
        <f>допущения!$C$19*'выручка по кв и годам'!O5</f>
        <v>0</v>
      </c>
      <c r="N22" s="226">
        <f>допущения!$C$19*'выручка по кв и годам'!P5</f>
        <v>0</v>
      </c>
      <c r="O22" s="226">
        <f>допущения!$C$19*'выручка по кв и годам'!Q5</f>
        <v>0</v>
      </c>
      <c r="P22" s="226">
        <f>допущения!$C$19*'выручка по кв и годам'!R5</f>
        <v>0</v>
      </c>
      <c r="Q22" s="226">
        <f>допущения!$C$19*'выручка по кв и годам'!S5</f>
        <v>0</v>
      </c>
      <c r="R22" s="226">
        <f>допущения!$C$19*'выручка по кв и годам'!T5</f>
        <v>21759.500130861521</v>
      </c>
      <c r="S22" s="226">
        <f>допущения!$C$19*'выручка по кв и годам'!U5</f>
        <v>21759.500130861521</v>
      </c>
      <c r="T22" s="226">
        <f>допущения!$C$19*'выручка по кв и годам'!V5</f>
        <v>21759.500130861521</v>
      </c>
      <c r="U22" s="226">
        <f>допущения!$C$19*'выручка по кв и годам'!W5</f>
        <v>21759.500130861521</v>
      </c>
      <c r="V22" s="226">
        <f>допущения!$C$19*'выручка по кв и годам'!X5</f>
        <v>30489.118940773522</v>
      </c>
      <c r="W22" s="226">
        <f>допущения!$C$19*'выручка по кв и годам'!Y5</f>
        <v>30489.118940773522</v>
      </c>
      <c r="X22" s="226">
        <f>допущения!$C$19*'выручка по кв и годам'!Z5</f>
        <v>30489.118940773522</v>
      </c>
      <c r="Y22" s="226">
        <f>допущения!$C$19*'выручка по кв и годам'!AA5</f>
        <v>30489.118940773522</v>
      </c>
      <c r="Z22" s="226">
        <f>допущения!$C$19*'выручка по кв и годам'!AB5</f>
        <v>40887.637237315837</v>
      </c>
      <c r="AA22" s="226">
        <f>допущения!$C$19*'выручка по кв и годам'!AC5</f>
        <v>40887.637237315837</v>
      </c>
      <c r="AB22" s="226">
        <f>допущения!$C$19*'выручка по кв и годам'!AD5</f>
        <v>40887.637237315837</v>
      </c>
      <c r="AC22" s="226">
        <f>допущения!$C$19*'выручка по кв и годам'!AE5</f>
        <v>40887.637237315837</v>
      </c>
      <c r="AD22" s="226">
        <f>допущения!$C$19*'выручка по кв и годам'!AF5</f>
        <v>53164.475262992775</v>
      </c>
      <c r="AE22" s="226">
        <f>допущения!$C$19*'выручка по кв и годам'!AG5</f>
        <v>53164.475262992775</v>
      </c>
      <c r="AF22" s="226">
        <f>допущения!$C$19*'выручка по кв и годам'!AH5</f>
        <v>53164.475262992775</v>
      </c>
      <c r="AG22" s="226">
        <f>допущения!$C$19*'выручка по кв и годам'!AI5</f>
        <v>53164.475262992775</v>
      </c>
      <c r="AH22" s="226">
        <f>допущения!$C$19*'выручка по кв и годам'!AJ5</f>
        <v>64333.988741383539</v>
      </c>
      <c r="AI22" s="226">
        <f>допущения!$C$19*'выручка по кв и годам'!AK5</f>
        <v>64333.988741383539</v>
      </c>
      <c r="AJ22" s="226">
        <f>допущения!$C$19*'выручка по кв и годам'!AL5</f>
        <v>64333.988741383539</v>
      </c>
      <c r="AK22" s="226">
        <f>допущения!$C$19*'выручка по кв и годам'!AM5</f>
        <v>64333.988741383539</v>
      </c>
      <c r="AL22" s="226">
        <f>допущения!$C$19*'выручка по кв и годам'!AN5</f>
        <v>76637.23633686926</v>
      </c>
      <c r="AM22" s="226">
        <f>допущения!$C$19*'выручка по кв и годам'!AO5</f>
        <v>76637.23633686926</v>
      </c>
      <c r="AN22" s="226">
        <f>допущения!$C$19*'выручка по кв и годам'!AP5</f>
        <v>76637.23633686926</v>
      </c>
      <c r="AO22" s="226">
        <f>допущения!$C$19*'выручка по кв и годам'!AQ5</f>
        <v>76637.23633686926</v>
      </c>
      <c r="AP22" s="226">
        <f>допущения!$C$19*'выручка по кв и годам'!AR5</f>
        <v>81153.209601292372</v>
      </c>
      <c r="AQ22" s="226">
        <f>допущения!$C$19*'выручка по кв и годам'!AS5</f>
        <v>81153.209601292372</v>
      </c>
      <c r="AR22" s="226">
        <f>допущения!$C$19*'выручка по кв и годам'!AT5</f>
        <v>81153.209601292372</v>
      </c>
      <c r="AS22" s="226">
        <f>допущения!$C$19*'выручка по кв и годам'!AU5</f>
        <v>81153.209601292372</v>
      </c>
    </row>
    <row r="23" spans="1:47">
      <c r="M23" s="230"/>
      <c r="N23" s="230"/>
      <c r="O23" s="230"/>
      <c r="P23" s="230"/>
    </row>
    <row r="24" spans="1:47" ht="28.8">
      <c r="A24" s="600" t="s">
        <v>244</v>
      </c>
      <c r="B24" s="601" t="s">
        <v>44</v>
      </c>
      <c r="C24" s="601" t="s">
        <v>45</v>
      </c>
      <c r="D24" s="601" t="s">
        <v>46</v>
      </c>
      <c r="E24" s="601" t="s">
        <v>47</v>
      </c>
      <c r="F24" s="601" t="s">
        <v>48</v>
      </c>
      <c r="G24" s="601" t="s">
        <v>49</v>
      </c>
      <c r="H24" s="601" t="s">
        <v>50</v>
      </c>
      <c r="I24" s="601" t="s">
        <v>51</v>
      </c>
      <c r="J24" s="601" t="s">
        <v>52</v>
      </c>
      <c r="K24" s="601" t="s">
        <v>53</v>
      </c>
      <c r="L24" s="601" t="s">
        <v>54</v>
      </c>
      <c r="M24" s="230"/>
      <c r="N24" s="230"/>
      <c r="O24" s="230"/>
      <c r="P24" s="230"/>
    </row>
    <row r="25" spans="1:47" ht="28.8">
      <c r="A25" s="602" t="str">
        <f t="shared" ref="A25:A41" si="7">A2</f>
        <v>Арендная плата за зем. Участок</v>
      </c>
      <c r="B25" s="603">
        <f t="shared" ref="B25:B35" si="8">SUM(B2:E2)</f>
        <v>2.7192781665000001</v>
      </c>
      <c r="C25" s="604">
        <f>F2+G2+H2+I2</f>
        <v>5.4385563330000002</v>
      </c>
      <c r="D25" s="604">
        <f t="shared" ref="D25:D35" si="9">J2+K2+L2+M2</f>
        <v>5.4385563330000002</v>
      </c>
      <c r="E25" s="604">
        <f>N2+O2+P2+Q2</f>
        <v>5.4385563330000002</v>
      </c>
      <c r="F25" s="604">
        <f>R2+S2+T2+U2</f>
        <v>5.4385563330000002</v>
      </c>
      <c r="G25" s="604">
        <f t="shared" ref="G25:G35" si="10">V2+W2+X2+Y2</f>
        <v>5.4385563330000002</v>
      </c>
      <c r="H25" s="604">
        <f t="shared" ref="H25:H35" si="11">Z2+AA2+AB2+AC2</f>
        <v>5.4385563330000002</v>
      </c>
      <c r="I25" s="605">
        <f t="shared" ref="I25:I35" si="12">AD2+AE2+AF2+AG2</f>
        <v>5.4385563330000002</v>
      </c>
      <c r="J25" s="605">
        <f t="shared" ref="J25:J35" si="13">AH2+AI2+AJ2+AK2</f>
        <v>5.4385563330000002</v>
      </c>
      <c r="K25" s="605">
        <f t="shared" ref="K25:K35" si="14">AL2+AM2+AN2+AO2</f>
        <v>5.4385563330000002</v>
      </c>
      <c r="L25" s="605">
        <f t="shared" ref="L25:L35" si="15">AP2+AQ2+AR2+AS2</f>
        <v>5.4385563330000002</v>
      </c>
      <c r="M25" s="232"/>
      <c r="N25" s="232"/>
      <c r="O25" s="232"/>
      <c r="P25" s="232"/>
      <c r="AB25" s="233"/>
      <c r="AC25" s="233"/>
      <c r="AD25" s="233"/>
      <c r="AE25" s="233"/>
      <c r="AF25" s="233"/>
      <c r="AG25" s="233"/>
      <c r="AH25" s="233"/>
      <c r="AI25" s="233"/>
      <c r="AJ25" s="222"/>
      <c r="AK25" s="222"/>
      <c r="AL25" s="222"/>
      <c r="AM25" s="222"/>
      <c r="AN25" s="222"/>
      <c r="AO25" s="222"/>
      <c r="AP25" s="222"/>
      <c r="AQ25" s="222"/>
      <c r="AR25" s="222"/>
      <c r="AS25" s="222"/>
      <c r="AT25" s="222"/>
      <c r="AU25" s="222"/>
    </row>
    <row r="26" spans="1:47" ht="28.8">
      <c r="A26" s="602" t="str">
        <f t="shared" si="7"/>
        <v>Заработная плата и страховые взносы</v>
      </c>
      <c r="B26" s="603">
        <f t="shared" si="8"/>
        <v>0</v>
      </c>
      <c r="C26" s="604">
        <f>F3+G3+H3+I3</f>
        <v>0</v>
      </c>
      <c r="D26" s="604">
        <f t="shared" si="9"/>
        <v>0</v>
      </c>
      <c r="E26" s="604">
        <f>N3+O3+P3+Q3</f>
        <v>0</v>
      </c>
      <c r="F26" s="606">
        <f>R3+S3+T3+U3</f>
        <v>50899.245360000001</v>
      </c>
      <c r="G26" s="604">
        <f t="shared" si="10"/>
        <v>53953.2000816</v>
      </c>
      <c r="H26" s="604">
        <f t="shared" si="11"/>
        <v>57190.392086496002</v>
      </c>
      <c r="I26" s="607">
        <f t="shared" si="12"/>
        <v>60510.079254629774</v>
      </c>
      <c r="J26" s="605">
        <f t="shared" si="13"/>
        <v>64140.684009907549</v>
      </c>
      <c r="K26" s="605">
        <f t="shared" si="14"/>
        <v>67989.125050502014</v>
      </c>
      <c r="L26" s="605">
        <f t="shared" si="15"/>
        <v>67989.125050502014</v>
      </c>
      <c r="M26" s="232"/>
      <c r="N26" s="232"/>
      <c r="O26" s="232"/>
      <c r="P26" s="232"/>
    </row>
    <row r="27" spans="1:47" ht="51" customHeight="1">
      <c r="A27" s="602" t="str">
        <f t="shared" si="7"/>
        <v>Расходы на материалы</v>
      </c>
      <c r="B27" s="603">
        <f t="shared" si="8"/>
        <v>0</v>
      </c>
      <c r="C27" s="604">
        <f>SUM(F4:I4)</f>
        <v>0</v>
      </c>
      <c r="D27" s="604">
        <f t="shared" si="9"/>
        <v>0</v>
      </c>
      <c r="E27" s="604">
        <f>SUM(N4:Q4)</f>
        <v>0</v>
      </c>
      <c r="F27" s="604">
        <f>SUM(R4:U4)</f>
        <v>0</v>
      </c>
      <c r="G27" s="604">
        <f t="shared" si="10"/>
        <v>0</v>
      </c>
      <c r="H27" s="604">
        <f t="shared" si="11"/>
        <v>0</v>
      </c>
      <c r="I27" s="605">
        <f t="shared" si="12"/>
        <v>0</v>
      </c>
      <c r="J27" s="605">
        <f t="shared" si="13"/>
        <v>0</v>
      </c>
      <c r="K27" s="605">
        <f t="shared" si="14"/>
        <v>0</v>
      </c>
      <c r="L27" s="605">
        <f t="shared" si="15"/>
        <v>0</v>
      </c>
      <c r="M27" s="232"/>
      <c r="N27" s="232"/>
      <c r="O27" s="232"/>
      <c r="P27" s="232"/>
      <c r="AC27" s="203"/>
      <c r="AD27" s="203"/>
      <c r="AE27" s="203"/>
      <c r="AF27" s="203"/>
      <c r="AG27" s="203"/>
      <c r="AH27" s="203"/>
      <c r="AI27" s="203"/>
    </row>
    <row r="28" spans="1:47" ht="43.2">
      <c r="A28" s="602" t="str">
        <f t="shared" si="7"/>
        <v>Расходы на спецодежду, средства защиты</v>
      </c>
      <c r="B28" s="603">
        <f t="shared" si="8"/>
        <v>0</v>
      </c>
      <c r="C28" s="604">
        <f t="shared" ref="C28:C35" si="16">F5+G5+H5+I5</f>
        <v>0</v>
      </c>
      <c r="D28" s="604">
        <f t="shared" si="9"/>
        <v>0</v>
      </c>
      <c r="E28" s="604">
        <f t="shared" ref="E28:E35" si="17">N5+O5+P5+Q5</f>
        <v>0</v>
      </c>
      <c r="F28" s="604">
        <f t="shared" ref="F28:F35" si="18">R5+S5+T5+U5</f>
        <v>2544.9622680000002</v>
      </c>
      <c r="G28" s="604">
        <f t="shared" si="10"/>
        <v>2697.6600040800004</v>
      </c>
      <c r="H28" s="604">
        <f t="shared" si="11"/>
        <v>2859.5196043248002</v>
      </c>
      <c r="I28" s="605">
        <f t="shared" si="12"/>
        <v>3025.5039627314891</v>
      </c>
      <c r="J28" s="605">
        <f t="shared" si="13"/>
        <v>3207.0342004953777</v>
      </c>
      <c r="K28" s="605">
        <f t="shared" si="14"/>
        <v>3399.4562525251008</v>
      </c>
      <c r="L28" s="605">
        <f t="shared" si="15"/>
        <v>3399.4562525251008</v>
      </c>
      <c r="M28" s="232"/>
      <c r="N28" s="232"/>
      <c r="O28" s="232"/>
      <c r="P28" s="232"/>
      <c r="AC28" s="203"/>
      <c r="AD28" s="203"/>
      <c r="AE28" s="203"/>
      <c r="AF28" s="203"/>
      <c r="AG28" s="203"/>
      <c r="AH28" s="203"/>
      <c r="AI28" s="203"/>
    </row>
    <row r="29" spans="1:47" ht="28.8">
      <c r="A29" s="602" t="str">
        <f t="shared" si="7"/>
        <v>Расходы воды, газа, топлива, угля, и пр.</v>
      </c>
      <c r="B29" s="603">
        <f t="shared" si="8"/>
        <v>0</v>
      </c>
      <c r="C29" s="604">
        <f t="shared" si="16"/>
        <v>0</v>
      </c>
      <c r="D29" s="604">
        <f t="shared" si="9"/>
        <v>0</v>
      </c>
      <c r="E29" s="604">
        <f t="shared" si="17"/>
        <v>0</v>
      </c>
      <c r="F29" s="604">
        <f t="shared" si="18"/>
        <v>71371.160429225783</v>
      </c>
      <c r="G29" s="604">
        <f t="shared" si="10"/>
        <v>100004.31012573713</v>
      </c>
      <c r="H29" s="604">
        <f t="shared" si="11"/>
        <v>134111.45013839594</v>
      </c>
      <c r="I29" s="605">
        <f t="shared" si="12"/>
        <v>174379.47886261629</v>
      </c>
      <c r="J29" s="605">
        <f t="shared" si="13"/>
        <v>211015.48307173801</v>
      </c>
      <c r="K29" s="605">
        <f t="shared" si="14"/>
        <v>251370.13518493116</v>
      </c>
      <c r="L29" s="605">
        <f t="shared" si="15"/>
        <v>266182.52749223891</v>
      </c>
      <c r="M29" s="232"/>
      <c r="N29" s="232"/>
      <c r="O29" s="232"/>
      <c r="P29" s="232"/>
      <c r="AC29" s="203"/>
      <c r="AD29" s="203"/>
      <c r="AE29" s="203"/>
      <c r="AF29" s="203"/>
      <c r="AG29" s="203"/>
      <c r="AH29" s="203"/>
      <c r="AI29" s="203"/>
    </row>
    <row r="30" spans="1:47" ht="115.2">
      <c r="A30" s="602" t="str">
        <f t="shared" si="7"/>
        <v>Общехозяйственные расходы (коммунальные расходы, содержание здания, канцтовары, интернет, охрана и проч)</v>
      </c>
      <c r="B30" s="603">
        <f t="shared" si="8"/>
        <v>0</v>
      </c>
      <c r="C30" s="604">
        <f t="shared" si="16"/>
        <v>0</v>
      </c>
      <c r="D30" s="604">
        <f t="shared" si="9"/>
        <v>0</v>
      </c>
      <c r="E30" s="604">
        <f t="shared" si="17"/>
        <v>0</v>
      </c>
      <c r="F30" s="604">
        <f t="shared" si="18"/>
        <v>6092.6600366412258</v>
      </c>
      <c r="G30" s="604">
        <f t="shared" si="10"/>
        <v>8536.9533034165852</v>
      </c>
      <c r="H30" s="604">
        <f t="shared" si="11"/>
        <v>11448.538426448435</v>
      </c>
      <c r="I30" s="605">
        <f t="shared" si="12"/>
        <v>14886.053073637977</v>
      </c>
      <c r="J30" s="605">
        <f t="shared" si="13"/>
        <v>18013.516847587391</v>
      </c>
      <c r="K30" s="605">
        <f t="shared" si="14"/>
        <v>21458.426174323391</v>
      </c>
      <c r="L30" s="605">
        <f t="shared" si="15"/>
        <v>22722.898688361864</v>
      </c>
      <c r="M30" s="232"/>
      <c r="N30" s="232"/>
      <c r="O30" s="232"/>
      <c r="P30" s="232"/>
      <c r="AC30" s="203"/>
      <c r="AD30" s="203"/>
      <c r="AE30" s="203"/>
      <c r="AF30" s="203"/>
      <c r="AG30" s="203"/>
      <c r="AH30" s="203"/>
      <c r="AI30" s="203"/>
    </row>
    <row r="31" spans="1:47" ht="72" customHeight="1">
      <c r="A31" s="602" t="str">
        <f t="shared" si="7"/>
        <v>Запасные части, комлектующие, обслуживание оборудования</v>
      </c>
      <c r="B31" s="603">
        <f t="shared" si="8"/>
        <v>0</v>
      </c>
      <c r="C31" s="603">
        <f t="shared" si="16"/>
        <v>0</v>
      </c>
      <c r="D31" s="603">
        <f t="shared" si="9"/>
        <v>0</v>
      </c>
      <c r="E31" s="603">
        <f t="shared" si="17"/>
        <v>0</v>
      </c>
      <c r="F31" s="603">
        <f t="shared" si="18"/>
        <v>8703.800052344608</v>
      </c>
      <c r="G31" s="603">
        <f t="shared" si="10"/>
        <v>12195.647576309408</v>
      </c>
      <c r="H31" s="603">
        <f t="shared" si="11"/>
        <v>16355.054894926334</v>
      </c>
      <c r="I31" s="608">
        <f t="shared" si="12"/>
        <v>21265.790105197109</v>
      </c>
      <c r="J31" s="608">
        <f t="shared" si="13"/>
        <v>25733.595496553415</v>
      </c>
      <c r="K31" s="608">
        <f t="shared" si="14"/>
        <v>30654.894534747702</v>
      </c>
      <c r="L31" s="608">
        <f t="shared" si="15"/>
        <v>32461.283840516946</v>
      </c>
      <c r="M31" s="234"/>
      <c r="N31" s="234"/>
      <c r="O31" s="234"/>
      <c r="P31" s="234"/>
      <c r="AC31" s="203"/>
      <c r="AD31" s="203"/>
      <c r="AE31" s="203"/>
      <c r="AF31" s="203"/>
      <c r="AG31" s="203"/>
      <c r="AH31" s="203"/>
      <c r="AI31" s="203"/>
    </row>
    <row r="32" spans="1:47" ht="28.8">
      <c r="A32" s="602" t="str">
        <f t="shared" si="7"/>
        <v>Расходы на продвижение</v>
      </c>
      <c r="B32" s="603">
        <f t="shared" si="8"/>
        <v>0</v>
      </c>
      <c r="C32" s="604">
        <f t="shared" si="16"/>
        <v>0</v>
      </c>
      <c r="D32" s="604">
        <f t="shared" si="9"/>
        <v>0</v>
      </c>
      <c r="E32" s="604">
        <f t="shared" si="17"/>
        <v>0</v>
      </c>
      <c r="F32" s="604">
        <f t="shared" si="18"/>
        <v>3000</v>
      </c>
      <c r="G32" s="604">
        <f t="shared" si="10"/>
        <v>3000</v>
      </c>
      <c r="H32" s="604">
        <f t="shared" si="11"/>
        <v>3000</v>
      </c>
      <c r="I32" s="605">
        <f t="shared" si="12"/>
        <v>3000</v>
      </c>
      <c r="J32" s="605">
        <f t="shared" si="13"/>
        <v>3000</v>
      </c>
      <c r="K32" s="605">
        <f t="shared" si="14"/>
        <v>3000</v>
      </c>
      <c r="L32" s="605">
        <f t="shared" si="15"/>
        <v>3000</v>
      </c>
      <c r="M32" s="232"/>
      <c r="N32" s="232"/>
      <c r="O32" s="232"/>
      <c r="P32" s="232"/>
      <c r="AC32" s="203"/>
      <c r="AD32" s="203"/>
      <c r="AE32" s="203"/>
      <c r="AF32" s="203"/>
      <c r="AG32" s="203"/>
      <c r="AH32" s="203"/>
      <c r="AI32" s="203"/>
    </row>
    <row r="33" spans="1:35" ht="14.4">
      <c r="A33" s="602" t="str">
        <f t="shared" si="7"/>
        <v>Прочие</v>
      </c>
      <c r="B33" s="603">
        <f t="shared" si="8"/>
        <v>0</v>
      </c>
      <c r="C33" s="604">
        <f t="shared" si="16"/>
        <v>0</v>
      </c>
      <c r="D33" s="604">
        <f t="shared" si="9"/>
        <v>0</v>
      </c>
      <c r="E33" s="604">
        <f t="shared" si="17"/>
        <v>0</v>
      </c>
      <c r="F33" s="604">
        <f t="shared" si="18"/>
        <v>0</v>
      </c>
      <c r="G33" s="604">
        <f t="shared" si="10"/>
        <v>0</v>
      </c>
      <c r="H33" s="604">
        <f t="shared" si="11"/>
        <v>0</v>
      </c>
      <c r="I33" s="605">
        <f t="shared" si="12"/>
        <v>0</v>
      </c>
      <c r="J33" s="605">
        <f t="shared" si="13"/>
        <v>0</v>
      </c>
      <c r="K33" s="605">
        <f t="shared" si="14"/>
        <v>0</v>
      </c>
      <c r="L33" s="605">
        <f t="shared" si="15"/>
        <v>0</v>
      </c>
      <c r="M33" s="232"/>
      <c r="N33" s="232"/>
      <c r="O33" s="232"/>
      <c r="P33" s="232"/>
      <c r="AC33" s="203"/>
      <c r="AD33" s="203"/>
      <c r="AE33" s="203"/>
      <c r="AF33" s="203"/>
      <c r="AG33" s="203"/>
      <c r="AH33" s="203"/>
      <c r="AI33" s="203"/>
    </row>
    <row r="34" spans="1:35" ht="28.8">
      <c r="A34" s="602" t="str">
        <f t="shared" si="7"/>
        <v>Банковская гарантия уплаты платежей</v>
      </c>
      <c r="B34" s="603">
        <f t="shared" si="8"/>
        <v>0</v>
      </c>
      <c r="C34" s="604">
        <f t="shared" si="16"/>
        <v>0</v>
      </c>
      <c r="D34" s="604">
        <f t="shared" si="9"/>
        <v>0</v>
      </c>
      <c r="E34" s="604">
        <f t="shared" si="17"/>
        <v>0</v>
      </c>
      <c r="F34" s="604">
        <f t="shared" si="18"/>
        <v>0</v>
      </c>
      <c r="G34" s="604">
        <f t="shared" si="10"/>
        <v>0</v>
      </c>
      <c r="H34" s="604">
        <f t="shared" si="11"/>
        <v>0</v>
      </c>
      <c r="I34" s="605">
        <f t="shared" si="12"/>
        <v>0</v>
      </c>
      <c r="J34" s="605">
        <f t="shared" si="13"/>
        <v>0</v>
      </c>
      <c r="K34" s="605">
        <f t="shared" si="14"/>
        <v>0</v>
      </c>
      <c r="L34" s="605">
        <f t="shared" si="15"/>
        <v>0</v>
      </c>
      <c r="M34" s="232"/>
      <c r="N34" s="232"/>
      <c r="O34" s="232"/>
      <c r="P34" s="232"/>
      <c r="AC34" s="203"/>
      <c r="AD34" s="203"/>
      <c r="AE34" s="203"/>
      <c r="AF34" s="203"/>
      <c r="AG34" s="203"/>
      <c r="AH34" s="203"/>
      <c r="AI34" s="203"/>
    </row>
    <row r="35" spans="1:35" ht="14.4">
      <c r="A35" s="602" t="str">
        <f t="shared" si="7"/>
        <v>Амортизация</v>
      </c>
      <c r="B35" s="603">
        <f t="shared" si="8"/>
        <v>0</v>
      </c>
      <c r="C35" s="604">
        <f t="shared" si="16"/>
        <v>0</v>
      </c>
      <c r="D35" s="604">
        <f t="shared" si="9"/>
        <v>0</v>
      </c>
      <c r="E35" s="604">
        <f t="shared" si="17"/>
        <v>0</v>
      </c>
      <c r="F35" s="604">
        <f t="shared" si="18"/>
        <v>28066.666666666668</v>
      </c>
      <c r="G35" s="604">
        <f t="shared" si="10"/>
        <v>28066.666666666668</v>
      </c>
      <c r="H35" s="604">
        <f t="shared" si="11"/>
        <v>28066.666666666668</v>
      </c>
      <c r="I35" s="605">
        <f t="shared" si="12"/>
        <v>28066.666666666668</v>
      </c>
      <c r="J35" s="605">
        <f t="shared" si="13"/>
        <v>28066.666666666668</v>
      </c>
      <c r="K35" s="605">
        <f t="shared" si="14"/>
        <v>28066.666666666668</v>
      </c>
      <c r="L35" s="605">
        <f t="shared" si="15"/>
        <v>28066.666666666668</v>
      </c>
      <c r="M35" s="232"/>
      <c r="N35" s="232"/>
      <c r="O35" s="232"/>
      <c r="P35" s="232"/>
      <c r="AC35" s="203"/>
      <c r="AD35" s="203"/>
      <c r="AE35" s="203"/>
      <c r="AF35" s="203"/>
      <c r="AG35" s="203"/>
      <c r="AH35" s="203"/>
      <c r="AI35" s="203"/>
    </row>
    <row r="36" spans="1:35" ht="14.4">
      <c r="A36" s="602" t="str">
        <f t="shared" si="7"/>
        <v xml:space="preserve"> Налоги</v>
      </c>
      <c r="B36" s="603"/>
      <c r="C36" s="604"/>
      <c r="D36" s="604"/>
      <c r="E36" s="604"/>
      <c r="F36" s="604"/>
      <c r="G36" s="604"/>
      <c r="H36" s="604"/>
      <c r="I36" s="605"/>
      <c r="J36" s="605"/>
      <c r="K36" s="605"/>
      <c r="L36" s="605"/>
      <c r="M36" s="235"/>
      <c r="N36" s="232"/>
      <c r="O36" s="232"/>
      <c r="P36" s="232"/>
      <c r="AC36" s="203"/>
      <c r="AD36" s="203"/>
      <c r="AE36" s="203"/>
      <c r="AF36" s="203"/>
      <c r="AG36" s="203"/>
      <c r="AH36" s="203"/>
      <c r="AI36" s="203"/>
    </row>
    <row r="37" spans="1:35" ht="14.4">
      <c r="A37" s="602" t="str">
        <f t="shared" si="7"/>
        <v>НДС к уплате</v>
      </c>
      <c r="B37" s="603">
        <f t="shared" ref="B37" si="19">SUM(B14:E14)</f>
        <v>0</v>
      </c>
      <c r="C37" s="604">
        <f t="shared" ref="C37" si="20">F14+G14+H14+I14</f>
        <v>0</v>
      </c>
      <c r="D37" s="604">
        <f t="shared" ref="D37" si="21">J14+K14+L14+M14</f>
        <v>0</v>
      </c>
      <c r="E37" s="604">
        <f t="shared" ref="E37" si="22">N14+O14+P14+Q14</f>
        <v>0</v>
      </c>
      <c r="F37" s="604">
        <f t="shared" ref="F37" si="23">R14+S14+T14+U14</f>
        <v>-43704.516033796259</v>
      </c>
      <c r="G37" s="604">
        <f t="shared" ref="G37" si="24">V14+W14+X14+Y14</f>
        <v>97269.561561185459</v>
      </c>
      <c r="H37" s="604">
        <f t="shared" ref="H37" si="25">Z14+AA14+AB14+AC14</f>
        <v>130595.63633644424</v>
      </c>
      <c r="I37" s="605">
        <f t="shared" ref="I37" si="26">AD14+AE14+AF14+AG14</f>
        <v>169946.53585113451</v>
      </c>
      <c r="J37" s="605">
        <f t="shared" ref="J37" si="27">AH14+AI14+AJ14+AK14</f>
        <v>205742.02904225932</v>
      </c>
      <c r="K37" s="605">
        <f t="shared" ref="K37" si="28">AL14+AM14+AN14+AO14</f>
        <v>245172.36291817157</v>
      </c>
      <c r="L37" s="605">
        <f t="shared" ref="L37" si="29">AP14+AQ14+AR14+AS14</f>
        <v>259659.60515044094</v>
      </c>
      <c r="M37" s="235"/>
      <c r="N37" s="232"/>
      <c r="O37" s="232"/>
      <c r="P37" s="232"/>
      <c r="AC37" s="203"/>
      <c r="AD37" s="203"/>
      <c r="AE37" s="203"/>
      <c r="AF37" s="203"/>
      <c r="AG37" s="203"/>
      <c r="AH37" s="203"/>
      <c r="AI37" s="203"/>
    </row>
    <row r="38" spans="1:35" ht="14.4">
      <c r="A38" s="602" t="str">
        <f t="shared" si="7"/>
        <v>Налог на имущество</v>
      </c>
      <c r="B38" s="603">
        <f>SUM(B15:E15)</f>
        <v>0</v>
      </c>
      <c r="C38" s="604">
        <f>F15+G15+H15+I15</f>
        <v>0</v>
      </c>
      <c r="D38" s="604">
        <f>J15+K15+L15+M15</f>
        <v>0</v>
      </c>
      <c r="E38" s="604">
        <f>N15+O15+P15+Q15</f>
        <v>0</v>
      </c>
      <c r="F38" s="604">
        <f>R15+S15+T15+U15</f>
        <v>0</v>
      </c>
      <c r="G38" s="604">
        <f>V15+W15+X15+Y15</f>
        <v>1494.1666666666674</v>
      </c>
      <c r="H38" s="604">
        <f>Z15+AA15+AB15+AC15</f>
        <v>5958.3333333333376</v>
      </c>
      <c r="I38" s="605">
        <f>AD15+AE15+AF15+AG15</f>
        <v>5929.0000000000055</v>
      </c>
      <c r="J38" s="605">
        <f>AH15+AI15+AJ15+AK15</f>
        <v>5899.6666666666742</v>
      </c>
      <c r="K38" s="605">
        <f>AL15+AM15+AN15+AO15</f>
        <v>5870.3333333333421</v>
      </c>
      <c r="L38" s="605">
        <f>AP15+AQ15+AR15+AS15</f>
        <v>5841.00000000001</v>
      </c>
      <c r="M38" s="232"/>
      <c r="N38" s="232"/>
      <c r="O38" s="232"/>
      <c r="P38" s="232"/>
      <c r="AC38" s="203"/>
      <c r="AD38" s="203"/>
      <c r="AE38" s="203"/>
      <c r="AF38" s="203"/>
      <c r="AG38" s="203"/>
      <c r="AH38" s="203"/>
      <c r="AI38" s="203"/>
    </row>
    <row r="39" spans="1:35" ht="14.4">
      <c r="A39" s="602" t="str">
        <f t="shared" si="7"/>
        <v>Земельный налог</v>
      </c>
      <c r="B39" s="603">
        <f>SUM(B16:E16)</f>
        <v>0</v>
      </c>
      <c r="C39" s="603">
        <f>F16+G16+H16+I16</f>
        <v>0</v>
      </c>
      <c r="D39" s="603">
        <f>J16+K16+L16+M16</f>
        <v>0</v>
      </c>
      <c r="E39" s="603">
        <f>N16+O16+P16+Q16</f>
        <v>0</v>
      </c>
      <c r="F39" s="603">
        <f>R16+S16+T16+U16</f>
        <v>0</v>
      </c>
      <c r="G39" s="603">
        <f>V16+W16+X16+Y16</f>
        <v>0</v>
      </c>
      <c r="H39" s="603">
        <f>Z16+AA16+AB16+AC16</f>
        <v>0</v>
      </c>
      <c r="I39" s="608">
        <f>AD16+AE16+AF16+AG16</f>
        <v>0</v>
      </c>
      <c r="J39" s="608">
        <f>AH16+AI16+AJ16+AK16</f>
        <v>0</v>
      </c>
      <c r="K39" s="608">
        <f>AL16+AM16+AN16+AO16</f>
        <v>0</v>
      </c>
      <c r="L39" s="608">
        <f>AP16+AQ16+AR16+AS16</f>
        <v>0</v>
      </c>
      <c r="M39" s="234"/>
      <c r="N39" s="234"/>
      <c r="O39" s="234"/>
      <c r="P39" s="234"/>
      <c r="Q39" s="203"/>
      <c r="R39" s="203"/>
      <c r="S39" s="203"/>
      <c r="T39" s="203"/>
      <c r="U39" s="203"/>
      <c r="V39" s="203"/>
      <c r="W39" s="203"/>
      <c r="X39" s="203"/>
      <c r="Y39" s="203"/>
      <c r="Z39" s="203"/>
      <c r="AA39" s="203"/>
      <c r="AC39" s="203"/>
      <c r="AD39" s="203"/>
      <c r="AE39" s="203"/>
      <c r="AF39" s="203"/>
      <c r="AG39" s="203"/>
      <c r="AH39" s="203"/>
      <c r="AI39" s="203"/>
    </row>
    <row r="40" spans="1:35" ht="28.8">
      <c r="A40" s="602" t="str">
        <f t="shared" si="7"/>
        <v>Обновление основных средств</v>
      </c>
      <c r="B40" s="603">
        <f>SUM(B17:E17)</f>
        <v>0</v>
      </c>
      <c r="C40" s="603">
        <f>F17+G17+H17+I17</f>
        <v>0</v>
      </c>
      <c r="D40" s="603">
        <f>J17+K17+L17+M17</f>
        <v>0</v>
      </c>
      <c r="E40" s="603">
        <f>N17+O17+P17+Q17</f>
        <v>0</v>
      </c>
      <c r="F40" s="603">
        <f>R17+S17+T17+U17</f>
        <v>0</v>
      </c>
      <c r="G40" s="604">
        <f>V17+W17+X17+Y17</f>
        <v>750</v>
      </c>
      <c r="H40" s="603">
        <f>Z17+AA17+AB17+AC17</f>
        <v>750</v>
      </c>
      <c r="I40" s="608">
        <f>AD17+AE17+AF17+AG17</f>
        <v>750</v>
      </c>
      <c r="J40" s="608">
        <f>AH17+AI17+AJ17+AK17</f>
        <v>750</v>
      </c>
      <c r="K40" s="608">
        <f>AL17+AM17+AN17+AO17</f>
        <v>750</v>
      </c>
      <c r="L40" s="608">
        <f>AP17+AQ17+AR17+AS17</f>
        <v>750</v>
      </c>
      <c r="M40" s="203"/>
      <c r="N40" s="234"/>
      <c r="O40" s="234"/>
      <c r="P40" s="234"/>
      <c r="Q40" s="203"/>
      <c r="R40" s="203"/>
      <c r="S40" s="203"/>
      <c r="T40" s="203"/>
      <c r="U40" s="203"/>
      <c r="V40" s="203"/>
      <c r="W40" s="203"/>
      <c r="X40" s="203"/>
      <c r="Y40" s="203"/>
      <c r="Z40" s="203"/>
      <c r="AA40" s="203"/>
      <c r="AC40" s="203"/>
      <c r="AD40" s="203"/>
      <c r="AE40" s="203"/>
      <c r="AF40" s="203"/>
      <c r="AG40" s="203"/>
      <c r="AH40" s="203"/>
      <c r="AI40" s="203"/>
    </row>
    <row r="41" spans="1:35" ht="14.4">
      <c r="A41" s="609" t="str">
        <f t="shared" si="7"/>
        <v>Итого расходов</v>
      </c>
      <c r="B41" s="610">
        <f>SUM(B18:E18)</f>
        <v>2.7192781665000001</v>
      </c>
      <c r="C41" s="610">
        <f>SUM(C25:C40)</f>
        <v>5.4385563330000002</v>
      </c>
      <c r="D41" s="610">
        <f t="shared" ref="D41:L41" si="30">SUM(D25:D40)</f>
        <v>5.4385563330000002</v>
      </c>
      <c r="E41" s="610">
        <f t="shared" si="30"/>
        <v>5.4385563330000002</v>
      </c>
      <c r="F41" s="610">
        <f t="shared" si="30"/>
        <v>126979.41733541501</v>
      </c>
      <c r="G41" s="610">
        <f t="shared" si="30"/>
        <v>307973.60454199492</v>
      </c>
      <c r="H41" s="610">
        <f t="shared" si="30"/>
        <v>390341.03004336875</v>
      </c>
      <c r="I41" s="610">
        <f t="shared" si="30"/>
        <v>481764.5463329468</v>
      </c>
      <c r="J41" s="610">
        <f t="shared" si="30"/>
        <v>565574.11455820734</v>
      </c>
      <c r="K41" s="610">
        <f t="shared" si="30"/>
        <v>657736.83867153397</v>
      </c>
      <c r="L41" s="610">
        <f t="shared" si="30"/>
        <v>690078.00169758545</v>
      </c>
      <c r="M41" s="203"/>
      <c r="N41" s="203"/>
      <c r="O41" s="203"/>
      <c r="P41" s="203"/>
      <c r="Q41" s="203"/>
      <c r="AC41" s="203"/>
      <c r="AD41" s="203"/>
      <c r="AE41" s="203"/>
      <c r="AF41" s="203"/>
      <c r="AG41" s="203"/>
      <c r="AH41" s="203"/>
      <c r="AI41" s="203"/>
    </row>
    <row r="42" spans="1:35" ht="14.4">
      <c r="A42" s="611" t="s">
        <v>257</v>
      </c>
      <c r="B42" s="612">
        <f>'выручка по кв и годам'!D20</f>
        <v>0</v>
      </c>
      <c r="C42" s="612">
        <f>'объем работ 100% загр'!D26</f>
        <v>0</v>
      </c>
      <c r="D42" s="612">
        <f>'объем работ 100% загр'!E26</f>
        <v>0</v>
      </c>
      <c r="E42" s="612">
        <f>'объем работ 100% загр'!F26</f>
        <v>0</v>
      </c>
      <c r="F42" s="612">
        <f>'объем работ 100% загр'!G26</f>
        <v>435190.00261723041</v>
      </c>
      <c r="G42" s="612">
        <f>'объем работ 100% загр'!H26</f>
        <v>609782.37881547038</v>
      </c>
      <c r="H42" s="612">
        <f>'объем работ 100% загр'!I26</f>
        <v>817752.74474631669</v>
      </c>
      <c r="I42" s="612">
        <f>'объем работ 100% загр'!J26</f>
        <v>1063289.5052598554</v>
      </c>
      <c r="J42" s="612">
        <f>'объем работ 100% загр'!K26</f>
        <v>1286679.7748276708</v>
      </c>
      <c r="K42" s="612">
        <f>'объем работ 100% загр'!L26</f>
        <v>1532744.7267373852</v>
      </c>
      <c r="L42" s="612">
        <f>'объем работ 100% загр'!M26</f>
        <v>1623064.1920258473</v>
      </c>
      <c r="M42" s="203"/>
      <c r="N42" s="236"/>
      <c r="O42" s="236"/>
      <c r="P42" s="237"/>
      <c r="AC42" s="203"/>
      <c r="AD42" s="203"/>
      <c r="AE42" s="203"/>
      <c r="AF42" s="203"/>
      <c r="AG42" s="203"/>
      <c r="AH42" s="203"/>
      <c r="AI42" s="203"/>
    </row>
    <row r="43" spans="1:35" ht="14.4">
      <c r="A43" s="611" t="s">
        <v>191</v>
      </c>
      <c r="B43" s="612">
        <f>'Налоги ТОР'!P14</f>
        <v>0</v>
      </c>
      <c r="C43" s="612">
        <f>'Расходы на ЗП ОТ'!C69-'Расходы на ЗП ТОР'!C70</f>
        <v>0</v>
      </c>
      <c r="D43" s="612">
        <f>'Расходы на ЗП ОТ'!D69-'Расходы на ЗП ТОР'!D70</f>
        <v>0</v>
      </c>
      <c r="E43" s="612">
        <f>'Расходы на ЗП ОТ'!E69-'Расходы на ЗП ТОР'!E70</f>
        <v>0</v>
      </c>
      <c r="F43" s="612">
        <f>'Расходы на ЗП ОТ'!F69-'Расходы на ЗП ТОР'!F70</f>
        <v>0</v>
      </c>
      <c r="G43" s="612">
        <f>'Расходы на ЗП ОТ'!G69-'Расходы на ЗП ТОР'!G70</f>
        <v>0</v>
      </c>
      <c r="H43" s="612">
        <f>'Расходы на ЗП ОТ'!H69-'Расходы на ЗП ТОР'!H70</f>
        <v>0</v>
      </c>
      <c r="I43" s="612">
        <f>'Расходы на ЗП ОТ'!I69-'Расходы на ЗП ТОР'!I70</f>
        <v>0</v>
      </c>
      <c r="J43" s="612">
        <f>'Расходы на ЗП ОТ'!J69-'Расходы на ЗП ТОР'!J70</f>
        <v>0</v>
      </c>
      <c r="K43" s="612">
        <f>'Расходы на ЗП ОТ'!K69-'Расходы на ЗП ТОР'!K70</f>
        <v>0</v>
      </c>
      <c r="L43" s="612">
        <f>'Расходы на ЗП ОТ'!L69-'Расходы на ЗП ТОР'!L70</f>
        <v>0</v>
      </c>
      <c r="M43" s="236"/>
      <c r="N43" s="236"/>
      <c r="O43" s="236"/>
      <c r="AC43" s="203"/>
      <c r="AD43" s="203"/>
      <c r="AE43" s="203"/>
      <c r="AF43" s="203"/>
      <c r="AG43" s="203"/>
      <c r="AH43" s="203"/>
      <c r="AI43" s="203"/>
    </row>
    <row r="44" spans="1:35" ht="28.8">
      <c r="A44" s="633" t="s">
        <v>455</v>
      </c>
      <c r="B44" s="613">
        <f>'Фин результат ТОР'!B25</f>
        <v>0</v>
      </c>
      <c r="C44" s="613">
        <f>'Фин результат ТОР'!C25</f>
        <v>0</v>
      </c>
      <c r="D44" s="613">
        <f>'Фин результат ТОР'!D25</f>
        <v>0</v>
      </c>
      <c r="E44" s="613">
        <f>'Фин результат ТОР'!E25</f>
        <v>0</v>
      </c>
      <c r="F44" s="613">
        <f>'Фин результат ТОР'!F25</f>
        <v>0</v>
      </c>
      <c r="G44" s="612">
        <f>'Фин результат ТОР'!G25</f>
        <v>16862.557017982272</v>
      </c>
      <c r="H44" s="612">
        <f>'Фин результат ТОР'!H25</f>
        <v>49517.463730514261</v>
      </c>
      <c r="I44" s="612">
        <f>'Фин результат ТОР'!I25</f>
        <v>68778.477279433399</v>
      </c>
      <c r="J44" s="612">
        <f>'Фин результат ТОР'!J25</f>
        <v>86318.581805743408</v>
      </c>
      <c r="K44" s="612">
        <f>'Фин результат ТОР'!K25</f>
        <v>105000.94656790212</v>
      </c>
      <c r="L44" s="612">
        <f>'Фин результат ТОР'!L25</f>
        <v>149278.08378585524</v>
      </c>
      <c r="M44" s="236"/>
      <c r="N44" s="236"/>
      <c r="O44" s="236"/>
    </row>
    <row r="45" spans="1:35" ht="14.4">
      <c r="A45" s="611" t="s">
        <v>258</v>
      </c>
      <c r="B45" s="612">
        <f>'Фин результат ТОР'!B26</f>
        <v>-2.7192781665000001</v>
      </c>
      <c r="C45" s="612">
        <f>'Фин результат ТОР'!C26</f>
        <v>-5.4385563330000002</v>
      </c>
      <c r="D45" s="612">
        <f>'Фин результат ТОР'!D26</f>
        <v>-5.4385563330000002</v>
      </c>
      <c r="E45" s="612">
        <f>'Фин результат ТОР'!E26</f>
        <v>-9895.679410910052</v>
      </c>
      <c r="F45" s="612">
        <f>'Фин результат ТОР'!F26</f>
        <v>282002.93821063865</v>
      </c>
      <c r="G45" s="612">
        <f>'Фин результат ТОР'!G26</f>
        <v>264245.54165855469</v>
      </c>
      <c r="H45" s="612">
        <f>'Фин результат ТОР'!H26</f>
        <v>363128.06735710462</v>
      </c>
      <c r="I45" s="612">
        <f>'Фин результат ТОР'!I26</f>
        <v>504375.5000491782</v>
      </c>
      <c r="J45" s="612">
        <f>'Фин результат ТОР'!J26</f>
        <v>633002.93324211845</v>
      </c>
      <c r="K45" s="612">
        <f>'Фин результат ТОР'!K26</f>
        <v>770006.94149794907</v>
      </c>
      <c r="L45" s="612">
        <f>'Фин результат ТОР'!L26</f>
        <v>783708.1065424066</v>
      </c>
      <c r="M45" s="236"/>
      <c r="N45" s="236"/>
      <c r="O45" s="236"/>
    </row>
    <row r="46" spans="1:35">
      <c r="O46" s="204"/>
    </row>
    <row r="47" spans="1:35" ht="14.4">
      <c r="A47" s="195" t="s">
        <v>259</v>
      </c>
      <c r="B47" s="200">
        <f>B42-B41-B43-B49-B48</f>
        <v>-2.7192781665000001</v>
      </c>
      <c r="C47" s="612">
        <f>C42-C41-C43-C49-C48</f>
        <v>-5.4385563330000002</v>
      </c>
      <c r="D47" s="612">
        <f t="shared" ref="D47:L47" si="31">D42-D41-D43-D49-D48</f>
        <v>-5.4385563330000002</v>
      </c>
      <c r="E47" s="612">
        <f t="shared" si="31"/>
        <v>-4526.4385563329997</v>
      </c>
      <c r="F47" s="612">
        <f t="shared" si="31"/>
        <v>245792.99763968764</v>
      </c>
      <c r="G47" s="612">
        <f t="shared" si="31"/>
        <v>241093.65453816805</v>
      </c>
      <c r="H47" s="612">
        <f t="shared" si="31"/>
        <v>344882.60848542419</v>
      </c>
      <c r="I47" s="612">
        <f t="shared" si="31"/>
        <v>466894.16346118634</v>
      </c>
      <c r="J47" s="612">
        <f t="shared" si="31"/>
        <v>577241.357259891</v>
      </c>
      <c r="K47" s="612">
        <f t="shared" si="31"/>
        <v>700006.31045268092</v>
      </c>
      <c r="L47" s="612">
        <f t="shared" si="31"/>
        <v>746388.9522626095</v>
      </c>
      <c r="M47" s="236"/>
      <c r="N47" s="236"/>
      <c r="O47" s="236"/>
    </row>
    <row r="48" spans="1:35" ht="27.6">
      <c r="A48" s="195" t="s">
        <v>260</v>
      </c>
      <c r="B48" s="200">
        <f>'Налоги ТОР'!P6</f>
        <v>0</v>
      </c>
      <c r="C48" s="200">
        <f>'Налоги ТОР'!Q6</f>
        <v>0</v>
      </c>
      <c r="D48" s="200">
        <f>'Налоги ТОР'!R6</f>
        <v>0</v>
      </c>
      <c r="E48" s="200">
        <f>'Налоги ТОР'!S6</f>
        <v>4521</v>
      </c>
      <c r="F48" s="200">
        <f>'Налоги ТОР'!T6</f>
        <v>6017</v>
      </c>
      <c r="G48" s="200">
        <f>'Налоги ТОР'!U6</f>
        <v>4493.5000000000018</v>
      </c>
      <c r="H48" s="200">
        <f>'Налоги ТОР'!V6</f>
        <v>0</v>
      </c>
      <c r="I48" s="200">
        <f>'Налоги ТОР'!W6</f>
        <v>0</v>
      </c>
      <c r="J48" s="200">
        <f>'Налоги ТОР'!X6</f>
        <v>0</v>
      </c>
      <c r="K48" s="200">
        <f>'Налоги ТОР'!Y6</f>
        <v>0</v>
      </c>
      <c r="L48" s="200">
        <f>'Налоги ТОР'!Z6</f>
        <v>0</v>
      </c>
      <c r="M48" s="236"/>
      <c r="N48" s="236"/>
      <c r="O48" s="236"/>
    </row>
    <row r="49" spans="1:15" ht="27.6">
      <c r="A49" s="195" t="s">
        <v>261</v>
      </c>
      <c r="B49" s="612">
        <f>'Налоги без ТОР'!B3</f>
        <v>0</v>
      </c>
      <c r="C49" s="612">
        <f>'Налоги без ТОР'!C3</f>
        <v>0</v>
      </c>
      <c r="D49" s="612">
        <f>'Налоги без ТОР'!D3</f>
        <v>0</v>
      </c>
      <c r="E49" s="612">
        <f>'Налоги без ТОР'!E3</f>
        <v>0</v>
      </c>
      <c r="F49" s="612">
        <f>'Налоги без ТОР'!F3</f>
        <v>56400.587642127735</v>
      </c>
      <c r="G49" s="612">
        <f>'Налоги без ТОР'!G3</f>
        <v>56221.619735307402</v>
      </c>
      <c r="H49" s="612">
        <f>'Налоги без ТОР'!H3</f>
        <v>82529.10621752376</v>
      </c>
      <c r="I49" s="612">
        <f>'Налоги без ТОР'!I3</f>
        <v>114630.79546572232</v>
      </c>
      <c r="J49" s="612">
        <f>'Налоги без ТОР'!J3</f>
        <v>143864.30300957238</v>
      </c>
      <c r="K49" s="612">
        <f>'Налоги без ТОР'!K3</f>
        <v>175001.57761317026</v>
      </c>
      <c r="L49" s="612">
        <f>'Налоги без ТОР'!L3</f>
        <v>186597.23806565237</v>
      </c>
      <c r="M49" s="236"/>
      <c r="N49" s="236"/>
      <c r="O49" s="236"/>
    </row>
    <row r="50" spans="1:15" ht="27.6">
      <c r="A50" s="195" t="s">
        <v>373</v>
      </c>
      <c r="B50" s="200">
        <f>B49-B44</f>
        <v>0</v>
      </c>
      <c r="C50" s="612">
        <f>C49-C44</f>
        <v>0</v>
      </c>
      <c r="D50" s="612">
        <f t="shared" ref="D50:L50" si="32">D49-D44</f>
        <v>0</v>
      </c>
      <c r="E50" s="612">
        <f t="shared" si="32"/>
        <v>0</v>
      </c>
      <c r="F50" s="612">
        <f t="shared" si="32"/>
        <v>56400.587642127735</v>
      </c>
      <c r="G50" s="612">
        <f t="shared" si="32"/>
        <v>39359.062717325127</v>
      </c>
      <c r="H50" s="612">
        <f t="shared" si="32"/>
        <v>33011.6424870095</v>
      </c>
      <c r="I50" s="612">
        <f t="shared" si="32"/>
        <v>45852.318186288918</v>
      </c>
      <c r="J50" s="612">
        <f t="shared" si="32"/>
        <v>57545.721203828973</v>
      </c>
      <c r="K50" s="612">
        <f t="shared" si="32"/>
        <v>70000.631045268135</v>
      </c>
      <c r="L50" s="612">
        <f t="shared" si="32"/>
        <v>37319.154279797134</v>
      </c>
      <c r="O50" s="204"/>
    </row>
    <row r="51" spans="1:15" ht="41.4">
      <c r="A51" s="195" t="s">
        <v>262</v>
      </c>
      <c r="B51" s="200">
        <f>B45-B47</f>
        <v>0</v>
      </c>
      <c r="C51" s="612">
        <f>C45-C47</f>
        <v>0</v>
      </c>
      <c r="D51" s="612">
        <f t="shared" ref="D51:L51" si="33">D45-D47</f>
        <v>0</v>
      </c>
      <c r="E51" s="612">
        <f t="shared" si="33"/>
        <v>-5369.2408545770522</v>
      </c>
      <c r="F51" s="612">
        <f t="shared" si="33"/>
        <v>36209.940570951003</v>
      </c>
      <c r="G51" s="612">
        <f t="shared" si="33"/>
        <v>23151.887120386644</v>
      </c>
      <c r="H51" s="612">
        <f t="shared" si="33"/>
        <v>18245.458871680428</v>
      </c>
      <c r="I51" s="612">
        <f t="shared" si="33"/>
        <v>37481.336587991857</v>
      </c>
      <c r="J51" s="612">
        <f t="shared" si="33"/>
        <v>55761.575982227456</v>
      </c>
      <c r="K51" s="612">
        <f t="shared" si="33"/>
        <v>70000.63104526815</v>
      </c>
      <c r="L51" s="612">
        <f t="shared" si="33"/>
        <v>37319.154279797105</v>
      </c>
      <c r="M51" s="236"/>
    </row>
    <row r="53" spans="1:15">
      <c r="K53" s="193" t="s">
        <v>263</v>
      </c>
      <c r="L53" s="238">
        <f>SUM(C51:L51)</f>
        <v>272800.74360372557</v>
      </c>
    </row>
    <row r="54" spans="1:15">
      <c r="K54" s="193" t="s">
        <v>264</v>
      </c>
      <c r="L54" s="204">
        <f>AVERAGE(C51:L51)</f>
        <v>27280.074360372557</v>
      </c>
    </row>
  </sheetData>
  <pageMargins left="0.7" right="0.7" top="0.75" bottom="0.75" header="0.3" footer="0.3"/>
  <pageSetup paperSize="9" firstPageNumber="2147483648" orientation="portrait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AT47"/>
  <sheetViews>
    <sheetView zoomScale="60" zoomScaleNormal="60" workbookViewId="0">
      <selection activeCell="S27" sqref="S27"/>
    </sheetView>
  </sheetViews>
  <sheetFormatPr defaultColWidth="9.109375" defaultRowHeight="14.4"/>
  <cols>
    <col min="1" max="1" width="30.109375" style="60" customWidth="1"/>
    <col min="2" max="2" width="11.5546875" style="60" customWidth="1"/>
    <col min="3" max="3" width="11.88671875" style="60" customWidth="1"/>
    <col min="4" max="4" width="11" style="60" customWidth="1"/>
    <col min="5" max="5" width="11.88671875" style="60" customWidth="1"/>
    <col min="6" max="6" width="11.6640625" style="60" customWidth="1"/>
    <col min="7" max="7" width="11.5546875" style="60" customWidth="1"/>
    <col min="8" max="8" width="11.109375" style="60" customWidth="1"/>
    <col min="9" max="9" width="11.6640625" style="60" customWidth="1"/>
    <col min="10" max="10" width="11.33203125" style="60" customWidth="1"/>
    <col min="11" max="11" width="12" style="60" customWidth="1"/>
    <col min="12" max="12" width="12.88671875" style="60" customWidth="1"/>
    <col min="13" max="13" width="11.44140625" style="60" customWidth="1"/>
    <col min="14" max="14" width="11.109375" style="60" customWidth="1"/>
    <col min="15" max="15" width="11.33203125" style="60" customWidth="1"/>
    <col min="16" max="16" width="12.44140625" style="60" customWidth="1"/>
    <col min="17" max="17" width="12.109375" style="60" customWidth="1"/>
    <col min="18" max="18" width="11.88671875" style="60" customWidth="1"/>
    <col min="19" max="20" width="12" style="60" customWidth="1"/>
    <col min="21" max="21" width="12.44140625" style="60" customWidth="1"/>
    <col min="22" max="22" width="12" style="60" customWidth="1"/>
    <col min="23" max="23" width="12.6640625" style="60" customWidth="1"/>
    <col min="24" max="24" width="11.44140625" style="60" customWidth="1"/>
    <col min="25" max="26" width="11.6640625" style="60" customWidth="1"/>
    <col min="27" max="27" width="11.88671875" style="60" customWidth="1"/>
    <col min="28" max="28" width="12.109375" style="60" customWidth="1"/>
    <col min="29" max="29" width="12.44140625" style="60" customWidth="1"/>
    <col min="30" max="30" width="11.33203125" style="60" customWidth="1"/>
    <col min="31" max="31" width="13.44140625" style="60" customWidth="1"/>
    <col min="32" max="32" width="15.109375" style="60" customWidth="1"/>
    <col min="33" max="33" width="13.88671875" style="60" customWidth="1"/>
    <col min="34" max="34" width="13.33203125" style="60" customWidth="1"/>
    <col min="35" max="35" width="14.33203125" style="60" customWidth="1"/>
    <col min="36" max="36" width="13.6640625" style="60" customWidth="1"/>
    <col min="37" max="37" width="14" style="60" customWidth="1"/>
    <col min="38" max="38" width="12.33203125" style="60" customWidth="1"/>
    <col min="39" max="39" width="15" style="60" customWidth="1"/>
    <col min="40" max="40" width="14" style="60" customWidth="1"/>
    <col min="41" max="41" width="13.6640625" style="60" customWidth="1"/>
    <col min="42" max="43" width="14.33203125" style="60" customWidth="1"/>
    <col min="44" max="44" width="12.44140625" style="60" customWidth="1"/>
    <col min="45" max="45" width="12.5546875" style="60" customWidth="1"/>
    <col min="46" max="46" width="13.88671875" style="60" customWidth="1"/>
    <col min="47" max="16384" width="9.109375" style="60"/>
  </cols>
  <sheetData>
    <row r="1" spans="1:46">
      <c r="A1" s="60" t="s">
        <v>58</v>
      </c>
    </row>
    <row r="2" spans="1:46" s="515" customFormat="1">
      <c r="B2" s="527" t="s">
        <v>393</v>
      </c>
      <c r="C2" s="515" t="str">
        <f>'выручка по кв и годам'!D1</f>
        <v>I кв. 1 г.</v>
      </c>
      <c r="D2" s="515" t="str">
        <f>'выручка по кв и годам'!E1</f>
        <v>II кв. 1 г.</v>
      </c>
      <c r="E2" s="515" t="str">
        <f>'выручка по кв и годам'!F1</f>
        <v>III кв. 1 г.</v>
      </c>
      <c r="F2" s="515" t="str">
        <f>'выручка по кв и годам'!G1</f>
        <v>IV кв. 1 г.</v>
      </c>
      <c r="G2" s="515" t="str">
        <f>'выручка по кв и годам'!H1</f>
        <v>I кв. 2 г.</v>
      </c>
      <c r="H2" s="515" t="str">
        <f>'выручка по кв и годам'!I1</f>
        <v>II кв. 2 г.</v>
      </c>
      <c r="I2" s="515" t="str">
        <f>'выручка по кв и годам'!J1</f>
        <v>III кв. 2 г.</v>
      </c>
      <c r="J2" s="515" t="str">
        <f>'выручка по кв и годам'!K1</f>
        <v>IV кв. 2 г.</v>
      </c>
      <c r="K2" s="515" t="str">
        <f>'выручка по кв и годам'!L1</f>
        <v>I кв. 3 г.</v>
      </c>
      <c r="L2" s="515" t="str">
        <f>'выручка по кв и годам'!M1</f>
        <v>II кв. 3 г.</v>
      </c>
      <c r="M2" s="515" t="str">
        <f>'выручка по кв и годам'!N1</f>
        <v>III кв. 3 г.</v>
      </c>
      <c r="N2" s="515" t="str">
        <f>'выручка по кв и годам'!O1</f>
        <v>IV кв. 3 г.</v>
      </c>
      <c r="O2" s="515" t="str">
        <f>'выручка по кв и годам'!P1</f>
        <v>I кв. 4 г.</v>
      </c>
      <c r="P2" s="515" t="str">
        <f>'выручка по кв и годам'!Q1</f>
        <v>II кв. 4 г.</v>
      </c>
      <c r="Q2" s="515" t="str">
        <f>'выручка по кв и годам'!R1</f>
        <v>III кв. 4 г.</v>
      </c>
      <c r="R2" s="515" t="str">
        <f>'выручка по кв и годам'!S1</f>
        <v>IV кв. 4 г.</v>
      </c>
      <c r="S2" s="515" t="str">
        <f>'выручка по кв и годам'!T1</f>
        <v>I кв. 5 г.</v>
      </c>
      <c r="T2" s="515" t="str">
        <f>'выручка по кв и годам'!U1</f>
        <v>II кв. 5 г.</v>
      </c>
      <c r="U2" s="515" t="str">
        <f>'выручка по кв и годам'!V1</f>
        <v>III кв. 5 г.</v>
      </c>
      <c r="V2" s="515" t="str">
        <f>'выручка по кв и годам'!W1</f>
        <v>IV кв. 5 г.</v>
      </c>
      <c r="W2" s="515" t="str">
        <f>'выручка по кв и годам'!X1</f>
        <v>I кв. 6 г.</v>
      </c>
      <c r="X2" s="515" t="str">
        <f>'выручка по кв и годам'!Y1</f>
        <v>II кв. 6 г.</v>
      </c>
      <c r="Y2" s="515" t="str">
        <f>'выручка по кв и годам'!Z1</f>
        <v>III кв. 6 г.</v>
      </c>
      <c r="Z2" s="515" t="str">
        <f>'выручка по кв и годам'!AA1</f>
        <v>IV кв. 6 г.</v>
      </c>
      <c r="AA2" s="515" t="str">
        <f>'выручка по кв и годам'!AB1</f>
        <v>I кв. 7 г.</v>
      </c>
      <c r="AB2" s="515" t="str">
        <f>'выручка по кв и годам'!AC1</f>
        <v>II кв. 7 г.</v>
      </c>
      <c r="AC2" s="515" t="str">
        <f>'выручка по кв и годам'!AD1</f>
        <v>III кв. 7 г.</v>
      </c>
      <c r="AD2" s="515" t="str">
        <f>'выручка по кв и годам'!AE1</f>
        <v>IV кв. 7 г.</v>
      </c>
      <c r="AE2" s="515" t="str">
        <f>'выручка по кв и годам'!AF1</f>
        <v>I кв. 8 г.</v>
      </c>
      <c r="AF2" s="515" t="str">
        <f>'выручка по кв и годам'!AG1</f>
        <v>II кв. 8 г.</v>
      </c>
      <c r="AG2" s="515" t="str">
        <f>'выручка по кв и годам'!AH1</f>
        <v>III кв. 8 г.</v>
      </c>
      <c r="AH2" s="515" t="str">
        <f>'выручка по кв и годам'!AI1</f>
        <v>IV кв. 8 г.</v>
      </c>
      <c r="AI2" s="515" t="str">
        <f>'выручка по кв и годам'!AJ1</f>
        <v>I кв. 9 г.</v>
      </c>
      <c r="AJ2" s="515" t="str">
        <f>'выручка по кв и годам'!AK1</f>
        <v>II кв. 9 г.</v>
      </c>
      <c r="AK2" s="515" t="str">
        <f>'выручка по кв и годам'!AL1</f>
        <v>III кв. 9 г.</v>
      </c>
      <c r="AL2" s="515" t="str">
        <f>'выручка по кв и годам'!AM1</f>
        <v>IV кв. 9 г.</v>
      </c>
      <c r="AM2" s="515" t="str">
        <f>'выручка по кв и годам'!AN1</f>
        <v>I кв. 10 г.</v>
      </c>
      <c r="AN2" s="515" t="str">
        <f>'выручка по кв и годам'!AO1</f>
        <v>II кв. 10 г.</v>
      </c>
      <c r="AO2" s="515" t="str">
        <f>'выручка по кв и годам'!AP1</f>
        <v>III кв. 10 г.</v>
      </c>
      <c r="AP2" s="515" t="str">
        <f>'выручка по кв и годам'!AQ1</f>
        <v>IV кв. 10 г.</v>
      </c>
      <c r="AQ2" s="515" t="str">
        <f>'выручка по кв и годам'!AR1</f>
        <v>I кв. 11 г.</v>
      </c>
      <c r="AR2" s="515" t="str">
        <f>'выручка по кв и годам'!AS1</f>
        <v>II кв. 11 г.</v>
      </c>
      <c r="AS2" s="515" t="str">
        <f>'выручка по кв и годам'!AT1</f>
        <v>III кв. 11 г.</v>
      </c>
      <c r="AT2" s="515" t="str">
        <f>'выручка по кв и годам'!AU1</f>
        <v>IV кв. 11 г.</v>
      </c>
    </row>
    <row r="3" spans="1:46" ht="28.8">
      <c r="A3" s="64" t="str">
        <f>'объем работ 100% загр'!A10</f>
        <v>Утилизация мусора, опасных отходов</v>
      </c>
      <c r="B3" s="563" t="s">
        <v>404</v>
      </c>
      <c r="C3" s="60">
        <f>'объем работ 100% загр'!C10</f>
        <v>0</v>
      </c>
      <c r="D3" s="60">
        <f>C3</f>
        <v>0</v>
      </c>
      <c r="E3" s="60">
        <f t="shared" ref="E3:F5" si="0">D3</f>
        <v>0</v>
      </c>
      <c r="F3" s="60">
        <f t="shared" si="0"/>
        <v>0</v>
      </c>
      <c r="G3" s="60">
        <f>'объем работ 100% загр'!D10/4</f>
        <v>0</v>
      </c>
      <c r="H3" s="60">
        <f>G3</f>
        <v>0</v>
      </c>
      <c r="I3" s="60">
        <f t="shared" ref="I3:J5" si="1">H3</f>
        <v>0</v>
      </c>
      <c r="J3" s="60">
        <f t="shared" si="1"/>
        <v>0</v>
      </c>
      <c r="K3" s="60">
        <f>'объем работ 100% загр'!E10/4</f>
        <v>0</v>
      </c>
      <c r="L3" s="60">
        <f>K3</f>
        <v>0</v>
      </c>
      <c r="M3" s="60">
        <f t="shared" ref="M3:N5" si="2">L3</f>
        <v>0</v>
      </c>
      <c r="N3" s="60">
        <f t="shared" si="2"/>
        <v>0</v>
      </c>
      <c r="O3" s="60">
        <f>'объем работ 100% загр'!F10/4</f>
        <v>0</v>
      </c>
      <c r="P3" s="60">
        <f>O3</f>
        <v>0</v>
      </c>
      <c r="Q3" s="60">
        <f t="shared" ref="Q3:R5" si="3">P3</f>
        <v>0</v>
      </c>
      <c r="R3" s="60">
        <f t="shared" si="3"/>
        <v>0</v>
      </c>
      <c r="S3" s="60">
        <f>'объем работ 100% загр'!G10/4</f>
        <v>642.6</v>
      </c>
      <c r="T3" s="60">
        <f>S3</f>
        <v>642.6</v>
      </c>
      <c r="U3" s="60">
        <f t="shared" ref="U3:V5" si="4">T3</f>
        <v>642.6</v>
      </c>
      <c r="V3" s="60">
        <f t="shared" si="4"/>
        <v>642.6</v>
      </c>
      <c r="W3" s="60">
        <f>'объем работ 100% загр'!H10/4</f>
        <v>850.50000000000023</v>
      </c>
      <c r="X3" s="60">
        <f>W3</f>
        <v>850.50000000000023</v>
      </c>
      <c r="Y3" s="60">
        <f t="shared" ref="Y3:Z5" si="5">X3</f>
        <v>850.50000000000023</v>
      </c>
      <c r="Z3" s="60">
        <f t="shared" si="5"/>
        <v>850.50000000000023</v>
      </c>
      <c r="AA3" s="60">
        <f>'объем работ 100% загр'!I10/4</f>
        <v>1077.3000000000002</v>
      </c>
      <c r="AB3" s="60">
        <f>AA3</f>
        <v>1077.3000000000002</v>
      </c>
      <c r="AC3" s="60">
        <f t="shared" ref="AC3:AD5" si="6">AB3</f>
        <v>1077.3000000000002</v>
      </c>
      <c r="AD3" s="60">
        <f t="shared" si="6"/>
        <v>1077.3000000000002</v>
      </c>
      <c r="AE3" s="60">
        <f>'объем работ 100% загр'!J10/4</f>
        <v>1323.0000000000002</v>
      </c>
      <c r="AF3" s="60">
        <f>AE3</f>
        <v>1323.0000000000002</v>
      </c>
      <c r="AG3" s="60">
        <f t="shared" ref="AG3:AH5" si="7">AF3</f>
        <v>1323.0000000000002</v>
      </c>
      <c r="AH3" s="60">
        <f t="shared" si="7"/>
        <v>1323.0000000000002</v>
      </c>
      <c r="AI3" s="60">
        <f>'объем работ 100% загр'!K10/4</f>
        <v>1512.0000000000005</v>
      </c>
      <c r="AJ3" s="60">
        <f>AI3</f>
        <v>1512.0000000000005</v>
      </c>
      <c r="AK3" s="60">
        <f t="shared" ref="AK3:AL5" si="8">AJ3</f>
        <v>1512.0000000000005</v>
      </c>
      <c r="AL3" s="60">
        <f t="shared" si="8"/>
        <v>1512.0000000000005</v>
      </c>
      <c r="AM3" s="60">
        <f>'объем работ 100% загр'!L10/4</f>
        <v>1701</v>
      </c>
      <c r="AN3" s="60">
        <f>AM3</f>
        <v>1701</v>
      </c>
      <c r="AO3" s="60">
        <f t="shared" ref="AO3:AP5" si="9">AN3</f>
        <v>1701</v>
      </c>
      <c r="AP3" s="60">
        <f t="shared" si="9"/>
        <v>1701</v>
      </c>
      <c r="AQ3" s="60">
        <f>'объем работ 100% загр'!M10/4</f>
        <v>1701</v>
      </c>
      <c r="AR3" s="60">
        <f>AQ3</f>
        <v>1701</v>
      </c>
      <c r="AS3" s="60">
        <f t="shared" ref="AS3:AT5" si="10">AR3</f>
        <v>1701</v>
      </c>
      <c r="AT3" s="60">
        <f t="shared" si="10"/>
        <v>1701</v>
      </c>
    </row>
    <row r="4" spans="1:46">
      <c r="A4" s="64" t="str">
        <f>'объем работ 100% загр'!A11</f>
        <v>Генерация электроэнергии</v>
      </c>
      <c r="B4" s="563" t="s">
        <v>422</v>
      </c>
      <c r="C4" s="60">
        <f>'объем работ 100% загр'!C11</f>
        <v>0</v>
      </c>
      <c r="D4" s="60">
        <f t="shared" ref="D4:D5" si="11">C4</f>
        <v>0</v>
      </c>
      <c r="E4" s="60">
        <f t="shared" si="0"/>
        <v>0</v>
      </c>
      <c r="F4" s="60">
        <f t="shared" si="0"/>
        <v>0</v>
      </c>
      <c r="G4" s="60">
        <f>'объем работ 100% загр'!D11/4</f>
        <v>0</v>
      </c>
      <c r="H4" s="60">
        <f t="shared" ref="H4:H5" si="12">G4</f>
        <v>0</v>
      </c>
      <c r="I4" s="60">
        <f t="shared" si="1"/>
        <v>0</v>
      </c>
      <c r="J4" s="60">
        <f t="shared" si="1"/>
        <v>0</v>
      </c>
      <c r="K4" s="60">
        <f>'объем работ 100% загр'!E11/4</f>
        <v>0</v>
      </c>
      <c r="L4" s="60">
        <f t="shared" ref="L4:L5" si="13">K4</f>
        <v>0</v>
      </c>
      <c r="M4" s="60">
        <f t="shared" si="2"/>
        <v>0</v>
      </c>
      <c r="N4" s="60">
        <f t="shared" si="2"/>
        <v>0</v>
      </c>
      <c r="O4" s="60">
        <f>'объем работ 100% загр'!F11/4</f>
        <v>0</v>
      </c>
      <c r="P4" s="60">
        <f t="shared" ref="P4:P5" si="14">O4</f>
        <v>0</v>
      </c>
      <c r="Q4" s="60">
        <f t="shared" si="3"/>
        <v>0</v>
      </c>
      <c r="R4" s="60">
        <f t="shared" si="3"/>
        <v>0</v>
      </c>
      <c r="S4" s="60">
        <f>'объем работ 100% загр'!G11/4</f>
        <v>5100000</v>
      </c>
      <c r="T4" s="60">
        <f t="shared" ref="T4:T5" si="15">S4</f>
        <v>5100000</v>
      </c>
      <c r="U4" s="60">
        <f t="shared" si="4"/>
        <v>5100000</v>
      </c>
      <c r="V4" s="60">
        <f t="shared" si="4"/>
        <v>5100000</v>
      </c>
      <c r="W4" s="60">
        <f>'объем работ 100% загр'!H11/4</f>
        <v>6750000.0000000019</v>
      </c>
      <c r="X4" s="60">
        <f t="shared" ref="X4:X5" si="16">W4</f>
        <v>6750000.0000000019</v>
      </c>
      <c r="Y4" s="60">
        <f t="shared" si="5"/>
        <v>6750000.0000000019</v>
      </c>
      <c r="Z4" s="60">
        <f t="shared" si="5"/>
        <v>6750000.0000000019</v>
      </c>
      <c r="AA4" s="60">
        <f>'объем работ 100% загр'!I11/4</f>
        <v>8550000.0000000019</v>
      </c>
      <c r="AB4" s="60">
        <f t="shared" ref="AB4:AB5" si="17">AA4</f>
        <v>8550000.0000000019</v>
      </c>
      <c r="AC4" s="60">
        <f t="shared" si="6"/>
        <v>8550000.0000000019</v>
      </c>
      <c r="AD4" s="60">
        <f t="shared" si="6"/>
        <v>8550000.0000000019</v>
      </c>
      <c r="AE4" s="60">
        <f>'объем работ 100% загр'!J11/4</f>
        <v>10500000.000000002</v>
      </c>
      <c r="AF4" s="60">
        <f t="shared" ref="AF4:AF5" si="18">AE4</f>
        <v>10500000.000000002</v>
      </c>
      <c r="AG4" s="60">
        <f t="shared" si="7"/>
        <v>10500000.000000002</v>
      </c>
      <c r="AH4" s="60">
        <f t="shared" si="7"/>
        <v>10500000.000000002</v>
      </c>
      <c r="AI4" s="60">
        <f>'объем работ 100% загр'!K11/4</f>
        <v>12000000.000000004</v>
      </c>
      <c r="AJ4" s="60">
        <f t="shared" ref="AJ4:AJ5" si="19">AI4</f>
        <v>12000000.000000004</v>
      </c>
      <c r="AK4" s="60">
        <f t="shared" si="8"/>
        <v>12000000.000000004</v>
      </c>
      <c r="AL4" s="60">
        <f t="shared" si="8"/>
        <v>12000000.000000004</v>
      </c>
      <c r="AM4" s="60">
        <f>'объем работ 100% загр'!L11/4</f>
        <v>13500000</v>
      </c>
      <c r="AN4" s="60">
        <f t="shared" ref="AN4:AN5" si="20">AM4</f>
        <v>13500000</v>
      </c>
      <c r="AO4" s="60">
        <f t="shared" si="9"/>
        <v>13500000</v>
      </c>
      <c r="AP4" s="60">
        <f t="shared" si="9"/>
        <v>13500000</v>
      </c>
      <c r="AQ4" s="60">
        <f>'объем работ 100% загр'!M11/4</f>
        <v>13500000</v>
      </c>
      <c r="AR4" s="60">
        <f t="shared" ref="AR4:AR5" si="21">AQ4</f>
        <v>13500000</v>
      </c>
      <c r="AS4" s="60">
        <f t="shared" si="10"/>
        <v>13500000</v>
      </c>
      <c r="AT4" s="60">
        <f t="shared" si="10"/>
        <v>13500000</v>
      </c>
    </row>
    <row r="5" spans="1:46" ht="28.8">
      <c r="A5" s="64" t="str">
        <f>'объем работ 100% загр'!A12</f>
        <v>Реализация вторичного сырья, продукции</v>
      </c>
      <c r="B5" s="555" t="s">
        <v>418</v>
      </c>
      <c r="C5" s="60">
        <f>'объем работ 100% загр'!C12</f>
        <v>0</v>
      </c>
      <c r="D5" s="60">
        <f t="shared" si="11"/>
        <v>0</v>
      </c>
      <c r="E5" s="60">
        <f t="shared" si="0"/>
        <v>0</v>
      </c>
      <c r="F5" s="60">
        <f t="shared" si="0"/>
        <v>0</v>
      </c>
      <c r="G5" s="60">
        <f>'объем работ 100% загр'!D12/4</f>
        <v>0</v>
      </c>
      <c r="H5" s="60">
        <f t="shared" si="12"/>
        <v>0</v>
      </c>
      <c r="I5" s="60">
        <f t="shared" si="1"/>
        <v>0</v>
      </c>
      <c r="J5" s="60">
        <f t="shared" si="1"/>
        <v>0</v>
      </c>
      <c r="K5" s="60">
        <f>'объем работ 100% загр'!E12/4</f>
        <v>0</v>
      </c>
      <c r="L5" s="60">
        <f t="shared" si="13"/>
        <v>0</v>
      </c>
      <c r="M5" s="60">
        <f t="shared" si="2"/>
        <v>0</v>
      </c>
      <c r="N5" s="60">
        <f t="shared" si="2"/>
        <v>0</v>
      </c>
      <c r="O5" s="60">
        <f>'объем работ 100% загр'!F12/4</f>
        <v>0</v>
      </c>
      <c r="P5" s="60">
        <f t="shared" si="14"/>
        <v>0</v>
      </c>
      <c r="Q5" s="60">
        <f t="shared" si="3"/>
        <v>0</v>
      </c>
      <c r="R5" s="60">
        <f t="shared" si="3"/>
        <v>0</v>
      </c>
      <c r="S5" s="60">
        <f>'объем работ 100% загр'!G12/4</f>
        <v>5538.6000000000022</v>
      </c>
      <c r="T5" s="60">
        <f t="shared" si="15"/>
        <v>5538.6000000000022</v>
      </c>
      <c r="U5" s="60">
        <f t="shared" si="4"/>
        <v>5538.6000000000022</v>
      </c>
      <c r="V5" s="60">
        <f t="shared" si="4"/>
        <v>5538.6000000000022</v>
      </c>
      <c r="W5" s="60">
        <f>'объем работ 100% загр'!H12/4</f>
        <v>7330.5000000000018</v>
      </c>
      <c r="X5" s="60">
        <f t="shared" si="16"/>
        <v>7330.5000000000018</v>
      </c>
      <c r="Y5" s="60">
        <f t="shared" si="5"/>
        <v>7330.5000000000018</v>
      </c>
      <c r="Z5" s="60">
        <f t="shared" si="5"/>
        <v>7330.5000000000018</v>
      </c>
      <c r="AA5" s="60">
        <f>'объем работ 100% загр'!I12/4</f>
        <v>9285.3000000000011</v>
      </c>
      <c r="AB5" s="60">
        <f t="shared" si="17"/>
        <v>9285.3000000000011</v>
      </c>
      <c r="AC5" s="60">
        <f t="shared" si="6"/>
        <v>9285.3000000000011</v>
      </c>
      <c r="AD5" s="60">
        <f t="shared" si="6"/>
        <v>9285.3000000000011</v>
      </c>
      <c r="AE5" s="60">
        <f>'объем работ 100% загр'!J12/4</f>
        <v>11403.000000000002</v>
      </c>
      <c r="AF5" s="60">
        <f t="shared" si="18"/>
        <v>11403.000000000002</v>
      </c>
      <c r="AG5" s="60">
        <f t="shared" si="7"/>
        <v>11403.000000000002</v>
      </c>
      <c r="AH5" s="60">
        <f t="shared" si="7"/>
        <v>11403.000000000002</v>
      </c>
      <c r="AI5" s="60">
        <f>'объем работ 100% загр'!K12/4</f>
        <v>13032.000000000004</v>
      </c>
      <c r="AJ5" s="60">
        <f t="shared" si="19"/>
        <v>13032.000000000004</v>
      </c>
      <c r="AK5" s="60">
        <f t="shared" si="8"/>
        <v>13032.000000000004</v>
      </c>
      <c r="AL5" s="60">
        <f t="shared" si="8"/>
        <v>13032.000000000004</v>
      </c>
      <c r="AM5" s="60">
        <f>'объем работ 100% загр'!L12/4</f>
        <v>14661</v>
      </c>
      <c r="AN5" s="60">
        <f t="shared" si="20"/>
        <v>14661</v>
      </c>
      <c r="AO5" s="60">
        <f t="shared" si="9"/>
        <v>14661</v>
      </c>
      <c r="AP5" s="60">
        <f t="shared" si="9"/>
        <v>14661</v>
      </c>
      <c r="AQ5" s="60">
        <f>'объем работ 100% загр'!M12/4</f>
        <v>14661</v>
      </c>
      <c r="AR5" s="60">
        <f t="shared" si="21"/>
        <v>14661</v>
      </c>
      <c r="AS5" s="60">
        <f t="shared" si="10"/>
        <v>14661</v>
      </c>
      <c r="AT5" s="60">
        <f t="shared" si="10"/>
        <v>14661</v>
      </c>
    </row>
    <row r="6" spans="1:46">
      <c r="A6" s="593"/>
      <c r="B6" s="516"/>
    </row>
    <row r="7" spans="1:46">
      <c r="A7" s="518"/>
      <c r="B7" s="524"/>
    </row>
    <row r="8" spans="1:46">
      <c r="A8" s="516"/>
      <c r="B8" s="518"/>
    </row>
    <row r="9" spans="1:46">
      <c r="A9" s="516"/>
      <c r="B9" s="518"/>
    </row>
    <row r="11" spans="1:46" s="515" customFormat="1">
      <c r="A11" s="514" t="s">
        <v>405</v>
      </c>
      <c r="C11" s="515" t="str">
        <f>C2</f>
        <v>I кв. 1 г.</v>
      </c>
      <c r="D11" s="515" t="str">
        <f t="shared" ref="D11:AT11" si="22">D2</f>
        <v>II кв. 1 г.</v>
      </c>
      <c r="E11" s="515" t="str">
        <f t="shared" si="22"/>
        <v>III кв. 1 г.</v>
      </c>
      <c r="F11" s="515" t="str">
        <f t="shared" si="22"/>
        <v>IV кв. 1 г.</v>
      </c>
      <c r="G11" s="515" t="str">
        <f t="shared" si="22"/>
        <v>I кв. 2 г.</v>
      </c>
      <c r="H11" s="515" t="str">
        <f t="shared" si="22"/>
        <v>II кв. 2 г.</v>
      </c>
      <c r="I11" s="515" t="str">
        <f t="shared" si="22"/>
        <v>III кв. 2 г.</v>
      </c>
      <c r="J11" s="515" t="str">
        <f t="shared" si="22"/>
        <v>IV кв. 2 г.</v>
      </c>
      <c r="K11" s="515" t="str">
        <f t="shared" si="22"/>
        <v>I кв. 3 г.</v>
      </c>
      <c r="L11" s="515" t="str">
        <f t="shared" si="22"/>
        <v>II кв. 3 г.</v>
      </c>
      <c r="M11" s="515" t="str">
        <f t="shared" si="22"/>
        <v>III кв. 3 г.</v>
      </c>
      <c r="N11" s="515" t="str">
        <f t="shared" si="22"/>
        <v>IV кв. 3 г.</v>
      </c>
      <c r="O11" s="515" t="str">
        <f t="shared" si="22"/>
        <v>I кв. 4 г.</v>
      </c>
      <c r="P11" s="515" t="str">
        <f t="shared" si="22"/>
        <v>II кв. 4 г.</v>
      </c>
      <c r="Q11" s="515" t="str">
        <f t="shared" si="22"/>
        <v>III кв. 4 г.</v>
      </c>
      <c r="R11" s="515" t="str">
        <f t="shared" si="22"/>
        <v>IV кв. 4 г.</v>
      </c>
      <c r="S11" s="515" t="str">
        <f t="shared" si="22"/>
        <v>I кв. 5 г.</v>
      </c>
      <c r="T11" s="515" t="str">
        <f t="shared" si="22"/>
        <v>II кв. 5 г.</v>
      </c>
      <c r="U11" s="515" t="str">
        <f t="shared" si="22"/>
        <v>III кв. 5 г.</v>
      </c>
      <c r="V11" s="515" t="str">
        <f t="shared" si="22"/>
        <v>IV кв. 5 г.</v>
      </c>
      <c r="W11" s="515" t="str">
        <f t="shared" si="22"/>
        <v>I кв. 6 г.</v>
      </c>
      <c r="X11" s="515" t="str">
        <f t="shared" si="22"/>
        <v>II кв. 6 г.</v>
      </c>
      <c r="Y11" s="515" t="str">
        <f t="shared" si="22"/>
        <v>III кв. 6 г.</v>
      </c>
      <c r="Z11" s="515" t="str">
        <f t="shared" si="22"/>
        <v>IV кв. 6 г.</v>
      </c>
      <c r="AA11" s="515" t="str">
        <f t="shared" si="22"/>
        <v>I кв. 7 г.</v>
      </c>
      <c r="AB11" s="515" t="str">
        <f t="shared" si="22"/>
        <v>II кв. 7 г.</v>
      </c>
      <c r="AC11" s="515" t="str">
        <f t="shared" si="22"/>
        <v>III кв. 7 г.</v>
      </c>
      <c r="AD11" s="515" t="str">
        <f t="shared" si="22"/>
        <v>IV кв. 7 г.</v>
      </c>
      <c r="AE11" s="515" t="str">
        <f t="shared" si="22"/>
        <v>I кв. 8 г.</v>
      </c>
      <c r="AF11" s="515" t="str">
        <f t="shared" si="22"/>
        <v>II кв. 8 г.</v>
      </c>
      <c r="AG11" s="515" t="str">
        <f t="shared" si="22"/>
        <v>III кв. 8 г.</v>
      </c>
      <c r="AH11" s="515" t="str">
        <f t="shared" si="22"/>
        <v>IV кв. 8 г.</v>
      </c>
      <c r="AI11" s="515" t="str">
        <f t="shared" si="22"/>
        <v>I кв. 9 г.</v>
      </c>
      <c r="AJ11" s="515" t="str">
        <f t="shared" si="22"/>
        <v>II кв. 9 г.</v>
      </c>
      <c r="AK11" s="515" t="str">
        <f t="shared" si="22"/>
        <v>III кв. 9 г.</v>
      </c>
      <c r="AL11" s="515" t="str">
        <f t="shared" si="22"/>
        <v>IV кв. 9 г.</v>
      </c>
      <c r="AM11" s="515" t="str">
        <f t="shared" si="22"/>
        <v>I кв. 10 г.</v>
      </c>
      <c r="AN11" s="515" t="str">
        <f t="shared" si="22"/>
        <v>II кв. 10 г.</v>
      </c>
      <c r="AO11" s="515" t="str">
        <f t="shared" si="22"/>
        <v>III кв. 10 г.</v>
      </c>
      <c r="AP11" s="515" t="str">
        <f t="shared" si="22"/>
        <v>IV кв. 10 г.</v>
      </c>
      <c r="AQ11" s="515" t="str">
        <f t="shared" si="22"/>
        <v>I кв. 11 г.</v>
      </c>
      <c r="AR11" s="515" t="str">
        <f t="shared" si="22"/>
        <v>II кв. 11 г.</v>
      </c>
      <c r="AS11" s="515" t="str">
        <f t="shared" si="22"/>
        <v>III кв. 11 г.</v>
      </c>
      <c r="AT11" s="515" t="str">
        <f t="shared" si="22"/>
        <v>IV кв. 11 г.</v>
      </c>
    </row>
    <row r="12" spans="1:46">
      <c r="A12" s="598" t="s">
        <v>447</v>
      </c>
      <c r="B12" s="516" t="s">
        <v>394</v>
      </c>
      <c r="C12" s="60">
        <f>допущения!$C$65*'выручка по кв и годам'!D5</f>
        <v>0</v>
      </c>
      <c r="D12" s="60">
        <f>допущения!$C$65*'выручка по кв и годам'!E5</f>
        <v>0</v>
      </c>
      <c r="E12" s="60">
        <f>допущения!$C$65*'выручка по кв и годам'!F5</f>
        <v>0</v>
      </c>
      <c r="F12" s="60">
        <f>допущения!$C$65*'выручка по кв и годам'!G5</f>
        <v>0</v>
      </c>
      <c r="G12" s="60">
        <f>допущения!$C$65*'выручка по кв и годам'!H5</f>
        <v>0</v>
      </c>
      <c r="H12" s="60">
        <f>допущения!$C$65*'выручка по кв и годам'!I5</f>
        <v>0</v>
      </c>
      <c r="I12" s="60">
        <f>допущения!$C$65*'выручка по кв и годам'!J5</f>
        <v>0</v>
      </c>
      <c r="J12" s="60">
        <f>допущения!$C$65*'выручка по кв и годам'!K5</f>
        <v>0</v>
      </c>
      <c r="K12" s="60">
        <f>допущения!$C$65*'выручка по кв и годам'!L5</f>
        <v>0</v>
      </c>
      <c r="L12" s="60">
        <f>допущения!$C$65*'выручка по кв и годам'!M5</f>
        <v>0</v>
      </c>
      <c r="M12" s="60">
        <f>допущения!$C$65*'выручка по кв и годам'!N5</f>
        <v>0</v>
      </c>
      <c r="N12" s="60">
        <f>допущения!$C$65*'выручка по кв и годам'!O5</f>
        <v>0</v>
      </c>
      <c r="O12" s="60">
        <f>допущения!$C$65*'выручка по кв и годам'!P5</f>
        <v>0</v>
      </c>
      <c r="P12" s="60">
        <f>допущения!$C$65*'выручка по кв и годам'!Q5</f>
        <v>0</v>
      </c>
      <c r="Q12" s="60">
        <f>допущения!$C$65*'выручка по кв и годам'!R5</f>
        <v>0</v>
      </c>
      <c r="R12" s="60">
        <f>допущения!$C$65*'выручка по кв и годам'!S5</f>
        <v>0</v>
      </c>
      <c r="S12" s="60">
        <f>допущения!$C$65*'выручка по кв и годам'!T5</f>
        <v>32639.25019629228</v>
      </c>
      <c r="T12" s="60">
        <f>допущения!$C$65*'выручка по кв и годам'!U5</f>
        <v>32639.25019629228</v>
      </c>
      <c r="U12" s="60">
        <f>допущения!$C$65*'выручка по кв и годам'!V5</f>
        <v>32639.25019629228</v>
      </c>
      <c r="V12" s="60">
        <f>допущения!$C$65*'выручка по кв и годам'!W5</f>
        <v>32639.25019629228</v>
      </c>
      <c r="W12" s="60">
        <f>допущения!$C$65*'выручка по кв и годам'!X5</f>
        <v>45733.678411160276</v>
      </c>
      <c r="X12" s="60">
        <f>допущения!$C$65*'выручка по кв и годам'!Y5</f>
        <v>45733.678411160276</v>
      </c>
      <c r="Y12" s="60">
        <f>допущения!$C$65*'выручка по кв и годам'!Z5</f>
        <v>45733.678411160276</v>
      </c>
      <c r="Z12" s="60">
        <f>допущения!$C$65*'выручка по кв и годам'!AA5</f>
        <v>45733.678411160276</v>
      </c>
      <c r="AA12" s="60">
        <f>допущения!$C$65*'выручка по кв и годам'!AB5</f>
        <v>61331.455855973749</v>
      </c>
      <c r="AB12" s="60">
        <f>допущения!$C$65*'выручка по кв и годам'!AC5</f>
        <v>61331.455855973749</v>
      </c>
      <c r="AC12" s="60">
        <f>допущения!$C$65*'выручка по кв и годам'!AD5</f>
        <v>61331.455855973749</v>
      </c>
      <c r="AD12" s="60">
        <f>допущения!$C$65*'выручка по кв и годам'!AE5</f>
        <v>61331.455855973749</v>
      </c>
      <c r="AE12" s="60">
        <f>допущения!$C$65*'выручка по кв и годам'!AF5</f>
        <v>79746.712894489159</v>
      </c>
      <c r="AF12" s="60">
        <f>допущения!$C$65*'выручка по кв и годам'!AG5</f>
        <v>79746.712894489159</v>
      </c>
      <c r="AG12" s="60">
        <f>допущения!$C$65*'выручка по кв и годам'!AH5</f>
        <v>79746.712894489159</v>
      </c>
      <c r="AH12" s="60">
        <f>допущения!$C$65*'выручка по кв и годам'!AI5</f>
        <v>79746.712894489159</v>
      </c>
      <c r="AI12" s="60">
        <f>допущения!$C$65*'выручка по кв и годам'!AJ5</f>
        <v>96500.983112075308</v>
      </c>
      <c r="AJ12" s="60">
        <f>допущения!$C$65*'выручка по кв и годам'!AK5</f>
        <v>96500.983112075308</v>
      </c>
      <c r="AK12" s="60">
        <f>допущения!$C$65*'выручка по кв и годам'!AL5</f>
        <v>96500.983112075308</v>
      </c>
      <c r="AL12" s="60">
        <f>допущения!$C$65*'выручка по кв и годам'!AM5</f>
        <v>96500.983112075308</v>
      </c>
      <c r="AM12" s="60">
        <f>допущения!$C$65*'выручка по кв и годам'!AN5</f>
        <v>114955.85450530388</v>
      </c>
      <c r="AN12" s="60">
        <f>допущения!$C$65*'выручка по кв и годам'!AO5</f>
        <v>114955.85450530388</v>
      </c>
      <c r="AO12" s="60">
        <f>допущения!$C$65*'выручка по кв и годам'!AP5</f>
        <v>114955.85450530388</v>
      </c>
      <c r="AP12" s="60">
        <f>допущения!$C$65*'выручка по кв и годам'!AQ5</f>
        <v>114955.85450530388</v>
      </c>
      <c r="AQ12" s="60">
        <f>допущения!$C$65*'выручка по кв и годам'!AR5</f>
        <v>121729.81440193854</v>
      </c>
      <c r="AR12" s="60">
        <f>допущения!$C$65*'выручка по кв и годам'!AS5</f>
        <v>121729.81440193854</v>
      </c>
      <c r="AS12" s="60">
        <f>допущения!$C$65*'выручка по кв и годам'!AT5</f>
        <v>121729.81440193854</v>
      </c>
      <c r="AT12" s="60">
        <f>допущения!$C$65*'выручка по кв и годам'!AU5</f>
        <v>121729.81440193854</v>
      </c>
    </row>
    <row r="13" spans="1:46" ht="28.8">
      <c r="A13" s="64" t="str">
        <f>'Расходы ТОР'!A5</f>
        <v>Расходы на спецодежду, средства защиты</v>
      </c>
      <c r="B13" s="516" t="s">
        <v>394</v>
      </c>
      <c r="C13" s="60">
        <f>'Расходы ТОР'!B5</f>
        <v>0</v>
      </c>
      <c r="D13" s="60">
        <f>'Расходы ТОР'!C5</f>
        <v>0</v>
      </c>
      <c r="E13" s="60">
        <f>'Расходы ТОР'!D5</f>
        <v>0</v>
      </c>
      <c r="F13" s="60">
        <f>'Расходы ТОР'!E5</f>
        <v>0</v>
      </c>
      <c r="G13" s="60">
        <f>'Расходы ТОР'!F5</f>
        <v>0</v>
      </c>
      <c r="H13" s="60">
        <f>'Расходы ТОР'!G5</f>
        <v>0</v>
      </c>
      <c r="I13" s="60">
        <f>'Расходы ТОР'!H5</f>
        <v>0</v>
      </c>
      <c r="J13" s="60">
        <f>'Расходы ТОР'!I5</f>
        <v>0</v>
      </c>
      <c r="K13" s="60">
        <f>'Расходы ТОР'!J5</f>
        <v>0</v>
      </c>
      <c r="L13" s="60">
        <f>'Расходы ТОР'!K5</f>
        <v>0</v>
      </c>
      <c r="M13" s="60">
        <f>'Расходы ТОР'!L5</f>
        <v>0</v>
      </c>
      <c r="N13" s="60">
        <f>'Расходы ТОР'!M5</f>
        <v>0</v>
      </c>
      <c r="O13" s="60">
        <f>'Расходы ТОР'!N5</f>
        <v>0</v>
      </c>
      <c r="P13" s="60">
        <f>'Расходы ТОР'!O5</f>
        <v>0</v>
      </c>
      <c r="Q13" s="60">
        <f>'Расходы ТОР'!P5</f>
        <v>0</v>
      </c>
      <c r="R13" s="60">
        <f>'Расходы ТОР'!Q5</f>
        <v>0</v>
      </c>
      <c r="S13" s="60">
        <f>'Расходы ТОР'!R5</f>
        <v>636.24056700000006</v>
      </c>
      <c r="T13" s="60">
        <f>'Расходы ТОР'!S5</f>
        <v>636.24056700000006</v>
      </c>
      <c r="U13" s="60">
        <f>'Расходы ТОР'!T5</f>
        <v>636.24056700000006</v>
      </c>
      <c r="V13" s="60">
        <f>'Расходы ТОР'!U5</f>
        <v>636.24056700000006</v>
      </c>
      <c r="W13" s="60">
        <f>'Расходы ТОР'!V5</f>
        <v>674.41500102000009</v>
      </c>
      <c r="X13" s="60">
        <f>'Расходы ТОР'!W5</f>
        <v>674.41500102000009</v>
      </c>
      <c r="Y13" s="60">
        <f>'Расходы ТОР'!X5</f>
        <v>674.41500102000009</v>
      </c>
      <c r="Z13" s="60">
        <f>'Расходы ТОР'!Y5</f>
        <v>674.41500102000009</v>
      </c>
      <c r="AA13" s="60">
        <f>'Расходы ТОР'!Z5</f>
        <v>714.87990108120005</v>
      </c>
      <c r="AB13" s="60">
        <f>'Расходы ТОР'!AA5</f>
        <v>714.87990108120005</v>
      </c>
      <c r="AC13" s="60">
        <f>'Расходы ТОР'!AB5</f>
        <v>714.87990108120005</v>
      </c>
      <c r="AD13" s="60">
        <f>'Расходы ТОР'!AC5</f>
        <v>714.87990108120005</v>
      </c>
      <c r="AE13" s="60">
        <f>'Расходы ТОР'!AD5</f>
        <v>756.37599068287227</v>
      </c>
      <c r="AF13" s="60">
        <f>'Расходы ТОР'!AE5</f>
        <v>756.37599068287227</v>
      </c>
      <c r="AG13" s="60">
        <f>'Расходы ТОР'!AF5</f>
        <v>756.37599068287227</v>
      </c>
      <c r="AH13" s="60">
        <f>'Расходы ТОР'!AG5</f>
        <v>756.37599068287227</v>
      </c>
      <c r="AI13" s="60">
        <f>'Расходы ТОР'!AH5</f>
        <v>801.75855012384443</v>
      </c>
      <c r="AJ13" s="60">
        <f>'Расходы ТОР'!AI5</f>
        <v>801.75855012384443</v>
      </c>
      <c r="AK13" s="60">
        <f>'Расходы ТОР'!AJ5</f>
        <v>801.75855012384443</v>
      </c>
      <c r="AL13" s="60">
        <f>'Расходы ТОР'!AK5</f>
        <v>801.75855012384443</v>
      </c>
      <c r="AM13" s="60">
        <f>'Расходы ТОР'!AL5</f>
        <v>849.8640631312752</v>
      </c>
      <c r="AN13" s="60">
        <f>'Расходы ТОР'!AM5</f>
        <v>849.8640631312752</v>
      </c>
      <c r="AO13" s="60">
        <f>'Расходы ТОР'!AN5</f>
        <v>849.8640631312752</v>
      </c>
      <c r="AP13" s="60">
        <f>'Расходы ТОР'!AO5</f>
        <v>849.8640631312752</v>
      </c>
      <c r="AQ13" s="60">
        <f>'Расходы ТОР'!AP5</f>
        <v>849.8640631312752</v>
      </c>
      <c r="AR13" s="60">
        <f>'Расходы ТОР'!AQ5</f>
        <v>849.8640631312752</v>
      </c>
      <c r="AS13" s="60">
        <f>'Расходы ТОР'!AR5</f>
        <v>849.8640631312752</v>
      </c>
      <c r="AT13" s="60">
        <f>'Расходы ТОР'!AS5</f>
        <v>849.8640631312752</v>
      </c>
    </row>
    <row r="14" spans="1:46" ht="18" customHeight="1">
      <c r="A14" s="64" t="s">
        <v>445</v>
      </c>
      <c r="B14" s="516" t="s">
        <v>394</v>
      </c>
      <c r="C14" s="60">
        <f>'выручка по кв и годам'!D5*допущения!$C$66</f>
        <v>0</v>
      </c>
      <c r="D14" s="60">
        <f>'выручка по кв и годам'!E5*допущения!$C$66</f>
        <v>0</v>
      </c>
      <c r="E14" s="60">
        <f>'выручка по кв и годам'!F5*допущения!$C$66</f>
        <v>0</v>
      </c>
      <c r="F14" s="60">
        <f>'выручка по кв и годам'!G5*допущения!$C$66</f>
        <v>0</v>
      </c>
      <c r="G14" s="60">
        <f>'выручка по кв и годам'!H5*допущения!$C$66</f>
        <v>0</v>
      </c>
      <c r="H14" s="60">
        <f>'выручка по кв и годам'!I5*допущения!$C$66</f>
        <v>0</v>
      </c>
      <c r="I14" s="60">
        <f>'выручка по кв и годам'!J5*допущения!$C$66</f>
        <v>0</v>
      </c>
      <c r="J14" s="60">
        <f>'выручка по кв и годам'!K5*допущения!$C$66</f>
        <v>0</v>
      </c>
      <c r="K14" s="60">
        <f>'выручка по кв и годам'!L5*допущения!$C$66</f>
        <v>0</v>
      </c>
      <c r="L14" s="60">
        <f>'выручка по кв и годам'!M5*допущения!$C$66</f>
        <v>0</v>
      </c>
      <c r="M14" s="60">
        <f>'выручка по кв и годам'!N5*допущения!$C$66</f>
        <v>0</v>
      </c>
      <c r="N14" s="60">
        <f>'выручка по кв и годам'!O5*допущения!$C$66</f>
        <v>0</v>
      </c>
      <c r="O14" s="60">
        <f>'выручка по кв и годам'!P5*допущения!$C$66</f>
        <v>0</v>
      </c>
      <c r="P14" s="60">
        <f>'выручка по кв и годам'!Q5*допущения!$C$66</f>
        <v>0</v>
      </c>
      <c r="Q14" s="60">
        <f>'выручка по кв и годам'!R5*допущения!$C$66</f>
        <v>0</v>
      </c>
      <c r="R14" s="60">
        <f>'выручка по кв и годам'!S5*допущения!$C$66</f>
        <v>0</v>
      </c>
      <c r="S14" s="60">
        <f>'выручка по кв и годам'!T5*допущения!$C$66</f>
        <v>1523.1650091603065</v>
      </c>
      <c r="T14" s="60">
        <f>'выручка по кв и годам'!U5*допущения!$C$66</f>
        <v>1523.1650091603065</v>
      </c>
      <c r="U14" s="60">
        <f>'выручка по кв и годам'!V5*допущения!$C$66</f>
        <v>1523.1650091603065</v>
      </c>
      <c r="V14" s="60">
        <f>'выручка по кв и годам'!W5*допущения!$C$66</f>
        <v>1523.1650091603065</v>
      </c>
      <c r="W14" s="60">
        <f>'выручка по кв и годам'!X5*допущения!$C$66</f>
        <v>2134.2383258541463</v>
      </c>
      <c r="X14" s="60">
        <f>'выручка по кв и годам'!Y5*допущения!$C$66</f>
        <v>2134.2383258541463</v>
      </c>
      <c r="Y14" s="60">
        <f>'выручка по кв и годам'!Z5*допущения!$C$66</f>
        <v>2134.2383258541463</v>
      </c>
      <c r="Z14" s="60">
        <f>'выручка по кв и годам'!AA5*допущения!$C$66</f>
        <v>2134.2383258541463</v>
      </c>
      <c r="AA14" s="60">
        <f>'выручка по кв и годам'!AB5*допущения!$C$66</f>
        <v>2862.1346066121087</v>
      </c>
      <c r="AB14" s="60">
        <f>'выручка по кв и годам'!AC5*допущения!$C$66</f>
        <v>2862.1346066121087</v>
      </c>
      <c r="AC14" s="60">
        <f>'выручка по кв и годам'!AD5*допущения!$C$66</f>
        <v>2862.1346066121087</v>
      </c>
      <c r="AD14" s="60">
        <f>'выручка по кв и годам'!AE5*допущения!$C$66</f>
        <v>2862.1346066121087</v>
      </c>
      <c r="AE14" s="60">
        <f>'выручка по кв и годам'!AF5*допущения!$C$66</f>
        <v>3721.5132684094942</v>
      </c>
      <c r="AF14" s="60">
        <f>'выручка по кв и годам'!AG5*допущения!$C$66</f>
        <v>3721.5132684094942</v>
      </c>
      <c r="AG14" s="60">
        <f>'выручка по кв и годам'!AH5*допущения!$C$66</f>
        <v>3721.5132684094942</v>
      </c>
      <c r="AH14" s="60">
        <f>'выручка по кв и годам'!AI5*допущения!$C$66</f>
        <v>3721.5132684094942</v>
      </c>
      <c r="AI14" s="60">
        <f>'выручка по кв и годам'!AJ5*допущения!$C$66</f>
        <v>4503.3792118968477</v>
      </c>
      <c r="AJ14" s="60">
        <f>'выручка по кв и годам'!AK5*допущения!$C$66</f>
        <v>4503.3792118968477</v>
      </c>
      <c r="AK14" s="60">
        <f>'выручка по кв и годам'!AL5*допущения!$C$66</f>
        <v>4503.3792118968477</v>
      </c>
      <c r="AL14" s="60">
        <f>'выручка по кв и годам'!AM5*допущения!$C$66</f>
        <v>4503.3792118968477</v>
      </c>
      <c r="AM14" s="60">
        <f>'выручка по кв и годам'!AN5*допущения!$C$66</f>
        <v>5364.6065435808478</v>
      </c>
      <c r="AN14" s="60">
        <f>'выручка по кв и годам'!AO5*допущения!$C$66</f>
        <v>5364.6065435808478</v>
      </c>
      <c r="AO14" s="60">
        <f>'выручка по кв и годам'!AP5*допущения!$C$66</f>
        <v>5364.6065435808478</v>
      </c>
      <c r="AP14" s="60">
        <f>'выручка по кв и годам'!AQ5*допущения!$C$66</f>
        <v>5364.6065435808478</v>
      </c>
      <c r="AQ14" s="60">
        <f>'выручка по кв и годам'!AR5*допущения!$C$66</f>
        <v>5680.7246720904659</v>
      </c>
      <c r="AR14" s="60">
        <f>'выручка по кв и годам'!AS5*допущения!$C$66</f>
        <v>5680.7246720904659</v>
      </c>
      <c r="AS14" s="60">
        <f>'выручка по кв и годам'!AT5*допущения!$C$66</f>
        <v>5680.7246720904659</v>
      </c>
      <c r="AT14" s="60">
        <f>'выручка по кв и годам'!AU5*допущения!$C$66</f>
        <v>5680.7246720904659</v>
      </c>
    </row>
    <row r="15" spans="1:46" ht="60" customHeight="1">
      <c r="A15" s="64" t="s">
        <v>446</v>
      </c>
      <c r="B15" s="516" t="s">
        <v>394</v>
      </c>
      <c r="C15" s="60">
        <f>'выручка по кв и годам'!D5*допущения!$C$68</f>
        <v>0</v>
      </c>
      <c r="D15" s="60">
        <f>'выручка по кв и годам'!E5*допущения!$C$68</f>
        <v>0</v>
      </c>
      <c r="E15" s="60">
        <f>'выручка по кв и годам'!F5*допущения!$C$68</f>
        <v>0</v>
      </c>
      <c r="F15" s="60">
        <f>'выручка по кв и годам'!G5*допущения!$C$68</f>
        <v>0</v>
      </c>
      <c r="G15" s="60">
        <f>'выручка по кв и годам'!H5*допущения!$C$68</f>
        <v>0</v>
      </c>
      <c r="H15" s="60">
        <f>'выручка по кв и годам'!I5*допущения!$C$68</f>
        <v>0</v>
      </c>
      <c r="I15" s="60">
        <f>'выручка по кв и годам'!J5*допущения!$C$68</f>
        <v>0</v>
      </c>
      <c r="J15" s="60">
        <f>'выручка по кв и годам'!K5*допущения!$C$68</f>
        <v>0</v>
      </c>
      <c r="K15" s="60">
        <f>'выручка по кв и годам'!L5*допущения!$C$68</f>
        <v>0</v>
      </c>
      <c r="L15" s="60">
        <f>'выручка по кв и годам'!M5*допущения!$C$68</f>
        <v>0</v>
      </c>
      <c r="M15" s="60">
        <f>'выручка по кв и годам'!N5*допущения!$C$68</f>
        <v>0</v>
      </c>
      <c r="N15" s="60">
        <f>'выручка по кв и годам'!O5*допущения!$C$68</f>
        <v>0</v>
      </c>
      <c r="O15" s="60">
        <f>'выручка по кв и годам'!P5*допущения!$C$68</f>
        <v>0</v>
      </c>
      <c r="P15" s="60">
        <f>'выручка по кв и годам'!Q5*допущения!$C$68</f>
        <v>0</v>
      </c>
      <c r="Q15" s="60">
        <f>'выручка по кв и годам'!R5*допущения!$C$68</f>
        <v>0</v>
      </c>
      <c r="R15" s="60">
        <f>'выручка по кв и годам'!S5*допущения!$C$68</f>
        <v>0</v>
      </c>
      <c r="S15" s="60">
        <f>'выручка по кв и годам'!T5*допущения!$C$68</f>
        <v>16319.62509814614</v>
      </c>
      <c r="T15" s="60">
        <f>'выручка по кв и годам'!U5*допущения!$C$68</f>
        <v>16319.62509814614</v>
      </c>
      <c r="U15" s="60">
        <f>'выручка по кв и годам'!V5*допущения!$C$68</f>
        <v>16319.62509814614</v>
      </c>
      <c r="V15" s="60">
        <f>'выручка по кв и годам'!W5*допущения!$C$68</f>
        <v>16319.62509814614</v>
      </c>
      <c r="W15" s="60">
        <f>'выручка по кв и годам'!X5*допущения!$C$68</f>
        <v>22866.839205580138</v>
      </c>
      <c r="X15" s="60">
        <f>'выручка по кв и годам'!Y5*допущения!$C$68</f>
        <v>22866.839205580138</v>
      </c>
      <c r="Y15" s="60">
        <f>'выручка по кв и годам'!Z5*допущения!$C$68</f>
        <v>22866.839205580138</v>
      </c>
      <c r="Z15" s="60">
        <f>'выручка по кв и годам'!AA5*допущения!$C$68</f>
        <v>22866.839205580138</v>
      </c>
      <c r="AA15" s="60">
        <f>'выручка по кв и годам'!AB5*допущения!$C$68</f>
        <v>30665.727927986874</v>
      </c>
      <c r="AB15" s="60">
        <f>'выручка по кв и годам'!AC5*допущения!$C$68</f>
        <v>30665.727927986874</v>
      </c>
      <c r="AC15" s="60">
        <f>'выручка по кв и годам'!AD5*допущения!$C$68</f>
        <v>30665.727927986874</v>
      </c>
      <c r="AD15" s="60">
        <f>'выручка по кв и годам'!AE5*допущения!$C$68</f>
        <v>30665.727927986874</v>
      </c>
      <c r="AE15" s="60">
        <f>'выручка по кв и годам'!AF5*допущения!$C$68</f>
        <v>39873.35644724458</v>
      </c>
      <c r="AF15" s="60">
        <f>'выручка по кв и годам'!AG5*допущения!$C$68</f>
        <v>39873.35644724458</v>
      </c>
      <c r="AG15" s="60">
        <f>'выручка по кв и годам'!AH5*допущения!$C$68</f>
        <v>39873.35644724458</v>
      </c>
      <c r="AH15" s="60">
        <f>'выручка по кв и годам'!AI5*допущения!$C$68</f>
        <v>39873.35644724458</v>
      </c>
      <c r="AI15" s="60">
        <f>'выручка по кв и годам'!AJ5*допущения!$C$68</f>
        <v>48250.491556037654</v>
      </c>
      <c r="AJ15" s="60">
        <f>'выручка по кв и годам'!AK5*допущения!$C$68</f>
        <v>48250.491556037654</v>
      </c>
      <c r="AK15" s="60">
        <f>'выручка по кв и годам'!AL5*допущения!$C$68</f>
        <v>48250.491556037654</v>
      </c>
      <c r="AL15" s="60">
        <f>'выручка по кв и годам'!AM5*допущения!$C$68</f>
        <v>48250.491556037654</v>
      </c>
      <c r="AM15" s="60">
        <f>'выручка по кв и годам'!AN5*допущения!$C$68</f>
        <v>57477.927252651942</v>
      </c>
      <c r="AN15" s="60">
        <f>'выручка по кв и годам'!AO5*допущения!$C$68</f>
        <v>57477.927252651942</v>
      </c>
      <c r="AO15" s="60">
        <f>'выручка по кв и годам'!AP5*допущения!$C$68</f>
        <v>57477.927252651942</v>
      </c>
      <c r="AP15" s="60">
        <f>'выручка по кв и годам'!AQ5*допущения!$C$68</f>
        <v>57477.927252651942</v>
      </c>
      <c r="AQ15" s="60">
        <f>'выручка по кв и годам'!AR5*допущения!$C$68</f>
        <v>60864.907200969268</v>
      </c>
      <c r="AR15" s="60">
        <f>'выручка по кв и годам'!AS5*допущения!$C$68</f>
        <v>60864.907200969268</v>
      </c>
      <c r="AS15" s="60">
        <f>'выручка по кв и годам'!AT5*допущения!$C$68</f>
        <v>60864.907200969268</v>
      </c>
      <c r="AT15" s="60">
        <f>'выручка по кв и годам'!AU5*допущения!$C$68</f>
        <v>60864.907200969268</v>
      </c>
    </row>
    <row r="16" spans="1:46" ht="47.25" customHeight="1">
      <c r="A16" s="64" t="s">
        <v>248</v>
      </c>
      <c r="B16" s="516" t="s">
        <v>394</v>
      </c>
      <c r="C16" s="60">
        <f>'Расходы ТОР'!B8</f>
        <v>0</v>
      </c>
      <c r="D16" s="60">
        <f>'Расходы ТОР'!C8</f>
        <v>0</v>
      </c>
      <c r="E16" s="60">
        <f>'Расходы ТОР'!D8</f>
        <v>0</v>
      </c>
      <c r="F16" s="60">
        <f>'Расходы ТОР'!E8</f>
        <v>0</v>
      </c>
      <c r="G16" s="60">
        <f>'Расходы ТОР'!F8</f>
        <v>0</v>
      </c>
      <c r="H16" s="60">
        <f>'Расходы ТОР'!G8</f>
        <v>0</v>
      </c>
      <c r="I16" s="60">
        <f>'Расходы ТОР'!H8</f>
        <v>0</v>
      </c>
      <c r="J16" s="60">
        <f>'Расходы ТОР'!I8</f>
        <v>0</v>
      </c>
      <c r="K16" s="60">
        <f>'Расходы ТОР'!J8</f>
        <v>0</v>
      </c>
      <c r="L16" s="60">
        <f>'Расходы ТОР'!K8</f>
        <v>0</v>
      </c>
      <c r="M16" s="60">
        <f>'Расходы ТОР'!L8</f>
        <v>0</v>
      </c>
      <c r="N16" s="60">
        <f>'Расходы ТОР'!M8</f>
        <v>0</v>
      </c>
      <c r="O16" s="60">
        <f>'Расходы ТОР'!N8</f>
        <v>0</v>
      </c>
      <c r="P16" s="60">
        <f>'Расходы ТОР'!O8</f>
        <v>0</v>
      </c>
      <c r="Q16" s="60">
        <f>'Расходы ТОР'!P8</f>
        <v>0</v>
      </c>
      <c r="R16" s="60">
        <f>'Расходы ТОР'!Q8</f>
        <v>0</v>
      </c>
      <c r="S16" s="60">
        <f>'Расходы ТОР'!R8</f>
        <v>2175.950013086152</v>
      </c>
      <c r="T16" s="60">
        <f>'Расходы ТОР'!S8</f>
        <v>2175.950013086152</v>
      </c>
      <c r="U16" s="60">
        <f>'Расходы ТОР'!T8</f>
        <v>2175.950013086152</v>
      </c>
      <c r="V16" s="60">
        <f>'Расходы ТОР'!U8</f>
        <v>2175.950013086152</v>
      </c>
      <c r="W16" s="60">
        <f>'Расходы ТОР'!V8</f>
        <v>3048.9118940773519</v>
      </c>
      <c r="X16" s="60">
        <f>'Расходы ТОР'!W8</f>
        <v>3048.9118940773519</v>
      </c>
      <c r="Y16" s="60">
        <f>'Расходы ТОР'!X8</f>
        <v>3048.9118940773519</v>
      </c>
      <c r="Z16" s="60">
        <f>'Расходы ТОР'!Y8</f>
        <v>3048.9118940773519</v>
      </c>
      <c r="AA16" s="60">
        <f>'Расходы ТОР'!Z8</f>
        <v>4088.7637237315835</v>
      </c>
      <c r="AB16" s="60">
        <f>'Расходы ТОР'!AA8</f>
        <v>4088.7637237315835</v>
      </c>
      <c r="AC16" s="60">
        <f>'Расходы ТОР'!AB8</f>
        <v>4088.7637237315835</v>
      </c>
      <c r="AD16" s="60">
        <f>'Расходы ТОР'!AC8</f>
        <v>4088.7637237315835</v>
      </c>
      <c r="AE16" s="60">
        <f>'Расходы ТОР'!AD8</f>
        <v>5316.4475262992773</v>
      </c>
      <c r="AF16" s="60">
        <f>'Расходы ТОР'!AE8</f>
        <v>5316.4475262992773</v>
      </c>
      <c r="AG16" s="60">
        <f>'Расходы ТОР'!AF8</f>
        <v>5316.4475262992773</v>
      </c>
      <c r="AH16" s="60">
        <f>'Расходы ТОР'!AG8</f>
        <v>5316.4475262992773</v>
      </c>
      <c r="AI16" s="60">
        <f>'Расходы ТОР'!AH8</f>
        <v>6433.3988741383537</v>
      </c>
      <c r="AJ16" s="60">
        <f>'Расходы ТОР'!AI8</f>
        <v>6433.3988741383537</v>
      </c>
      <c r="AK16" s="60">
        <f>'Расходы ТОР'!AJ8</f>
        <v>6433.3988741383537</v>
      </c>
      <c r="AL16" s="60">
        <f>'Расходы ТОР'!AK8</f>
        <v>6433.3988741383537</v>
      </c>
      <c r="AM16" s="60">
        <f>'Расходы ТОР'!AL8</f>
        <v>7663.7236336869255</v>
      </c>
      <c r="AN16" s="60">
        <f>'Расходы ТОР'!AM8</f>
        <v>7663.7236336869255</v>
      </c>
      <c r="AO16" s="60">
        <f>'Расходы ТОР'!AN8</f>
        <v>7663.7236336869255</v>
      </c>
      <c r="AP16" s="60">
        <f>'Расходы ТОР'!AO8</f>
        <v>7663.7236336869255</v>
      </c>
      <c r="AQ16" s="60">
        <f>'Расходы ТОР'!AP8</f>
        <v>8115.3209601292365</v>
      </c>
      <c r="AR16" s="60">
        <f>'Расходы ТОР'!AQ8</f>
        <v>8115.3209601292365</v>
      </c>
      <c r="AS16" s="60">
        <f>'Расходы ТОР'!AR8</f>
        <v>8115.3209601292365</v>
      </c>
      <c r="AT16" s="60">
        <f>'Расходы ТОР'!AS8</f>
        <v>8115.3209601292365</v>
      </c>
    </row>
    <row r="17" spans="1:46" s="539" customFormat="1" ht="32.25" customHeight="1">
      <c r="A17" s="533" t="s">
        <v>18</v>
      </c>
      <c r="B17" s="542" t="s">
        <v>394</v>
      </c>
      <c r="C17" s="543">
        <f>SUM(C12:C16)</f>
        <v>0</v>
      </c>
      <c r="D17" s="543">
        <f t="shared" ref="D17:AT17" si="23">SUM(D12:D16)</f>
        <v>0</v>
      </c>
      <c r="E17" s="543">
        <f t="shared" si="23"/>
        <v>0</v>
      </c>
      <c r="F17" s="543">
        <f t="shared" si="23"/>
        <v>0</v>
      </c>
      <c r="G17" s="543">
        <f>SUM(G12:G16)</f>
        <v>0</v>
      </c>
      <c r="H17" s="543">
        <f t="shared" si="23"/>
        <v>0</v>
      </c>
      <c r="I17" s="543">
        <f t="shared" si="23"/>
        <v>0</v>
      </c>
      <c r="J17" s="543">
        <f t="shared" si="23"/>
        <v>0</v>
      </c>
      <c r="K17" s="543">
        <f t="shared" si="23"/>
        <v>0</v>
      </c>
      <c r="L17" s="543">
        <f t="shared" si="23"/>
        <v>0</v>
      </c>
      <c r="M17" s="543">
        <f t="shared" si="23"/>
        <v>0</v>
      </c>
      <c r="N17" s="543">
        <f t="shared" si="23"/>
        <v>0</v>
      </c>
      <c r="O17" s="543">
        <f t="shared" si="23"/>
        <v>0</v>
      </c>
      <c r="P17" s="543">
        <f t="shared" si="23"/>
        <v>0</v>
      </c>
      <c r="Q17" s="543">
        <f t="shared" si="23"/>
        <v>0</v>
      </c>
      <c r="R17" s="543">
        <f t="shared" si="23"/>
        <v>0</v>
      </c>
      <c r="S17" s="543">
        <f t="shared" si="23"/>
        <v>53294.230883684875</v>
      </c>
      <c r="T17" s="543">
        <f t="shared" si="23"/>
        <v>53294.230883684875</v>
      </c>
      <c r="U17" s="543">
        <f t="shared" si="23"/>
        <v>53294.230883684875</v>
      </c>
      <c r="V17" s="543">
        <f t="shared" si="23"/>
        <v>53294.230883684875</v>
      </c>
      <c r="W17" s="543">
        <f t="shared" si="23"/>
        <v>74458.082837691909</v>
      </c>
      <c r="X17" s="543">
        <f t="shared" si="23"/>
        <v>74458.082837691909</v>
      </c>
      <c r="Y17" s="543">
        <f t="shared" si="23"/>
        <v>74458.082837691909</v>
      </c>
      <c r="Z17" s="543">
        <f t="shared" si="23"/>
        <v>74458.082837691909</v>
      </c>
      <c r="AA17" s="543">
        <f t="shared" si="23"/>
        <v>99662.962015385521</v>
      </c>
      <c r="AB17" s="543">
        <f t="shared" si="23"/>
        <v>99662.962015385521</v>
      </c>
      <c r="AC17" s="543">
        <f t="shared" si="23"/>
        <v>99662.962015385521</v>
      </c>
      <c r="AD17" s="543">
        <f t="shared" si="23"/>
        <v>99662.962015385521</v>
      </c>
      <c r="AE17" s="543">
        <f t="shared" si="23"/>
        <v>129414.4061271254</v>
      </c>
      <c r="AF17" s="543">
        <f t="shared" si="23"/>
        <v>129414.4061271254</v>
      </c>
      <c r="AG17" s="543">
        <f t="shared" si="23"/>
        <v>129414.4061271254</v>
      </c>
      <c r="AH17" s="543">
        <f t="shared" si="23"/>
        <v>129414.4061271254</v>
      </c>
      <c r="AI17" s="543">
        <f t="shared" si="23"/>
        <v>156490.01130427202</v>
      </c>
      <c r="AJ17" s="543">
        <f t="shared" si="23"/>
        <v>156490.01130427202</v>
      </c>
      <c r="AK17" s="543">
        <f t="shared" si="23"/>
        <v>156490.01130427202</v>
      </c>
      <c r="AL17" s="543">
        <f t="shared" si="23"/>
        <v>156490.01130427202</v>
      </c>
      <c r="AM17" s="543">
        <f t="shared" si="23"/>
        <v>186311.97599835487</v>
      </c>
      <c r="AN17" s="543">
        <f t="shared" si="23"/>
        <v>186311.97599835487</v>
      </c>
      <c r="AO17" s="543">
        <f t="shared" si="23"/>
        <v>186311.97599835487</v>
      </c>
      <c r="AP17" s="543">
        <f t="shared" si="23"/>
        <v>186311.97599835487</v>
      </c>
      <c r="AQ17" s="543">
        <f t="shared" si="23"/>
        <v>197240.63129825878</v>
      </c>
      <c r="AR17" s="543">
        <f t="shared" si="23"/>
        <v>197240.63129825878</v>
      </c>
      <c r="AS17" s="543">
        <f t="shared" si="23"/>
        <v>197240.63129825878</v>
      </c>
      <c r="AT17" s="543">
        <f t="shared" si="23"/>
        <v>197240.63129825878</v>
      </c>
    </row>
    <row r="19" spans="1:46" s="541" customFormat="1">
      <c r="A19" s="546"/>
      <c r="B19" s="540"/>
      <c r="S19" s="541">
        <f>S17/(S3)</f>
        <v>82.935311054598316</v>
      </c>
      <c r="T19" s="541">
        <f t="shared" ref="T19:AT19" si="24">T17/(T3*1000)</f>
        <v>8.293531105459831E-2</v>
      </c>
      <c r="U19" s="541">
        <f t="shared" si="24"/>
        <v>8.293531105459831E-2</v>
      </c>
      <c r="V19" s="541">
        <f t="shared" si="24"/>
        <v>8.293531105459831E-2</v>
      </c>
      <c r="W19" s="541">
        <f t="shared" si="24"/>
        <v>8.7546246722741791E-2</v>
      </c>
      <c r="X19" s="541">
        <f t="shared" si="24"/>
        <v>8.7546246722741791E-2</v>
      </c>
      <c r="Y19" s="541">
        <f t="shared" si="24"/>
        <v>8.7546246722741791E-2</v>
      </c>
      <c r="Z19" s="541">
        <f t="shared" si="24"/>
        <v>8.7546246722741791E-2</v>
      </c>
      <c r="AA19" s="541">
        <f t="shared" si="24"/>
        <v>9.251179988432702E-2</v>
      </c>
      <c r="AB19" s="541">
        <f t="shared" si="24"/>
        <v>9.251179988432702E-2</v>
      </c>
      <c r="AC19" s="541">
        <f t="shared" si="24"/>
        <v>9.251179988432702E-2</v>
      </c>
      <c r="AD19" s="541">
        <f t="shared" si="24"/>
        <v>9.251179988432702E-2</v>
      </c>
      <c r="AE19" s="541">
        <f t="shared" si="24"/>
        <v>9.7818901078703988E-2</v>
      </c>
      <c r="AF19" s="541">
        <f t="shared" si="24"/>
        <v>9.7818901078703988E-2</v>
      </c>
      <c r="AG19" s="541">
        <f t="shared" si="24"/>
        <v>9.7818901078703988E-2</v>
      </c>
      <c r="AH19" s="541">
        <f t="shared" si="24"/>
        <v>9.7818901078703988E-2</v>
      </c>
      <c r="AI19" s="541">
        <f t="shared" si="24"/>
        <v>0.1034986847250476</v>
      </c>
      <c r="AJ19" s="541">
        <f t="shared" si="24"/>
        <v>0.1034986847250476</v>
      </c>
      <c r="AK19" s="541">
        <f t="shared" si="24"/>
        <v>0.1034986847250476</v>
      </c>
      <c r="AL19" s="541">
        <f t="shared" si="24"/>
        <v>0.1034986847250476</v>
      </c>
      <c r="AM19" s="541">
        <f t="shared" si="24"/>
        <v>0.10953085008721627</v>
      </c>
      <c r="AN19" s="541">
        <f t="shared" si="24"/>
        <v>0.10953085008721627</v>
      </c>
      <c r="AO19" s="541">
        <f t="shared" si="24"/>
        <v>0.10953085008721627</v>
      </c>
      <c r="AP19" s="541">
        <f t="shared" si="24"/>
        <v>0.10953085008721627</v>
      </c>
      <c r="AQ19" s="541">
        <f t="shared" si="24"/>
        <v>0.11595569153336789</v>
      </c>
      <c r="AR19" s="541">
        <f t="shared" si="24"/>
        <v>0.11595569153336789</v>
      </c>
      <c r="AS19" s="541">
        <f t="shared" si="24"/>
        <v>0.11595569153336789</v>
      </c>
      <c r="AT19" s="541">
        <f t="shared" si="24"/>
        <v>0.11595569153336789</v>
      </c>
    </row>
    <row r="20" spans="1:46">
      <c r="A20" s="522"/>
      <c r="B20" s="517"/>
    </row>
    <row r="21" spans="1:46" s="515" customFormat="1">
      <c r="A21" s="519" t="s">
        <v>406</v>
      </c>
      <c r="B21" s="520"/>
      <c r="C21" s="521" t="str">
        <f>C11</f>
        <v>I кв. 1 г.</v>
      </c>
      <c r="D21" s="521" t="str">
        <f t="shared" ref="D21:AT21" si="25">D11</f>
        <v>II кв. 1 г.</v>
      </c>
      <c r="E21" s="521" t="str">
        <f t="shared" si="25"/>
        <v>III кв. 1 г.</v>
      </c>
      <c r="F21" s="521" t="str">
        <f t="shared" si="25"/>
        <v>IV кв. 1 г.</v>
      </c>
      <c r="G21" s="521" t="str">
        <f t="shared" si="25"/>
        <v>I кв. 2 г.</v>
      </c>
      <c r="H21" s="521" t="str">
        <f t="shared" si="25"/>
        <v>II кв. 2 г.</v>
      </c>
      <c r="I21" s="521" t="str">
        <f t="shared" si="25"/>
        <v>III кв. 2 г.</v>
      </c>
      <c r="J21" s="521" t="str">
        <f t="shared" si="25"/>
        <v>IV кв. 2 г.</v>
      </c>
      <c r="K21" s="521" t="str">
        <f t="shared" si="25"/>
        <v>I кв. 3 г.</v>
      </c>
      <c r="L21" s="521" t="str">
        <f t="shared" si="25"/>
        <v>II кв. 3 г.</v>
      </c>
      <c r="M21" s="521" t="str">
        <f t="shared" si="25"/>
        <v>III кв. 3 г.</v>
      </c>
      <c r="N21" s="521" t="str">
        <f t="shared" si="25"/>
        <v>IV кв. 3 г.</v>
      </c>
      <c r="O21" s="521" t="str">
        <f t="shared" si="25"/>
        <v>I кв. 4 г.</v>
      </c>
      <c r="P21" s="521" t="str">
        <f t="shared" si="25"/>
        <v>II кв. 4 г.</v>
      </c>
      <c r="Q21" s="521" t="str">
        <f t="shared" si="25"/>
        <v>III кв. 4 г.</v>
      </c>
      <c r="R21" s="521" t="str">
        <f t="shared" si="25"/>
        <v>IV кв. 4 г.</v>
      </c>
      <c r="S21" s="521" t="str">
        <f t="shared" si="25"/>
        <v>I кв. 5 г.</v>
      </c>
      <c r="T21" s="521" t="str">
        <f t="shared" si="25"/>
        <v>II кв. 5 г.</v>
      </c>
      <c r="U21" s="521" t="str">
        <f t="shared" si="25"/>
        <v>III кв. 5 г.</v>
      </c>
      <c r="V21" s="521" t="str">
        <f t="shared" si="25"/>
        <v>IV кв. 5 г.</v>
      </c>
      <c r="W21" s="521" t="str">
        <f t="shared" si="25"/>
        <v>I кв. 6 г.</v>
      </c>
      <c r="X21" s="521" t="str">
        <f t="shared" si="25"/>
        <v>II кв. 6 г.</v>
      </c>
      <c r="Y21" s="521" t="str">
        <f t="shared" si="25"/>
        <v>III кв. 6 г.</v>
      </c>
      <c r="Z21" s="521" t="str">
        <f t="shared" si="25"/>
        <v>IV кв. 6 г.</v>
      </c>
      <c r="AA21" s="521" t="str">
        <f t="shared" si="25"/>
        <v>I кв. 7 г.</v>
      </c>
      <c r="AB21" s="521" t="str">
        <f t="shared" si="25"/>
        <v>II кв. 7 г.</v>
      </c>
      <c r="AC21" s="521" t="str">
        <f t="shared" si="25"/>
        <v>III кв. 7 г.</v>
      </c>
      <c r="AD21" s="521" t="str">
        <f t="shared" si="25"/>
        <v>IV кв. 7 г.</v>
      </c>
      <c r="AE21" s="521" t="str">
        <f t="shared" si="25"/>
        <v>I кв. 8 г.</v>
      </c>
      <c r="AF21" s="521" t="str">
        <f t="shared" si="25"/>
        <v>II кв. 8 г.</v>
      </c>
      <c r="AG21" s="521" t="str">
        <f t="shared" si="25"/>
        <v>III кв. 8 г.</v>
      </c>
      <c r="AH21" s="521" t="str">
        <f t="shared" si="25"/>
        <v>IV кв. 8 г.</v>
      </c>
      <c r="AI21" s="521" t="str">
        <f t="shared" si="25"/>
        <v>I кв. 9 г.</v>
      </c>
      <c r="AJ21" s="521" t="str">
        <f t="shared" si="25"/>
        <v>II кв. 9 г.</v>
      </c>
      <c r="AK21" s="521" t="str">
        <f t="shared" si="25"/>
        <v>III кв. 9 г.</v>
      </c>
      <c r="AL21" s="521" t="str">
        <f t="shared" si="25"/>
        <v>IV кв. 9 г.</v>
      </c>
      <c r="AM21" s="521" t="str">
        <f t="shared" si="25"/>
        <v>I кв. 10 г.</v>
      </c>
      <c r="AN21" s="521" t="str">
        <f t="shared" si="25"/>
        <v>II кв. 10 г.</v>
      </c>
      <c r="AO21" s="521" t="str">
        <f t="shared" si="25"/>
        <v>III кв. 10 г.</v>
      </c>
      <c r="AP21" s="521" t="str">
        <f t="shared" si="25"/>
        <v>IV кв. 10 г.</v>
      </c>
      <c r="AQ21" s="521" t="str">
        <f t="shared" si="25"/>
        <v>I кв. 11 г.</v>
      </c>
      <c r="AR21" s="521" t="str">
        <f t="shared" si="25"/>
        <v>II кв. 11 г.</v>
      </c>
      <c r="AS21" s="521" t="str">
        <f t="shared" si="25"/>
        <v>III кв. 11 г.</v>
      </c>
      <c r="AT21" s="521" t="str">
        <f t="shared" si="25"/>
        <v>IV кв. 11 г.</v>
      </c>
    </row>
    <row r="22" spans="1:46" s="532" customFormat="1">
      <c r="A22" s="523" t="str">
        <f>'Расходы ТОР'!A2</f>
        <v>Арендная плата за зем. Участок</v>
      </c>
      <c r="B22" s="523"/>
      <c r="C22" s="524">
        <f>'Расходы ТОР'!B2</f>
        <v>0</v>
      </c>
      <c r="D22" s="524">
        <f>'Расходы ТОР'!C2</f>
        <v>0</v>
      </c>
      <c r="E22" s="524">
        <f>'Расходы ТОР'!D2</f>
        <v>1.35963908325</v>
      </c>
      <c r="F22" s="524">
        <f>'Расходы ТОР'!E2</f>
        <v>1.35963908325</v>
      </c>
      <c r="G22" s="524">
        <f>'Расходы ТОР'!F2</f>
        <v>1.35963908325</v>
      </c>
      <c r="H22" s="524">
        <f>'Расходы ТОР'!G2</f>
        <v>1.35963908325</v>
      </c>
      <c r="I22" s="524">
        <f>'Расходы ТОР'!H2</f>
        <v>1.35963908325</v>
      </c>
      <c r="J22" s="524">
        <f>'Расходы ТОР'!I2</f>
        <v>1.35963908325</v>
      </c>
      <c r="K22" s="524">
        <f>'Расходы ТОР'!J2</f>
        <v>1.35963908325</v>
      </c>
      <c r="L22" s="524">
        <f>'Расходы ТОР'!K2</f>
        <v>1.35963908325</v>
      </c>
      <c r="M22" s="524">
        <f>'Расходы ТОР'!L2</f>
        <v>1.35963908325</v>
      </c>
      <c r="N22" s="524">
        <f>'Расходы ТОР'!M2</f>
        <v>1.35963908325</v>
      </c>
      <c r="O22" s="524">
        <f>'Расходы ТОР'!N2</f>
        <v>1.35963908325</v>
      </c>
      <c r="P22" s="524">
        <f>'Расходы ТОР'!O2</f>
        <v>1.35963908325</v>
      </c>
      <c r="Q22" s="524">
        <f>'Расходы ТОР'!P2</f>
        <v>1.35963908325</v>
      </c>
      <c r="R22" s="524">
        <f>'Расходы ТОР'!Q2</f>
        <v>1.35963908325</v>
      </c>
      <c r="S22" s="524">
        <f>'Расходы ТОР'!R2</f>
        <v>1.35963908325</v>
      </c>
      <c r="T22" s="524">
        <f>'Расходы ТОР'!S2</f>
        <v>1.35963908325</v>
      </c>
      <c r="U22" s="524">
        <f>'Расходы ТОР'!T2</f>
        <v>1.35963908325</v>
      </c>
      <c r="V22" s="524">
        <f>'Расходы ТОР'!U2</f>
        <v>1.35963908325</v>
      </c>
      <c r="W22" s="524">
        <f>'Расходы ТОР'!V2</f>
        <v>1.35963908325</v>
      </c>
      <c r="X22" s="524">
        <f>'Расходы ТОР'!W2</f>
        <v>1.35963908325</v>
      </c>
      <c r="Y22" s="524">
        <f>'Расходы ТОР'!X2</f>
        <v>1.35963908325</v>
      </c>
      <c r="Z22" s="524">
        <f>'Расходы ТОР'!Y2</f>
        <v>1.35963908325</v>
      </c>
      <c r="AA22" s="524">
        <f>'Расходы ТОР'!Z2</f>
        <v>1.35963908325</v>
      </c>
      <c r="AB22" s="524">
        <f>'Расходы ТОР'!AA2</f>
        <v>1.35963908325</v>
      </c>
      <c r="AC22" s="524">
        <f>'Расходы ТОР'!AB2</f>
        <v>1.35963908325</v>
      </c>
      <c r="AD22" s="524">
        <f>'Расходы ТОР'!AC2</f>
        <v>1.35963908325</v>
      </c>
      <c r="AE22" s="524">
        <f>'Расходы ТОР'!AD2</f>
        <v>1.35963908325</v>
      </c>
      <c r="AF22" s="524">
        <f>'Расходы ТОР'!AE2</f>
        <v>1.35963908325</v>
      </c>
      <c r="AG22" s="524">
        <f>'Расходы ТОР'!AF2</f>
        <v>1.35963908325</v>
      </c>
      <c r="AH22" s="524">
        <f>'Расходы ТОР'!AG2</f>
        <v>1.35963908325</v>
      </c>
      <c r="AI22" s="524">
        <f>'Расходы ТОР'!AH2</f>
        <v>1.35963908325</v>
      </c>
      <c r="AJ22" s="524">
        <f>'Расходы ТОР'!AI2</f>
        <v>1.35963908325</v>
      </c>
      <c r="AK22" s="524">
        <f>'Расходы ТОР'!AJ2</f>
        <v>1.35963908325</v>
      </c>
      <c r="AL22" s="524">
        <f>'Расходы ТОР'!AK2</f>
        <v>1.35963908325</v>
      </c>
      <c r="AM22" s="524">
        <f>'Расходы ТОР'!AL2</f>
        <v>1.35963908325</v>
      </c>
      <c r="AN22" s="524">
        <f>'Расходы ТОР'!AM2</f>
        <v>1.35963908325</v>
      </c>
      <c r="AO22" s="524">
        <f>'Расходы ТОР'!AN2</f>
        <v>1.35963908325</v>
      </c>
      <c r="AP22" s="524">
        <f>'Расходы ТОР'!AO2</f>
        <v>1.35963908325</v>
      </c>
      <c r="AQ22" s="524">
        <f>'Расходы ТОР'!AP2</f>
        <v>1.35963908325</v>
      </c>
      <c r="AR22" s="524">
        <f>'Расходы ТОР'!AQ2</f>
        <v>1.35963908325</v>
      </c>
      <c r="AS22" s="524">
        <f>'Расходы ТОР'!AR2</f>
        <v>1.35963908325</v>
      </c>
      <c r="AT22" s="524">
        <f>'Расходы ТОР'!AS2</f>
        <v>1.35963908325</v>
      </c>
    </row>
    <row r="23" spans="1:46" ht="28.8">
      <c r="A23" s="523" t="str">
        <f>'Расходы ТОР'!A3</f>
        <v>Заработная плата и страховые взносы</v>
      </c>
      <c r="B23" s="523"/>
      <c r="C23" s="524">
        <f>'Расходы ТОР'!B3</f>
        <v>0</v>
      </c>
      <c r="D23" s="524">
        <f>'Расходы ТОР'!C3</f>
        <v>0</v>
      </c>
      <c r="E23" s="524">
        <f>'Расходы ТОР'!D3</f>
        <v>0</v>
      </c>
      <c r="F23" s="524">
        <f>'Расходы ТОР'!E3</f>
        <v>0</v>
      </c>
      <c r="G23" s="524">
        <f>'Расходы ТОР'!F3</f>
        <v>0</v>
      </c>
      <c r="H23" s="524">
        <f>'Расходы ТОР'!G3</f>
        <v>0</v>
      </c>
      <c r="I23" s="524">
        <f>'Расходы ТОР'!H3</f>
        <v>0</v>
      </c>
      <c r="J23" s="524">
        <f>'Расходы ТОР'!I3</f>
        <v>0</v>
      </c>
      <c r="K23" s="524">
        <f>'Расходы ТОР'!J3</f>
        <v>0</v>
      </c>
      <c r="L23" s="524">
        <f>'Расходы ТОР'!K3</f>
        <v>0</v>
      </c>
      <c r="M23" s="524">
        <f>'Расходы ТОР'!L3</f>
        <v>0</v>
      </c>
      <c r="N23" s="524">
        <f>'Расходы ТОР'!M3</f>
        <v>0</v>
      </c>
      <c r="O23" s="524">
        <f>'Расходы ТОР'!N3</f>
        <v>0</v>
      </c>
      <c r="P23" s="524">
        <f>'Расходы ТОР'!O3</f>
        <v>0</v>
      </c>
      <c r="Q23" s="524">
        <f>'Расходы ТОР'!P3</f>
        <v>0</v>
      </c>
      <c r="R23" s="524">
        <f>'Расходы ТОР'!Q3</f>
        <v>0</v>
      </c>
      <c r="S23" s="524">
        <f>'Расходы ТОР'!R3</f>
        <v>12724.81134</v>
      </c>
      <c r="T23" s="524">
        <f>'Расходы ТОР'!S3</f>
        <v>12724.81134</v>
      </c>
      <c r="U23" s="524">
        <f>'Расходы ТОР'!T3</f>
        <v>12724.81134</v>
      </c>
      <c r="V23" s="524">
        <f>'Расходы ТОР'!U3</f>
        <v>12724.81134</v>
      </c>
      <c r="W23" s="524">
        <f>'Расходы ТОР'!V3</f>
        <v>13488.3000204</v>
      </c>
      <c r="X23" s="524">
        <f>'Расходы ТОР'!W3</f>
        <v>13488.3000204</v>
      </c>
      <c r="Y23" s="524">
        <f>'Расходы ТОР'!X3</f>
        <v>13488.3000204</v>
      </c>
      <c r="Z23" s="524">
        <f>'Расходы ТОР'!Y3</f>
        <v>13488.3000204</v>
      </c>
      <c r="AA23" s="524">
        <f>'Расходы ТОР'!Z3</f>
        <v>14297.598021624</v>
      </c>
      <c r="AB23" s="524">
        <f>'Расходы ТОР'!AA3</f>
        <v>14297.598021624</v>
      </c>
      <c r="AC23" s="524">
        <f>'Расходы ТОР'!AB3</f>
        <v>14297.598021624</v>
      </c>
      <c r="AD23" s="524">
        <f>'Расходы ТОР'!AC3</f>
        <v>14297.598021624</v>
      </c>
      <c r="AE23" s="524">
        <f>'Расходы ТОР'!AD3</f>
        <v>15127.519813657444</v>
      </c>
      <c r="AF23" s="524">
        <f>'Расходы ТОР'!AE3</f>
        <v>15127.519813657444</v>
      </c>
      <c r="AG23" s="524">
        <f>'Расходы ТОР'!AF3</f>
        <v>15127.519813657444</v>
      </c>
      <c r="AH23" s="524">
        <f>'Расходы ТОР'!AG3</f>
        <v>15127.519813657444</v>
      </c>
      <c r="AI23" s="524">
        <f>'Расходы ТОР'!AH3</f>
        <v>16035.171002476887</v>
      </c>
      <c r="AJ23" s="524">
        <f>'Расходы ТОР'!AI3</f>
        <v>16035.171002476887</v>
      </c>
      <c r="AK23" s="524">
        <f>'Расходы ТОР'!AJ3</f>
        <v>16035.171002476887</v>
      </c>
      <c r="AL23" s="524">
        <f>'Расходы ТОР'!AK3</f>
        <v>16035.171002476887</v>
      </c>
      <c r="AM23" s="524">
        <f>'Расходы ТОР'!AL3</f>
        <v>16997.281262625504</v>
      </c>
      <c r="AN23" s="524">
        <f>'Расходы ТОР'!AM3</f>
        <v>16997.281262625504</v>
      </c>
      <c r="AO23" s="524">
        <f>'Расходы ТОР'!AN3</f>
        <v>16997.281262625504</v>
      </c>
      <c r="AP23" s="524">
        <f>'Расходы ТОР'!AO3</f>
        <v>16997.281262625504</v>
      </c>
      <c r="AQ23" s="524">
        <f>'Расходы ТОР'!AP3</f>
        <v>16997.281262625504</v>
      </c>
      <c r="AR23" s="524">
        <f>'Расходы ТОР'!AQ3</f>
        <v>16997.281262625504</v>
      </c>
      <c r="AS23" s="524">
        <f>'Расходы ТОР'!AR3</f>
        <v>16997.281262625504</v>
      </c>
      <c r="AT23" s="524">
        <f>'Расходы ТОР'!AS3</f>
        <v>16997.281262625504</v>
      </c>
    </row>
    <row r="24" spans="1:46" ht="24.75" customHeight="1">
      <c r="A24" s="523" t="s">
        <v>249</v>
      </c>
      <c r="B24" s="523"/>
      <c r="C24" s="524">
        <f>'Расходы ТОР'!B9</f>
        <v>0</v>
      </c>
      <c r="D24" s="524">
        <f>'Расходы ТОР'!C9</f>
        <v>0</v>
      </c>
      <c r="E24" s="524">
        <f>'Расходы ТОР'!D9</f>
        <v>0</v>
      </c>
      <c r="F24" s="524">
        <f>'Расходы ТОР'!E9</f>
        <v>0</v>
      </c>
      <c r="G24" s="524">
        <f>'Расходы ТОР'!F9</f>
        <v>0</v>
      </c>
      <c r="H24" s="524">
        <f>'Расходы ТОР'!G9</f>
        <v>0</v>
      </c>
      <c r="I24" s="524">
        <f>'Расходы ТОР'!H9</f>
        <v>0</v>
      </c>
      <c r="J24" s="524">
        <f>'Расходы ТОР'!I9</f>
        <v>0</v>
      </c>
      <c r="K24" s="524">
        <f>'Расходы ТОР'!J9</f>
        <v>0</v>
      </c>
      <c r="L24" s="524">
        <f>'Расходы ТОР'!K9</f>
        <v>0</v>
      </c>
      <c r="M24" s="524">
        <f>'Расходы ТОР'!L9</f>
        <v>0</v>
      </c>
      <c r="N24" s="524">
        <f>'Расходы ТОР'!M9</f>
        <v>0</v>
      </c>
      <c r="O24" s="524">
        <f>'Расходы ТОР'!N9</f>
        <v>0</v>
      </c>
      <c r="P24" s="524">
        <f>'Расходы ТОР'!O9</f>
        <v>0</v>
      </c>
      <c r="Q24" s="524">
        <f>'Расходы ТОР'!P9</f>
        <v>0</v>
      </c>
      <c r="R24" s="524">
        <f>'Расходы ТОР'!Q9</f>
        <v>0</v>
      </c>
      <c r="S24" s="524">
        <f>'Расходы ТОР'!R9</f>
        <v>750</v>
      </c>
      <c r="T24" s="524">
        <f>'Расходы ТОР'!S9</f>
        <v>750</v>
      </c>
      <c r="U24" s="524">
        <f>'Расходы ТОР'!T9</f>
        <v>750</v>
      </c>
      <c r="V24" s="524">
        <f>'Расходы ТОР'!U9</f>
        <v>750</v>
      </c>
      <c r="W24" s="524">
        <f>'Расходы ТОР'!V9</f>
        <v>750</v>
      </c>
      <c r="X24" s="524">
        <f>'Расходы ТОР'!W9</f>
        <v>750</v>
      </c>
      <c r="Y24" s="524">
        <f>'Расходы ТОР'!X9</f>
        <v>750</v>
      </c>
      <c r="Z24" s="524">
        <f>'Расходы ТОР'!Y9</f>
        <v>750</v>
      </c>
      <c r="AA24" s="524">
        <f>'Расходы ТОР'!Z9</f>
        <v>750</v>
      </c>
      <c r="AB24" s="524">
        <f>'Расходы ТОР'!AA9</f>
        <v>750</v>
      </c>
      <c r="AC24" s="524">
        <f>'Расходы ТОР'!AB9</f>
        <v>750</v>
      </c>
      <c r="AD24" s="524">
        <f>'Расходы ТОР'!AC9</f>
        <v>750</v>
      </c>
      <c r="AE24" s="524">
        <f>'Расходы ТОР'!AD9</f>
        <v>750</v>
      </c>
      <c r="AF24" s="524">
        <f>'Расходы ТОР'!AE9</f>
        <v>750</v>
      </c>
      <c r="AG24" s="524">
        <f>'Расходы ТОР'!AF9</f>
        <v>750</v>
      </c>
      <c r="AH24" s="524">
        <f>'Расходы ТОР'!AG9</f>
        <v>750</v>
      </c>
      <c r="AI24" s="524">
        <f>'Расходы ТОР'!AH9</f>
        <v>750</v>
      </c>
      <c r="AJ24" s="524">
        <f>'Расходы ТОР'!AI9</f>
        <v>750</v>
      </c>
      <c r="AK24" s="524">
        <f>'Расходы ТОР'!AJ9</f>
        <v>750</v>
      </c>
      <c r="AL24" s="524">
        <f>'Расходы ТОР'!AK9</f>
        <v>750</v>
      </c>
      <c r="AM24" s="524">
        <f>'Расходы ТОР'!AL9</f>
        <v>750</v>
      </c>
      <c r="AN24" s="524">
        <f>'Расходы ТОР'!AM9</f>
        <v>750</v>
      </c>
      <c r="AO24" s="524">
        <f>'Расходы ТОР'!AN9</f>
        <v>750</v>
      </c>
      <c r="AP24" s="524">
        <f>'Расходы ТОР'!AO9</f>
        <v>750</v>
      </c>
      <c r="AQ24" s="524">
        <f>'Расходы ТОР'!AP9</f>
        <v>750</v>
      </c>
      <c r="AR24" s="524">
        <f>'Расходы ТОР'!AQ9</f>
        <v>750</v>
      </c>
      <c r="AS24" s="524">
        <f>'Расходы ТОР'!AR9</f>
        <v>750</v>
      </c>
      <c r="AT24" s="524">
        <f>'Расходы ТОР'!AS9</f>
        <v>750</v>
      </c>
    </row>
    <row r="25" spans="1:46">
      <c r="A25" s="523" t="str">
        <f>'Расходы ТОР'!A12</f>
        <v>Амортизация</v>
      </c>
      <c r="B25" s="524"/>
      <c r="C25" s="524">
        <f>'Расходы ТОР'!B12</f>
        <v>0</v>
      </c>
      <c r="D25" s="524">
        <f>'Расходы ТОР'!C12</f>
        <v>0</v>
      </c>
      <c r="E25" s="524">
        <f>'Расходы ТОР'!D12</f>
        <v>0</v>
      </c>
      <c r="F25" s="524">
        <f>'Расходы ТОР'!E12</f>
        <v>0</v>
      </c>
      <c r="G25" s="524">
        <f>'Расходы ТОР'!F12</f>
        <v>0</v>
      </c>
      <c r="H25" s="524">
        <f>'Расходы ТОР'!G12</f>
        <v>0</v>
      </c>
      <c r="I25" s="524">
        <f>'Расходы ТОР'!H12</f>
        <v>0</v>
      </c>
      <c r="J25" s="524">
        <f>'Расходы ТОР'!I12</f>
        <v>0</v>
      </c>
      <c r="K25" s="524">
        <f>'Расходы ТОР'!J12</f>
        <v>0</v>
      </c>
      <c r="L25" s="524">
        <f>'Расходы ТОР'!K12</f>
        <v>0</v>
      </c>
      <c r="M25" s="524">
        <f>'Расходы ТОР'!L12</f>
        <v>0</v>
      </c>
      <c r="N25" s="524">
        <f>'Расходы ТОР'!M12</f>
        <v>0</v>
      </c>
      <c r="O25" s="524">
        <f>'Расходы ТОР'!N12</f>
        <v>0</v>
      </c>
      <c r="P25" s="524">
        <f>'Расходы ТОР'!O12</f>
        <v>0</v>
      </c>
      <c r="Q25" s="524">
        <f>'Расходы ТОР'!P12</f>
        <v>0</v>
      </c>
      <c r="R25" s="524">
        <f>'Расходы ТОР'!Q12</f>
        <v>0</v>
      </c>
      <c r="S25" s="524">
        <f>'Расходы ТОР'!R12</f>
        <v>7016.666666666667</v>
      </c>
      <c r="T25" s="524">
        <f>'Расходы ТОР'!S12</f>
        <v>7016.666666666667</v>
      </c>
      <c r="U25" s="524">
        <f>'Расходы ТОР'!T12</f>
        <v>7016.666666666667</v>
      </c>
      <c r="V25" s="524">
        <f>'Расходы ТОР'!U12</f>
        <v>7016.666666666667</v>
      </c>
      <c r="W25" s="524">
        <f>'Расходы ТОР'!V12</f>
        <v>7016.666666666667</v>
      </c>
      <c r="X25" s="524">
        <f>'Расходы ТОР'!W12</f>
        <v>7016.666666666667</v>
      </c>
      <c r="Y25" s="524">
        <f>'Расходы ТОР'!X12</f>
        <v>7016.666666666667</v>
      </c>
      <c r="Z25" s="524">
        <f>'Расходы ТОР'!Y12</f>
        <v>7016.666666666667</v>
      </c>
      <c r="AA25" s="524">
        <f>'Расходы ТОР'!Z12</f>
        <v>7016.666666666667</v>
      </c>
      <c r="AB25" s="524">
        <f>'Расходы ТОР'!AA12</f>
        <v>7016.666666666667</v>
      </c>
      <c r="AC25" s="524">
        <f>'Расходы ТОР'!AB12</f>
        <v>7016.666666666667</v>
      </c>
      <c r="AD25" s="524">
        <f>'Расходы ТОР'!AC12</f>
        <v>7016.666666666667</v>
      </c>
      <c r="AE25" s="524">
        <f>'Расходы ТОР'!AD12</f>
        <v>7016.666666666667</v>
      </c>
      <c r="AF25" s="524">
        <f>'Расходы ТОР'!AE12</f>
        <v>7016.666666666667</v>
      </c>
      <c r="AG25" s="524">
        <f>'Расходы ТОР'!AF12</f>
        <v>7016.666666666667</v>
      </c>
      <c r="AH25" s="524">
        <f>'Расходы ТОР'!AG12</f>
        <v>7016.666666666667</v>
      </c>
      <c r="AI25" s="524">
        <f>'Расходы ТОР'!AH12</f>
        <v>7016.666666666667</v>
      </c>
      <c r="AJ25" s="524">
        <f>'Расходы ТОР'!AI12</f>
        <v>7016.666666666667</v>
      </c>
      <c r="AK25" s="524">
        <f>'Расходы ТОР'!AJ12</f>
        <v>7016.666666666667</v>
      </c>
      <c r="AL25" s="524">
        <f>'Расходы ТОР'!AK12</f>
        <v>7016.666666666667</v>
      </c>
      <c r="AM25" s="524">
        <f>'Расходы ТОР'!AL12</f>
        <v>7016.666666666667</v>
      </c>
      <c r="AN25" s="524">
        <f>'Расходы ТОР'!AM12</f>
        <v>7016.666666666667</v>
      </c>
      <c r="AO25" s="524">
        <f>'Расходы ТОР'!AN12</f>
        <v>7016.666666666667</v>
      </c>
      <c r="AP25" s="524">
        <f>'Расходы ТОР'!AO12</f>
        <v>7016.666666666667</v>
      </c>
      <c r="AQ25" s="524">
        <f>'Расходы ТОР'!AP12</f>
        <v>7016.666666666667</v>
      </c>
      <c r="AR25" s="524">
        <f>'Расходы ТОР'!AQ12</f>
        <v>7016.666666666667</v>
      </c>
      <c r="AS25" s="524">
        <f>'Расходы ТОР'!AR12</f>
        <v>7016.666666666667</v>
      </c>
      <c r="AT25" s="524">
        <f>'Расходы ТОР'!AS12</f>
        <v>7016.666666666667</v>
      </c>
    </row>
    <row r="26" spans="1:46">
      <c r="A26" s="523" t="str">
        <f>'Расходы ТОР'!A17</f>
        <v>Обновление основных средств</v>
      </c>
      <c r="B26" s="524"/>
      <c r="C26" s="524">
        <f>'Расходы ТОР'!B17</f>
        <v>0</v>
      </c>
      <c r="D26" s="524">
        <f>'Расходы ТОР'!C17</f>
        <v>0</v>
      </c>
      <c r="E26" s="524">
        <f>'Расходы ТОР'!D17</f>
        <v>0</v>
      </c>
      <c r="F26" s="524">
        <f>'Расходы ТОР'!E17</f>
        <v>0</v>
      </c>
      <c r="G26" s="524">
        <f>'Расходы ТОР'!F17</f>
        <v>0</v>
      </c>
      <c r="H26" s="524">
        <f>'Расходы ТОР'!G17</f>
        <v>0</v>
      </c>
      <c r="I26" s="524">
        <f>'Расходы ТОР'!H17</f>
        <v>0</v>
      </c>
      <c r="J26" s="524">
        <f>'Расходы ТОР'!I17</f>
        <v>0</v>
      </c>
      <c r="K26" s="524">
        <f>'Расходы ТОР'!J17</f>
        <v>0</v>
      </c>
      <c r="L26" s="524">
        <f>'Расходы ТОР'!K17</f>
        <v>0</v>
      </c>
      <c r="M26" s="524">
        <f>'Расходы ТОР'!L17</f>
        <v>0</v>
      </c>
      <c r="N26" s="524">
        <f>'Расходы ТОР'!M17</f>
        <v>0</v>
      </c>
      <c r="O26" s="524">
        <f>'Расходы ТОР'!N17</f>
        <v>0</v>
      </c>
      <c r="P26" s="524">
        <f>'Расходы ТОР'!O17</f>
        <v>0</v>
      </c>
      <c r="Q26" s="524">
        <f>'Расходы ТОР'!P17</f>
        <v>0</v>
      </c>
      <c r="R26" s="524">
        <f>'Расходы ТОР'!Q17</f>
        <v>0</v>
      </c>
      <c r="S26" s="524">
        <f>'Расходы ТОР'!R17</f>
        <v>0</v>
      </c>
      <c r="T26" s="524">
        <f>'Расходы ТОР'!S17</f>
        <v>0</v>
      </c>
      <c r="U26" s="524">
        <f>'Расходы ТОР'!T17</f>
        <v>0</v>
      </c>
      <c r="V26" s="524">
        <f>'Расходы ТОР'!U17</f>
        <v>0</v>
      </c>
      <c r="W26" s="524">
        <f>'Расходы ТОР'!V17</f>
        <v>187.5</v>
      </c>
      <c r="X26" s="524">
        <f>'Расходы ТОР'!W17</f>
        <v>187.5</v>
      </c>
      <c r="Y26" s="524">
        <f>'Расходы ТОР'!X17</f>
        <v>187.5</v>
      </c>
      <c r="Z26" s="524">
        <f>'Расходы ТОР'!Y17</f>
        <v>187.5</v>
      </c>
      <c r="AA26" s="524">
        <f>'Расходы ТОР'!Z17</f>
        <v>187.5</v>
      </c>
      <c r="AB26" s="524">
        <f>'Расходы ТОР'!AA17</f>
        <v>187.5</v>
      </c>
      <c r="AC26" s="524">
        <f>'Расходы ТОР'!AB17</f>
        <v>187.5</v>
      </c>
      <c r="AD26" s="524">
        <f>'Расходы ТОР'!AC17</f>
        <v>187.5</v>
      </c>
      <c r="AE26" s="524">
        <f>'Расходы ТОР'!AD17</f>
        <v>187.5</v>
      </c>
      <c r="AF26" s="524">
        <f>'Расходы ТОР'!AE17</f>
        <v>187.5</v>
      </c>
      <c r="AG26" s="524">
        <f>'Расходы ТОР'!AF17</f>
        <v>187.5</v>
      </c>
      <c r="AH26" s="524">
        <f>'Расходы ТОР'!AG17</f>
        <v>187.5</v>
      </c>
      <c r="AI26" s="524">
        <f>'Расходы ТОР'!AH17</f>
        <v>187.5</v>
      </c>
      <c r="AJ26" s="524">
        <f>'Расходы ТОР'!AI17</f>
        <v>187.5</v>
      </c>
      <c r="AK26" s="524">
        <f>'Расходы ТОР'!AJ17</f>
        <v>187.5</v>
      </c>
      <c r="AL26" s="524">
        <f>'Расходы ТОР'!AK17</f>
        <v>187.5</v>
      </c>
      <c r="AM26" s="524">
        <f>'Расходы ТОР'!AL17</f>
        <v>187.5</v>
      </c>
      <c r="AN26" s="524">
        <f>'Расходы ТОР'!AM17</f>
        <v>187.5</v>
      </c>
      <c r="AO26" s="524">
        <f>'Расходы ТОР'!AN17</f>
        <v>187.5</v>
      </c>
      <c r="AP26" s="524">
        <f>'Расходы ТОР'!AO17</f>
        <v>187.5</v>
      </c>
      <c r="AQ26" s="524">
        <f>'Расходы ТОР'!AP17</f>
        <v>187.5</v>
      </c>
      <c r="AR26" s="524">
        <f>'Расходы ТОР'!AQ17</f>
        <v>187.5</v>
      </c>
      <c r="AS26" s="524">
        <f>'Расходы ТОР'!AR17</f>
        <v>187.5</v>
      </c>
      <c r="AT26" s="524">
        <f>'Расходы ТОР'!AS17</f>
        <v>187.5</v>
      </c>
    </row>
    <row r="27" spans="1:46" s="539" customFormat="1">
      <c r="A27" s="535" t="s">
        <v>17</v>
      </c>
      <c r="B27" s="535"/>
      <c r="C27" s="535">
        <f t="shared" ref="C27:AT27" si="26">SUM(C22:C26)</f>
        <v>0</v>
      </c>
      <c r="D27" s="535">
        <f t="shared" si="26"/>
        <v>0</v>
      </c>
      <c r="E27" s="535">
        <f t="shared" si="26"/>
        <v>1.35963908325</v>
      </c>
      <c r="F27" s="535">
        <f t="shared" si="26"/>
        <v>1.35963908325</v>
      </c>
      <c r="G27" s="535">
        <f t="shared" si="26"/>
        <v>1.35963908325</v>
      </c>
      <c r="H27" s="535">
        <f t="shared" si="26"/>
        <v>1.35963908325</v>
      </c>
      <c r="I27" s="535">
        <f t="shared" si="26"/>
        <v>1.35963908325</v>
      </c>
      <c r="J27" s="535">
        <f t="shared" si="26"/>
        <v>1.35963908325</v>
      </c>
      <c r="K27" s="535">
        <f t="shared" si="26"/>
        <v>1.35963908325</v>
      </c>
      <c r="L27" s="535">
        <f t="shared" si="26"/>
        <v>1.35963908325</v>
      </c>
      <c r="M27" s="535">
        <f t="shared" si="26"/>
        <v>1.35963908325</v>
      </c>
      <c r="N27" s="535">
        <f t="shared" si="26"/>
        <v>1.35963908325</v>
      </c>
      <c r="O27" s="535">
        <f t="shared" si="26"/>
        <v>1.35963908325</v>
      </c>
      <c r="P27" s="535">
        <f t="shared" si="26"/>
        <v>1.35963908325</v>
      </c>
      <c r="Q27" s="535">
        <f t="shared" si="26"/>
        <v>1.35963908325</v>
      </c>
      <c r="R27" s="535">
        <f t="shared" si="26"/>
        <v>1.35963908325</v>
      </c>
      <c r="S27" s="535">
        <f t="shared" si="26"/>
        <v>20492.837645749918</v>
      </c>
      <c r="T27" s="535">
        <f t="shared" si="26"/>
        <v>20492.837645749918</v>
      </c>
      <c r="U27" s="535">
        <f t="shared" si="26"/>
        <v>20492.837645749918</v>
      </c>
      <c r="V27" s="535">
        <f t="shared" si="26"/>
        <v>20492.837645749918</v>
      </c>
      <c r="W27" s="535">
        <f t="shared" si="26"/>
        <v>21443.826326149916</v>
      </c>
      <c r="X27" s="535">
        <f t="shared" si="26"/>
        <v>21443.826326149916</v>
      </c>
      <c r="Y27" s="535">
        <f t="shared" si="26"/>
        <v>21443.826326149916</v>
      </c>
      <c r="Z27" s="535">
        <f t="shared" si="26"/>
        <v>21443.826326149916</v>
      </c>
      <c r="AA27" s="535">
        <f t="shared" si="26"/>
        <v>22253.124327373916</v>
      </c>
      <c r="AB27" s="535">
        <f t="shared" si="26"/>
        <v>22253.124327373916</v>
      </c>
      <c r="AC27" s="535">
        <f t="shared" si="26"/>
        <v>22253.124327373916</v>
      </c>
      <c r="AD27" s="535">
        <f t="shared" si="26"/>
        <v>22253.124327373916</v>
      </c>
      <c r="AE27" s="535">
        <f t="shared" si="26"/>
        <v>23083.046119407361</v>
      </c>
      <c r="AF27" s="535">
        <f t="shared" si="26"/>
        <v>23083.046119407361</v>
      </c>
      <c r="AG27" s="535">
        <f t="shared" si="26"/>
        <v>23083.046119407361</v>
      </c>
      <c r="AH27" s="535">
        <f t="shared" si="26"/>
        <v>23083.046119407361</v>
      </c>
      <c r="AI27" s="535">
        <f t="shared" si="26"/>
        <v>23990.697308226805</v>
      </c>
      <c r="AJ27" s="535">
        <f t="shared" si="26"/>
        <v>23990.697308226805</v>
      </c>
      <c r="AK27" s="535">
        <f t="shared" si="26"/>
        <v>23990.697308226805</v>
      </c>
      <c r="AL27" s="535">
        <f t="shared" si="26"/>
        <v>23990.697308226805</v>
      </c>
      <c r="AM27" s="535">
        <f t="shared" si="26"/>
        <v>24952.807568375421</v>
      </c>
      <c r="AN27" s="535">
        <f t="shared" si="26"/>
        <v>24952.807568375421</v>
      </c>
      <c r="AO27" s="535">
        <f t="shared" si="26"/>
        <v>24952.807568375421</v>
      </c>
      <c r="AP27" s="535">
        <f t="shared" si="26"/>
        <v>24952.807568375421</v>
      </c>
      <c r="AQ27" s="535">
        <f t="shared" si="26"/>
        <v>24952.807568375421</v>
      </c>
      <c r="AR27" s="535">
        <f t="shared" si="26"/>
        <v>24952.807568375421</v>
      </c>
      <c r="AS27" s="535">
        <f t="shared" si="26"/>
        <v>24952.807568375421</v>
      </c>
      <c r="AT27" s="535">
        <f t="shared" si="26"/>
        <v>24952.807568375421</v>
      </c>
    </row>
    <row r="28" spans="1:46" s="528" customFormat="1">
      <c r="A28" s="538"/>
      <c r="B28" s="594"/>
      <c r="C28" s="525"/>
      <c r="D28" s="525"/>
      <c r="E28" s="525"/>
      <c r="F28" s="525"/>
      <c r="G28" s="525"/>
      <c r="H28" s="525"/>
      <c r="I28" s="525"/>
      <c r="J28" s="525"/>
      <c r="K28" s="525"/>
      <c r="L28" s="525"/>
      <c r="M28" s="525"/>
      <c r="N28" s="525"/>
      <c r="O28" s="525"/>
      <c r="P28" s="525"/>
      <c r="Q28" s="525"/>
      <c r="R28" s="525"/>
      <c r="S28" s="525">
        <f t="shared" ref="S28:AT28" si="27">(S17+S27)/(S3*1000)</f>
        <v>0.11482581470500279</v>
      </c>
      <c r="T28" s="525">
        <f t="shared" si="27"/>
        <v>0.11482581470500279</v>
      </c>
      <c r="U28" s="525">
        <f t="shared" si="27"/>
        <v>0.11482581470500279</v>
      </c>
      <c r="V28" s="525">
        <f t="shared" si="27"/>
        <v>0.11482581470500279</v>
      </c>
      <c r="W28" s="525">
        <f t="shared" si="27"/>
        <v>0.11275944640075462</v>
      </c>
      <c r="X28" s="525">
        <f t="shared" si="27"/>
        <v>0.11275944640075462</v>
      </c>
      <c r="Y28" s="525">
        <f t="shared" si="27"/>
        <v>0.11275944640075462</v>
      </c>
      <c r="Z28" s="525">
        <f t="shared" si="27"/>
        <v>0.11275944640075462</v>
      </c>
      <c r="AA28" s="525">
        <f t="shared" si="27"/>
        <v>0.11316818559617507</v>
      </c>
      <c r="AB28" s="525">
        <f t="shared" si="27"/>
        <v>0.11316818559617507</v>
      </c>
      <c r="AC28" s="525">
        <f t="shared" si="27"/>
        <v>0.11316818559617507</v>
      </c>
      <c r="AD28" s="525">
        <f t="shared" si="27"/>
        <v>0.11316818559617507</v>
      </c>
      <c r="AE28" s="525">
        <f t="shared" si="27"/>
        <v>0.11526640381446164</v>
      </c>
      <c r="AF28" s="525">
        <f t="shared" si="27"/>
        <v>0.11526640381446164</v>
      </c>
      <c r="AG28" s="525">
        <f t="shared" si="27"/>
        <v>0.11526640381446164</v>
      </c>
      <c r="AH28" s="525">
        <f t="shared" si="27"/>
        <v>0.11526640381446164</v>
      </c>
      <c r="AI28" s="525">
        <f t="shared" si="27"/>
        <v>0.1193655480241394</v>
      </c>
      <c r="AJ28" s="525">
        <f t="shared" si="27"/>
        <v>0.1193655480241394</v>
      </c>
      <c r="AK28" s="525">
        <f t="shared" si="27"/>
        <v>0.1193655480241394</v>
      </c>
      <c r="AL28" s="525">
        <f t="shared" si="27"/>
        <v>0.1193655480241394</v>
      </c>
      <c r="AM28" s="525">
        <f t="shared" si="27"/>
        <v>0.12420034307273974</v>
      </c>
      <c r="AN28" s="525">
        <f t="shared" si="27"/>
        <v>0.12420034307273974</v>
      </c>
      <c r="AO28" s="525">
        <f t="shared" si="27"/>
        <v>0.12420034307273974</v>
      </c>
      <c r="AP28" s="525">
        <f t="shared" si="27"/>
        <v>0.12420034307273974</v>
      </c>
      <c r="AQ28" s="525">
        <f t="shared" si="27"/>
        <v>0.13062518451889135</v>
      </c>
      <c r="AR28" s="525">
        <f t="shared" si="27"/>
        <v>0.13062518451889135</v>
      </c>
      <c r="AS28" s="525">
        <f t="shared" si="27"/>
        <v>0.13062518451889135</v>
      </c>
      <c r="AT28" s="525">
        <f t="shared" si="27"/>
        <v>0.13062518451889135</v>
      </c>
    </row>
    <row r="31" spans="1:46" s="515" customFormat="1">
      <c r="A31" s="520" t="str">
        <f t="shared" ref="A31:A37" si="28">A11</f>
        <v>Прямые расходы, тыс руб</v>
      </c>
      <c r="B31" s="545" t="str">
        <f>'Расходы ТОР'!B24</f>
        <v>1 год</v>
      </c>
      <c r="C31" s="545" t="str">
        <f>'Расходы ТОР'!C24</f>
        <v>2 год</v>
      </c>
      <c r="D31" s="545" t="str">
        <f>'Расходы ТОР'!D24</f>
        <v>3 год</v>
      </c>
      <c r="E31" s="545" t="str">
        <f>'Расходы ТОР'!E24</f>
        <v>4 год</v>
      </c>
      <c r="F31" s="545" t="str">
        <f>'Расходы ТОР'!F24</f>
        <v>5 год</v>
      </c>
      <c r="G31" s="545" t="str">
        <f>'Расходы ТОР'!G24</f>
        <v>6 год</v>
      </c>
      <c r="H31" s="545" t="str">
        <f>'Расходы ТОР'!H24</f>
        <v>7 год</v>
      </c>
      <c r="I31" s="545" t="str">
        <f>'Расходы ТОР'!I24</f>
        <v>8 год</v>
      </c>
      <c r="J31" s="545" t="str">
        <f>'Расходы ТОР'!J24</f>
        <v>9 год</v>
      </c>
      <c r="K31" s="545" t="str">
        <f>'Расходы ТОР'!K24</f>
        <v>10 год</v>
      </c>
      <c r="L31" s="545" t="str">
        <f>'Расходы ТОР'!L24</f>
        <v>11 год</v>
      </c>
    </row>
    <row r="32" spans="1:46">
      <c r="A32" s="523" t="str">
        <f t="shared" si="28"/>
        <v>Расходы на материалы</v>
      </c>
      <c r="B32" s="60">
        <f>SUM(C12:F12)</f>
        <v>0</v>
      </c>
      <c r="C32" s="60">
        <f t="shared" ref="C32:C37" si="29">SUM(G12:J12)</f>
        <v>0</v>
      </c>
      <c r="D32" s="60">
        <f>SUM(K12:N12)</f>
        <v>0</v>
      </c>
      <c r="E32" s="60">
        <f t="shared" ref="E32:E37" si="30">SUM(O12:R12)</f>
        <v>0</v>
      </c>
      <c r="F32" s="60">
        <f t="shared" ref="F32:F37" si="31">SUM(S12:V12)</f>
        <v>130557.00078516912</v>
      </c>
      <c r="G32" s="60">
        <f t="shared" ref="G32:G37" si="32">SUM(W12:Z12)</f>
        <v>182934.7136446411</v>
      </c>
      <c r="H32" s="60">
        <f t="shared" ref="H32:H37" si="33">SUM(AA12:AD12)</f>
        <v>245325.823423895</v>
      </c>
      <c r="I32" s="60">
        <f t="shared" ref="I32:I37" si="34">SUM(AE12:AH12)</f>
        <v>318986.85157795664</v>
      </c>
      <c r="J32" s="60">
        <f t="shared" ref="J32:J37" si="35">SUM(AI12:AL12)</f>
        <v>386003.93244830123</v>
      </c>
      <c r="K32" s="60">
        <f t="shared" ref="K32:K37" si="36">SUM(AM12:AP12)</f>
        <v>459823.41802121553</v>
      </c>
      <c r="L32" s="60">
        <f t="shared" ref="L32:L37" si="37">SUM(AQ12:AT12)</f>
        <v>486919.25760775415</v>
      </c>
    </row>
    <row r="33" spans="1:13" ht="28.8">
      <c r="A33" s="523" t="str">
        <f t="shared" si="28"/>
        <v>Расходы на спецодежду, средства защиты</v>
      </c>
      <c r="B33" s="60">
        <f>SUM(C13:F13)</f>
        <v>0</v>
      </c>
      <c r="C33" s="60">
        <f t="shared" si="29"/>
        <v>0</v>
      </c>
      <c r="D33" s="60">
        <f>SUM(K13:N13)</f>
        <v>0</v>
      </c>
      <c r="E33" s="60">
        <f t="shared" si="30"/>
        <v>0</v>
      </c>
      <c r="F33" s="60">
        <f t="shared" si="31"/>
        <v>2544.9622680000002</v>
      </c>
      <c r="G33" s="60">
        <f t="shared" si="32"/>
        <v>2697.6600040800004</v>
      </c>
      <c r="H33" s="60">
        <f t="shared" si="33"/>
        <v>2859.5196043248002</v>
      </c>
      <c r="I33" s="60">
        <f t="shared" si="34"/>
        <v>3025.5039627314891</v>
      </c>
      <c r="J33" s="60">
        <f t="shared" si="35"/>
        <v>3207.0342004953777</v>
      </c>
      <c r="K33" s="60">
        <f t="shared" si="36"/>
        <v>3399.4562525251008</v>
      </c>
      <c r="L33" s="60">
        <f t="shared" si="37"/>
        <v>3399.4562525251008</v>
      </c>
    </row>
    <row r="34" spans="1:13">
      <c r="A34" s="523" t="str">
        <f t="shared" si="28"/>
        <v>Расходы на масла, топливо</v>
      </c>
      <c r="B34" s="60">
        <f>SUM(C14:F14)</f>
        <v>0</v>
      </c>
      <c r="C34" s="60">
        <f t="shared" si="29"/>
        <v>0</v>
      </c>
      <c r="D34" s="60">
        <f>SUM(K14:N14)</f>
        <v>0</v>
      </c>
      <c r="E34" s="60">
        <f t="shared" si="30"/>
        <v>0</v>
      </c>
      <c r="F34" s="60">
        <f t="shared" si="31"/>
        <v>6092.6600366412258</v>
      </c>
      <c r="G34" s="60">
        <f t="shared" si="32"/>
        <v>8536.9533034165852</v>
      </c>
      <c r="H34" s="60">
        <f t="shared" si="33"/>
        <v>11448.538426448435</v>
      </c>
      <c r="I34" s="60">
        <f t="shared" si="34"/>
        <v>14886.053073637977</v>
      </c>
      <c r="J34" s="60">
        <f t="shared" si="35"/>
        <v>18013.516847587391</v>
      </c>
      <c r="K34" s="60">
        <f t="shared" si="36"/>
        <v>21458.426174323391</v>
      </c>
      <c r="L34" s="60">
        <f t="shared" si="37"/>
        <v>22722.898688361864</v>
      </c>
    </row>
    <row r="35" spans="1:13" ht="57.6">
      <c r="A35" s="523" t="str">
        <f t="shared" si="28"/>
        <v>Коммунальные расходы (водоснабжение, газоснабжение, уголь для технологических целей)</v>
      </c>
      <c r="B35" s="60">
        <f>SUM(C15:F15)</f>
        <v>0</v>
      </c>
      <c r="C35" s="60">
        <f t="shared" si="29"/>
        <v>0</v>
      </c>
      <c r="D35" s="60">
        <f>SUM(K15:N15)</f>
        <v>0</v>
      </c>
      <c r="E35" s="60">
        <f t="shared" si="30"/>
        <v>0</v>
      </c>
      <c r="F35" s="60">
        <f t="shared" si="31"/>
        <v>65278.500392584559</v>
      </c>
      <c r="G35" s="60">
        <f t="shared" si="32"/>
        <v>91467.356822320551</v>
      </c>
      <c r="H35" s="60">
        <f t="shared" si="33"/>
        <v>122662.9117119475</v>
      </c>
      <c r="I35" s="60">
        <f t="shared" si="34"/>
        <v>159493.42578897832</v>
      </c>
      <c r="J35" s="60">
        <f t="shared" si="35"/>
        <v>193001.96622415062</v>
      </c>
      <c r="K35" s="60">
        <f t="shared" si="36"/>
        <v>229911.70901060777</v>
      </c>
      <c r="L35" s="60">
        <f t="shared" si="37"/>
        <v>243459.62880387707</v>
      </c>
    </row>
    <row r="36" spans="1:13" ht="28.8">
      <c r="A36" s="523" t="str">
        <f t="shared" si="28"/>
        <v>Запасные части, комлектующие, обслуживание оборудования</v>
      </c>
      <c r="B36" s="60">
        <f>SUM(C16:F16)</f>
        <v>0</v>
      </c>
      <c r="C36" s="60">
        <f t="shared" si="29"/>
        <v>0</v>
      </c>
      <c r="D36" s="60">
        <f>SUM(K16:N16)</f>
        <v>0</v>
      </c>
      <c r="E36" s="60">
        <f t="shared" si="30"/>
        <v>0</v>
      </c>
      <c r="F36" s="60">
        <f t="shared" si="31"/>
        <v>8703.800052344608</v>
      </c>
      <c r="G36" s="60">
        <f t="shared" si="32"/>
        <v>12195.647576309408</v>
      </c>
      <c r="H36" s="60">
        <f t="shared" si="33"/>
        <v>16355.054894926334</v>
      </c>
      <c r="I36" s="60">
        <f t="shared" si="34"/>
        <v>21265.790105197109</v>
      </c>
      <c r="J36" s="60">
        <f t="shared" si="35"/>
        <v>25733.595496553415</v>
      </c>
      <c r="K36" s="60">
        <f t="shared" si="36"/>
        <v>30654.894534747702</v>
      </c>
      <c r="L36" s="60">
        <f t="shared" si="37"/>
        <v>32461.283840516946</v>
      </c>
    </row>
    <row r="37" spans="1:13">
      <c r="A37" s="523" t="str">
        <f t="shared" si="28"/>
        <v>Итого</v>
      </c>
      <c r="B37" s="60">
        <f>SUM(B32:B36)</f>
        <v>0</v>
      </c>
      <c r="C37" s="60">
        <f t="shared" si="29"/>
        <v>0</v>
      </c>
      <c r="D37" s="60">
        <f>SUM(D32:D36)</f>
        <v>0</v>
      </c>
      <c r="E37" s="60">
        <f t="shared" si="30"/>
        <v>0</v>
      </c>
      <c r="F37" s="60">
        <f t="shared" si="31"/>
        <v>213176.9235347395</v>
      </c>
      <c r="G37" s="60">
        <f t="shared" si="32"/>
        <v>297832.33135076764</v>
      </c>
      <c r="H37" s="60">
        <f t="shared" si="33"/>
        <v>398651.84806154208</v>
      </c>
      <c r="I37" s="60">
        <f t="shared" si="34"/>
        <v>517657.62450850161</v>
      </c>
      <c r="J37" s="60">
        <f t="shared" si="35"/>
        <v>625960.04521708807</v>
      </c>
      <c r="K37" s="60">
        <f t="shared" si="36"/>
        <v>745247.90399341949</v>
      </c>
      <c r="L37" s="60">
        <f t="shared" si="37"/>
        <v>788962.52519303514</v>
      </c>
    </row>
    <row r="38" spans="1:13" s="539" customFormat="1">
      <c r="A38" s="534"/>
    </row>
    <row r="39" spans="1:13" s="515" customFormat="1">
      <c r="A39" s="520" t="str">
        <f t="shared" ref="A39:A45" si="38">A21</f>
        <v>Косвенные расходы, тыс руб</v>
      </c>
      <c r="B39" s="545" t="str">
        <f>B31</f>
        <v>1 год</v>
      </c>
      <c r="C39" s="545" t="str">
        <f t="shared" ref="C39:L39" si="39">C31</f>
        <v>2 год</v>
      </c>
      <c r="D39" s="545" t="str">
        <f t="shared" si="39"/>
        <v>3 год</v>
      </c>
      <c r="E39" s="545" t="str">
        <f t="shared" si="39"/>
        <v>4 год</v>
      </c>
      <c r="F39" s="545" t="str">
        <f t="shared" si="39"/>
        <v>5 год</v>
      </c>
      <c r="G39" s="545" t="str">
        <f t="shared" si="39"/>
        <v>6 год</v>
      </c>
      <c r="H39" s="545" t="str">
        <f t="shared" si="39"/>
        <v>7 год</v>
      </c>
      <c r="I39" s="545" t="str">
        <f t="shared" si="39"/>
        <v>8 год</v>
      </c>
      <c r="J39" s="545" t="str">
        <f t="shared" si="39"/>
        <v>9 год</v>
      </c>
      <c r="K39" s="545" t="str">
        <f t="shared" si="39"/>
        <v>10 год</v>
      </c>
      <c r="L39" s="545" t="str">
        <f t="shared" si="39"/>
        <v>11 год</v>
      </c>
    </row>
    <row r="40" spans="1:13">
      <c r="A40" s="523" t="str">
        <f t="shared" si="38"/>
        <v>Арендная плата за зем. Участок</v>
      </c>
      <c r="B40" s="60">
        <f>SUM(C22:F22)</f>
        <v>2.7192781665000001</v>
      </c>
      <c r="C40" s="60">
        <f>SUM(G22:J22)</f>
        <v>5.4385563330000002</v>
      </c>
      <c r="D40" s="60">
        <f>SUM(K22:N22)</f>
        <v>5.4385563330000002</v>
      </c>
      <c r="E40" s="60">
        <f>SUM(O22:R22)</f>
        <v>5.4385563330000002</v>
      </c>
      <c r="F40" s="60">
        <f>SUM(S22:V22)</f>
        <v>5.4385563330000002</v>
      </c>
      <c r="G40" s="60">
        <f>SUM(W22:Z22)</f>
        <v>5.4385563330000002</v>
      </c>
      <c r="H40" s="60">
        <f>SUM(AA22:AD22)</f>
        <v>5.4385563330000002</v>
      </c>
      <c r="I40" s="60">
        <f>SUM(AE22:AH22)</f>
        <v>5.4385563330000002</v>
      </c>
      <c r="J40" s="60">
        <f>SUM(AI22:AL22)</f>
        <v>5.4385563330000002</v>
      </c>
      <c r="K40" s="60">
        <f>SUM(AM22:AP22)</f>
        <v>5.4385563330000002</v>
      </c>
      <c r="L40" s="60">
        <f>SUM(AQ22:AT22)</f>
        <v>5.4385563330000002</v>
      </c>
    </row>
    <row r="41" spans="1:13" ht="28.8">
      <c r="A41" s="523" t="str">
        <f t="shared" si="38"/>
        <v>Заработная плата и страховые взносы</v>
      </c>
      <c r="B41" s="60">
        <f>SUM(C23:F23)</f>
        <v>0</v>
      </c>
      <c r="C41" s="60">
        <f>SUM(G23:J23)</f>
        <v>0</v>
      </c>
      <c r="D41" s="60">
        <f>SUM(K23:N23)</f>
        <v>0</v>
      </c>
      <c r="E41" s="60">
        <f>SUM(O23:R23)</f>
        <v>0</v>
      </c>
      <c r="F41" s="60">
        <f>SUM(S23:V23)</f>
        <v>50899.245360000001</v>
      </c>
      <c r="G41" s="60">
        <f>SUM(W23:Z23)</f>
        <v>53953.2000816</v>
      </c>
      <c r="H41" s="60">
        <f>SUM(AA23:AD23)</f>
        <v>57190.392086496002</v>
      </c>
      <c r="I41" s="60">
        <f>SUM(AE23:AH23)</f>
        <v>60510.079254629774</v>
      </c>
      <c r="J41" s="60">
        <f>SUM(AI23:AL23)</f>
        <v>64140.684009907549</v>
      </c>
      <c r="K41" s="60">
        <f>SUM(AM23:AP23)</f>
        <v>67989.125050502014</v>
      </c>
      <c r="L41" s="60">
        <f>SUM(AQ23:AT23)</f>
        <v>67989.125050502014</v>
      </c>
    </row>
    <row r="42" spans="1:13">
      <c r="A42" s="523" t="str">
        <f t="shared" si="38"/>
        <v>Расходы на продвижение</v>
      </c>
      <c r="B42" s="60">
        <f>SUM(C24:F24)</f>
        <v>0</v>
      </c>
      <c r="C42" s="60">
        <f>SUM(G24:J24)</f>
        <v>0</v>
      </c>
      <c r="D42" s="60">
        <f>SUM(K24:N24)</f>
        <v>0</v>
      </c>
      <c r="E42" s="60">
        <f>SUM(O24:R24)</f>
        <v>0</v>
      </c>
      <c r="F42" s="60">
        <f>SUM(S24:V24)</f>
        <v>3000</v>
      </c>
      <c r="G42" s="60">
        <f>SUM(W24:Z24)</f>
        <v>3000</v>
      </c>
      <c r="H42" s="60">
        <f>SUM(AA24:AD24)</f>
        <v>3000</v>
      </c>
      <c r="I42" s="60">
        <f>SUM(AE24:AH24)</f>
        <v>3000</v>
      </c>
      <c r="J42" s="60">
        <f>SUM(AI24:AL24)</f>
        <v>3000</v>
      </c>
      <c r="K42" s="60">
        <f>SUM(AM24:AP24)</f>
        <v>3000</v>
      </c>
      <c r="L42" s="60">
        <f>SUM(AQ24:AT24)</f>
        <v>3000</v>
      </c>
    </row>
    <row r="43" spans="1:13">
      <c r="A43" s="523" t="str">
        <f t="shared" si="38"/>
        <v>Амортизация</v>
      </c>
      <c r="B43" s="60">
        <f>SUM(C25:F25)</f>
        <v>0</v>
      </c>
      <c r="C43" s="60">
        <f>SUM(G25:J25)</f>
        <v>0</v>
      </c>
      <c r="D43" s="60">
        <f>SUM(K25:N25)</f>
        <v>0</v>
      </c>
      <c r="E43" s="60">
        <f>SUM(O25:R25)</f>
        <v>0</v>
      </c>
      <c r="F43" s="60">
        <f>SUM(S25:V25)</f>
        <v>28066.666666666668</v>
      </c>
      <c r="G43" s="60">
        <f>SUM(W25:Z25)</f>
        <v>28066.666666666668</v>
      </c>
      <c r="H43" s="60">
        <f>SUM(AA25:AD25)</f>
        <v>28066.666666666668</v>
      </c>
      <c r="I43" s="60">
        <f>SUM(AE25:AH25)</f>
        <v>28066.666666666668</v>
      </c>
      <c r="J43" s="60">
        <f>SUM(AI25:AL25)</f>
        <v>28066.666666666668</v>
      </c>
      <c r="K43" s="60">
        <f>SUM(AM25:AP25)</f>
        <v>28066.666666666668</v>
      </c>
      <c r="L43" s="60">
        <f>SUM(AQ25:AT25)</f>
        <v>28066.666666666668</v>
      </c>
    </row>
    <row r="44" spans="1:13">
      <c r="A44" s="523" t="str">
        <f t="shared" si="38"/>
        <v>Обновление основных средств</v>
      </c>
      <c r="B44" s="60">
        <f>SUM(C26:F26)</f>
        <v>0</v>
      </c>
      <c r="C44" s="60">
        <f>SUM(G26:J26)</f>
        <v>0</v>
      </c>
      <c r="D44" s="60">
        <f>SUM(K26:N26)</f>
        <v>0</v>
      </c>
      <c r="E44" s="60">
        <f>SUM(O26:R26)</f>
        <v>0</v>
      </c>
      <c r="F44" s="60">
        <f>SUM(S26:V26)</f>
        <v>0</v>
      </c>
      <c r="G44" s="60">
        <f>SUM(W26:Z26)</f>
        <v>750</v>
      </c>
      <c r="H44" s="60">
        <f>SUM(AA26:AD26)</f>
        <v>750</v>
      </c>
      <c r="I44" s="60">
        <f>SUM(AE26:AH26)</f>
        <v>750</v>
      </c>
      <c r="J44" s="60">
        <f>SUM(AI26:AL26)</f>
        <v>750</v>
      </c>
      <c r="K44" s="60">
        <f>SUM(AM26:AP26)</f>
        <v>750</v>
      </c>
      <c r="L44" s="60">
        <f>SUM(AQ26:AT26)</f>
        <v>750</v>
      </c>
    </row>
    <row r="45" spans="1:13" s="539" customFormat="1">
      <c r="A45" s="534" t="str">
        <f t="shared" si="38"/>
        <v>итого</v>
      </c>
      <c r="B45" s="539">
        <f t="shared" ref="B45:L45" si="40">SUM(B40:B44)</f>
        <v>2.7192781665000001</v>
      </c>
      <c r="C45" s="539">
        <f t="shared" si="40"/>
        <v>5.4385563330000002</v>
      </c>
      <c r="D45" s="539">
        <f t="shared" si="40"/>
        <v>5.4385563330000002</v>
      </c>
      <c r="E45" s="539">
        <f t="shared" si="40"/>
        <v>5.4385563330000002</v>
      </c>
      <c r="F45" s="539">
        <f t="shared" si="40"/>
        <v>81971.350582999672</v>
      </c>
      <c r="G45" s="539">
        <f t="shared" si="40"/>
        <v>85775.305304599664</v>
      </c>
      <c r="H45" s="539">
        <f t="shared" si="40"/>
        <v>89012.497309495666</v>
      </c>
      <c r="I45" s="539">
        <f t="shared" si="40"/>
        <v>92332.184477629446</v>
      </c>
      <c r="J45" s="539">
        <f t="shared" si="40"/>
        <v>95962.78923290722</v>
      </c>
      <c r="K45" s="539">
        <f t="shared" si="40"/>
        <v>99811.230273501686</v>
      </c>
      <c r="L45" s="539">
        <f t="shared" si="40"/>
        <v>99811.230273501686</v>
      </c>
    </row>
    <row r="46" spans="1:13" s="539" customFormat="1">
      <c r="A46" s="534" t="s">
        <v>411</v>
      </c>
      <c r="B46" s="539">
        <f t="shared" ref="B46:L46" si="41">B37+B45</f>
        <v>2.7192781665000001</v>
      </c>
      <c r="C46" s="539">
        <f t="shared" si="41"/>
        <v>5.4385563330000002</v>
      </c>
      <c r="D46" s="539">
        <f t="shared" si="41"/>
        <v>5.4385563330000002</v>
      </c>
      <c r="E46" s="539">
        <f t="shared" si="41"/>
        <v>5.4385563330000002</v>
      </c>
      <c r="F46" s="539">
        <f t="shared" si="41"/>
        <v>295148.27411773917</v>
      </c>
      <c r="G46" s="539">
        <f t="shared" si="41"/>
        <v>383607.63665536733</v>
      </c>
      <c r="H46" s="539">
        <f t="shared" si="41"/>
        <v>487664.34537103772</v>
      </c>
      <c r="I46" s="539">
        <f t="shared" si="41"/>
        <v>609989.8089861311</v>
      </c>
      <c r="J46" s="539">
        <f t="shared" si="41"/>
        <v>721922.83444999531</v>
      </c>
      <c r="K46" s="539">
        <f t="shared" si="41"/>
        <v>845059.1342669212</v>
      </c>
      <c r="L46" s="539">
        <f t="shared" si="41"/>
        <v>888773.75546653685</v>
      </c>
    </row>
    <row r="47" spans="1:13" s="541" customFormat="1">
      <c r="A47" s="544"/>
      <c r="F47" s="541">
        <f>F46/('объем работ 100% загр'!G10*1000)</f>
        <v>0.11482581470500279</v>
      </c>
      <c r="G47" s="541">
        <f>G46/('объем работ 100% загр'!H10*1000)</f>
        <v>0.11275944640075462</v>
      </c>
      <c r="H47" s="541">
        <f>H46/('объем работ 100% загр'!I10*1000)</f>
        <v>0.11316818559617507</v>
      </c>
      <c r="I47" s="541">
        <f>I46/('объем работ 100% загр'!J10*1000)</f>
        <v>0.11526640381446164</v>
      </c>
      <c r="J47" s="541">
        <f>J46/('объем работ 100% загр'!K10*1000)</f>
        <v>0.1193655480241394</v>
      </c>
      <c r="K47" s="541">
        <f>K46/('объем работ 100% загр'!L10*1000)</f>
        <v>0.12420034307273974</v>
      </c>
      <c r="L47" s="541">
        <f>L46/('объем работ 100% загр'!M10*1000)</f>
        <v>0.13062518451889135</v>
      </c>
      <c r="M47" s="548">
        <f>AVERAGE(C47:L47)</f>
        <v>0.11860156087602351</v>
      </c>
    </row>
  </sheetData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7030A0"/>
  </sheetPr>
  <dimension ref="A1:AA59"/>
  <sheetViews>
    <sheetView topLeftCell="A10" zoomScale="70" workbookViewId="0">
      <selection activeCell="F30" sqref="F30:L30"/>
    </sheetView>
  </sheetViews>
  <sheetFormatPr defaultRowHeight="14.4"/>
  <cols>
    <col min="1" max="1" width="19" style="61" customWidth="1"/>
    <col min="2" max="2" width="10.33203125" style="61" customWidth="1"/>
    <col min="3" max="3" width="13.44140625" style="61" customWidth="1"/>
    <col min="4" max="4" width="13.109375" customWidth="1"/>
    <col min="5" max="5" width="12.109375" customWidth="1"/>
    <col min="6" max="6" width="12.6640625" customWidth="1"/>
    <col min="7" max="7" width="13.109375" customWidth="1"/>
    <col min="8" max="8" width="12.33203125" customWidth="1"/>
    <col min="9" max="9" width="13.44140625" customWidth="1"/>
    <col min="10" max="10" width="10.88671875" customWidth="1"/>
    <col min="11" max="11" width="11.109375" customWidth="1"/>
    <col min="12" max="12" width="13.88671875" customWidth="1"/>
    <col min="13" max="13" width="11.33203125" customWidth="1"/>
    <col min="15" max="15" width="19.44140625" customWidth="1"/>
    <col min="16" max="16" width="9" customWidth="1"/>
    <col min="17" max="17" width="9.6640625" customWidth="1"/>
    <col min="18" max="18" width="11.33203125" customWidth="1"/>
    <col min="19" max="19" width="11.44140625" customWidth="1"/>
    <col min="20" max="20" width="10.109375" customWidth="1"/>
    <col min="21" max="21" width="11.109375" customWidth="1"/>
    <col min="22" max="22" width="10.109375" customWidth="1"/>
    <col min="23" max="24" width="11.44140625" customWidth="1"/>
    <col min="25" max="25" width="12.33203125" customWidth="1"/>
    <col min="26" max="26" width="12.5546875" customWidth="1"/>
    <col min="27" max="27" width="16" customWidth="1"/>
  </cols>
  <sheetData>
    <row r="1" spans="1:27" ht="26.25" customHeight="1">
      <c r="A1" s="705" t="s">
        <v>387</v>
      </c>
      <c r="B1" s="705"/>
      <c r="C1" s="705"/>
      <c r="D1" s="705"/>
      <c r="E1" s="705"/>
      <c r="F1" s="705"/>
      <c r="G1" s="705"/>
      <c r="H1" s="705"/>
      <c r="I1" s="705"/>
      <c r="J1" s="705"/>
      <c r="K1" s="705"/>
      <c r="L1" s="705"/>
      <c r="O1" s="1" t="s">
        <v>388</v>
      </c>
    </row>
    <row r="2" spans="1:27">
      <c r="A2" s="427"/>
      <c r="B2" s="427" t="str">
        <f>'объем работ 100% загр'!C3</f>
        <v>1 год</v>
      </c>
      <c r="C2" s="427" t="str">
        <f>'объем работ 100% загр'!D3</f>
        <v>2 год</v>
      </c>
      <c r="D2" s="427" t="str">
        <f>'объем работ 100% загр'!E3</f>
        <v>3 год</v>
      </c>
      <c r="E2" s="427" t="str">
        <f>'объем работ 100% загр'!F3</f>
        <v>4 год</v>
      </c>
      <c r="F2" s="427" t="str">
        <f>'объем работ 100% загр'!G3</f>
        <v>5 год</v>
      </c>
      <c r="G2" s="427" t="str">
        <f>'объем работ 100% загр'!H3</f>
        <v>6 год</v>
      </c>
      <c r="H2" s="427" t="str">
        <f>'объем работ 100% загр'!I3</f>
        <v>7 год</v>
      </c>
      <c r="I2" s="427" t="str">
        <f>'объем работ 100% загр'!J3</f>
        <v>8 год</v>
      </c>
      <c r="J2" s="427" t="str">
        <f>'объем работ 100% загр'!K3</f>
        <v>9 год</v>
      </c>
      <c r="K2" s="427" t="str">
        <f>'объем работ 100% загр'!L3</f>
        <v>10 год</v>
      </c>
      <c r="L2" s="427" t="str">
        <f>'объем работ 100% загр'!M3</f>
        <v>11 год</v>
      </c>
      <c r="O2" s="431"/>
      <c r="P2" s="432" t="s">
        <v>44</v>
      </c>
      <c r="Q2" s="432" t="s">
        <v>45</v>
      </c>
      <c r="R2" s="432" t="s">
        <v>46</v>
      </c>
      <c r="S2" s="432" t="s">
        <v>47</v>
      </c>
      <c r="T2" s="432" t="s">
        <v>48</v>
      </c>
      <c r="U2" s="432" t="s">
        <v>49</v>
      </c>
      <c r="V2" s="432" t="s">
        <v>50</v>
      </c>
      <c r="W2" s="432" t="s">
        <v>51</v>
      </c>
      <c r="X2" s="432" t="s">
        <v>52</v>
      </c>
      <c r="Y2" s="432" t="s">
        <v>53</v>
      </c>
      <c r="Z2" s="432" t="s">
        <v>54</v>
      </c>
      <c r="AA2" s="433" t="s">
        <v>17</v>
      </c>
    </row>
    <row r="3" spans="1:27">
      <c r="A3" s="448" t="s">
        <v>192</v>
      </c>
      <c r="B3" s="449">
        <f>'Фин результат ТОР'!B25</f>
        <v>0</v>
      </c>
      <c r="C3" s="449">
        <f>'Фин результат ТОР'!C25</f>
        <v>0</v>
      </c>
      <c r="D3" s="449">
        <f>'Фин результат ТОР'!D25</f>
        <v>0</v>
      </c>
      <c r="E3" s="449">
        <f>'Фин результат ТОР'!E25</f>
        <v>0</v>
      </c>
      <c r="F3" s="449">
        <f>'Фин результат ТОР'!F25</f>
        <v>0</v>
      </c>
      <c r="G3" s="449">
        <f>'Фин результат ТОР'!G25</f>
        <v>16862.557017982272</v>
      </c>
      <c r="H3" s="449">
        <f>'Фин результат ТОР'!H25</f>
        <v>49517.463730514261</v>
      </c>
      <c r="I3" s="449">
        <f>'Фин результат ТОР'!I25</f>
        <v>68778.477279433399</v>
      </c>
      <c r="J3" s="449">
        <f>'Фин результат ТОР'!J25</f>
        <v>86318.581805743408</v>
      </c>
      <c r="K3" s="449">
        <f>'Фин результат ТОР'!K25</f>
        <v>105000.94656790212</v>
      </c>
      <c r="L3" s="449">
        <f>'Фин результат ТОР'!L25</f>
        <v>149278.08378585524</v>
      </c>
      <c r="O3" s="452" t="str">
        <f t="shared" ref="O3:O9" si="0">A3</f>
        <v>Налог на прибыль:</v>
      </c>
      <c r="P3" s="453">
        <f>'Налоги без ТОР'!B3-'Налоги ТОР'!B3</f>
        <v>0</v>
      </c>
      <c r="Q3" s="453">
        <f>'Налоги без ТОР'!C3-'Налоги ТОР'!C3</f>
        <v>0</v>
      </c>
      <c r="R3" s="453">
        <f>'Налоги без ТОР'!D3-'Налоги ТОР'!D3</f>
        <v>0</v>
      </c>
      <c r="S3" s="453">
        <f>'Налоги без ТОР'!E3-'Налоги ТОР'!E3</f>
        <v>0</v>
      </c>
      <c r="T3" s="453">
        <f>'Налоги без ТОР'!F3-'Налоги ТОР'!F3</f>
        <v>56400.587642127735</v>
      </c>
      <c r="U3" s="453">
        <f>'Налоги без ТОР'!G3-'Налоги ТОР'!G3</f>
        <v>39359.062717325127</v>
      </c>
      <c r="V3" s="453">
        <f>'Налоги без ТОР'!H3-'Налоги ТОР'!H3</f>
        <v>33011.6424870095</v>
      </c>
      <c r="W3" s="453">
        <f>'Налоги без ТОР'!I3-'Налоги ТОР'!I3</f>
        <v>45852.318186288918</v>
      </c>
      <c r="X3" s="453">
        <f>'Налоги без ТОР'!J3-'Налоги ТОР'!J3</f>
        <v>57545.721203828973</v>
      </c>
      <c r="Y3" s="453">
        <f>'Налоги без ТОР'!K3-'Налоги ТОР'!K3</f>
        <v>70000.631045268135</v>
      </c>
      <c r="Z3" s="453">
        <f>'Налоги без ТОР'!L3-'Налоги ТОР'!L3</f>
        <v>37319.154279797134</v>
      </c>
      <c r="AA3" s="453">
        <f t="shared" ref="AA3:AA23" si="1">SUM(P3:Z3)</f>
        <v>339489.11756164557</v>
      </c>
    </row>
    <row r="4" spans="1:27" ht="31.5" customHeight="1">
      <c r="A4" s="159" t="s">
        <v>193</v>
      </c>
      <c r="B4" s="286" t="s">
        <v>194</v>
      </c>
      <c r="C4" s="286" t="str">
        <f t="shared" ref="C4:C5" si="2">B4</f>
        <v>0</v>
      </c>
      <c r="D4" s="286" t="str">
        <f t="shared" ref="D4:F5" si="3">C4</f>
        <v>0</v>
      </c>
      <c r="E4" s="286" t="str">
        <f t="shared" si="3"/>
        <v>0</v>
      </c>
      <c r="F4" s="286" t="str">
        <f t="shared" si="3"/>
        <v>0</v>
      </c>
      <c r="G4" s="286">
        <f>G3*2/12</f>
        <v>2810.4261696637118</v>
      </c>
      <c r="H4" s="286">
        <f t="shared" ref="H4:K4" si="4">H3*2/12</f>
        <v>8252.9106217523768</v>
      </c>
      <c r="I4" s="286">
        <f t="shared" si="4"/>
        <v>11463.079546572233</v>
      </c>
      <c r="J4" s="286">
        <f t="shared" si="4"/>
        <v>14386.430300957234</v>
      </c>
      <c r="K4" s="286">
        <f t="shared" si="4"/>
        <v>17500.157761317019</v>
      </c>
      <c r="L4" s="650">
        <f>2/20*L3</f>
        <v>14927.808378585525</v>
      </c>
      <c r="M4" s="60"/>
      <c r="O4" s="162" t="str">
        <f t="shared" si="0"/>
        <v>- федеральный бюджет</v>
      </c>
      <c r="P4" s="648">
        <f>'Налоги без ТОР'!B4-'Налоги ТОР'!B4</f>
        <v>0</v>
      </c>
      <c r="Q4" s="648">
        <f>'Налоги без ТОР'!C4-'Налоги ТОР'!C4</f>
        <v>0</v>
      </c>
      <c r="R4" s="648">
        <f>'Налоги без ТОР'!D4-'Налоги ТОР'!D4</f>
        <v>0</v>
      </c>
      <c r="S4" s="648">
        <f>'Налоги без ТОР'!E4-'Налоги ТОР'!E4</f>
        <v>0</v>
      </c>
      <c r="T4" s="648">
        <f>'Налоги без ТОР'!F4-'Налоги ТОР'!F4</f>
        <v>5640.0587642127739</v>
      </c>
      <c r="U4" s="648">
        <f>'Налоги без ТОР'!G4-'Налоги ТОР'!G4</f>
        <v>2811.7358038670286</v>
      </c>
      <c r="V4" s="648">
        <f>'Налоги без ТОР'!H4-'Налоги ТОР'!H4</f>
        <v>0</v>
      </c>
      <c r="W4" s="648">
        <f>'Налоги без ТОР'!I4-'Налоги ТОР'!I4</f>
        <v>0</v>
      </c>
      <c r="X4" s="648">
        <f>'Налоги без ТОР'!J4-'Налоги ТОР'!J4</f>
        <v>0</v>
      </c>
      <c r="Y4" s="648">
        <f>'Налоги без ТОР'!K4-'Налоги ТОР'!K4</f>
        <v>0</v>
      </c>
      <c r="Z4" s="648">
        <f>'Налоги без ТОР'!L4-'Налоги ТОР'!L4</f>
        <v>3731.9154279797131</v>
      </c>
      <c r="AA4" s="648">
        <f t="shared" si="1"/>
        <v>12183.709996059515</v>
      </c>
    </row>
    <row r="5" spans="1:27" ht="32.25" customHeight="1">
      <c r="A5" s="159" t="s">
        <v>195</v>
      </c>
      <c r="B5" s="286" t="s">
        <v>194</v>
      </c>
      <c r="C5" s="286" t="str">
        <f t="shared" si="2"/>
        <v>0</v>
      </c>
      <c r="D5" s="286" t="str">
        <f t="shared" si="3"/>
        <v>0</v>
      </c>
      <c r="E5" s="286" t="str">
        <f t="shared" si="3"/>
        <v>0</v>
      </c>
      <c r="F5" s="286" t="str">
        <f t="shared" si="3"/>
        <v>0</v>
      </c>
      <c r="G5" s="287">
        <f>G3*10/12</f>
        <v>14052.130848318558</v>
      </c>
      <c r="H5" s="287">
        <f t="shared" ref="H5:K5" si="5">H3*10/12</f>
        <v>41264.55310876188</v>
      </c>
      <c r="I5" s="287">
        <f t="shared" si="5"/>
        <v>57315.397732861165</v>
      </c>
      <c r="J5" s="287">
        <f t="shared" si="5"/>
        <v>71932.151504786176</v>
      </c>
      <c r="K5" s="287">
        <f t="shared" si="5"/>
        <v>87500.788806585115</v>
      </c>
      <c r="L5" s="651">
        <f>L3-L4</f>
        <v>134350.27540726971</v>
      </c>
      <c r="O5" s="162" t="str">
        <f t="shared" si="0"/>
        <v>- региональный бюджет</v>
      </c>
      <c r="P5" s="648">
        <f>'Налоги без ТОР'!B5-'Налоги ТОР'!B5</f>
        <v>0</v>
      </c>
      <c r="Q5" s="648">
        <f>'Налоги без ТОР'!C5-'Налоги ТОР'!C5</f>
        <v>0</v>
      </c>
      <c r="R5" s="648">
        <f>'Налоги без ТОР'!D5-'Налоги ТОР'!D5</f>
        <v>0</v>
      </c>
      <c r="S5" s="648">
        <f>'Налоги без ТОР'!E5-'Налоги ТОР'!E5</f>
        <v>0</v>
      </c>
      <c r="T5" s="648">
        <f>'Налоги без ТОР'!F5-'Налоги ТОР'!F5</f>
        <v>50760.528877914963</v>
      </c>
      <c r="U5" s="649">
        <f>'Налоги без ТОР'!G5-'Налоги ТОР'!G5</f>
        <v>36547.326913458106</v>
      </c>
      <c r="V5" s="649">
        <f>'Налоги без ТОР'!H5-'Налоги ТОР'!H5</f>
        <v>33011.6424870095</v>
      </c>
      <c r="W5" s="649">
        <f>'Налоги без ТОР'!I5-'Налоги ТОР'!I5</f>
        <v>45852.318186288918</v>
      </c>
      <c r="X5" s="649">
        <f>'Налоги без ТОР'!J5-'Налоги ТОР'!J5</f>
        <v>57545.721203828973</v>
      </c>
      <c r="Y5" s="649">
        <f>'Налоги без ТОР'!K5-'Налоги ТОР'!K5</f>
        <v>70000.631045268106</v>
      </c>
      <c r="Z5" s="649">
        <f>'Налоги без ТОР'!L5-'Налоги ТОР'!L5</f>
        <v>33587.238851817412</v>
      </c>
      <c r="AA5" s="649">
        <f t="shared" si="1"/>
        <v>327305.40756558592</v>
      </c>
    </row>
    <row r="6" spans="1:27" ht="27.75" customHeight="1">
      <c r="A6" s="448" t="s">
        <v>196</v>
      </c>
      <c r="B6" s="450">
        <f>B7</f>
        <v>0</v>
      </c>
      <c r="C6" s="450">
        <f t="shared" ref="C6:L6" si="6">C7</f>
        <v>0</v>
      </c>
      <c r="D6" s="450">
        <f t="shared" si="6"/>
        <v>0</v>
      </c>
      <c r="E6" s="450">
        <f t="shared" si="6"/>
        <v>0</v>
      </c>
      <c r="F6" s="450">
        <f t="shared" si="6"/>
        <v>0</v>
      </c>
      <c r="G6" s="450">
        <f t="shared" si="6"/>
        <v>1494.1666666666674</v>
      </c>
      <c r="H6" s="450">
        <f t="shared" si="6"/>
        <v>5958.3333333333376</v>
      </c>
      <c r="I6" s="450">
        <f t="shared" si="6"/>
        <v>5929.0000000000055</v>
      </c>
      <c r="J6" s="450">
        <f t="shared" si="6"/>
        <v>5899.6666666666742</v>
      </c>
      <c r="K6" s="450">
        <f t="shared" si="6"/>
        <v>5870.3333333333421</v>
      </c>
      <c r="L6" s="450">
        <f t="shared" si="6"/>
        <v>5841.00000000001</v>
      </c>
      <c r="O6" s="452" t="str">
        <f t="shared" si="0"/>
        <v>Налог на имущество:</v>
      </c>
      <c r="P6" s="453">
        <f>'Налоги без ТОР'!B6-'Налоги ТОР'!B6</f>
        <v>0</v>
      </c>
      <c r="Q6" s="453">
        <f>'Налоги без ТОР'!C6-'Налоги ТОР'!C6</f>
        <v>0</v>
      </c>
      <c r="R6" s="453">
        <f>'Налоги без ТОР'!D6-'Налоги ТОР'!D6</f>
        <v>0</v>
      </c>
      <c r="S6" s="453">
        <f>'Налоги без ТОР'!E6-'Налоги ТОР'!E6</f>
        <v>4521</v>
      </c>
      <c r="T6" s="453">
        <f>'Налоги без ТОР'!F6-'Налоги ТОР'!F6</f>
        <v>6017</v>
      </c>
      <c r="U6" s="453">
        <f>'Налоги без ТОР'!G6-'Налоги ТОР'!G6</f>
        <v>4493.5000000000018</v>
      </c>
      <c r="V6" s="453">
        <f>'Налоги без ТОР'!H6-'Налоги ТОР'!H6</f>
        <v>0</v>
      </c>
      <c r="W6" s="453">
        <f>'Налоги без ТОР'!I6-'Налоги ТОР'!I6</f>
        <v>0</v>
      </c>
      <c r="X6" s="453">
        <f>'Налоги без ТОР'!J6-'Налоги ТОР'!J6</f>
        <v>0</v>
      </c>
      <c r="Y6" s="453">
        <f>'Налоги без ТОР'!K6-'Налоги ТОР'!K6</f>
        <v>0</v>
      </c>
      <c r="Z6" s="453">
        <f>'Налоги без ТОР'!L6-'Налоги ТОР'!L6</f>
        <v>0</v>
      </c>
      <c r="AA6" s="453">
        <f t="shared" si="1"/>
        <v>15031.500000000002</v>
      </c>
    </row>
    <row r="7" spans="1:27" ht="35.25" customHeight="1">
      <c r="A7" s="159" t="s">
        <v>195</v>
      </c>
      <c r="B7" s="285">
        <f>'Расходы на П, строит-во, ввод'!B39</f>
        <v>0</v>
      </c>
      <c r="C7" s="285">
        <f>'Расходы на П, строит-во, ввод'!C39</f>
        <v>0</v>
      </c>
      <c r="D7" s="285">
        <f>'Расходы на П, строит-во, ввод'!D39</f>
        <v>0</v>
      </c>
      <c r="E7" s="285">
        <f>'Расходы на П, строит-во, ввод'!E39</f>
        <v>0</v>
      </c>
      <c r="F7" s="285">
        <f>'Расходы на П, строит-во, ввод'!F39</f>
        <v>0</v>
      </c>
      <c r="G7" s="285">
        <f>'Расходы на П, строит-во, ввод'!G39</f>
        <v>1494.1666666666674</v>
      </c>
      <c r="H7" s="285">
        <f>'Расходы на П, строит-во, ввод'!H39</f>
        <v>5958.3333333333376</v>
      </c>
      <c r="I7" s="285">
        <f>'Расходы на П, строит-во, ввод'!I39</f>
        <v>5929.0000000000055</v>
      </c>
      <c r="J7" s="285">
        <f>'Расходы на П, строит-во, ввод'!J39</f>
        <v>5899.6666666666742</v>
      </c>
      <c r="K7" s="285">
        <f>'Расходы на П, строит-во, ввод'!K39</f>
        <v>5870.3333333333421</v>
      </c>
      <c r="L7" s="285">
        <f>'Расходы на П, строит-во, ввод'!L39</f>
        <v>5841.00000000001</v>
      </c>
      <c r="O7" s="162" t="str">
        <f t="shared" si="0"/>
        <v>- региональный бюджет</v>
      </c>
      <c r="P7" s="165">
        <f>'Налоги без ТОР'!B7-'Налоги ТОР'!B7</f>
        <v>0</v>
      </c>
      <c r="Q7" s="165">
        <f>'Налоги без ТОР'!C7-'Налоги ТОР'!C7</f>
        <v>0</v>
      </c>
      <c r="R7" s="165">
        <f>'Налоги без ТОР'!D7-'Налоги ТОР'!D7</f>
        <v>0</v>
      </c>
      <c r="S7" s="165">
        <f>'Налоги без ТОР'!E7-'Налоги ТОР'!E7</f>
        <v>4521</v>
      </c>
      <c r="T7" s="165">
        <f>'Налоги без ТОР'!F7-'Налоги ТОР'!F7</f>
        <v>6017</v>
      </c>
      <c r="U7" s="165">
        <f>'Налоги без ТОР'!G7-'Налоги ТОР'!G7</f>
        <v>4493.5000000000018</v>
      </c>
      <c r="V7" s="648">
        <f>'Налоги без ТОР'!H7-'Налоги ТОР'!H7</f>
        <v>0</v>
      </c>
      <c r="W7" s="648">
        <f>'Налоги без ТОР'!I7-'Налоги ТОР'!I7</f>
        <v>0</v>
      </c>
      <c r="X7" s="648">
        <f>'Налоги без ТОР'!J7-'Налоги ТОР'!J7</f>
        <v>0</v>
      </c>
      <c r="Y7" s="648">
        <f>'Налоги без ТОР'!K7-'Налоги ТОР'!K7</f>
        <v>0</v>
      </c>
      <c r="Z7" s="648">
        <f>'Налоги без ТОР'!L7-'Налоги ТОР'!L7</f>
        <v>0</v>
      </c>
      <c r="AA7" s="165">
        <f t="shared" si="1"/>
        <v>15031.500000000002</v>
      </c>
    </row>
    <row r="8" spans="1:27" ht="33" customHeight="1">
      <c r="A8" s="163" t="s">
        <v>197</v>
      </c>
      <c r="B8" s="287">
        <v>0</v>
      </c>
      <c r="C8" s="288">
        <v>0</v>
      </c>
      <c r="D8" s="288">
        <v>0</v>
      </c>
      <c r="E8" s="288">
        <v>0</v>
      </c>
      <c r="F8" s="288">
        <v>0</v>
      </c>
      <c r="G8" s="288">
        <v>0</v>
      </c>
      <c r="H8" s="288">
        <v>0</v>
      </c>
      <c r="I8" s="288">
        <v>0</v>
      </c>
      <c r="J8" s="288">
        <v>0</v>
      </c>
      <c r="K8" s="288">
        <v>0</v>
      </c>
      <c r="L8" s="287">
        <v>0</v>
      </c>
      <c r="O8" s="452" t="str">
        <f t="shared" si="0"/>
        <v>Транспортный налог:</v>
      </c>
      <c r="P8" s="453">
        <f>'Налоги без ТОР'!B8-'Налоги ТОР'!B8</f>
        <v>0</v>
      </c>
      <c r="Q8" s="453">
        <f>'Налоги без ТОР'!C8-'Налоги ТОР'!C8</f>
        <v>0</v>
      </c>
      <c r="R8" s="453">
        <f>'Налоги без ТОР'!D8-'Налоги ТОР'!D8</f>
        <v>0</v>
      </c>
      <c r="S8" s="453">
        <f>'Налоги без ТОР'!E8-'Налоги ТОР'!E8</f>
        <v>0</v>
      </c>
      <c r="T8" s="453">
        <f>'Налоги без ТОР'!F8-'Налоги ТОР'!F8</f>
        <v>0</v>
      </c>
      <c r="U8" s="453">
        <f>'Налоги без ТОР'!G8-'Налоги ТОР'!G8</f>
        <v>0</v>
      </c>
      <c r="V8" s="453">
        <f>'Налоги без ТОР'!H8-'Налоги ТОР'!H8</f>
        <v>0</v>
      </c>
      <c r="W8" s="453">
        <f>'Налоги без ТОР'!I8-'Налоги ТОР'!I8</f>
        <v>0</v>
      </c>
      <c r="X8" s="453">
        <f>'Налоги без ТОР'!J8-'Налоги ТОР'!J8</f>
        <v>0</v>
      </c>
      <c r="Y8" s="453">
        <f>'Налоги без ТОР'!K8-'Налоги ТОР'!K8</f>
        <v>0</v>
      </c>
      <c r="Z8" s="453">
        <f>'Налоги без ТОР'!L8-'Налоги ТОР'!L8</f>
        <v>0</v>
      </c>
      <c r="AA8" s="453">
        <f t="shared" si="1"/>
        <v>0</v>
      </c>
    </row>
    <row r="9" spans="1:27" ht="28.8">
      <c r="A9" s="159" t="s">
        <v>195</v>
      </c>
      <c r="B9" s="287">
        <v>0</v>
      </c>
      <c r="C9" s="288">
        <v>0</v>
      </c>
      <c r="D9" s="288">
        <v>0</v>
      </c>
      <c r="E9" s="288">
        <v>0</v>
      </c>
      <c r="F9" s="288">
        <v>0</v>
      </c>
      <c r="G9" s="288">
        <v>0</v>
      </c>
      <c r="H9" s="288">
        <v>0</v>
      </c>
      <c r="I9" s="288">
        <v>0</v>
      </c>
      <c r="J9" s="288">
        <v>0</v>
      </c>
      <c r="K9" s="288">
        <v>0</v>
      </c>
      <c r="L9" s="287">
        <v>0</v>
      </c>
      <c r="O9" s="162" t="str">
        <f t="shared" si="0"/>
        <v>- региональный бюджет</v>
      </c>
      <c r="P9" s="165">
        <f>'Налоги без ТОР'!B9-'Налоги ТОР'!B9</f>
        <v>0</v>
      </c>
      <c r="Q9" s="165">
        <f>'Налоги без ТОР'!C9-'Налоги ТОР'!C9</f>
        <v>0</v>
      </c>
      <c r="R9" s="165">
        <f>'Налоги без ТОР'!D9-'Налоги ТОР'!D9</f>
        <v>0</v>
      </c>
      <c r="S9" s="165">
        <f>'Налоги без ТОР'!E9-'Налоги ТОР'!E9</f>
        <v>0</v>
      </c>
      <c r="T9" s="165">
        <f>'Налоги без ТОР'!F9-'Налоги ТОР'!F9</f>
        <v>0</v>
      </c>
      <c r="U9" s="165">
        <f>'Налоги без ТОР'!G9-'Налоги ТОР'!G9</f>
        <v>0</v>
      </c>
      <c r="V9" s="165">
        <f>'Налоги без ТОР'!H9-'Налоги ТОР'!H9</f>
        <v>0</v>
      </c>
      <c r="W9" s="165">
        <f>'Налоги без ТОР'!I9-'Налоги ТОР'!I9</f>
        <v>0</v>
      </c>
      <c r="X9" s="165">
        <f>'Налоги без ТОР'!J9-'Налоги ТОР'!J9</f>
        <v>0</v>
      </c>
      <c r="Y9" s="165">
        <f>'Налоги без ТОР'!K9-'Налоги ТОР'!K9</f>
        <v>0</v>
      </c>
      <c r="Z9" s="165">
        <f>'Налоги без ТОР'!L9-'Налоги ТОР'!L9</f>
        <v>0</v>
      </c>
      <c r="AA9" s="165">
        <f t="shared" si="1"/>
        <v>0</v>
      </c>
    </row>
    <row r="10" spans="1:27">
      <c r="A10" s="448" t="s">
        <v>198</v>
      </c>
      <c r="B10" s="449">
        <f>'Расходы на ЗП ТОР'!AW58</f>
        <v>0</v>
      </c>
      <c r="C10" s="449">
        <f>'Расходы на ЗП ТОР'!AX58</f>
        <v>0</v>
      </c>
      <c r="D10" s="449">
        <f>'Расходы на ЗП ТОР'!AY58</f>
        <v>0</v>
      </c>
      <c r="E10" s="449">
        <f>'Расходы на ЗП ТОР'!AZ58</f>
        <v>0</v>
      </c>
      <c r="F10" s="449">
        <f>'Расходы на ЗП ТОР'!BA58</f>
        <v>5078.2056000000002</v>
      </c>
      <c r="G10" s="449">
        <f>'Расходы на ЗП ТОР'!BB58</f>
        <v>5382.8979360000003</v>
      </c>
      <c r="H10" s="449">
        <f>'Расходы на ЗП ТОР'!BC58</f>
        <v>5705.8718121600014</v>
      </c>
      <c r="I10" s="449">
        <f>'Расходы на ЗП ТОР'!BD58</f>
        <v>6037.0762111296017</v>
      </c>
      <c r="J10" s="449">
        <f>'Расходы на ЗП ТОР'!BE58</f>
        <v>6399.3007837973764</v>
      </c>
      <c r="K10" s="449">
        <f>'Расходы на ЗП ТОР'!BF58</f>
        <v>6783.2588308252216</v>
      </c>
      <c r="L10" s="449">
        <f>'Расходы на ЗП ТОР'!BG58</f>
        <v>6783.2588308252216</v>
      </c>
      <c r="O10" s="452" t="str">
        <f t="shared" ref="O10:O23" si="7">A10</f>
        <v>НДФЛ:</v>
      </c>
      <c r="P10" s="453">
        <f>'Налоги без ТОР'!B10-'Налоги ТОР'!B10</f>
        <v>0</v>
      </c>
      <c r="Q10" s="453">
        <f>'Налоги без ТОР'!C10-'Налоги ТОР'!C10</f>
        <v>0</v>
      </c>
      <c r="R10" s="453">
        <f>'Налоги без ТОР'!D10-'Налоги ТОР'!D10</f>
        <v>0</v>
      </c>
      <c r="S10" s="453">
        <f>'Налоги без ТОР'!E10-'Налоги ТОР'!E10</f>
        <v>0</v>
      </c>
      <c r="T10" s="453">
        <f>'Налоги без ТОР'!F10-'Налоги ТОР'!F10</f>
        <v>0</v>
      </c>
      <c r="U10" s="453">
        <f>'Налоги без ТОР'!G10-'Налоги ТОР'!G10</f>
        <v>0</v>
      </c>
      <c r="V10" s="453">
        <f>'Налоги без ТОР'!H10-'Налоги ТОР'!H10</f>
        <v>0</v>
      </c>
      <c r="W10" s="453">
        <f>'Налоги без ТОР'!I10-'Налоги ТОР'!I10</f>
        <v>0</v>
      </c>
      <c r="X10" s="453">
        <f>'Налоги без ТОР'!J10-'Налоги ТОР'!J10</f>
        <v>0</v>
      </c>
      <c r="Y10" s="453">
        <f>'Налоги без ТОР'!K10-'Налоги ТОР'!K10</f>
        <v>0</v>
      </c>
      <c r="Z10" s="453">
        <f>'Налоги без ТОР'!L10-'Налоги ТОР'!L10</f>
        <v>406.99552984951333</v>
      </c>
      <c r="AA10" s="453">
        <f t="shared" si="1"/>
        <v>406.99552984951333</v>
      </c>
    </row>
    <row r="11" spans="1:27" ht="28.8">
      <c r="A11" s="159" t="s">
        <v>195</v>
      </c>
      <c r="B11" s="287">
        <v>0</v>
      </c>
      <c r="C11" s="288">
        <f>C10*0.85</f>
        <v>0</v>
      </c>
      <c r="D11" s="288">
        <f t="shared" ref="D11:L11" si="8">D10*0.85</f>
        <v>0</v>
      </c>
      <c r="E11" s="288">
        <f t="shared" si="8"/>
        <v>0</v>
      </c>
      <c r="F11" s="288">
        <f t="shared" si="8"/>
        <v>4316.4747600000001</v>
      </c>
      <c r="G11" s="288">
        <f t="shared" si="8"/>
        <v>4575.4632455999999</v>
      </c>
      <c r="H11" s="288">
        <f t="shared" si="8"/>
        <v>4849.9910403360009</v>
      </c>
      <c r="I11" s="288">
        <f t="shared" si="8"/>
        <v>5131.5147794601617</v>
      </c>
      <c r="J11" s="288">
        <f t="shared" si="8"/>
        <v>5439.4056662277699</v>
      </c>
      <c r="K11" s="288">
        <f t="shared" si="8"/>
        <v>5765.7700062014383</v>
      </c>
      <c r="L11" s="287">
        <f t="shared" si="8"/>
        <v>5765.7700062014383</v>
      </c>
      <c r="O11" s="162" t="str">
        <f t="shared" si="7"/>
        <v>- региональный бюджет</v>
      </c>
      <c r="P11" s="165">
        <f>'Налоги без ТОР'!B11-'Налоги ТОР'!B11</f>
        <v>0</v>
      </c>
      <c r="Q11" s="165">
        <f>'Налоги без ТОР'!C11-'Налоги ТОР'!C11</f>
        <v>0</v>
      </c>
      <c r="R11" s="165">
        <f>'Налоги без ТОР'!D11-'Налоги ТОР'!D11</f>
        <v>0</v>
      </c>
      <c r="S11" s="165">
        <f>'Налоги без ТОР'!E11-'Налоги ТОР'!E11</f>
        <v>0</v>
      </c>
      <c r="T11" s="165">
        <f>'Налоги без ТОР'!F11-'Налоги ТОР'!F11</f>
        <v>0</v>
      </c>
      <c r="U11" s="165">
        <f>'Налоги без ТОР'!G11-'Налоги ТОР'!G11</f>
        <v>0</v>
      </c>
      <c r="V11" s="165">
        <f>'Налоги без ТОР'!H11-'Налоги ТОР'!H11</f>
        <v>0</v>
      </c>
      <c r="W11" s="165">
        <f>'Налоги без ТОР'!I11-'Налоги ТОР'!I11</f>
        <v>0</v>
      </c>
      <c r="X11" s="165">
        <f>'Налоги без ТОР'!J11-'Налоги ТОР'!J11</f>
        <v>0</v>
      </c>
      <c r="Y11" s="165">
        <f>'Налоги без ТОР'!K11-'Налоги ТОР'!K11</f>
        <v>0</v>
      </c>
      <c r="Z11" s="165">
        <f>'Налоги без ТОР'!L11-'Налоги ТОР'!L11</f>
        <v>345.94620037208642</v>
      </c>
      <c r="AA11" s="165">
        <f t="shared" si="1"/>
        <v>345.94620037208642</v>
      </c>
    </row>
    <row r="12" spans="1:27" ht="28.8">
      <c r="A12" s="159" t="s">
        <v>199</v>
      </c>
      <c r="B12" s="287">
        <v>0</v>
      </c>
      <c r="C12" s="288">
        <f>C10*0.15</f>
        <v>0</v>
      </c>
      <c r="D12" s="288">
        <f t="shared" ref="D12:L12" si="9">D10*0.15</f>
        <v>0</v>
      </c>
      <c r="E12" s="288">
        <f t="shared" si="9"/>
        <v>0</v>
      </c>
      <c r="F12" s="288">
        <f t="shared" si="9"/>
        <v>761.73084000000006</v>
      </c>
      <c r="G12" s="288">
        <f t="shared" si="9"/>
        <v>807.43469040000002</v>
      </c>
      <c r="H12" s="288">
        <f t="shared" si="9"/>
        <v>855.88077182400013</v>
      </c>
      <c r="I12" s="288">
        <f t="shared" si="9"/>
        <v>905.56143166944025</v>
      </c>
      <c r="J12" s="288">
        <f t="shared" si="9"/>
        <v>959.89511756960644</v>
      </c>
      <c r="K12" s="288">
        <f t="shared" si="9"/>
        <v>1017.4888246237832</v>
      </c>
      <c r="L12" s="287">
        <f t="shared" si="9"/>
        <v>1017.4888246237832</v>
      </c>
      <c r="O12" s="162" t="str">
        <f t="shared" si="7"/>
        <v>- муниципальный бюджет</v>
      </c>
      <c r="P12" s="165">
        <f>'Налоги без ТОР'!B12-'Налоги ТОР'!B12</f>
        <v>0</v>
      </c>
      <c r="Q12" s="165">
        <f>'Налоги без ТОР'!C12-'Налоги ТОР'!C12</f>
        <v>0</v>
      </c>
      <c r="R12" s="165">
        <f>'Налоги без ТОР'!D12-'Налоги ТОР'!D12</f>
        <v>0</v>
      </c>
      <c r="S12" s="165">
        <f>'Налоги без ТОР'!E12-'Налоги ТОР'!E12</f>
        <v>0</v>
      </c>
      <c r="T12" s="165">
        <f>'Налоги без ТОР'!F12-'Налоги ТОР'!F12</f>
        <v>0</v>
      </c>
      <c r="U12" s="165">
        <f>'Налоги без ТОР'!G12-'Налоги ТОР'!G12</f>
        <v>0</v>
      </c>
      <c r="V12" s="165">
        <f>'Налоги без ТОР'!H12-'Налоги ТОР'!H12</f>
        <v>0</v>
      </c>
      <c r="W12" s="165">
        <f>'Налоги без ТОР'!I12-'Налоги ТОР'!I12</f>
        <v>0</v>
      </c>
      <c r="X12" s="165">
        <f>'Налоги без ТОР'!J12-'Налоги ТОР'!J12</f>
        <v>0</v>
      </c>
      <c r="Y12" s="165">
        <f>'Налоги без ТОР'!K12-'Налоги ТОР'!K12</f>
        <v>0</v>
      </c>
      <c r="Z12" s="165">
        <f>'Налоги без ТОР'!L12-'Налоги ТОР'!L12</f>
        <v>61.049329477427023</v>
      </c>
      <c r="AA12" s="165">
        <f t="shared" si="1"/>
        <v>61.049329477427023</v>
      </c>
    </row>
    <row r="13" spans="1:27" ht="35.25" customHeight="1">
      <c r="A13" s="159" t="s">
        <v>200</v>
      </c>
      <c r="B13" s="287">
        <v>0</v>
      </c>
      <c r="C13" s="288">
        <v>0</v>
      </c>
      <c r="D13" s="288">
        <v>0</v>
      </c>
      <c r="E13" s="288">
        <v>0</v>
      </c>
      <c r="F13" s="288">
        <v>0</v>
      </c>
      <c r="G13" s="288">
        <v>0</v>
      </c>
      <c r="H13" s="288">
        <v>0</v>
      </c>
      <c r="I13" s="288">
        <v>0</v>
      </c>
      <c r="J13" s="288">
        <v>0</v>
      </c>
      <c r="K13" s="288">
        <v>0</v>
      </c>
      <c r="L13" s="287">
        <v>0</v>
      </c>
      <c r="O13" s="162" t="str">
        <f t="shared" si="7"/>
        <v>- бюджет поселения</v>
      </c>
      <c r="P13" s="165">
        <f>'Налоги без ТОР'!B13-'Налоги ТОР'!B13</f>
        <v>0</v>
      </c>
      <c r="Q13" s="165">
        <f>'Налоги без ТОР'!C13-'Налоги ТОР'!C13</f>
        <v>0</v>
      </c>
      <c r="R13" s="165">
        <f>'Налоги без ТОР'!D13-'Налоги ТОР'!D13</f>
        <v>0</v>
      </c>
      <c r="S13" s="165">
        <f>'Налоги без ТОР'!E13-'Налоги ТОР'!E13</f>
        <v>0</v>
      </c>
      <c r="T13" s="165">
        <f>'Налоги без ТОР'!F13-'Налоги ТОР'!F13</f>
        <v>0</v>
      </c>
      <c r="U13" s="165">
        <f>'Налоги без ТОР'!G13-'Налоги ТОР'!G13</f>
        <v>0</v>
      </c>
      <c r="V13" s="165">
        <f>'Налоги без ТОР'!H13-'Налоги ТОР'!H13</f>
        <v>0</v>
      </c>
      <c r="W13" s="165">
        <f>'Налоги без ТОР'!I13-'Налоги ТОР'!I13</f>
        <v>0</v>
      </c>
      <c r="X13" s="165">
        <f>'Налоги без ТОР'!J13-'Налоги ТОР'!J13</f>
        <v>0</v>
      </c>
      <c r="Y13" s="165">
        <f>'Налоги без ТОР'!K13-'Налоги ТОР'!K13</f>
        <v>0</v>
      </c>
      <c r="Z13" s="165">
        <f>'Налоги без ТОР'!L13-'Налоги ТОР'!L13</f>
        <v>0</v>
      </c>
      <c r="AA13" s="165">
        <f t="shared" si="1"/>
        <v>0</v>
      </c>
    </row>
    <row r="14" spans="1:27" ht="31.5" customHeight="1">
      <c r="A14" s="448" t="s">
        <v>201</v>
      </c>
      <c r="B14" s="449">
        <f>'Расходы на ЗП ТОР'!AW51</f>
        <v>0</v>
      </c>
      <c r="C14" s="449">
        <f>'Расходы на ЗП ТОР'!AX51</f>
        <v>0</v>
      </c>
      <c r="D14" s="449">
        <f>'Расходы на ЗП ТОР'!AY51</f>
        <v>0</v>
      </c>
      <c r="E14" s="449">
        <f>'Расходы на ЗП ТОР'!AZ51</f>
        <v>0</v>
      </c>
      <c r="F14" s="449">
        <f>'Расходы на ЗП ТОР'!BA51</f>
        <v>11718.936000000002</v>
      </c>
      <c r="G14" s="449">
        <f>'Расходы на ЗП ТОР'!BB51</f>
        <v>12422.07216</v>
      </c>
      <c r="H14" s="449">
        <f>'Расходы на ЗП ТОР'!BC51</f>
        <v>13167.3964896</v>
      </c>
      <c r="I14" s="449">
        <f>'Расходы на ЗП ТОР'!BD51</f>
        <v>13931.714333376003</v>
      </c>
      <c r="J14" s="449">
        <f>'Расходы на ЗП ТОР'!BE51</f>
        <v>14767.617193378561</v>
      </c>
      <c r="K14" s="449">
        <f>'Расходы на ЗП ТОР'!BF51</f>
        <v>15653.674224981278</v>
      </c>
      <c r="L14" s="449">
        <f>'Расходы на ЗП ТОР'!BG51</f>
        <v>15653.674224981278</v>
      </c>
      <c r="O14" s="452" t="str">
        <f t="shared" si="7"/>
        <v>Страховые платежи в ФНС</v>
      </c>
      <c r="P14" s="453">
        <f>'Налоги без ТОР'!B14-'Налоги ТОР'!B14</f>
        <v>0</v>
      </c>
      <c r="Q14" s="453">
        <f>'Налоги без ТОР'!C14-'Налоги ТОР'!C14</f>
        <v>0</v>
      </c>
      <c r="R14" s="453">
        <f>'Налоги без ТОР'!D14-'Налоги ТОР'!D14</f>
        <v>0</v>
      </c>
      <c r="S14" s="453">
        <f>'Налоги без ТОР'!E14-'Налоги ТОР'!E14</f>
        <v>0</v>
      </c>
      <c r="T14" s="453">
        <f>'Налоги без ТОР'!F14-'Налоги ТОР'!F14</f>
        <v>0</v>
      </c>
      <c r="U14" s="453">
        <f>'Налоги без ТОР'!G14-'Налоги ТОР'!G14</f>
        <v>0</v>
      </c>
      <c r="V14" s="453">
        <f>'Налоги без ТОР'!H14-'Налоги ТОР'!H14</f>
        <v>0</v>
      </c>
      <c r="W14" s="453">
        <f>'Налоги без ТОР'!I14-'Налоги ТОР'!I14</f>
        <v>0</v>
      </c>
      <c r="X14" s="453">
        <f>'Налоги без ТОР'!J14-'Налоги ТОР'!J14</f>
        <v>0</v>
      </c>
      <c r="Y14" s="453">
        <f>'Налоги без ТОР'!K14-'Налоги ТОР'!K14</f>
        <v>0</v>
      </c>
      <c r="Z14" s="453">
        <f>'Налоги без ТОР'!L14-'Налоги ТОР'!L14</f>
        <v>939.22045349887776</v>
      </c>
      <c r="AA14" s="453">
        <f t="shared" si="1"/>
        <v>939.22045349887776</v>
      </c>
    </row>
    <row r="15" spans="1:27" ht="30" customHeight="1">
      <c r="A15" s="448" t="s">
        <v>202</v>
      </c>
      <c r="B15" s="449">
        <f>'Расходы на ЗП ТОР'!AW53</f>
        <v>0</v>
      </c>
      <c r="C15" s="449">
        <f>'Расходы на ЗП ТОР'!AX53</f>
        <v>0</v>
      </c>
      <c r="D15" s="449">
        <f>'Расходы на ЗП ТОР'!AY53</f>
        <v>0</v>
      </c>
      <c r="E15" s="449">
        <f>'Расходы на ЗП ТОР'!AZ53</f>
        <v>0</v>
      </c>
      <c r="F15" s="449">
        <f>'Расходы на ЗП ТОР'!BA53</f>
        <v>117.18936000000001</v>
      </c>
      <c r="G15" s="449">
        <f>'Расходы на ЗП ТОР'!BB53</f>
        <v>124.2207216</v>
      </c>
      <c r="H15" s="449">
        <f>'Расходы на ЗП ТОР'!BC53</f>
        <v>131.67396489600003</v>
      </c>
      <c r="I15" s="449">
        <f>'Расходы на ЗП ТОР'!BD53</f>
        <v>139.31714333376001</v>
      </c>
      <c r="J15" s="449">
        <f>'Расходы на ЗП ТОР'!BE53</f>
        <v>147.67617193378561</v>
      </c>
      <c r="K15" s="449">
        <f>'Расходы на ЗП ТОР'!BF53</f>
        <v>156.53674224981279</v>
      </c>
      <c r="L15" s="449">
        <f>'Расходы на ЗП ТОР'!BG53</f>
        <v>156.53674224981279</v>
      </c>
      <c r="O15" s="452" t="str">
        <f t="shared" si="7"/>
        <v>Страховые платежи в ФСС</v>
      </c>
      <c r="P15" s="453">
        <f>'Налоги без ТОР'!B15-'Налоги ТОР'!B15</f>
        <v>0</v>
      </c>
      <c r="Q15" s="454">
        <f>'Налоги без ТОР'!C15-'Налоги ТОР'!C15</f>
        <v>0</v>
      </c>
      <c r="R15" s="454">
        <f>'Налоги без ТОР'!D15-'Налоги ТОР'!D15</f>
        <v>0</v>
      </c>
      <c r="S15" s="454">
        <f>'Налоги без ТОР'!E15-'Налоги ТОР'!E15</f>
        <v>0</v>
      </c>
      <c r="T15" s="454">
        <f>'Налоги без ТОР'!F15-'Налоги ТОР'!F15</f>
        <v>0</v>
      </c>
      <c r="U15" s="454">
        <f>'Налоги без ТОР'!G15-'Налоги ТОР'!G15</f>
        <v>0</v>
      </c>
      <c r="V15" s="454">
        <f>'Налоги без ТОР'!H15-'Налоги ТОР'!H15</f>
        <v>0</v>
      </c>
      <c r="W15" s="454">
        <f>'Налоги без ТОР'!I15-'Налоги ТОР'!I15</f>
        <v>0</v>
      </c>
      <c r="X15" s="454">
        <f>'Налоги без ТОР'!J15-'Налоги ТОР'!J15</f>
        <v>0</v>
      </c>
      <c r="Y15" s="454">
        <f>'Налоги без ТОР'!K15-'Налоги ТОР'!K15</f>
        <v>0</v>
      </c>
      <c r="Z15" s="454">
        <f>'Налоги без ТОР'!L15-'Налоги ТОР'!L15</f>
        <v>9.392204534988764</v>
      </c>
      <c r="AA15" s="453">
        <f t="shared" si="1"/>
        <v>9.392204534988764</v>
      </c>
    </row>
    <row r="16" spans="1:27">
      <c r="A16" s="448" t="s">
        <v>203</v>
      </c>
      <c r="B16" s="449">
        <f>'Расходы ТОР'!B37</f>
        <v>0</v>
      </c>
      <c r="C16" s="449">
        <f>'Расходы ТОР'!C37</f>
        <v>0</v>
      </c>
      <c r="D16" s="449">
        <f>'Расходы ТОР'!D37</f>
        <v>0</v>
      </c>
      <c r="E16" s="449">
        <f>'Расходы ТОР'!E37</f>
        <v>0</v>
      </c>
      <c r="F16" s="449">
        <f>'Расходы ТОР'!F37</f>
        <v>-43704.516033796259</v>
      </c>
      <c r="G16" s="449">
        <f>'Расходы ТОР'!G37</f>
        <v>97269.561561185459</v>
      </c>
      <c r="H16" s="449">
        <f>'Расходы ТОР'!H37</f>
        <v>130595.63633644424</v>
      </c>
      <c r="I16" s="449">
        <f>'Расходы ТОР'!I37</f>
        <v>169946.53585113451</v>
      </c>
      <c r="J16" s="449">
        <f>'Расходы ТОР'!J37</f>
        <v>205742.02904225932</v>
      </c>
      <c r="K16" s="449">
        <f>'Расходы ТОР'!K37</f>
        <v>245172.36291817157</v>
      </c>
      <c r="L16" s="449">
        <f>'Расходы ТОР'!L37</f>
        <v>259659.60515044094</v>
      </c>
      <c r="O16" s="452" t="str">
        <f t="shared" si="7"/>
        <v>НДС:</v>
      </c>
      <c r="P16" s="453">
        <f>'Налоги без ТОР'!B16-'Налоги ТОР'!B16</f>
        <v>0</v>
      </c>
      <c r="Q16" s="453">
        <f>'Налоги без ТОР'!C16-'Налоги ТОР'!C16</f>
        <v>0</v>
      </c>
      <c r="R16" s="453">
        <f>'Налоги без ТОР'!D16-'Налоги ТОР'!D16</f>
        <v>0</v>
      </c>
      <c r="S16" s="453">
        <f>'Налоги без ТОР'!E16-'Налоги ТОР'!E16</f>
        <v>0</v>
      </c>
      <c r="T16" s="453">
        <f>'Налоги без ТОР'!F16-'Налоги ТОР'!F16</f>
        <v>0</v>
      </c>
      <c r="U16" s="453">
        <f>'Налоги без ТОР'!G16-'Налоги ТОР'!G16</f>
        <v>0</v>
      </c>
      <c r="V16" s="453">
        <f>'Налоги без ТОР'!H16-'Налоги ТОР'!H16</f>
        <v>0</v>
      </c>
      <c r="W16" s="453">
        <f>'Налоги без ТОР'!I16-'Налоги ТОР'!I16</f>
        <v>0</v>
      </c>
      <c r="X16" s="453">
        <f>'Налоги без ТОР'!J16-'Налоги ТОР'!J16</f>
        <v>0</v>
      </c>
      <c r="Y16" s="453">
        <f>'Налоги без ТОР'!K16-'Налоги ТОР'!K16</f>
        <v>0</v>
      </c>
      <c r="Z16" s="453">
        <f>'Налоги без ТОР'!L16-'Налоги ТОР'!L16</f>
        <v>0</v>
      </c>
      <c r="AA16" s="453">
        <f t="shared" si="1"/>
        <v>0</v>
      </c>
    </row>
    <row r="17" spans="1:27" ht="28.8">
      <c r="A17" s="159" t="s">
        <v>193</v>
      </c>
      <c r="B17" s="287">
        <f>0.2*'выручка по кв и годам'!D20</f>
        <v>0</v>
      </c>
      <c r="C17" s="288">
        <f>C16</f>
        <v>0</v>
      </c>
      <c r="D17" s="289">
        <f t="shared" ref="D17:L17" si="10">D16</f>
        <v>0</v>
      </c>
      <c r="E17" s="287">
        <f t="shared" si="10"/>
        <v>0</v>
      </c>
      <c r="F17" s="287">
        <f t="shared" si="10"/>
        <v>-43704.516033796259</v>
      </c>
      <c r="G17" s="287">
        <f t="shared" si="10"/>
        <v>97269.561561185459</v>
      </c>
      <c r="H17" s="287">
        <f t="shared" si="10"/>
        <v>130595.63633644424</v>
      </c>
      <c r="I17" s="287">
        <f t="shared" si="10"/>
        <v>169946.53585113451</v>
      </c>
      <c r="J17" s="287">
        <f t="shared" si="10"/>
        <v>205742.02904225932</v>
      </c>
      <c r="K17" s="287">
        <f t="shared" si="10"/>
        <v>245172.36291817157</v>
      </c>
      <c r="L17" s="287">
        <f t="shared" si="10"/>
        <v>259659.60515044094</v>
      </c>
      <c r="O17" s="162" t="str">
        <f t="shared" si="7"/>
        <v>- федеральный бюджет</v>
      </c>
      <c r="P17" s="165">
        <f>'Налоги без ТОР'!B17-'Налоги ТОР'!B17</f>
        <v>0</v>
      </c>
      <c r="Q17" s="165">
        <f>'Налоги без ТОР'!C17-'Налоги ТОР'!C17</f>
        <v>0</v>
      </c>
      <c r="R17" s="165">
        <f>'Налоги без ТОР'!D17-'Налоги ТОР'!D17</f>
        <v>0</v>
      </c>
      <c r="S17" s="165">
        <f>'Налоги без ТОР'!E17-'Налоги ТОР'!E17</f>
        <v>0</v>
      </c>
      <c r="T17" s="165">
        <f>'Налоги без ТОР'!F17-'Налоги ТОР'!F17</f>
        <v>0</v>
      </c>
      <c r="U17" s="165">
        <f>'Налоги без ТОР'!G17-'Налоги ТОР'!G17</f>
        <v>0</v>
      </c>
      <c r="V17" s="165">
        <f>'Налоги без ТОР'!H17-'Налоги ТОР'!H17</f>
        <v>0</v>
      </c>
      <c r="W17" s="165">
        <f>'Налоги без ТОР'!I17-'Налоги ТОР'!I17</f>
        <v>0</v>
      </c>
      <c r="X17" s="165">
        <f>'Налоги без ТОР'!J17-'Налоги ТОР'!J17</f>
        <v>0</v>
      </c>
      <c r="Y17" s="165">
        <f>'Налоги без ТОР'!K17-'Налоги ТОР'!K17</f>
        <v>0</v>
      </c>
      <c r="Z17" s="165">
        <f>'Налоги без ТОР'!L17-'Налоги ТОР'!L17</f>
        <v>0</v>
      </c>
      <c r="AA17" s="165">
        <f t="shared" si="1"/>
        <v>0</v>
      </c>
    </row>
    <row r="18" spans="1:27">
      <c r="A18" s="448" t="s">
        <v>204</v>
      </c>
      <c r="B18" s="451">
        <v>0</v>
      </c>
      <c r="C18" s="451">
        <v>0</v>
      </c>
      <c r="D18" s="451">
        <v>0</v>
      </c>
      <c r="E18" s="451">
        <v>0</v>
      </c>
      <c r="F18" s="451">
        <v>0</v>
      </c>
      <c r="G18" s="451">
        <v>0</v>
      </c>
      <c r="H18" s="451">
        <v>0</v>
      </c>
      <c r="I18" s="451">
        <v>0</v>
      </c>
      <c r="J18" s="451">
        <v>0</v>
      </c>
      <c r="K18" s="451">
        <v>0</v>
      </c>
      <c r="L18" s="451">
        <v>0</v>
      </c>
      <c r="O18" s="452" t="str">
        <f t="shared" si="7"/>
        <v>Земельный налог</v>
      </c>
      <c r="P18" s="453">
        <f>'Налоги без ТОР'!B18-'Налоги ТОР'!B18</f>
        <v>0</v>
      </c>
      <c r="Q18" s="453">
        <f>'Налоги без ТОР'!C18-'Налоги ТОР'!C18</f>
        <v>0</v>
      </c>
      <c r="R18" s="453">
        <f>'Налоги без ТОР'!D18-'Налоги ТОР'!D18</f>
        <v>0</v>
      </c>
      <c r="S18" s="453">
        <f>'Налоги без ТОР'!E18-'Налоги ТОР'!E18</f>
        <v>0</v>
      </c>
      <c r="T18" s="453">
        <f>'Налоги без ТОР'!F18-'Налоги ТОР'!F18</f>
        <v>0</v>
      </c>
      <c r="U18" s="453">
        <f>'Налоги без ТОР'!G18-'Налоги ТОР'!G18</f>
        <v>0</v>
      </c>
      <c r="V18" s="453">
        <f>'Налоги без ТОР'!H18-'Налоги ТОР'!H18</f>
        <v>0</v>
      </c>
      <c r="W18" s="453">
        <f>'Налоги без ТОР'!I18-'Налоги ТОР'!I18</f>
        <v>0</v>
      </c>
      <c r="X18" s="453">
        <f>'Налоги без ТОР'!J18-'Налоги ТОР'!J18</f>
        <v>0</v>
      </c>
      <c r="Y18" s="453">
        <f>'Налоги без ТОР'!K18-'Налоги ТОР'!K18</f>
        <v>0</v>
      </c>
      <c r="Z18" s="453">
        <f>'Налоги без ТОР'!L18-'Налоги ТОР'!L18</f>
        <v>0</v>
      </c>
      <c r="AA18" s="453">
        <f t="shared" si="1"/>
        <v>0</v>
      </c>
    </row>
    <row r="19" spans="1:27" ht="28.8">
      <c r="A19" s="159" t="str">
        <f>A12</f>
        <v>- муниципальный бюджет</v>
      </c>
      <c r="B19" s="287">
        <v>0</v>
      </c>
      <c r="C19" s="287">
        <v>0</v>
      </c>
      <c r="D19" s="287">
        <v>0</v>
      </c>
      <c r="E19" s="287">
        <v>0</v>
      </c>
      <c r="F19" s="287">
        <v>0</v>
      </c>
      <c r="G19" s="287">
        <v>0</v>
      </c>
      <c r="H19" s="287">
        <v>0</v>
      </c>
      <c r="I19" s="287">
        <v>0</v>
      </c>
      <c r="J19" s="287">
        <v>0</v>
      </c>
      <c r="K19" s="287">
        <v>0</v>
      </c>
      <c r="L19" s="287">
        <v>0</v>
      </c>
      <c r="O19" s="162" t="str">
        <f t="shared" si="7"/>
        <v>- муниципальный бюджет</v>
      </c>
      <c r="P19" s="165">
        <f>'Налоги без ТОР'!B19-'Налоги ТОР'!B19</f>
        <v>0</v>
      </c>
      <c r="Q19" s="165">
        <f>'Налоги без ТОР'!C19-'Налоги ТОР'!C19</f>
        <v>0</v>
      </c>
      <c r="R19" s="165">
        <f>'Налоги без ТОР'!D19-'Налоги ТОР'!D19</f>
        <v>0</v>
      </c>
      <c r="S19" s="165">
        <f>'Налоги без ТОР'!E19-'Налоги ТОР'!E19</f>
        <v>0</v>
      </c>
      <c r="T19" s="165">
        <f>'Налоги без ТОР'!F19-'Налоги ТОР'!F19</f>
        <v>0</v>
      </c>
      <c r="U19" s="165">
        <f>'Налоги без ТОР'!G19-'Налоги ТОР'!G19</f>
        <v>0</v>
      </c>
      <c r="V19" s="165">
        <f>'Налоги без ТОР'!H19-'Налоги ТОР'!H19</f>
        <v>0</v>
      </c>
      <c r="W19" s="165">
        <f>'Налоги без ТОР'!I19-'Налоги ТОР'!I19</f>
        <v>0</v>
      </c>
      <c r="X19" s="165">
        <f>'Налоги без ТОР'!J19-'Налоги ТОР'!J19</f>
        <v>0</v>
      </c>
      <c r="Y19" s="165">
        <f>'Налоги без ТОР'!K19-'Налоги ТОР'!K19</f>
        <v>0</v>
      </c>
      <c r="Z19" s="165">
        <f>'Налоги без ТОР'!L19-'Налоги ТОР'!L19</f>
        <v>0</v>
      </c>
      <c r="AA19" s="165">
        <f t="shared" si="1"/>
        <v>0</v>
      </c>
    </row>
    <row r="20" spans="1:27" ht="16.5" customHeight="1">
      <c r="A20" s="455" t="s">
        <v>205</v>
      </c>
      <c r="B20" s="456">
        <f>B4+B17</f>
        <v>0</v>
      </c>
      <c r="C20" s="457">
        <f>C4+C17</f>
        <v>0</v>
      </c>
      <c r="D20" s="458">
        <f>D4+D17</f>
        <v>0</v>
      </c>
      <c r="E20" s="456">
        <f>E4+E17</f>
        <v>0</v>
      </c>
      <c r="F20" s="456">
        <f t="shared" ref="F20:L20" si="11">F4+F17</f>
        <v>-43704.516033796259</v>
      </c>
      <c r="G20" s="456">
        <f t="shared" si="11"/>
        <v>100079.98773084917</v>
      </c>
      <c r="H20" s="456">
        <f t="shared" si="11"/>
        <v>138848.54695819662</v>
      </c>
      <c r="I20" s="456">
        <f t="shared" si="11"/>
        <v>181409.61539770674</v>
      </c>
      <c r="J20" s="456">
        <f t="shared" si="11"/>
        <v>220128.45934321656</v>
      </c>
      <c r="K20" s="456">
        <f t="shared" si="11"/>
        <v>262672.5206794886</v>
      </c>
      <c r="L20" s="456">
        <f t="shared" si="11"/>
        <v>274587.41352902644</v>
      </c>
      <c r="O20" s="461" t="str">
        <f t="shared" si="7"/>
        <v>фб</v>
      </c>
      <c r="P20" s="425">
        <f>'Налоги без ТОР'!B20-'Налоги ТОР'!B20</f>
        <v>0</v>
      </c>
      <c r="Q20" s="425">
        <f>'Налоги без ТОР'!C20-'Налоги ТОР'!C20</f>
        <v>0</v>
      </c>
      <c r="R20" s="425">
        <f>'Налоги без ТОР'!D20-'Налоги ТОР'!D20</f>
        <v>0</v>
      </c>
      <c r="S20" s="425">
        <f>'Налоги без ТОР'!E20-'Налоги ТОР'!E20</f>
        <v>0</v>
      </c>
      <c r="T20" s="425">
        <f>'Налоги без ТОР'!F20-'Налоги ТОР'!F20</f>
        <v>5640.0587642127721</v>
      </c>
      <c r="U20" s="425">
        <f>'Налоги без ТОР'!G20-'Налоги ТОР'!G20</f>
        <v>2811.7358038670354</v>
      </c>
      <c r="V20" s="425">
        <f>'Налоги без ТОР'!H20-'Налоги ТОР'!H20</f>
        <v>0</v>
      </c>
      <c r="W20" s="425">
        <f>'Налоги без ТОР'!I20-'Налоги ТОР'!I20</f>
        <v>0</v>
      </c>
      <c r="X20" s="425">
        <f>'Налоги без ТОР'!J20-'Налоги ТОР'!J20</f>
        <v>0</v>
      </c>
      <c r="Y20" s="425">
        <f>'Налоги без ТОР'!K20-'Налоги ТОР'!K20</f>
        <v>0</v>
      </c>
      <c r="Z20" s="425">
        <f>'Налоги без ТОР'!L20-'Налоги ТОР'!L20</f>
        <v>3731.9154279797222</v>
      </c>
      <c r="AA20" s="425">
        <f>SUM(P20:Z20)</f>
        <v>12183.70999605953</v>
      </c>
    </row>
    <row r="21" spans="1:27" ht="16.5" customHeight="1">
      <c r="A21" s="455" t="s">
        <v>206</v>
      </c>
      <c r="B21" s="456">
        <f>B5+B7+B9+B11</f>
        <v>0</v>
      </c>
      <c r="C21" s="457">
        <f>C5+C7+C9+C11</f>
        <v>0</v>
      </c>
      <c r="D21" s="458">
        <f>D5+D7+D9+D11</f>
        <v>0</v>
      </c>
      <c r="E21" s="456">
        <f>E5+E7+E9+E11</f>
        <v>0</v>
      </c>
      <c r="F21" s="456">
        <f t="shared" ref="F21:L21" si="12">F5+F7+F9+F11</f>
        <v>4316.4747600000001</v>
      </c>
      <c r="G21" s="456">
        <f t="shared" si="12"/>
        <v>20121.760760585224</v>
      </c>
      <c r="H21" s="456">
        <f t="shared" si="12"/>
        <v>52072.877482431213</v>
      </c>
      <c r="I21" s="456">
        <f t="shared" si="12"/>
        <v>68375.912512321331</v>
      </c>
      <c r="J21" s="456">
        <f t="shared" si="12"/>
        <v>83271.22383768062</v>
      </c>
      <c r="K21" s="456">
        <f t="shared" si="12"/>
        <v>99136.892146119892</v>
      </c>
      <c r="L21" s="456">
        <f t="shared" si="12"/>
        <v>145957.04541347115</v>
      </c>
      <c r="O21" s="461" t="str">
        <f t="shared" si="7"/>
        <v>рб</v>
      </c>
      <c r="P21" s="425">
        <f>'Налоги без ТОР'!B21-'Налоги ТОР'!B21</f>
        <v>0</v>
      </c>
      <c r="Q21" s="425">
        <f>'Налоги без ТОР'!C21-'Налоги ТОР'!C21</f>
        <v>0</v>
      </c>
      <c r="R21" s="425">
        <f>'Налоги без ТОР'!D21-'Налоги ТОР'!D21</f>
        <v>0</v>
      </c>
      <c r="S21" s="425">
        <f>'Налоги без ТОР'!E21-'Налоги ТОР'!E21</f>
        <v>4521</v>
      </c>
      <c r="T21" s="425">
        <f>'Налоги без ТОР'!F21-'Налоги ТОР'!F21</f>
        <v>56777.528877914963</v>
      </c>
      <c r="U21" s="425">
        <f>'Налоги без ТОР'!G21-'Налоги ТОР'!G21</f>
        <v>41040.826913458106</v>
      </c>
      <c r="V21" s="425">
        <f>'Налоги без ТОР'!H21-'Налоги ТОР'!H21</f>
        <v>33011.642487009507</v>
      </c>
      <c r="W21" s="425">
        <f>'Налоги без ТОР'!I21-'Налоги ТОР'!I21</f>
        <v>45852.318186288918</v>
      </c>
      <c r="X21" s="425">
        <f>'Налоги без ТОР'!J21-'Налоги ТОР'!J21</f>
        <v>57545.721203828987</v>
      </c>
      <c r="Y21" s="425">
        <f>'Налоги без ТОР'!K21-'Налоги ТОР'!K21</f>
        <v>70000.631045268106</v>
      </c>
      <c r="Z21" s="425">
        <f>'Налоги без ТОР'!L21-'Налоги ТОР'!L21</f>
        <v>33933.18505218951</v>
      </c>
      <c r="AA21" s="425">
        <f t="shared" si="1"/>
        <v>342682.85376595811</v>
      </c>
    </row>
    <row r="22" spans="1:27">
      <c r="A22" s="455" t="s">
        <v>207</v>
      </c>
      <c r="B22" s="456">
        <f>B12</f>
        <v>0</v>
      </c>
      <c r="C22" s="457">
        <f>C12</f>
        <v>0</v>
      </c>
      <c r="D22" s="458">
        <f>D12</f>
        <v>0</v>
      </c>
      <c r="E22" s="456">
        <f>E12</f>
        <v>0</v>
      </c>
      <c r="F22" s="456">
        <f t="shared" ref="F22:L22" si="13">F12</f>
        <v>761.73084000000006</v>
      </c>
      <c r="G22" s="456">
        <f t="shared" si="13"/>
        <v>807.43469040000002</v>
      </c>
      <c r="H22" s="456">
        <f t="shared" si="13"/>
        <v>855.88077182400013</v>
      </c>
      <c r="I22" s="456">
        <f t="shared" si="13"/>
        <v>905.56143166944025</v>
      </c>
      <c r="J22" s="456">
        <f t="shared" si="13"/>
        <v>959.89511756960644</v>
      </c>
      <c r="K22" s="456">
        <f t="shared" si="13"/>
        <v>1017.4888246237832</v>
      </c>
      <c r="L22" s="456">
        <f t="shared" si="13"/>
        <v>1017.4888246237832</v>
      </c>
      <c r="M22" s="166"/>
      <c r="O22" s="461" t="str">
        <f t="shared" si="7"/>
        <v>мб</v>
      </c>
      <c r="P22" s="425">
        <f>'Налоги без ТОР'!B22-'Налоги ТОР'!B22</f>
        <v>0</v>
      </c>
      <c r="Q22" s="425">
        <f>'Налоги без ТОР'!C22-'Налоги ТОР'!C22</f>
        <v>0</v>
      </c>
      <c r="R22" s="425">
        <f>'Налоги без ТОР'!D22-'Налоги ТОР'!D22</f>
        <v>0</v>
      </c>
      <c r="S22" s="425">
        <f>'Налоги без ТОР'!E22-'Налоги ТОР'!E22</f>
        <v>0</v>
      </c>
      <c r="T22" s="425">
        <f>'Налоги без ТОР'!F22-'Налоги ТОР'!F22</f>
        <v>0</v>
      </c>
      <c r="U22" s="425">
        <f>'Налоги без ТОР'!G22-'Налоги ТОР'!G22</f>
        <v>0</v>
      </c>
      <c r="V22" s="425">
        <f>'Налоги без ТОР'!H22-'Налоги ТОР'!H22</f>
        <v>0</v>
      </c>
      <c r="W22" s="425">
        <f>'Налоги без ТОР'!I22-'Налоги ТОР'!I22</f>
        <v>0</v>
      </c>
      <c r="X22" s="425">
        <f>'Налоги без ТОР'!J22-'Налоги ТОР'!J22</f>
        <v>0</v>
      </c>
      <c r="Y22" s="425">
        <f>'Налоги без ТОР'!K22-'Налоги ТОР'!K22</f>
        <v>0</v>
      </c>
      <c r="Z22" s="425">
        <f>'Налоги без ТОР'!L22-'Налоги ТОР'!L22</f>
        <v>61.049329477427023</v>
      </c>
      <c r="AA22" s="425">
        <f t="shared" si="1"/>
        <v>61.049329477427023</v>
      </c>
    </row>
    <row r="23" spans="1:27">
      <c r="A23" s="455" t="s">
        <v>208</v>
      </c>
      <c r="B23" s="456">
        <f>B13+B19</f>
        <v>0</v>
      </c>
      <c r="C23" s="457">
        <f>C13+C19</f>
        <v>0</v>
      </c>
      <c r="D23" s="459">
        <f>D13+D19</f>
        <v>0</v>
      </c>
      <c r="E23" s="460">
        <f t="shared" ref="E23:L23" si="14">E13+E19</f>
        <v>0</v>
      </c>
      <c r="F23" s="460">
        <f t="shared" si="14"/>
        <v>0</v>
      </c>
      <c r="G23" s="460">
        <f t="shared" si="14"/>
        <v>0</v>
      </c>
      <c r="H23" s="460">
        <f t="shared" si="14"/>
        <v>0</v>
      </c>
      <c r="I23" s="460">
        <f t="shared" si="14"/>
        <v>0</v>
      </c>
      <c r="J23" s="460">
        <f t="shared" si="14"/>
        <v>0</v>
      </c>
      <c r="K23" s="460">
        <f t="shared" si="14"/>
        <v>0</v>
      </c>
      <c r="L23" s="460">
        <f t="shared" si="14"/>
        <v>0</v>
      </c>
      <c r="M23" s="167"/>
      <c r="O23" s="462" t="str">
        <f t="shared" si="7"/>
        <v>бп</v>
      </c>
      <c r="P23" s="425">
        <f>'Налоги без ТОР'!B23-'Налоги ТОР'!B23</f>
        <v>0</v>
      </c>
      <c r="Q23" s="425">
        <f>'Налоги без ТОР'!C23-'Налоги ТОР'!C23</f>
        <v>0</v>
      </c>
      <c r="R23" s="425">
        <f>'Налоги без ТОР'!D23-'Налоги ТОР'!D23</f>
        <v>0</v>
      </c>
      <c r="S23" s="425">
        <f>'Налоги без ТОР'!E23-'Налоги ТОР'!E23</f>
        <v>0</v>
      </c>
      <c r="T23" s="425">
        <f>'Налоги без ТОР'!F23-'Налоги ТОР'!F23</f>
        <v>0</v>
      </c>
      <c r="U23" s="425">
        <f>'Налоги без ТОР'!G23-'Налоги ТОР'!G23</f>
        <v>0</v>
      </c>
      <c r="V23" s="425">
        <f>'Налоги без ТОР'!H23-'Налоги ТОР'!H23</f>
        <v>0</v>
      </c>
      <c r="W23" s="425">
        <f>'Налоги без ТОР'!I23-'Налоги ТОР'!I23</f>
        <v>0</v>
      </c>
      <c r="X23" s="425">
        <f>'Налоги без ТОР'!J23-'Налоги ТОР'!J23</f>
        <v>0</v>
      </c>
      <c r="Y23" s="425">
        <f>'Налоги без ТОР'!K23-'Налоги ТОР'!K23</f>
        <v>0</v>
      </c>
      <c r="Z23" s="425">
        <f>'Налоги без ТОР'!L23-'Налоги ТОР'!L23</f>
        <v>0</v>
      </c>
      <c r="AA23" s="425">
        <f t="shared" si="1"/>
        <v>0</v>
      </c>
    </row>
    <row r="24" spans="1:27" ht="28.8">
      <c r="A24" s="164" t="s">
        <v>209</v>
      </c>
      <c r="B24" s="285">
        <f>'Расходы ТОР'!B25</f>
        <v>2.7192781665000001</v>
      </c>
      <c r="C24" s="285">
        <f>'Расходы ТОР'!C25</f>
        <v>5.4385563330000002</v>
      </c>
      <c r="D24" s="285">
        <f>'Расходы ТОР'!D25</f>
        <v>5.4385563330000002</v>
      </c>
      <c r="E24" s="285">
        <f>'Расходы ТОР'!E25</f>
        <v>5.4385563330000002</v>
      </c>
      <c r="F24" s="285">
        <f>'Расходы ТОР'!F25</f>
        <v>5.4385563330000002</v>
      </c>
      <c r="G24" s="285">
        <f>'Расходы ТОР'!G25</f>
        <v>5.4385563330000002</v>
      </c>
      <c r="H24" s="285">
        <f>'Расходы ТОР'!H25</f>
        <v>5.4385563330000002</v>
      </c>
      <c r="I24" s="285">
        <f>'Расходы ТОР'!I25</f>
        <v>5.4385563330000002</v>
      </c>
      <c r="J24" s="285">
        <f>'Расходы ТОР'!J25</f>
        <v>5.4385563330000002</v>
      </c>
      <c r="K24" s="285">
        <f>'Расходы ТОР'!K25</f>
        <v>5.4385563330000002</v>
      </c>
      <c r="L24" s="285">
        <f>'Расходы ТОР'!L25</f>
        <v>5.4385563330000002</v>
      </c>
      <c r="AA24" s="168">
        <f>SUM(AA20:AA23)</f>
        <v>354927.61309149506</v>
      </c>
    </row>
    <row r="25" spans="1:27">
      <c r="A25" s="428"/>
      <c r="B25" s="427" t="str">
        <f>B2</f>
        <v>1 год</v>
      </c>
      <c r="C25" s="429" t="str">
        <f>C2</f>
        <v>2 год</v>
      </c>
      <c r="D25" s="429" t="str">
        <f t="shared" ref="D25:L25" si="15">D2</f>
        <v>3 год</v>
      </c>
      <c r="E25" s="429" t="str">
        <f t="shared" si="15"/>
        <v>4 год</v>
      </c>
      <c r="F25" s="429" t="str">
        <f t="shared" si="15"/>
        <v>5 год</v>
      </c>
      <c r="G25" s="429" t="str">
        <f t="shared" si="15"/>
        <v>6 год</v>
      </c>
      <c r="H25" s="429" t="str">
        <f t="shared" si="15"/>
        <v>7 год</v>
      </c>
      <c r="I25" s="429" t="str">
        <f t="shared" si="15"/>
        <v>8 год</v>
      </c>
      <c r="J25" s="429" t="str">
        <f t="shared" si="15"/>
        <v>9 год</v>
      </c>
      <c r="K25" s="429" t="str">
        <f t="shared" si="15"/>
        <v>10 год</v>
      </c>
      <c r="L25" s="429" t="str">
        <f t="shared" si="15"/>
        <v>11 год</v>
      </c>
    </row>
    <row r="26" spans="1:27">
      <c r="A26" s="430" t="s">
        <v>210</v>
      </c>
      <c r="C26" s="61">
        <v>0</v>
      </c>
      <c r="D26" s="6">
        <f t="shared" ref="D26:D28" si="16">D20/1000</f>
        <v>0</v>
      </c>
      <c r="E26" s="6">
        <f t="shared" ref="E26:L28" si="17">E20/1000</f>
        <v>0</v>
      </c>
      <c r="F26" s="6">
        <f t="shared" si="17"/>
        <v>-43.70451603379626</v>
      </c>
      <c r="G26" s="6">
        <f t="shared" si="17"/>
        <v>100.07998773084917</v>
      </c>
      <c r="H26" s="6">
        <f t="shared" si="17"/>
        <v>138.84854695819661</v>
      </c>
      <c r="I26" s="6">
        <f t="shared" si="17"/>
        <v>181.40961539770674</v>
      </c>
      <c r="J26" s="6">
        <f t="shared" si="17"/>
        <v>220.12845934321655</v>
      </c>
      <c r="K26" s="6">
        <f t="shared" si="17"/>
        <v>262.67252067948863</v>
      </c>
      <c r="L26" s="6">
        <f t="shared" si="17"/>
        <v>274.58741352902643</v>
      </c>
    </row>
    <row r="27" spans="1:27">
      <c r="A27" s="423" t="s">
        <v>211</v>
      </c>
      <c r="C27" s="61">
        <v>0</v>
      </c>
      <c r="D27" s="6">
        <f t="shared" si="16"/>
        <v>0</v>
      </c>
      <c r="E27" s="6">
        <f t="shared" si="17"/>
        <v>0</v>
      </c>
      <c r="F27" s="6">
        <f t="shared" si="17"/>
        <v>4.3164747600000002</v>
      </c>
      <c r="G27" s="6">
        <f t="shared" si="17"/>
        <v>20.121760760585225</v>
      </c>
      <c r="H27" s="6">
        <f t="shared" si="17"/>
        <v>52.07287748243121</v>
      </c>
      <c r="I27" s="6">
        <f t="shared" si="17"/>
        <v>68.375912512321335</v>
      </c>
      <c r="J27" s="6">
        <f t="shared" si="17"/>
        <v>83.271223837680623</v>
      </c>
      <c r="K27" s="6">
        <f t="shared" si="17"/>
        <v>99.136892146119891</v>
      </c>
      <c r="L27" s="6">
        <f t="shared" si="17"/>
        <v>145.95704541347115</v>
      </c>
    </row>
    <row r="28" spans="1:27">
      <c r="A28" s="423" t="s">
        <v>212</v>
      </c>
      <c r="C28" s="61">
        <v>0</v>
      </c>
      <c r="D28" s="169">
        <f t="shared" si="16"/>
        <v>0</v>
      </c>
      <c r="E28" s="169">
        <f t="shared" si="17"/>
        <v>0</v>
      </c>
      <c r="F28" s="169">
        <f t="shared" si="17"/>
        <v>0.76173084000000002</v>
      </c>
      <c r="G28" s="169">
        <f t="shared" si="17"/>
        <v>0.80743469040000004</v>
      </c>
      <c r="H28" s="169">
        <f t="shared" si="17"/>
        <v>0.85588077182400013</v>
      </c>
      <c r="I28" s="169">
        <f t="shared" si="17"/>
        <v>0.90556143166944025</v>
      </c>
      <c r="J28" s="169">
        <f t="shared" si="17"/>
        <v>0.95989511756960644</v>
      </c>
      <c r="K28" s="169">
        <f t="shared" si="17"/>
        <v>1.0174888246237832</v>
      </c>
      <c r="L28" s="169">
        <f t="shared" si="17"/>
        <v>1.0174888246237832</v>
      </c>
    </row>
    <row r="29" spans="1:27">
      <c r="A29" s="423" t="s">
        <v>389</v>
      </c>
      <c r="C29" s="61">
        <v>0</v>
      </c>
      <c r="D29" s="170">
        <f>(D14+D15)/1000</f>
        <v>0</v>
      </c>
      <c r="E29" s="170">
        <f t="shared" ref="E29:L29" si="18">(E14+E15)/1000</f>
        <v>0</v>
      </c>
      <c r="F29" s="170">
        <f t="shared" si="18"/>
        <v>11.836125360000002</v>
      </c>
      <c r="G29" s="170">
        <f t="shared" si="18"/>
        <v>12.546292881599999</v>
      </c>
      <c r="H29" s="170">
        <f t="shared" si="18"/>
        <v>13.299070454495999</v>
      </c>
      <c r="I29" s="170">
        <f t="shared" si="18"/>
        <v>14.071031476709763</v>
      </c>
      <c r="J29" s="170">
        <f t="shared" si="18"/>
        <v>14.915293365312348</v>
      </c>
      <c r="K29" s="170">
        <f t="shared" si="18"/>
        <v>15.810210967231091</v>
      </c>
      <c r="L29" s="170">
        <f t="shared" si="18"/>
        <v>15.810210967231091</v>
      </c>
    </row>
    <row r="30" spans="1:27">
      <c r="A30" s="423" t="s">
        <v>21</v>
      </c>
      <c r="C30" s="161">
        <f>SUM(C26:C29)</f>
        <v>0</v>
      </c>
      <c r="D30" s="161">
        <f t="shared" ref="D30:L30" si="19">SUM(D26:D29)</f>
        <v>0</v>
      </c>
      <c r="E30" s="161">
        <f t="shared" si="19"/>
        <v>0</v>
      </c>
      <c r="F30" s="161">
        <f t="shared" si="19"/>
        <v>-26.790185073796259</v>
      </c>
      <c r="G30" s="161">
        <f t="shared" si="19"/>
        <v>133.55547606343438</v>
      </c>
      <c r="H30" s="161">
        <f t="shared" si="19"/>
        <v>205.0763756669478</v>
      </c>
      <c r="I30" s="161">
        <f t="shared" si="19"/>
        <v>264.76212081840725</v>
      </c>
      <c r="J30" s="161">
        <f t="shared" si="19"/>
        <v>319.27487166377909</v>
      </c>
      <c r="K30" s="161">
        <f t="shared" si="19"/>
        <v>378.63711261746346</v>
      </c>
      <c r="L30" s="161">
        <f t="shared" si="19"/>
        <v>437.37215873435252</v>
      </c>
    </row>
    <row r="32" spans="1:27">
      <c r="A32" s="152"/>
      <c r="B32" s="427" t="str">
        <f>B25</f>
        <v>1 год</v>
      </c>
      <c r="C32" s="427" t="str">
        <f t="shared" ref="C32:L32" si="20">C25</f>
        <v>2 год</v>
      </c>
      <c r="D32" s="427" t="str">
        <f t="shared" si="20"/>
        <v>3 год</v>
      </c>
      <c r="E32" s="427" t="str">
        <f t="shared" si="20"/>
        <v>4 год</v>
      </c>
      <c r="F32" s="427" t="str">
        <f t="shared" si="20"/>
        <v>5 год</v>
      </c>
      <c r="G32" s="427" t="str">
        <f t="shared" si="20"/>
        <v>6 год</v>
      </c>
      <c r="H32" s="427" t="str">
        <f t="shared" si="20"/>
        <v>7 год</v>
      </c>
      <c r="I32" s="427" t="str">
        <f t="shared" si="20"/>
        <v>8 год</v>
      </c>
      <c r="J32" s="427" t="str">
        <f t="shared" si="20"/>
        <v>9 год</v>
      </c>
      <c r="K32" s="427" t="str">
        <f t="shared" si="20"/>
        <v>10 год</v>
      </c>
      <c r="L32" s="427" t="str">
        <f t="shared" si="20"/>
        <v>11 год</v>
      </c>
    </row>
    <row r="33" spans="1:26">
      <c r="A33" s="635" t="s">
        <v>457</v>
      </c>
      <c r="J33" s="170"/>
      <c r="M33" s="171"/>
      <c r="S33" s="170"/>
      <c r="T33" s="170"/>
      <c r="U33" s="170"/>
      <c r="V33" s="170"/>
      <c r="W33" s="170"/>
      <c r="X33" s="170"/>
      <c r="Y33" s="170"/>
      <c r="Z33" s="170"/>
    </row>
    <row r="34" spans="1:26" ht="15.6">
      <c r="A34" s="636" t="s">
        <v>458</v>
      </c>
      <c r="B34" s="173"/>
      <c r="C34" s="173"/>
      <c r="D34" s="173"/>
      <c r="E34" s="173"/>
      <c r="F34" s="173"/>
      <c r="G34" s="173"/>
      <c r="H34" s="173"/>
      <c r="I34" s="173"/>
      <c r="J34" s="173"/>
      <c r="K34" s="173"/>
      <c r="L34" s="173"/>
      <c r="M34" s="174"/>
      <c r="S34" s="170"/>
      <c r="T34" s="170"/>
      <c r="U34" s="170"/>
      <c r="V34" s="170"/>
      <c r="W34" s="170"/>
      <c r="X34" s="170"/>
      <c r="Y34" s="170"/>
      <c r="Z34" s="170"/>
    </row>
    <row r="35" spans="1:26" ht="15.6">
      <c r="A35" s="637" t="s">
        <v>459</v>
      </c>
      <c r="B35" s="176"/>
      <c r="C35" s="176"/>
      <c r="D35" s="176"/>
      <c r="E35" s="176"/>
      <c r="F35" s="176"/>
      <c r="G35" s="176"/>
      <c r="H35" s="176"/>
      <c r="I35" s="176"/>
      <c r="J35" s="176"/>
      <c r="K35" s="176"/>
      <c r="L35" s="176"/>
      <c r="M35" s="174"/>
    </row>
    <row r="36" spans="1:26" ht="15.6">
      <c r="A36" s="172"/>
      <c r="B36" s="176"/>
      <c r="C36" s="176"/>
      <c r="D36" s="176"/>
      <c r="E36" s="176"/>
      <c r="F36" s="176"/>
      <c r="G36" s="176"/>
      <c r="H36" s="176"/>
      <c r="I36" s="176"/>
      <c r="J36" s="176"/>
      <c r="K36" s="176"/>
      <c r="L36" s="176"/>
      <c r="M36" s="174"/>
    </row>
    <row r="37" spans="1:26" ht="15.6">
      <c r="A37" s="175"/>
      <c r="B37" s="176"/>
      <c r="C37" s="176"/>
      <c r="D37" s="176"/>
      <c r="E37" s="176"/>
      <c r="F37" s="176"/>
      <c r="G37" s="176"/>
      <c r="H37" s="176"/>
      <c r="I37" s="176"/>
      <c r="J37" s="176"/>
      <c r="K37" s="176"/>
      <c r="L37" s="176"/>
      <c r="M37" s="60"/>
    </row>
    <row r="38" spans="1:26" ht="15.6">
      <c r="A38" s="172"/>
      <c r="B38" s="172"/>
      <c r="C38" s="177"/>
      <c r="D38" s="177"/>
      <c r="E38" s="177"/>
      <c r="F38" s="177"/>
      <c r="G38" s="176"/>
      <c r="H38" s="176"/>
      <c r="I38" s="176"/>
      <c r="J38" s="176"/>
      <c r="K38" s="176"/>
      <c r="L38" s="176"/>
      <c r="M38" s="60"/>
      <c r="Q38" s="170"/>
    </row>
    <row r="39" spans="1:26" ht="15.6">
      <c r="A39" s="172"/>
      <c r="B39" s="172"/>
      <c r="C39" s="177"/>
      <c r="D39" s="177"/>
      <c r="E39" s="177"/>
      <c r="F39" s="177"/>
      <c r="G39" s="176"/>
      <c r="H39" s="176"/>
      <c r="I39" s="176"/>
      <c r="J39" s="176"/>
      <c r="K39" s="176"/>
      <c r="L39" s="176"/>
      <c r="M39" s="60"/>
    </row>
    <row r="40" spans="1:26" ht="15.6">
      <c r="A40" s="175"/>
      <c r="B40" s="172"/>
      <c r="C40" s="176"/>
      <c r="D40" s="176"/>
      <c r="E40" s="176"/>
      <c r="F40" s="176"/>
      <c r="G40" s="176"/>
      <c r="H40" s="176"/>
      <c r="I40" s="176"/>
      <c r="J40" s="176"/>
      <c r="K40" s="176"/>
      <c r="L40" s="176"/>
      <c r="M40" s="60"/>
    </row>
    <row r="41" spans="1:26" ht="15.6">
      <c r="A41" s="172"/>
      <c r="B41" s="172"/>
      <c r="C41" s="176"/>
      <c r="D41" s="176"/>
      <c r="E41" s="176"/>
      <c r="F41" s="176"/>
      <c r="G41" s="176"/>
      <c r="H41" s="176"/>
      <c r="I41" s="176"/>
      <c r="J41" s="176"/>
      <c r="K41" s="176"/>
      <c r="L41" s="176"/>
      <c r="M41" s="60"/>
    </row>
    <row r="42" spans="1:26" ht="15.6">
      <c r="A42" s="175"/>
      <c r="B42" s="172"/>
      <c r="C42" s="176"/>
      <c r="D42" s="176"/>
      <c r="E42" s="176"/>
      <c r="F42" s="176"/>
      <c r="G42" s="176"/>
      <c r="H42" s="176"/>
      <c r="I42" s="176"/>
      <c r="J42" s="176"/>
      <c r="K42" s="176"/>
      <c r="L42" s="176"/>
      <c r="M42" s="60"/>
    </row>
    <row r="43" spans="1:26" ht="15.6">
      <c r="A43" s="172"/>
      <c r="B43" s="172"/>
      <c r="C43" s="176"/>
      <c r="D43" s="176"/>
      <c r="E43" s="176"/>
      <c r="F43" s="176"/>
      <c r="G43" s="176"/>
      <c r="H43" s="176"/>
      <c r="I43" s="176"/>
      <c r="J43" s="176"/>
      <c r="K43" s="176"/>
      <c r="L43" s="176"/>
      <c r="M43" s="60"/>
    </row>
    <row r="44" spans="1:26" ht="15.6">
      <c r="A44" s="175"/>
      <c r="B44" s="172"/>
      <c r="C44" s="176"/>
      <c r="D44" s="176"/>
      <c r="E44" s="176"/>
      <c r="F44" s="176"/>
      <c r="G44" s="176"/>
      <c r="H44" s="176"/>
      <c r="I44" s="176"/>
      <c r="J44" s="176"/>
      <c r="K44" s="176"/>
      <c r="L44" s="176"/>
      <c r="M44" s="60"/>
    </row>
    <row r="45" spans="1:26" ht="15.6">
      <c r="A45" s="172"/>
      <c r="B45" s="172"/>
      <c r="C45" s="176"/>
      <c r="D45" s="176"/>
      <c r="E45" s="176"/>
      <c r="F45" s="176"/>
      <c r="G45" s="176"/>
      <c r="H45" s="176"/>
      <c r="I45" s="176"/>
      <c r="J45" s="176"/>
      <c r="K45" s="176"/>
      <c r="L45" s="176"/>
      <c r="M45" s="60"/>
    </row>
    <row r="46" spans="1:26" ht="15.6">
      <c r="A46" s="175"/>
      <c r="B46" s="172"/>
      <c r="C46" s="176"/>
      <c r="D46" s="176"/>
      <c r="E46" s="176"/>
      <c r="F46" s="176"/>
      <c r="G46" s="176"/>
      <c r="H46" s="176"/>
      <c r="I46" s="176"/>
      <c r="J46" s="176"/>
      <c r="K46" s="176"/>
      <c r="L46" s="176"/>
      <c r="M46" s="60"/>
    </row>
    <row r="47" spans="1:26" ht="15.6">
      <c r="A47" s="172"/>
      <c r="B47" s="172"/>
      <c r="C47" s="176"/>
      <c r="D47" s="176"/>
      <c r="E47" s="176"/>
      <c r="F47" s="176"/>
      <c r="G47" s="176"/>
      <c r="H47" s="176"/>
      <c r="I47" s="176"/>
      <c r="J47" s="176"/>
      <c r="K47" s="176"/>
      <c r="L47" s="176"/>
      <c r="M47" s="60"/>
    </row>
    <row r="48" spans="1:26" ht="15.6">
      <c r="A48" s="172"/>
      <c r="B48" s="172"/>
      <c r="C48" s="176"/>
      <c r="D48" s="176"/>
      <c r="E48" s="176"/>
      <c r="F48" s="176"/>
      <c r="G48" s="176"/>
      <c r="H48" s="176"/>
      <c r="I48" s="176"/>
      <c r="J48" s="176"/>
      <c r="K48" s="176"/>
      <c r="L48" s="176"/>
      <c r="M48" s="60"/>
    </row>
    <row r="49" spans="1:13" ht="15.6">
      <c r="A49" s="175"/>
      <c r="B49" s="172"/>
      <c r="C49" s="176"/>
      <c r="D49" s="176"/>
      <c r="E49" s="176"/>
      <c r="F49" s="176"/>
      <c r="G49" s="176"/>
      <c r="H49" s="176"/>
      <c r="I49" s="176"/>
      <c r="J49" s="176"/>
      <c r="K49" s="176"/>
      <c r="L49" s="176"/>
      <c r="M49" s="60"/>
    </row>
    <row r="50" spans="1:13" ht="15.6">
      <c r="A50" s="172"/>
      <c r="B50" s="172"/>
      <c r="C50" s="176"/>
      <c r="D50" s="178"/>
      <c r="E50" s="178"/>
      <c r="F50" s="178"/>
      <c r="G50" s="178"/>
      <c r="H50" s="178"/>
      <c r="I50" s="178"/>
      <c r="J50" s="178"/>
      <c r="K50" s="178"/>
      <c r="L50" s="178"/>
      <c r="M50" s="60"/>
    </row>
    <row r="51" spans="1:13" ht="15.6">
      <c r="A51" s="172"/>
      <c r="B51" s="172"/>
      <c r="C51" s="176"/>
      <c r="D51" s="178"/>
      <c r="E51" s="178"/>
      <c r="F51" s="178"/>
      <c r="G51" s="178"/>
      <c r="H51" s="178"/>
      <c r="I51" s="178"/>
      <c r="J51" s="178"/>
      <c r="K51" s="178"/>
      <c r="L51" s="178"/>
      <c r="M51" s="60"/>
    </row>
    <row r="52" spans="1:13" ht="15.6">
      <c r="A52" s="172"/>
      <c r="B52" s="172"/>
      <c r="C52" s="176"/>
      <c r="D52" s="178"/>
      <c r="E52" s="178"/>
      <c r="F52" s="178"/>
      <c r="G52" s="178"/>
      <c r="H52" s="178"/>
      <c r="I52" s="178"/>
      <c r="J52" s="178"/>
      <c r="K52" s="178"/>
      <c r="L52" s="178"/>
      <c r="M52" s="60"/>
    </row>
    <row r="53" spans="1:13" ht="15.6">
      <c r="A53" s="175"/>
      <c r="B53" s="172"/>
      <c r="C53" s="176"/>
      <c r="D53" s="176"/>
      <c r="E53" s="176"/>
      <c r="F53" s="176"/>
      <c r="G53" s="176"/>
      <c r="H53" s="176"/>
      <c r="I53" s="176"/>
      <c r="J53" s="176"/>
      <c r="K53" s="176"/>
      <c r="L53" s="176"/>
      <c r="M53" s="60"/>
    </row>
    <row r="54" spans="1:13" ht="15.6">
      <c r="A54" s="175"/>
      <c r="B54" s="175"/>
      <c r="C54" s="179"/>
      <c r="D54" s="68"/>
      <c r="E54" s="68"/>
      <c r="F54" s="68"/>
      <c r="G54" s="68"/>
      <c r="H54" s="68"/>
      <c r="I54" s="68"/>
      <c r="J54" s="68"/>
      <c r="K54" s="68"/>
      <c r="L54" s="68"/>
      <c r="M54" s="60"/>
    </row>
    <row r="55" spans="1:13">
      <c r="A55" s="64"/>
      <c r="B55" s="64"/>
      <c r="C55" s="64"/>
      <c r="D55" s="60"/>
      <c r="E55" s="60"/>
      <c r="F55" s="60"/>
      <c r="G55" s="60"/>
      <c r="H55" s="60"/>
      <c r="I55" s="60"/>
      <c r="J55" s="60"/>
      <c r="K55" s="60"/>
      <c r="L55" s="60"/>
      <c r="M55" s="180"/>
    </row>
    <row r="56" spans="1:13">
      <c r="A56" s="64"/>
      <c r="B56" s="64"/>
      <c r="C56" s="64"/>
      <c r="D56" s="64"/>
      <c r="E56" s="64"/>
      <c r="F56" s="64"/>
      <c r="G56" s="64"/>
      <c r="H56" s="64"/>
      <c r="I56" s="64"/>
      <c r="J56" s="64"/>
      <c r="K56" s="64"/>
      <c r="L56" s="64"/>
      <c r="M56" s="60"/>
    </row>
    <row r="57" spans="1:13">
      <c r="A57" s="64"/>
      <c r="B57" s="64"/>
      <c r="C57" s="64"/>
      <c r="D57" s="64"/>
      <c r="E57" s="64"/>
      <c r="F57" s="64"/>
      <c r="G57" s="64"/>
      <c r="H57" s="64"/>
      <c r="I57" s="64"/>
      <c r="J57" s="64"/>
      <c r="K57" s="64"/>
      <c r="L57" s="64"/>
      <c r="M57" s="60"/>
    </row>
    <row r="58" spans="1:13">
      <c r="A58" s="64"/>
      <c r="B58" s="64"/>
      <c r="C58" s="64"/>
      <c r="D58" s="64"/>
      <c r="E58" s="64"/>
      <c r="F58" s="64"/>
      <c r="G58" s="64"/>
      <c r="H58" s="64"/>
      <c r="I58" s="64"/>
      <c r="J58" s="64"/>
      <c r="K58" s="64"/>
      <c r="L58" s="64"/>
      <c r="M58" s="60"/>
    </row>
    <row r="59" spans="1:13">
      <c r="A59" s="64"/>
      <c r="B59" s="64"/>
      <c r="C59" s="64"/>
      <c r="D59" s="64"/>
      <c r="E59" s="64"/>
      <c r="F59" s="64"/>
      <c r="G59" s="64"/>
      <c r="H59" s="64"/>
      <c r="I59" s="64"/>
      <c r="J59" s="64"/>
      <c r="K59" s="64"/>
      <c r="L59" s="64"/>
      <c r="M59" s="60"/>
    </row>
  </sheetData>
  <mergeCells count="1">
    <mergeCell ref="A1:L1"/>
  </mergeCells>
  <phoneticPr fontId="45" type="noConversion"/>
  <pageMargins left="0.7" right="0.7" top="0.75" bottom="0.75" header="0.3" footer="0.3"/>
  <pageSetup paperSize="9" firstPageNumber="2147483648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T67"/>
  <sheetViews>
    <sheetView topLeftCell="A19" zoomScale="50" zoomScaleNormal="50" workbookViewId="0">
      <selection activeCell="B29" sqref="B29"/>
    </sheetView>
  </sheetViews>
  <sheetFormatPr defaultRowHeight="14.4"/>
  <cols>
    <col min="1" max="1" width="19" style="61" customWidth="1"/>
    <col min="2" max="2" width="12" style="61" customWidth="1"/>
    <col min="3" max="3" width="14.33203125" customWidth="1"/>
    <col min="4" max="5" width="16.33203125" customWidth="1"/>
    <col min="6" max="6" width="15.33203125" customWidth="1"/>
    <col min="7" max="7" width="15.88671875" customWidth="1"/>
    <col min="8" max="8" width="16" customWidth="1"/>
    <col min="9" max="10" width="17.6640625" customWidth="1"/>
    <col min="11" max="11" width="15.5546875" customWidth="1"/>
    <col min="12" max="12" width="15.88671875" customWidth="1"/>
    <col min="13" max="13" width="17.6640625" customWidth="1"/>
    <col min="14" max="14" width="17.44140625" customWidth="1"/>
    <col min="15" max="15" width="16.88671875" customWidth="1"/>
    <col min="16" max="16" width="23.44140625" customWidth="1"/>
    <col min="17" max="17" width="17.33203125" customWidth="1"/>
    <col min="18" max="18" width="19.5546875" customWidth="1"/>
    <col min="19" max="19" width="16.88671875" customWidth="1"/>
    <col min="20" max="20" width="14.44140625" customWidth="1"/>
    <col min="21" max="21" width="14.6640625" customWidth="1"/>
    <col min="22" max="22" width="13.88671875" customWidth="1"/>
    <col min="23" max="23" width="17.88671875" customWidth="1"/>
    <col min="24" max="24" width="10.44140625" customWidth="1"/>
    <col min="25" max="25" width="12.44140625" customWidth="1"/>
    <col min="26" max="26" width="14.6640625" customWidth="1"/>
  </cols>
  <sheetData>
    <row r="1" spans="1:20" ht="25.8">
      <c r="A1" s="181" t="s">
        <v>213</v>
      </c>
      <c r="B1" s="290"/>
      <c r="C1" s="290"/>
      <c r="D1" s="290"/>
      <c r="E1" s="290"/>
      <c r="F1" s="290"/>
      <c r="G1" s="290"/>
      <c r="H1" s="291"/>
      <c r="J1" s="64"/>
      <c r="K1" s="64"/>
      <c r="L1" s="179"/>
      <c r="M1" s="706"/>
      <c r="N1" s="706"/>
      <c r="O1" s="706"/>
    </row>
    <row r="2" spans="1:20">
      <c r="A2" s="434"/>
      <c r="B2" s="434" t="str">
        <f>'Налоги ТОР'!B2</f>
        <v>1 год</v>
      </c>
      <c r="C2" s="434" t="str">
        <f>'Налоги ТОР'!C2</f>
        <v>2 год</v>
      </c>
      <c r="D2" s="434" t="str">
        <f>'Налоги ТОР'!D2</f>
        <v>3 год</v>
      </c>
      <c r="E2" s="434" t="str">
        <f>'Налоги ТОР'!E2</f>
        <v>4 год</v>
      </c>
      <c r="F2" s="434" t="str">
        <f>'Налоги ТОР'!F2</f>
        <v>5 год</v>
      </c>
      <c r="G2" s="434" t="str">
        <f>'Налоги ТОР'!G2</f>
        <v>6 год</v>
      </c>
      <c r="H2" s="434" t="str">
        <f>'Налоги ТОР'!H2</f>
        <v>7 год</v>
      </c>
      <c r="I2" s="434" t="str">
        <f>'Налоги ТОР'!I2</f>
        <v>8 год</v>
      </c>
      <c r="J2" s="434" t="str">
        <f>'Налоги ТОР'!J2</f>
        <v>9 год</v>
      </c>
      <c r="K2" s="434" t="str">
        <f>'Налоги ТОР'!K2</f>
        <v>10 год</v>
      </c>
      <c r="L2" s="434" t="str">
        <f>'Налоги ТОР'!L2</f>
        <v>11 год</v>
      </c>
      <c r="M2" s="707"/>
      <c r="N2" s="707"/>
      <c r="O2" s="707"/>
      <c r="P2" s="435"/>
      <c r="Q2" s="436" t="s">
        <v>214</v>
      </c>
      <c r="R2" s="437"/>
      <c r="S2" s="436" t="s">
        <v>214</v>
      </c>
      <c r="T2" s="438"/>
    </row>
    <row r="3" spans="1:20">
      <c r="A3" s="183" t="s">
        <v>192</v>
      </c>
      <c r="B3" s="183">
        <f>IF('Фин результат ТОР'!B24&lt;0, 0, 0.2*'Фин результат ТОР'!B24)</f>
        <v>0</v>
      </c>
      <c r="C3" s="183">
        <f>IF('Фин результат ТОР'!C24&lt;0, 0, 0.2*'Фин результат ТОР'!C24)</f>
        <v>0</v>
      </c>
      <c r="D3" s="183">
        <f>IF('Фин результат ТОР'!D24&lt;0, 0, 0.2*'Фин результат ТОР'!D24)</f>
        <v>0</v>
      </c>
      <c r="E3" s="183">
        <f>IF('Фин результат ТОР'!E24&lt;0, 0, 0.2*'Фин результат ТОР'!E24)</f>
        <v>0</v>
      </c>
      <c r="F3" s="183">
        <f>IF('Фин результат ТОР'!F24&lt;0, 0, 0.2*'Фин результат ТОР'!F24)</f>
        <v>56400.587642127735</v>
      </c>
      <c r="G3" s="183">
        <f>IF('Фин результат ТОР'!G24&lt;0, 0, 0.2*'Фин результат ТОР'!G24)</f>
        <v>56221.619735307402</v>
      </c>
      <c r="H3" s="183">
        <f>IF('Фин результат ТОР'!H24&lt;0, 0, 0.2*'Фин результат ТОР'!H24)</f>
        <v>82529.10621752376</v>
      </c>
      <c r="I3" s="183">
        <f>IF('Фин результат ТОР'!I24&lt;0, 0, 0.2*'Фин результат ТОР'!I24)</f>
        <v>114630.79546572232</v>
      </c>
      <c r="J3" s="183">
        <f>IF('Фин результат ТОР'!J24&lt;0, 0, 0.2*'Фин результат ТОР'!J24)</f>
        <v>143864.30300957238</v>
      </c>
      <c r="K3" s="183">
        <f>IF('Фин результат ТОР'!K24&lt;0, 0, 0.2*'Фин результат ТОР'!K24)</f>
        <v>175001.57761317026</v>
      </c>
      <c r="L3" s="183">
        <f>IF('Фин результат ТОР'!L24&lt;0, 0, 0.2*'Фин результат ТОР'!L24)</f>
        <v>186597.23806565237</v>
      </c>
      <c r="M3" s="706"/>
      <c r="N3" s="706"/>
      <c r="O3" s="706"/>
      <c r="P3" s="185" t="str">
        <f>A3</f>
        <v>Налог на прибыль:</v>
      </c>
      <c r="Q3" s="185">
        <f>SUM(B3:K3)</f>
        <v>628647.98968342389</v>
      </c>
      <c r="R3" s="7"/>
      <c r="S3" s="185" t="s">
        <v>205</v>
      </c>
      <c r="T3" s="186">
        <f>Q4+Q17</f>
        <v>867886.40864374116</v>
      </c>
    </row>
    <row r="4" spans="1:20" ht="28.8">
      <c r="A4" s="183" t="s">
        <v>193</v>
      </c>
      <c r="B4" s="183">
        <f>B3*2/20</f>
        <v>0</v>
      </c>
      <c r="C4" s="183">
        <f t="shared" ref="C4:G4" si="0">C3*2/20</f>
        <v>0</v>
      </c>
      <c r="D4" s="183">
        <f t="shared" si="0"/>
        <v>0</v>
      </c>
      <c r="E4" s="183">
        <f t="shared" si="0"/>
        <v>0</v>
      </c>
      <c r="F4" s="183">
        <f t="shared" si="0"/>
        <v>5640.0587642127739</v>
      </c>
      <c r="G4" s="183">
        <f t="shared" si="0"/>
        <v>5622.1619735307404</v>
      </c>
      <c r="H4" s="183">
        <f>H3*2/20</f>
        <v>8252.9106217523768</v>
      </c>
      <c r="I4" s="183">
        <f>I3*2/20</f>
        <v>11463.079546572231</v>
      </c>
      <c r="J4" s="183">
        <f>J3*2/20</f>
        <v>14386.430300957238</v>
      </c>
      <c r="K4" s="183">
        <f>K3*2/20</f>
        <v>17500.157761317027</v>
      </c>
      <c r="L4" s="183">
        <f>L3*2/20</f>
        <v>18659.723806565238</v>
      </c>
      <c r="M4" s="707"/>
      <c r="N4" s="707"/>
      <c r="O4" s="707"/>
      <c r="P4" s="185" t="str">
        <f t="shared" ref="P4:P18" si="1">A4</f>
        <v>- федеральный бюджет</v>
      </c>
      <c r="Q4" s="185">
        <f>SUM(B4:K4)</f>
        <v>62864.798968342395</v>
      </c>
      <c r="R4" s="7"/>
      <c r="S4" s="185" t="s">
        <v>206</v>
      </c>
      <c r="T4" s="186">
        <f>Q5+Q7+Q9+Q11</f>
        <v>636044.81021290692</v>
      </c>
    </row>
    <row r="5" spans="1:20" ht="28.8">
      <c r="A5" s="183" t="s">
        <v>195</v>
      </c>
      <c r="B5" s="183">
        <f>B3-B4</f>
        <v>0</v>
      </c>
      <c r="C5" s="183">
        <f t="shared" ref="C5:L5" si="2">C3-C4</f>
        <v>0</v>
      </c>
      <c r="D5" s="183">
        <f t="shared" si="2"/>
        <v>0</v>
      </c>
      <c r="E5" s="183">
        <f t="shared" si="2"/>
        <v>0</v>
      </c>
      <c r="F5" s="183">
        <f t="shared" si="2"/>
        <v>50760.528877914963</v>
      </c>
      <c r="G5" s="183">
        <f t="shared" si="2"/>
        <v>50599.457761776663</v>
      </c>
      <c r="H5" s="183">
        <f t="shared" si="2"/>
        <v>74276.19559577138</v>
      </c>
      <c r="I5" s="183">
        <f t="shared" si="2"/>
        <v>103167.71591915008</v>
      </c>
      <c r="J5" s="183">
        <f t="shared" si="2"/>
        <v>129477.87270861515</v>
      </c>
      <c r="K5" s="183">
        <f t="shared" si="2"/>
        <v>157501.41985185322</v>
      </c>
      <c r="L5" s="183">
        <f t="shared" si="2"/>
        <v>167937.51425908713</v>
      </c>
      <c r="M5" s="706"/>
      <c r="N5" s="706"/>
      <c r="O5" s="706"/>
      <c r="P5" s="185" t="str">
        <f t="shared" si="1"/>
        <v>- региональный бюджет</v>
      </c>
      <c r="Q5" s="185">
        <f t="shared" ref="Q5:Q18" si="3">SUM(B5:K5)</f>
        <v>565783.19071508152</v>
      </c>
      <c r="R5" s="7"/>
      <c r="S5" s="185" t="s">
        <v>207</v>
      </c>
      <c r="T5" s="186">
        <f>Q12+Q18</f>
        <v>5307.99167608683</v>
      </c>
    </row>
    <row r="6" spans="1:20" ht="20.25" customHeight="1">
      <c r="A6" s="183" t="s">
        <v>196</v>
      </c>
      <c r="B6" s="183">
        <f>'Расходы на П, строит-во, ввод'!B40</f>
        <v>0</v>
      </c>
      <c r="C6" s="183">
        <f>'Расходы на П, строит-во, ввод'!C40</f>
        <v>0</v>
      </c>
      <c r="D6" s="183">
        <f>'Расходы на П, строит-во, ввод'!D40</f>
        <v>0</v>
      </c>
      <c r="E6" s="183">
        <f>'Расходы на П, строит-во, ввод'!E40</f>
        <v>4521</v>
      </c>
      <c r="F6" s="183">
        <f>'Расходы на П, строит-во, ввод'!F40</f>
        <v>6017</v>
      </c>
      <c r="G6" s="183">
        <f>'Расходы на П, строит-во, ввод'!G40</f>
        <v>5987.6666666666697</v>
      </c>
      <c r="H6" s="183">
        <f>'Расходы на П, строит-во, ввод'!H40</f>
        <v>5958.3333333333376</v>
      </c>
      <c r="I6" s="183">
        <f>'Расходы на П, строит-во, ввод'!I40</f>
        <v>5929.0000000000055</v>
      </c>
      <c r="J6" s="183">
        <f>'Расходы на П, строит-во, ввод'!J40</f>
        <v>5899.6666666666742</v>
      </c>
      <c r="K6" s="183">
        <f>'Расходы на П, строит-во, ввод'!K40</f>
        <v>5870.3333333333421</v>
      </c>
      <c r="L6" s="183">
        <f>'Расходы на П, строит-во, ввод'!L40</f>
        <v>5841.00000000001</v>
      </c>
      <c r="M6" s="707"/>
      <c r="N6" s="707"/>
      <c r="O6" s="707"/>
      <c r="P6" s="185" t="str">
        <f t="shared" si="1"/>
        <v>Налог на имущество:</v>
      </c>
      <c r="Q6" s="185">
        <f t="shared" si="3"/>
        <v>40183.000000000029</v>
      </c>
      <c r="R6" s="7"/>
      <c r="S6" s="185" t="s">
        <v>208</v>
      </c>
      <c r="T6" s="186"/>
    </row>
    <row r="7" spans="1:20" ht="28.8">
      <c r="A7" s="183" t="s">
        <v>195</v>
      </c>
      <c r="B7" s="183">
        <f>B6</f>
        <v>0</v>
      </c>
      <c r="C7" s="183">
        <f>'Расходы на П, строит-во, ввод'!C40</f>
        <v>0</v>
      </c>
      <c r="D7" s="183">
        <f>'Расходы на П, строит-во, ввод'!D40</f>
        <v>0</v>
      </c>
      <c r="E7" s="183">
        <f>'Расходы на П, строит-во, ввод'!E40</f>
        <v>4521</v>
      </c>
      <c r="F7" s="183">
        <f>'Расходы на П, строит-во, ввод'!F40</f>
        <v>6017</v>
      </c>
      <c r="G7" s="183">
        <f>'Расходы на П, строит-во, ввод'!G40</f>
        <v>5987.6666666666697</v>
      </c>
      <c r="H7" s="183">
        <f>'Расходы на П, строит-во, ввод'!H40</f>
        <v>5958.3333333333376</v>
      </c>
      <c r="I7" s="183">
        <f>'Расходы на П, строит-во, ввод'!I40</f>
        <v>5929.0000000000055</v>
      </c>
      <c r="J7" s="183">
        <f>'Расходы на П, строит-во, ввод'!J40</f>
        <v>5899.6666666666742</v>
      </c>
      <c r="K7" s="183">
        <f>'Расходы на П, строит-во, ввод'!K40</f>
        <v>5870.3333333333421</v>
      </c>
      <c r="L7" s="183">
        <f>'Расходы на П, строит-во, ввод'!L40</f>
        <v>5841.00000000001</v>
      </c>
      <c r="M7" s="706"/>
      <c r="N7" s="706"/>
      <c r="O7" s="706"/>
      <c r="P7" s="185" t="str">
        <f t="shared" si="1"/>
        <v>- региональный бюджет</v>
      </c>
      <c r="Q7" s="185">
        <f t="shared" si="3"/>
        <v>40183.000000000029</v>
      </c>
      <c r="R7" s="7"/>
      <c r="S7" s="7"/>
      <c r="T7" s="187"/>
    </row>
    <row r="8" spans="1:20" ht="19.5" customHeight="1">
      <c r="A8" s="183" t="s">
        <v>197</v>
      </c>
      <c r="B8" s="183">
        <f>'Расходы ТОР'!B38</f>
        <v>0</v>
      </c>
      <c r="C8" s="183">
        <f>'Расходы ТОР'!C38</f>
        <v>0</v>
      </c>
      <c r="D8" s="183">
        <f>'Расходы ТОР'!D38</f>
        <v>0</v>
      </c>
      <c r="E8" s="183">
        <f>'Расходы ТОР'!E38</f>
        <v>0</v>
      </c>
      <c r="F8" s="183">
        <f>'Расходы ТОР'!F38</f>
        <v>0</v>
      </c>
      <c r="G8" s="183">
        <v>0</v>
      </c>
      <c r="H8" s="183">
        <f>H9</f>
        <v>0</v>
      </c>
      <c r="I8" s="183">
        <f t="shared" ref="I8:L8" si="4">I9</f>
        <v>0</v>
      </c>
      <c r="J8" s="183">
        <f t="shared" si="4"/>
        <v>0</v>
      </c>
      <c r="K8" s="183">
        <f t="shared" si="4"/>
        <v>0</v>
      </c>
      <c r="L8" s="183">
        <f t="shared" si="4"/>
        <v>0</v>
      </c>
      <c r="M8" s="707"/>
      <c r="N8" s="707"/>
      <c r="O8" s="707"/>
      <c r="P8" s="185" t="str">
        <f t="shared" si="1"/>
        <v>Транспортный налог:</v>
      </c>
      <c r="Q8" s="185">
        <f t="shared" si="3"/>
        <v>0</v>
      </c>
      <c r="R8" s="7"/>
      <c r="S8" s="7"/>
      <c r="T8" s="187"/>
    </row>
    <row r="9" spans="1:20" ht="28.8">
      <c r="A9" s="183" t="s">
        <v>195</v>
      </c>
      <c r="B9" s="183">
        <f>B8</f>
        <v>0</v>
      </c>
      <c r="C9" s="183">
        <f t="shared" ref="C9:G9" si="5">C8</f>
        <v>0</v>
      </c>
      <c r="D9" s="183">
        <f t="shared" si="5"/>
        <v>0</v>
      </c>
      <c r="E9" s="183">
        <f t="shared" si="5"/>
        <v>0</v>
      </c>
      <c r="F9" s="183">
        <f t="shared" si="5"/>
        <v>0</v>
      </c>
      <c r="G9" s="183">
        <f t="shared" si="5"/>
        <v>0</v>
      </c>
      <c r="H9" s="183">
        <v>0</v>
      </c>
      <c r="I9" s="183">
        <v>0</v>
      </c>
      <c r="J9" s="183">
        <v>0</v>
      </c>
      <c r="K9" s="183">
        <v>0</v>
      </c>
      <c r="L9" s="183">
        <v>0</v>
      </c>
      <c r="M9" s="706"/>
      <c r="N9" s="706"/>
      <c r="O9" s="706"/>
      <c r="P9" s="185" t="str">
        <f t="shared" si="1"/>
        <v>- региональный бюджет</v>
      </c>
      <c r="Q9" s="185">
        <f t="shared" si="3"/>
        <v>0</v>
      </c>
      <c r="R9" s="7"/>
      <c r="S9" s="7"/>
      <c r="T9" s="187"/>
    </row>
    <row r="10" spans="1:20">
      <c r="A10" s="183" t="s">
        <v>198</v>
      </c>
      <c r="B10" s="183">
        <f>'Расходы на ЗП ОТ'!AW58</f>
        <v>0</v>
      </c>
      <c r="C10" s="183">
        <f>'Расходы на ЗП ОТ'!AX58</f>
        <v>0</v>
      </c>
      <c r="D10" s="183">
        <f>'Расходы на ЗП ОТ'!AY58</f>
        <v>0</v>
      </c>
      <c r="E10" s="183">
        <f>'Расходы на ЗП ОТ'!AZ58</f>
        <v>0</v>
      </c>
      <c r="F10" s="183">
        <f>'Расходы на ЗП ОТ'!BA58</f>
        <v>5078.2056000000002</v>
      </c>
      <c r="G10" s="183">
        <f>'Расходы на ЗП ОТ'!BB58</f>
        <v>5382.8979360000003</v>
      </c>
      <c r="H10" s="183">
        <f>'Расходы на ЗП ОТ'!BC58</f>
        <v>5705.8718121600014</v>
      </c>
      <c r="I10" s="183">
        <f>'Расходы на ЗП ОТ'!BD58</f>
        <v>6037.0762111296017</v>
      </c>
      <c r="J10" s="183">
        <f>'Расходы на ЗП ОТ'!BE58</f>
        <v>6399.3007837973764</v>
      </c>
      <c r="K10" s="183">
        <f>'Расходы на ЗП ОТ'!BF58</f>
        <v>6783.2588308252216</v>
      </c>
      <c r="L10" s="183">
        <f>'Расходы на ЗП ОТ'!BG58</f>
        <v>7190.2543606747349</v>
      </c>
      <c r="M10" s="707"/>
      <c r="N10" s="707"/>
      <c r="O10" s="707"/>
      <c r="P10" s="185" t="str">
        <f t="shared" si="1"/>
        <v>НДФЛ:</v>
      </c>
      <c r="Q10" s="185">
        <f t="shared" si="3"/>
        <v>35386.611173912206</v>
      </c>
      <c r="R10" s="7"/>
      <c r="S10" s="7"/>
      <c r="T10" s="187"/>
    </row>
    <row r="11" spans="1:20" ht="28.8">
      <c r="A11" s="183" t="s">
        <v>195</v>
      </c>
      <c r="B11" s="183">
        <f>B10*0.85</f>
        <v>0</v>
      </c>
      <c r="C11" s="183">
        <f t="shared" ref="C11:L11" si="6">C10*0.85</f>
        <v>0</v>
      </c>
      <c r="D11" s="183">
        <f t="shared" si="6"/>
        <v>0</v>
      </c>
      <c r="E11" s="183">
        <f t="shared" si="6"/>
        <v>0</v>
      </c>
      <c r="F11" s="183">
        <f t="shared" si="6"/>
        <v>4316.4747600000001</v>
      </c>
      <c r="G11" s="183">
        <f t="shared" si="6"/>
        <v>4575.4632455999999</v>
      </c>
      <c r="H11" s="183">
        <f t="shared" si="6"/>
        <v>4849.9910403360009</v>
      </c>
      <c r="I11" s="183">
        <f t="shared" si="6"/>
        <v>5131.5147794601617</v>
      </c>
      <c r="J11" s="183">
        <f t="shared" si="6"/>
        <v>5439.4056662277699</v>
      </c>
      <c r="K11" s="183">
        <f t="shared" si="6"/>
        <v>5765.7700062014383</v>
      </c>
      <c r="L11" s="183">
        <f t="shared" si="6"/>
        <v>6111.7162065735247</v>
      </c>
      <c r="M11" s="706"/>
      <c r="N11" s="706"/>
      <c r="O11" s="706"/>
      <c r="P11" s="185" t="str">
        <f t="shared" si="1"/>
        <v>- региональный бюджет</v>
      </c>
      <c r="Q11" s="185">
        <f t="shared" si="3"/>
        <v>30078.61949782537</v>
      </c>
      <c r="R11" s="7"/>
      <c r="S11" s="7"/>
      <c r="T11" s="187"/>
    </row>
    <row r="12" spans="1:20" ht="28.8">
      <c r="A12" s="183" t="s">
        <v>199</v>
      </c>
      <c r="B12" s="183">
        <f>B10*0.15</f>
        <v>0</v>
      </c>
      <c r="C12" s="183">
        <f>C10*0.15</f>
        <v>0</v>
      </c>
      <c r="D12" s="183">
        <f>D10*0.15</f>
        <v>0</v>
      </c>
      <c r="E12" s="183">
        <f t="shared" ref="E12:L12" si="7">E10*0.15</f>
        <v>0</v>
      </c>
      <c r="F12" s="183">
        <f t="shared" si="7"/>
        <v>761.73084000000006</v>
      </c>
      <c r="G12" s="183">
        <f t="shared" si="7"/>
        <v>807.43469040000002</v>
      </c>
      <c r="H12" s="183">
        <f t="shared" si="7"/>
        <v>855.88077182400013</v>
      </c>
      <c r="I12" s="183">
        <f t="shared" si="7"/>
        <v>905.56143166944025</v>
      </c>
      <c r="J12" s="183">
        <f t="shared" si="7"/>
        <v>959.89511756960644</v>
      </c>
      <c r="K12" s="183">
        <f t="shared" si="7"/>
        <v>1017.4888246237832</v>
      </c>
      <c r="L12" s="183">
        <f t="shared" si="7"/>
        <v>1078.5381541012102</v>
      </c>
      <c r="M12" s="707"/>
      <c r="N12" s="707"/>
      <c r="O12" s="707"/>
      <c r="P12" s="185" t="str">
        <f t="shared" si="1"/>
        <v>- муниципальный бюджет</v>
      </c>
      <c r="Q12" s="185">
        <f t="shared" si="3"/>
        <v>5307.99167608683</v>
      </c>
      <c r="R12" s="7"/>
      <c r="S12" s="7"/>
      <c r="T12" s="187"/>
    </row>
    <row r="13" spans="1:20">
      <c r="A13" s="183" t="s">
        <v>200</v>
      </c>
      <c r="B13" s="183">
        <v>0</v>
      </c>
      <c r="C13" s="183">
        <v>0</v>
      </c>
      <c r="D13" s="183">
        <v>0</v>
      </c>
      <c r="E13" s="183">
        <v>0</v>
      </c>
      <c r="F13" s="183">
        <v>0</v>
      </c>
      <c r="G13" s="183">
        <v>0</v>
      </c>
      <c r="H13" s="183">
        <v>0</v>
      </c>
      <c r="I13" s="183">
        <v>0</v>
      </c>
      <c r="J13" s="183">
        <v>0</v>
      </c>
      <c r="K13" s="183">
        <v>0</v>
      </c>
      <c r="L13" s="183">
        <v>0</v>
      </c>
      <c r="M13" s="706"/>
      <c r="N13" s="706"/>
      <c r="O13" s="706"/>
      <c r="P13" s="185" t="str">
        <f t="shared" si="1"/>
        <v>- бюджет поселения</v>
      </c>
      <c r="Q13" s="185">
        <f t="shared" si="3"/>
        <v>0</v>
      </c>
      <c r="R13" s="7"/>
      <c r="S13" s="7"/>
      <c r="T13" s="187"/>
    </row>
    <row r="14" spans="1:20" ht="28.8">
      <c r="A14" s="183" t="s">
        <v>201</v>
      </c>
      <c r="B14" s="183">
        <v>0</v>
      </c>
      <c r="C14" s="183">
        <f>'Расходы на ЗП ОТ'!C69</f>
        <v>0</v>
      </c>
      <c r="D14" s="183">
        <f>'Расходы на ЗП ОТ'!D69</f>
        <v>0</v>
      </c>
      <c r="E14" s="183">
        <f>'Расходы на ЗП ОТ'!E69</f>
        <v>0</v>
      </c>
      <c r="F14" s="183">
        <f>'Расходы на ЗП ОТ'!F69</f>
        <v>11718.936000000002</v>
      </c>
      <c r="G14" s="183">
        <f>'Расходы на ЗП ОТ'!G69</f>
        <v>12422.07216</v>
      </c>
      <c r="H14" s="183">
        <f>'Расходы на ЗП ОТ'!H69</f>
        <v>13167.3964896</v>
      </c>
      <c r="I14" s="183">
        <f>'Расходы на ЗП ОТ'!I69</f>
        <v>13931.714333376003</v>
      </c>
      <c r="J14" s="183">
        <f>'Расходы на ЗП ОТ'!J69</f>
        <v>14767.617193378561</v>
      </c>
      <c r="K14" s="183">
        <f>'Расходы на ЗП ОТ'!K69</f>
        <v>15653.674224981278</v>
      </c>
      <c r="L14" s="183">
        <f>'Расходы на ЗП ОТ'!L69</f>
        <v>16592.894678480156</v>
      </c>
      <c r="M14" s="707"/>
      <c r="N14" s="707"/>
      <c r="O14" s="707"/>
      <c r="P14" s="185" t="str">
        <f t="shared" si="1"/>
        <v>Страховые платежи в ФНС</v>
      </c>
      <c r="Q14" s="185">
        <f t="shared" si="3"/>
        <v>81661.410401335845</v>
      </c>
      <c r="R14" s="7"/>
      <c r="S14" s="7"/>
      <c r="T14" s="187"/>
    </row>
    <row r="15" spans="1:20" ht="28.8">
      <c r="A15" s="183" t="s">
        <v>202</v>
      </c>
      <c r="B15" s="183">
        <v>0</v>
      </c>
      <c r="C15" s="183">
        <f>'Расходы на ЗП ОТ'!AX53</f>
        <v>0</v>
      </c>
      <c r="D15" s="183">
        <f>'Расходы на ЗП ОТ'!AY53</f>
        <v>0</v>
      </c>
      <c r="E15" s="183">
        <f>'Расходы на ЗП ОТ'!AZ53</f>
        <v>0</v>
      </c>
      <c r="F15" s="183">
        <f>'Расходы на ЗП ОТ'!BA53</f>
        <v>117.18936000000001</v>
      </c>
      <c r="G15" s="183">
        <f>'Расходы на ЗП ОТ'!BB53</f>
        <v>124.2207216</v>
      </c>
      <c r="H15" s="183">
        <f>'Расходы на ЗП ОТ'!BC53</f>
        <v>131.67396489600003</v>
      </c>
      <c r="I15" s="183">
        <f>'Расходы на ЗП ОТ'!BD53</f>
        <v>139.31714333376001</v>
      </c>
      <c r="J15" s="183">
        <f>'Расходы на ЗП ОТ'!BE53</f>
        <v>147.67617193378561</v>
      </c>
      <c r="K15" s="183">
        <f>'Расходы на ЗП ОТ'!BF53</f>
        <v>156.53674224981279</v>
      </c>
      <c r="L15" s="183">
        <f>'Расходы на ЗП ОТ'!BG53</f>
        <v>165.92894678480155</v>
      </c>
      <c r="M15" s="706"/>
      <c r="N15" s="706"/>
      <c r="O15" s="706"/>
      <c r="P15" s="185" t="str">
        <f t="shared" si="1"/>
        <v>Страховые платежи в ФСС</v>
      </c>
      <c r="Q15" s="185">
        <f t="shared" si="3"/>
        <v>816.61410401335843</v>
      </c>
      <c r="R15" s="7"/>
      <c r="S15" s="7"/>
      <c r="T15" s="187"/>
    </row>
    <row r="16" spans="1:20">
      <c r="A16" s="183" t="s">
        <v>203</v>
      </c>
      <c r="B16" s="183">
        <f>'Расходы ТОР'!B37</f>
        <v>0</v>
      </c>
      <c r="C16" s="183">
        <f>'Расходы ТОР'!C37</f>
        <v>0</v>
      </c>
      <c r="D16" s="183">
        <f>'Расходы ТОР'!D37</f>
        <v>0</v>
      </c>
      <c r="E16" s="183">
        <f>'Расходы ТОР'!E37</f>
        <v>0</v>
      </c>
      <c r="F16" s="183">
        <f>'Расходы ТОР'!F37</f>
        <v>-43704.516033796259</v>
      </c>
      <c r="G16" s="183">
        <f>'Расходы ТОР'!G37</f>
        <v>97269.561561185459</v>
      </c>
      <c r="H16" s="183">
        <f>'Расходы ТОР'!H37</f>
        <v>130595.63633644424</v>
      </c>
      <c r="I16" s="183">
        <f>'Расходы ТОР'!I37</f>
        <v>169946.53585113451</v>
      </c>
      <c r="J16" s="183">
        <f>'Расходы ТОР'!J37</f>
        <v>205742.02904225932</v>
      </c>
      <c r="K16" s="183">
        <f>'Расходы ТОР'!K37</f>
        <v>245172.36291817157</v>
      </c>
      <c r="L16" s="183">
        <f>'Расходы ТОР'!L37</f>
        <v>259659.60515044094</v>
      </c>
      <c r="M16" s="707"/>
      <c r="N16" s="707"/>
      <c r="O16" s="707"/>
      <c r="P16" s="185" t="str">
        <f t="shared" si="1"/>
        <v>НДС:</v>
      </c>
      <c r="Q16" s="185">
        <f t="shared" si="3"/>
        <v>805021.60967539879</v>
      </c>
      <c r="R16" s="7"/>
      <c r="S16" s="7"/>
      <c r="T16" s="187"/>
    </row>
    <row r="17" spans="1:20" ht="28.8">
      <c r="A17" s="183" t="s">
        <v>193</v>
      </c>
      <c r="B17" s="183">
        <f>B16</f>
        <v>0</v>
      </c>
      <c r="C17" s="183">
        <f t="shared" ref="C17:L17" si="8">C16</f>
        <v>0</v>
      </c>
      <c r="D17" s="183">
        <f t="shared" si="8"/>
        <v>0</v>
      </c>
      <c r="E17" s="183">
        <f t="shared" si="8"/>
        <v>0</v>
      </c>
      <c r="F17" s="183">
        <f t="shared" si="8"/>
        <v>-43704.516033796259</v>
      </c>
      <c r="G17" s="183">
        <f t="shared" si="8"/>
        <v>97269.561561185459</v>
      </c>
      <c r="H17" s="183">
        <f t="shared" si="8"/>
        <v>130595.63633644424</v>
      </c>
      <c r="I17" s="183">
        <f t="shared" si="8"/>
        <v>169946.53585113451</v>
      </c>
      <c r="J17" s="183">
        <f t="shared" si="8"/>
        <v>205742.02904225932</v>
      </c>
      <c r="K17" s="183">
        <f t="shared" si="8"/>
        <v>245172.36291817157</v>
      </c>
      <c r="L17" s="183">
        <f t="shared" si="8"/>
        <v>259659.60515044094</v>
      </c>
      <c r="M17" s="706"/>
      <c r="N17" s="706"/>
      <c r="O17" s="706"/>
      <c r="P17" s="185" t="str">
        <f t="shared" si="1"/>
        <v>- федеральный бюджет</v>
      </c>
      <c r="Q17" s="185">
        <f t="shared" si="3"/>
        <v>805021.60967539879</v>
      </c>
      <c r="R17" s="7"/>
      <c r="S17" s="7"/>
      <c r="T17" s="187"/>
    </row>
    <row r="18" spans="1:20">
      <c r="A18" s="183" t="s">
        <v>204</v>
      </c>
      <c r="B18" s="183">
        <f>B19</f>
        <v>0</v>
      </c>
      <c r="C18" s="183">
        <f>C19</f>
        <v>0</v>
      </c>
      <c r="D18" s="183">
        <f t="shared" ref="D18:G18" si="9">D19</f>
        <v>0</v>
      </c>
      <c r="E18" s="183">
        <f t="shared" si="9"/>
        <v>0</v>
      </c>
      <c r="F18" s="183">
        <f t="shared" si="9"/>
        <v>0</v>
      </c>
      <c r="G18" s="183">
        <f t="shared" si="9"/>
        <v>0</v>
      </c>
      <c r="H18" s="183">
        <f>'Расходы на П, строит-во, ввод'!G47</f>
        <v>0</v>
      </c>
      <c r="I18" s="183">
        <f>'Расходы на П, строит-во, ввод'!H47</f>
        <v>0</v>
      </c>
      <c r="J18" s="183">
        <f>'Расходы на П, строит-во, ввод'!I47</f>
        <v>0</v>
      </c>
      <c r="K18" s="183">
        <f>'Расходы на П, строит-во, ввод'!J47</f>
        <v>0</v>
      </c>
      <c r="L18" s="183">
        <f>'Расходы на П, строит-во, ввод'!K47</f>
        <v>0</v>
      </c>
      <c r="M18" s="707"/>
      <c r="N18" s="707"/>
      <c r="O18" s="707"/>
      <c r="P18" s="185" t="str">
        <f t="shared" si="1"/>
        <v>Земельный налог</v>
      </c>
      <c r="Q18" s="185">
        <f t="shared" si="3"/>
        <v>0</v>
      </c>
      <c r="R18" s="7"/>
      <c r="S18" s="7"/>
      <c r="T18" s="187"/>
    </row>
    <row r="19" spans="1:20" ht="28.8">
      <c r="A19" s="183" t="str">
        <f>A12</f>
        <v>- муниципальный бюджет</v>
      </c>
      <c r="B19" s="183">
        <f>'Расходы на П, строит-во, ввод'!B53</f>
        <v>0</v>
      </c>
      <c r="C19" s="183">
        <f>'Расходы на П, строит-во, ввод'!C53</f>
        <v>0</v>
      </c>
      <c r="D19" s="183">
        <f>'Расходы на П, строит-во, ввод'!D53</f>
        <v>0</v>
      </c>
      <c r="E19" s="183">
        <f>'Расходы на П, строит-во, ввод'!E53</f>
        <v>0</v>
      </c>
      <c r="F19" s="183">
        <f>'Расходы на П, строит-во, ввод'!F53</f>
        <v>0</v>
      </c>
      <c r="G19" s="183">
        <f>'Расходы на П, строит-во, ввод'!G53</f>
        <v>0</v>
      </c>
      <c r="H19" s="183">
        <f>'Расходы на П, строит-во, ввод'!H53</f>
        <v>0</v>
      </c>
      <c r="I19" s="183">
        <f>'Расходы на П, строит-во, ввод'!I53</f>
        <v>0</v>
      </c>
      <c r="J19" s="183">
        <f>'Расходы на П, строит-во, ввод'!J53</f>
        <v>0</v>
      </c>
      <c r="K19" s="183">
        <f>'Расходы на П, строит-во, ввод'!K53</f>
        <v>0</v>
      </c>
      <c r="L19" s="183">
        <f>'Расходы на П, строит-во, ввод'!L53</f>
        <v>0</v>
      </c>
      <c r="M19" s="706"/>
      <c r="N19" s="706"/>
      <c r="O19" s="706"/>
      <c r="P19" s="184"/>
      <c r="Q19" s="7"/>
      <c r="R19" s="7"/>
      <c r="S19" s="7"/>
      <c r="T19" s="187"/>
    </row>
    <row r="20" spans="1:20">
      <c r="A20" s="188" t="s">
        <v>205</v>
      </c>
      <c r="B20" s="183">
        <f>B4+B17</f>
        <v>0</v>
      </c>
      <c r="C20" s="183">
        <f>C4+C17</f>
        <v>0</v>
      </c>
      <c r="D20" s="183">
        <f>D4+D17</f>
        <v>0</v>
      </c>
      <c r="E20" s="183">
        <f t="shared" ref="E20:L20" si="10">E4+E17</f>
        <v>0</v>
      </c>
      <c r="F20" s="183">
        <f t="shared" si="10"/>
        <v>-38064.457269583487</v>
      </c>
      <c r="G20" s="183">
        <f t="shared" si="10"/>
        <v>102891.72353471621</v>
      </c>
      <c r="H20" s="183">
        <f t="shared" si="10"/>
        <v>138848.54695819662</v>
      </c>
      <c r="I20" s="183">
        <f t="shared" si="10"/>
        <v>181409.61539770674</v>
      </c>
      <c r="J20" s="183">
        <f t="shared" si="10"/>
        <v>220128.45934321656</v>
      </c>
      <c r="K20" s="183">
        <f t="shared" si="10"/>
        <v>262672.5206794886</v>
      </c>
      <c r="L20" s="183">
        <f t="shared" si="10"/>
        <v>278319.32895700616</v>
      </c>
      <c r="M20" s="707"/>
      <c r="N20" s="707"/>
      <c r="O20" s="707"/>
      <c r="P20" s="189" t="s">
        <v>215</v>
      </c>
      <c r="Q20" s="447">
        <f>Q3+Q6+Q8+Q10+Q16</f>
        <v>1509239.2105327349</v>
      </c>
      <c r="R20" s="7"/>
      <c r="S20" s="7"/>
      <c r="T20" s="187"/>
    </row>
    <row r="21" spans="1:20">
      <c r="A21" s="188" t="s">
        <v>206</v>
      </c>
      <c r="B21" s="183">
        <f>B5+B7+B9+B11</f>
        <v>0</v>
      </c>
      <c r="C21" s="183">
        <f>C5+C7+C9+C11</f>
        <v>0</v>
      </c>
      <c r="D21" s="183">
        <f>D5+D7+D9+D11</f>
        <v>0</v>
      </c>
      <c r="E21" s="183">
        <f t="shared" ref="E21:L21" si="11">E5+E7+E9+E11</f>
        <v>4521</v>
      </c>
      <c r="F21" s="183">
        <f t="shared" si="11"/>
        <v>61094.003637914961</v>
      </c>
      <c r="G21" s="183">
        <f t="shared" si="11"/>
        <v>61162.58767404333</v>
      </c>
      <c r="H21" s="183">
        <f t="shared" si="11"/>
        <v>85084.51996944072</v>
      </c>
      <c r="I21" s="183">
        <f t="shared" si="11"/>
        <v>114228.23069861025</v>
      </c>
      <c r="J21" s="183">
        <f t="shared" si="11"/>
        <v>140816.94504150961</v>
      </c>
      <c r="K21" s="183">
        <f t="shared" si="11"/>
        <v>169137.523191388</v>
      </c>
      <c r="L21" s="183">
        <f t="shared" si="11"/>
        <v>179890.23046566066</v>
      </c>
      <c r="M21" s="706"/>
      <c r="N21" s="706"/>
      <c r="O21" s="706"/>
      <c r="P21" s="190" t="s">
        <v>216</v>
      </c>
      <c r="Q21" s="447">
        <f>Q14+Q15</f>
        <v>82478.024505349196</v>
      </c>
      <c r="R21" s="191"/>
      <c r="S21" s="191"/>
      <c r="T21" s="192"/>
    </row>
    <row r="22" spans="1:20">
      <c r="A22" s="188" t="s">
        <v>207</v>
      </c>
      <c r="B22" s="183">
        <f>B12</f>
        <v>0</v>
      </c>
      <c r="C22" s="183">
        <f>C12</f>
        <v>0</v>
      </c>
      <c r="D22" s="183">
        <f>D12</f>
        <v>0</v>
      </c>
      <c r="E22" s="183">
        <f t="shared" ref="E22:L22" si="12">E12</f>
        <v>0</v>
      </c>
      <c r="F22" s="183">
        <f t="shared" si="12"/>
        <v>761.73084000000006</v>
      </c>
      <c r="G22" s="183">
        <f t="shared" si="12"/>
        <v>807.43469040000002</v>
      </c>
      <c r="H22" s="183">
        <f t="shared" si="12"/>
        <v>855.88077182400013</v>
      </c>
      <c r="I22" s="183">
        <f t="shared" si="12"/>
        <v>905.56143166944025</v>
      </c>
      <c r="J22" s="183">
        <f t="shared" si="12"/>
        <v>959.89511756960644</v>
      </c>
      <c r="K22" s="183">
        <f t="shared" si="12"/>
        <v>1017.4888246237832</v>
      </c>
      <c r="L22" s="183">
        <f t="shared" si="12"/>
        <v>1078.5381541012102</v>
      </c>
      <c r="M22" s="707"/>
      <c r="N22" s="707"/>
      <c r="O22" s="707"/>
      <c r="P22" s="166"/>
    </row>
    <row r="23" spans="1:20">
      <c r="A23" s="188" t="s">
        <v>208</v>
      </c>
      <c r="B23" s="183">
        <f>B13+B19</f>
        <v>0</v>
      </c>
      <c r="C23" s="183">
        <f t="shared" ref="C23:L23" si="13">C13+C19</f>
        <v>0</v>
      </c>
      <c r="D23" s="183">
        <f t="shared" si="13"/>
        <v>0</v>
      </c>
      <c r="E23" s="183">
        <f t="shared" si="13"/>
        <v>0</v>
      </c>
      <c r="F23" s="183">
        <f t="shared" si="13"/>
        <v>0</v>
      </c>
      <c r="G23" s="183">
        <f t="shared" si="13"/>
        <v>0</v>
      </c>
      <c r="H23" s="183">
        <f t="shared" si="13"/>
        <v>0</v>
      </c>
      <c r="I23" s="183">
        <f t="shared" si="13"/>
        <v>0</v>
      </c>
      <c r="J23" s="183">
        <f t="shared" si="13"/>
        <v>0</v>
      </c>
      <c r="K23" s="183">
        <f t="shared" si="13"/>
        <v>0</v>
      </c>
      <c r="L23" s="183">
        <f t="shared" si="13"/>
        <v>0</v>
      </c>
      <c r="M23" s="706"/>
      <c r="N23" s="706"/>
      <c r="O23" s="706"/>
      <c r="P23" s="167"/>
    </row>
    <row r="24" spans="1:20">
      <c r="B24" s="64">
        <f>SUM(B20:B23)</f>
        <v>0</v>
      </c>
      <c r="C24" s="64">
        <f t="shared" ref="C24:L24" si="14">SUM(C20:C23)</f>
        <v>0</v>
      </c>
      <c r="D24" s="64">
        <f t="shared" si="14"/>
        <v>0</v>
      </c>
      <c r="E24" s="64">
        <f t="shared" si="14"/>
        <v>4521</v>
      </c>
      <c r="F24" s="64">
        <f t="shared" si="14"/>
        <v>23791.277208331474</v>
      </c>
      <c r="G24" s="64">
        <f t="shared" si="14"/>
        <v>164861.74589915955</v>
      </c>
      <c r="H24" s="64">
        <f t="shared" si="14"/>
        <v>224788.94769946134</v>
      </c>
      <c r="I24" s="64">
        <f t="shared" si="14"/>
        <v>296543.40752798645</v>
      </c>
      <c r="J24" s="64">
        <f t="shared" si="14"/>
        <v>361905.29950229579</v>
      </c>
      <c r="K24" s="64">
        <f t="shared" si="14"/>
        <v>432827.53269550041</v>
      </c>
      <c r="L24" s="64">
        <f t="shared" si="14"/>
        <v>459288.09757676802</v>
      </c>
      <c r="M24" s="707"/>
      <c r="N24" s="707"/>
      <c r="O24" s="707"/>
      <c r="P24" s="706"/>
    </row>
    <row r="25" spans="1:20">
      <c r="I25" s="170"/>
      <c r="J25" s="170"/>
      <c r="P25" s="707"/>
    </row>
    <row r="26" spans="1:20">
      <c r="I26" s="170"/>
      <c r="M26" s="706"/>
      <c r="N26" s="706"/>
      <c r="O26" s="706"/>
      <c r="P26" s="706"/>
      <c r="Q26" s="706"/>
      <c r="R26" s="706"/>
      <c r="S26" s="706"/>
    </row>
    <row r="27" spans="1:20" ht="15.6">
      <c r="A27" s="439" t="s">
        <v>217</v>
      </c>
      <c r="B27" s="440" t="str">
        <f>B2</f>
        <v>1 год</v>
      </c>
      <c r="C27" s="440" t="str">
        <f t="shared" ref="C27:L27" si="15">C2</f>
        <v>2 год</v>
      </c>
      <c r="D27" s="440" t="str">
        <f t="shared" si="15"/>
        <v>3 год</v>
      </c>
      <c r="E27" s="440" t="str">
        <f t="shared" si="15"/>
        <v>4 год</v>
      </c>
      <c r="F27" s="440" t="str">
        <f t="shared" si="15"/>
        <v>5 год</v>
      </c>
      <c r="G27" s="440" t="str">
        <f t="shared" si="15"/>
        <v>6 год</v>
      </c>
      <c r="H27" s="440" t="str">
        <f t="shared" si="15"/>
        <v>7 год</v>
      </c>
      <c r="I27" s="440" t="str">
        <f t="shared" si="15"/>
        <v>8 год</v>
      </c>
      <c r="J27" s="440" t="str">
        <f t="shared" si="15"/>
        <v>9 год</v>
      </c>
      <c r="K27" s="440" t="str">
        <f t="shared" si="15"/>
        <v>10 год</v>
      </c>
      <c r="L27" s="440" t="str">
        <f t="shared" si="15"/>
        <v>11 год</v>
      </c>
      <c r="M27" s="707"/>
      <c r="N27" s="707"/>
      <c r="O27" s="707"/>
      <c r="P27" s="707"/>
      <c r="Q27" s="707"/>
      <c r="R27" s="707"/>
      <c r="S27" s="707"/>
    </row>
    <row r="28" spans="1:20" ht="15.6">
      <c r="A28" s="463" t="s">
        <v>203</v>
      </c>
      <c r="B28" s="464">
        <f t="shared" ref="B28:B29" si="16">B16</f>
        <v>0</v>
      </c>
      <c r="C28" s="464">
        <f t="shared" ref="C28:L29" si="17">C16</f>
        <v>0</v>
      </c>
      <c r="D28" s="464">
        <f t="shared" si="17"/>
        <v>0</v>
      </c>
      <c r="E28" s="464">
        <f t="shared" si="17"/>
        <v>0</v>
      </c>
      <c r="F28" s="464">
        <f t="shared" si="17"/>
        <v>-43704.516033796259</v>
      </c>
      <c r="G28" s="464">
        <f t="shared" si="17"/>
        <v>97269.561561185459</v>
      </c>
      <c r="H28" s="464">
        <f t="shared" si="17"/>
        <v>130595.63633644424</v>
      </c>
      <c r="I28" s="464">
        <f t="shared" si="17"/>
        <v>169946.53585113451</v>
      </c>
      <c r="J28" s="464">
        <f t="shared" si="17"/>
        <v>205742.02904225932</v>
      </c>
      <c r="K28" s="464">
        <f t="shared" si="17"/>
        <v>245172.36291817157</v>
      </c>
      <c r="L28" s="464">
        <f t="shared" si="17"/>
        <v>259659.60515044094</v>
      </c>
      <c r="M28" s="706"/>
      <c r="N28" s="706"/>
      <c r="O28" s="706"/>
      <c r="P28" s="706"/>
      <c r="Q28" s="706"/>
      <c r="R28" s="706"/>
      <c r="S28" s="706"/>
    </row>
    <row r="29" spans="1:20" ht="31.2">
      <c r="A29" s="443" t="s">
        <v>193</v>
      </c>
      <c r="B29" s="442">
        <f t="shared" si="16"/>
        <v>0</v>
      </c>
      <c r="C29" s="442">
        <f t="shared" si="17"/>
        <v>0</v>
      </c>
      <c r="D29" s="442">
        <f t="shared" si="17"/>
        <v>0</v>
      </c>
      <c r="E29" s="442">
        <f t="shared" si="17"/>
        <v>0</v>
      </c>
      <c r="F29" s="442">
        <f t="shared" si="17"/>
        <v>-43704.516033796259</v>
      </c>
      <c r="G29" s="442">
        <f t="shared" si="17"/>
        <v>97269.561561185459</v>
      </c>
      <c r="H29" s="442">
        <f t="shared" si="17"/>
        <v>130595.63633644424</v>
      </c>
      <c r="I29" s="442">
        <f t="shared" si="17"/>
        <v>169946.53585113451</v>
      </c>
      <c r="J29" s="442">
        <f t="shared" si="17"/>
        <v>205742.02904225932</v>
      </c>
      <c r="K29" s="442">
        <f t="shared" si="17"/>
        <v>245172.36291817157</v>
      </c>
      <c r="L29" s="442">
        <f t="shared" si="17"/>
        <v>259659.60515044094</v>
      </c>
      <c r="M29" s="707"/>
      <c r="N29" s="707"/>
      <c r="O29" s="707"/>
      <c r="P29" s="707"/>
      <c r="Q29" s="707"/>
      <c r="R29" s="707"/>
      <c r="S29" s="707"/>
    </row>
    <row r="30" spans="1:20" ht="31.2">
      <c r="A30" s="463" t="s">
        <v>192</v>
      </c>
      <c r="B30" s="464">
        <f t="shared" ref="B30:L32" si="18">B3</f>
        <v>0</v>
      </c>
      <c r="C30" s="464">
        <f t="shared" ref="C30:L30" si="19">C3</f>
        <v>0</v>
      </c>
      <c r="D30" s="464">
        <f t="shared" si="19"/>
        <v>0</v>
      </c>
      <c r="E30" s="464">
        <f t="shared" si="19"/>
        <v>0</v>
      </c>
      <c r="F30" s="464">
        <f t="shared" si="19"/>
        <v>56400.587642127735</v>
      </c>
      <c r="G30" s="464">
        <f t="shared" si="19"/>
        <v>56221.619735307402</v>
      </c>
      <c r="H30" s="464">
        <f t="shared" si="19"/>
        <v>82529.10621752376</v>
      </c>
      <c r="I30" s="464">
        <f t="shared" si="19"/>
        <v>114630.79546572232</v>
      </c>
      <c r="J30" s="464">
        <f t="shared" si="19"/>
        <v>143864.30300957238</v>
      </c>
      <c r="K30" s="464">
        <f t="shared" si="19"/>
        <v>175001.57761317026</v>
      </c>
      <c r="L30" s="464">
        <f t="shared" si="19"/>
        <v>186597.23806565237</v>
      </c>
      <c r="M30" s="706"/>
      <c r="N30" s="706"/>
      <c r="O30" s="706"/>
      <c r="P30" s="706"/>
      <c r="Q30" s="706"/>
      <c r="R30" s="706"/>
      <c r="S30" s="706"/>
    </row>
    <row r="31" spans="1:20" ht="31.2">
      <c r="A31" s="443" t="s">
        <v>193</v>
      </c>
      <c r="B31" s="442">
        <f t="shared" si="18"/>
        <v>0</v>
      </c>
      <c r="C31" s="442">
        <f t="shared" si="18"/>
        <v>0</v>
      </c>
      <c r="D31" s="442">
        <f t="shared" si="18"/>
        <v>0</v>
      </c>
      <c r="E31" s="442">
        <f t="shared" si="18"/>
        <v>0</v>
      </c>
      <c r="F31" s="442">
        <f t="shared" si="18"/>
        <v>5640.0587642127739</v>
      </c>
      <c r="G31" s="442">
        <f t="shared" si="18"/>
        <v>5622.1619735307404</v>
      </c>
      <c r="H31" s="442">
        <f t="shared" si="18"/>
        <v>8252.9106217523768</v>
      </c>
      <c r="I31" s="442">
        <f t="shared" si="18"/>
        <v>11463.079546572231</v>
      </c>
      <c r="J31" s="442">
        <f t="shared" si="18"/>
        <v>14386.430300957238</v>
      </c>
      <c r="K31" s="442">
        <f t="shared" si="18"/>
        <v>17500.157761317027</v>
      </c>
      <c r="L31" s="442">
        <f t="shared" si="18"/>
        <v>18659.723806565238</v>
      </c>
      <c r="M31" s="707"/>
      <c r="N31" s="707"/>
      <c r="O31" s="707"/>
      <c r="P31" s="707"/>
      <c r="Q31" s="707"/>
      <c r="R31" s="707"/>
      <c r="S31" s="707"/>
    </row>
    <row r="32" spans="1:20" ht="31.2">
      <c r="A32" s="443" t="s">
        <v>195</v>
      </c>
      <c r="B32" s="442">
        <f t="shared" si="18"/>
        <v>0</v>
      </c>
      <c r="C32" s="442">
        <f t="shared" si="18"/>
        <v>0</v>
      </c>
      <c r="D32" s="442">
        <f t="shared" si="18"/>
        <v>0</v>
      </c>
      <c r="E32" s="442">
        <f t="shared" si="18"/>
        <v>0</v>
      </c>
      <c r="F32" s="442">
        <f t="shared" si="18"/>
        <v>50760.528877914963</v>
      </c>
      <c r="G32" s="442">
        <f t="shared" si="18"/>
        <v>50599.457761776663</v>
      </c>
      <c r="H32" s="442">
        <f t="shared" si="18"/>
        <v>74276.19559577138</v>
      </c>
      <c r="I32" s="442">
        <f t="shared" si="18"/>
        <v>103167.71591915008</v>
      </c>
      <c r="J32" s="442">
        <f t="shared" si="18"/>
        <v>129477.87270861515</v>
      </c>
      <c r="K32" s="442">
        <f t="shared" si="18"/>
        <v>157501.41985185322</v>
      </c>
      <c r="L32" s="442">
        <f t="shared" si="18"/>
        <v>167937.51425908713</v>
      </c>
      <c r="M32" s="706"/>
      <c r="N32" s="706"/>
      <c r="O32" s="706"/>
      <c r="P32" s="706"/>
      <c r="Q32" s="706"/>
      <c r="R32" s="706"/>
      <c r="S32" s="706"/>
    </row>
    <row r="33" spans="1:19" ht="31.2">
      <c r="A33" s="463" t="s">
        <v>196</v>
      </c>
      <c r="B33" s="464">
        <f>B34</f>
        <v>0</v>
      </c>
      <c r="C33" s="464">
        <f t="shared" ref="C33:L33" si="20">C34</f>
        <v>0</v>
      </c>
      <c r="D33" s="464">
        <f t="shared" si="20"/>
        <v>0</v>
      </c>
      <c r="E33" s="464">
        <f>E34</f>
        <v>4521</v>
      </c>
      <c r="F33" s="464">
        <f t="shared" si="20"/>
        <v>6017</v>
      </c>
      <c r="G33" s="464">
        <f t="shared" si="20"/>
        <v>5987.6666666666697</v>
      </c>
      <c r="H33" s="464">
        <f t="shared" si="20"/>
        <v>5958.3333333333376</v>
      </c>
      <c r="I33" s="464">
        <f t="shared" si="20"/>
        <v>5929.0000000000055</v>
      </c>
      <c r="J33" s="464">
        <f t="shared" si="20"/>
        <v>5899.6666666666742</v>
      </c>
      <c r="K33" s="464">
        <f t="shared" si="20"/>
        <v>5870.3333333333421</v>
      </c>
      <c r="L33" s="464">
        <f t="shared" si="20"/>
        <v>5841.00000000001</v>
      </c>
      <c r="M33" s="707"/>
      <c r="N33" s="707"/>
      <c r="O33" s="707"/>
      <c r="P33" s="707"/>
      <c r="Q33" s="707"/>
      <c r="R33" s="707"/>
      <c r="S33" s="707"/>
    </row>
    <row r="34" spans="1:19" ht="31.2">
      <c r="A34" s="443" t="s">
        <v>195</v>
      </c>
      <c r="B34" s="442">
        <f>B6</f>
        <v>0</v>
      </c>
      <c r="C34" s="442">
        <f t="shared" ref="C34:L34" si="21">C6</f>
        <v>0</v>
      </c>
      <c r="D34" s="442">
        <f t="shared" si="21"/>
        <v>0</v>
      </c>
      <c r="E34" s="442">
        <f>E6</f>
        <v>4521</v>
      </c>
      <c r="F34" s="442">
        <f t="shared" si="21"/>
        <v>6017</v>
      </c>
      <c r="G34" s="442">
        <f t="shared" si="21"/>
        <v>5987.6666666666697</v>
      </c>
      <c r="H34" s="442">
        <f t="shared" si="21"/>
        <v>5958.3333333333376</v>
      </c>
      <c r="I34" s="442">
        <f t="shared" si="21"/>
        <v>5929.0000000000055</v>
      </c>
      <c r="J34" s="442">
        <f t="shared" si="21"/>
        <v>5899.6666666666742</v>
      </c>
      <c r="K34" s="442">
        <f t="shared" si="21"/>
        <v>5870.3333333333421</v>
      </c>
      <c r="L34" s="442">
        <f t="shared" si="21"/>
        <v>5841.00000000001</v>
      </c>
      <c r="M34" s="706"/>
      <c r="N34" s="706"/>
      <c r="O34" s="706"/>
      <c r="P34" s="706"/>
      <c r="Q34" s="706"/>
      <c r="R34" s="706"/>
      <c r="S34" s="706"/>
    </row>
    <row r="35" spans="1:19" ht="31.2">
      <c r="A35" s="441" t="s">
        <v>197</v>
      </c>
      <c r="B35" s="442">
        <v>0</v>
      </c>
      <c r="C35" s="442">
        <v>0</v>
      </c>
      <c r="D35" s="442">
        <v>0</v>
      </c>
      <c r="E35" s="442">
        <v>0</v>
      </c>
      <c r="F35" s="442">
        <v>0</v>
      </c>
      <c r="G35" s="442">
        <v>0</v>
      </c>
      <c r="H35" s="442">
        <v>0</v>
      </c>
      <c r="I35" s="442">
        <v>0</v>
      </c>
      <c r="J35" s="442">
        <v>0</v>
      </c>
      <c r="K35" s="442">
        <v>0</v>
      </c>
      <c r="L35" s="442">
        <v>0</v>
      </c>
      <c r="M35" s="707"/>
      <c r="N35" s="707"/>
      <c r="O35" s="707"/>
      <c r="P35" s="707"/>
      <c r="Q35" s="707"/>
      <c r="R35" s="707"/>
      <c r="S35" s="707"/>
    </row>
    <row r="36" spans="1:19" ht="31.2">
      <c r="A36" s="443" t="s">
        <v>195</v>
      </c>
      <c r="B36" s="442">
        <v>0</v>
      </c>
      <c r="C36" s="442">
        <v>0</v>
      </c>
      <c r="D36" s="442">
        <v>0</v>
      </c>
      <c r="E36" s="442">
        <v>0</v>
      </c>
      <c r="F36" s="442">
        <v>0</v>
      </c>
      <c r="G36" s="442">
        <v>0</v>
      </c>
      <c r="H36" s="442">
        <v>0</v>
      </c>
      <c r="I36" s="442">
        <v>0</v>
      </c>
      <c r="J36" s="442">
        <v>0</v>
      </c>
      <c r="K36" s="442">
        <v>0</v>
      </c>
      <c r="L36" s="442">
        <v>0</v>
      </c>
      <c r="M36" s="706"/>
      <c r="N36" s="706"/>
      <c r="O36" s="706"/>
      <c r="P36" s="706"/>
      <c r="Q36" s="182"/>
      <c r="R36" s="182"/>
      <c r="S36" s="182"/>
    </row>
    <row r="37" spans="1:19" ht="31.2">
      <c r="A37" s="441" t="s">
        <v>218</v>
      </c>
      <c r="B37" s="442">
        <f>B38</f>
        <v>0</v>
      </c>
      <c r="C37" s="442">
        <f t="shared" ref="C37:L37" si="22">C38</f>
        <v>0</v>
      </c>
      <c r="D37" s="442">
        <f t="shared" si="22"/>
        <v>0</v>
      </c>
      <c r="E37" s="442">
        <f t="shared" si="22"/>
        <v>0</v>
      </c>
      <c r="F37" s="442">
        <f t="shared" si="22"/>
        <v>0</v>
      </c>
      <c r="G37" s="442">
        <f t="shared" si="22"/>
        <v>0</v>
      </c>
      <c r="H37" s="442">
        <f t="shared" si="22"/>
        <v>0</v>
      </c>
      <c r="I37" s="442">
        <f t="shared" si="22"/>
        <v>0</v>
      </c>
      <c r="J37" s="442">
        <f t="shared" si="22"/>
        <v>0</v>
      </c>
      <c r="K37" s="442">
        <f t="shared" si="22"/>
        <v>0</v>
      </c>
      <c r="L37" s="442">
        <f t="shared" si="22"/>
        <v>0</v>
      </c>
      <c r="M37" s="707"/>
      <c r="N37" s="707"/>
      <c r="O37" s="707"/>
      <c r="P37" s="707"/>
    </row>
    <row r="38" spans="1:19" ht="15.6">
      <c r="A38" s="443" t="s">
        <v>219</v>
      </c>
      <c r="B38" s="442">
        <f>B19</f>
        <v>0</v>
      </c>
      <c r="C38" s="442">
        <f t="shared" ref="C38:L38" si="23">C19</f>
        <v>0</v>
      </c>
      <c r="D38" s="442">
        <f t="shared" si="23"/>
        <v>0</v>
      </c>
      <c r="E38" s="442">
        <f t="shared" si="23"/>
        <v>0</v>
      </c>
      <c r="F38" s="442">
        <f t="shared" si="23"/>
        <v>0</v>
      </c>
      <c r="G38" s="442">
        <f t="shared" si="23"/>
        <v>0</v>
      </c>
      <c r="H38" s="442">
        <f t="shared" si="23"/>
        <v>0</v>
      </c>
      <c r="I38" s="442">
        <f t="shared" si="23"/>
        <v>0</v>
      </c>
      <c r="J38" s="442">
        <f t="shared" si="23"/>
        <v>0</v>
      </c>
      <c r="K38" s="442">
        <f t="shared" si="23"/>
        <v>0</v>
      </c>
      <c r="L38" s="442">
        <f t="shared" si="23"/>
        <v>0</v>
      </c>
      <c r="M38" s="706"/>
      <c r="N38" s="706"/>
      <c r="O38" s="706"/>
      <c r="P38" s="706"/>
    </row>
    <row r="39" spans="1:19" ht="15.6">
      <c r="A39" s="463" t="s">
        <v>198</v>
      </c>
      <c r="B39" s="464">
        <f t="shared" ref="B39:L41" si="24">B10</f>
        <v>0</v>
      </c>
      <c r="C39" s="464">
        <f t="shared" ref="C39:L39" si="25">C10</f>
        <v>0</v>
      </c>
      <c r="D39" s="464">
        <f t="shared" si="25"/>
        <v>0</v>
      </c>
      <c r="E39" s="464">
        <f t="shared" si="25"/>
        <v>0</v>
      </c>
      <c r="F39" s="464">
        <f t="shared" si="25"/>
        <v>5078.2056000000002</v>
      </c>
      <c r="G39" s="464">
        <f t="shared" si="25"/>
        <v>5382.8979360000003</v>
      </c>
      <c r="H39" s="464">
        <f t="shared" si="25"/>
        <v>5705.8718121600014</v>
      </c>
      <c r="I39" s="464">
        <f t="shared" si="25"/>
        <v>6037.0762111296017</v>
      </c>
      <c r="J39" s="464">
        <f t="shared" si="25"/>
        <v>6399.3007837973764</v>
      </c>
      <c r="K39" s="464">
        <f t="shared" si="25"/>
        <v>6783.2588308252216</v>
      </c>
      <c r="L39" s="464">
        <f t="shared" si="25"/>
        <v>7190.2543606747349</v>
      </c>
      <c r="M39" s="707"/>
      <c r="N39" s="707"/>
      <c r="O39" s="707"/>
      <c r="P39" s="707"/>
    </row>
    <row r="40" spans="1:19" ht="31.2">
      <c r="A40" s="443" t="s">
        <v>195</v>
      </c>
      <c r="B40" s="442">
        <f t="shared" si="24"/>
        <v>0</v>
      </c>
      <c r="C40" s="442">
        <f t="shared" si="24"/>
        <v>0</v>
      </c>
      <c r="D40" s="442">
        <f t="shared" si="24"/>
        <v>0</v>
      </c>
      <c r="E40" s="442">
        <f t="shared" si="24"/>
        <v>0</v>
      </c>
      <c r="F40" s="442">
        <f t="shared" si="24"/>
        <v>4316.4747600000001</v>
      </c>
      <c r="G40" s="442">
        <f t="shared" si="24"/>
        <v>4575.4632455999999</v>
      </c>
      <c r="H40" s="442">
        <f t="shared" si="24"/>
        <v>4849.9910403360009</v>
      </c>
      <c r="I40" s="442">
        <f t="shared" si="24"/>
        <v>5131.5147794601617</v>
      </c>
      <c r="J40" s="442">
        <f t="shared" si="24"/>
        <v>5439.4056662277699</v>
      </c>
      <c r="K40" s="442">
        <f t="shared" si="24"/>
        <v>5765.7700062014383</v>
      </c>
      <c r="L40" s="442">
        <f t="shared" si="24"/>
        <v>6111.7162065735247</v>
      </c>
      <c r="M40" s="706"/>
      <c r="N40" s="706"/>
      <c r="O40" s="706"/>
      <c r="P40" s="706"/>
    </row>
    <row r="41" spans="1:19" ht="15.6">
      <c r="A41" s="443" t="s">
        <v>220</v>
      </c>
      <c r="B41" s="442">
        <f t="shared" si="24"/>
        <v>0</v>
      </c>
      <c r="C41" s="442">
        <f t="shared" si="24"/>
        <v>0</v>
      </c>
      <c r="D41" s="442">
        <f t="shared" si="24"/>
        <v>0</v>
      </c>
      <c r="E41" s="442">
        <f t="shared" si="24"/>
        <v>0</v>
      </c>
      <c r="F41" s="442">
        <f t="shared" si="24"/>
        <v>761.73084000000006</v>
      </c>
      <c r="G41" s="442">
        <f t="shared" si="24"/>
        <v>807.43469040000002</v>
      </c>
      <c r="H41" s="442">
        <f t="shared" si="24"/>
        <v>855.88077182400013</v>
      </c>
      <c r="I41" s="442">
        <f t="shared" si="24"/>
        <v>905.56143166944025</v>
      </c>
      <c r="J41" s="442">
        <f t="shared" si="24"/>
        <v>959.89511756960644</v>
      </c>
      <c r="K41" s="442">
        <f t="shared" si="24"/>
        <v>1017.4888246237832</v>
      </c>
      <c r="L41" s="442">
        <f t="shared" si="24"/>
        <v>1078.5381541012102</v>
      </c>
      <c r="M41" s="707"/>
      <c r="N41" s="707"/>
      <c r="O41" s="707"/>
      <c r="P41" s="707"/>
    </row>
    <row r="42" spans="1:19" ht="31.2">
      <c r="A42" s="463" t="s">
        <v>201</v>
      </c>
      <c r="B42" s="464">
        <f>B14</f>
        <v>0</v>
      </c>
      <c r="C42" s="464">
        <f t="shared" ref="C42:L42" si="26">C14</f>
        <v>0</v>
      </c>
      <c r="D42" s="464">
        <f t="shared" si="26"/>
        <v>0</v>
      </c>
      <c r="E42" s="464">
        <f t="shared" si="26"/>
        <v>0</v>
      </c>
      <c r="F42" s="464">
        <f t="shared" si="26"/>
        <v>11718.936000000002</v>
      </c>
      <c r="G42" s="464">
        <f t="shared" si="26"/>
        <v>12422.07216</v>
      </c>
      <c r="H42" s="464">
        <f t="shared" si="26"/>
        <v>13167.3964896</v>
      </c>
      <c r="I42" s="464">
        <f t="shared" si="26"/>
        <v>13931.714333376003</v>
      </c>
      <c r="J42" s="464">
        <f t="shared" si="26"/>
        <v>14767.617193378561</v>
      </c>
      <c r="K42" s="464">
        <f t="shared" si="26"/>
        <v>15653.674224981278</v>
      </c>
      <c r="L42" s="464">
        <f t="shared" si="26"/>
        <v>16592.894678480156</v>
      </c>
      <c r="M42" s="706"/>
      <c r="N42" s="706"/>
      <c r="O42" s="706"/>
      <c r="P42" s="706"/>
    </row>
    <row r="43" spans="1:19" ht="31.2">
      <c r="A43" s="443" t="s">
        <v>221</v>
      </c>
      <c r="B43" s="442">
        <v>0</v>
      </c>
      <c r="C43" s="444">
        <f>'Расходы на ЗП ОТ'!C71</f>
        <v>0</v>
      </c>
      <c r="D43" s="444">
        <f>'Расходы на ЗП ОТ'!D71</f>
        <v>0</v>
      </c>
      <c r="E43" s="444">
        <f>'Расходы на ЗП ОТ'!E71</f>
        <v>0</v>
      </c>
      <c r="F43" s="444">
        <f>'Расходы на ЗП ОТ'!F71</f>
        <v>8593.8864000000012</v>
      </c>
      <c r="G43" s="444">
        <f>'Расходы на ЗП ОТ'!G71</f>
        <v>9109.5195839999997</v>
      </c>
      <c r="H43" s="444">
        <f>'Расходы на ЗП ОТ'!H71</f>
        <v>9656.090759040002</v>
      </c>
      <c r="I43" s="444">
        <f>'Расходы на ЗП ОТ'!I71</f>
        <v>10216.590511142402</v>
      </c>
      <c r="J43" s="444">
        <f>'Расходы на ЗП ОТ'!J71</f>
        <v>10829.585941810945</v>
      </c>
      <c r="K43" s="444">
        <f>'Расходы на ЗП ОТ'!K71</f>
        <v>11479.361098319605</v>
      </c>
      <c r="L43" s="444">
        <f t="shared" ref="L43:L45" si="27">K43</f>
        <v>11479.361098319605</v>
      </c>
      <c r="M43" s="707"/>
      <c r="N43" s="707"/>
      <c r="O43" s="707"/>
      <c r="P43" s="707"/>
    </row>
    <row r="44" spans="1:19" ht="69" customHeight="1">
      <c r="A44" s="443" t="s">
        <v>222</v>
      </c>
      <c r="B44" s="442">
        <v>0</v>
      </c>
      <c r="C44" s="444">
        <f>'Расходы на ЗП ОТ'!C72</f>
        <v>0</v>
      </c>
      <c r="D44" s="444">
        <f>'Расходы на ЗП ОТ'!D72</f>
        <v>0</v>
      </c>
      <c r="E44" s="444">
        <f>'Расходы на ЗП ОТ'!E72</f>
        <v>0</v>
      </c>
      <c r="F44" s="444">
        <f>'Расходы на ЗП ОТ'!F72</f>
        <v>1132.8304800000001</v>
      </c>
      <c r="G44" s="444">
        <f>'Расходы на ЗП ОТ'!G72</f>
        <v>1200.8003088</v>
      </c>
      <c r="H44" s="444">
        <f>'Расходы на ЗП ОТ'!H72</f>
        <v>1272.8483273280003</v>
      </c>
      <c r="I44" s="444">
        <f>'Расходы на ЗП ОТ'!I72</f>
        <v>1346.7323855596803</v>
      </c>
      <c r="J44" s="444">
        <f>'Расходы на ЗП ОТ'!J72</f>
        <v>1427.5363286932609</v>
      </c>
      <c r="K44" s="444">
        <f>'Расходы на ЗП ОТ'!K72</f>
        <v>1513.1885084148571</v>
      </c>
      <c r="L44" s="444">
        <f t="shared" si="27"/>
        <v>1513.1885084148571</v>
      </c>
      <c r="M44" s="706"/>
      <c r="N44" s="706"/>
      <c r="O44" s="706"/>
      <c r="P44" s="706"/>
    </row>
    <row r="45" spans="1:19" ht="46.8">
      <c r="A45" s="443" t="s">
        <v>223</v>
      </c>
      <c r="B45" s="442">
        <v>0</v>
      </c>
      <c r="C45" s="444">
        <f>'Расходы на ЗП ОТ'!C73</f>
        <v>0</v>
      </c>
      <c r="D45" s="444">
        <f>'Расходы на ЗП ОТ'!D73</f>
        <v>0</v>
      </c>
      <c r="E45" s="444">
        <f>'Расходы на ЗП ОТ'!E73</f>
        <v>0</v>
      </c>
      <c r="F45" s="444">
        <f>'Расходы на ЗП ОТ'!F73</f>
        <v>1992.21912</v>
      </c>
      <c r="G45" s="444">
        <f>'Расходы на ЗП ОТ'!G73</f>
        <v>2111.7522672</v>
      </c>
      <c r="H45" s="444">
        <f>'Расходы на ЗП ОТ'!H73</f>
        <v>2238.4574032320002</v>
      </c>
      <c r="I45" s="444">
        <f>'Расходы на ЗП ОТ'!I73</f>
        <v>2368.3914366739205</v>
      </c>
      <c r="J45" s="444">
        <f>'Расходы на ЗП ОТ'!J73</f>
        <v>2510.4949228743553</v>
      </c>
      <c r="K45" s="444">
        <f>'Расходы на ЗП ОТ'!K73</f>
        <v>2661.1246182468171</v>
      </c>
      <c r="L45" s="444">
        <f t="shared" si="27"/>
        <v>2661.1246182468171</v>
      </c>
      <c r="M45" s="707"/>
      <c r="N45" s="707"/>
      <c r="O45" s="707"/>
      <c r="P45" s="707"/>
    </row>
    <row r="46" spans="1:19" ht="31.2">
      <c r="A46" s="463" t="s">
        <v>202</v>
      </c>
      <c r="B46" s="464">
        <f>B15</f>
        <v>0</v>
      </c>
      <c r="C46" s="464">
        <f t="shared" ref="C46:L46" si="28">C15</f>
        <v>0</v>
      </c>
      <c r="D46" s="464">
        <f t="shared" si="28"/>
        <v>0</v>
      </c>
      <c r="E46" s="464">
        <f t="shared" si="28"/>
        <v>0</v>
      </c>
      <c r="F46" s="464">
        <f t="shared" si="28"/>
        <v>117.18936000000001</v>
      </c>
      <c r="G46" s="464">
        <f t="shared" si="28"/>
        <v>124.2207216</v>
      </c>
      <c r="H46" s="464">
        <f t="shared" si="28"/>
        <v>131.67396489600003</v>
      </c>
      <c r="I46" s="464">
        <f t="shared" si="28"/>
        <v>139.31714333376001</v>
      </c>
      <c r="J46" s="464">
        <f t="shared" si="28"/>
        <v>147.67617193378561</v>
      </c>
      <c r="K46" s="464">
        <f t="shared" si="28"/>
        <v>156.53674224981279</v>
      </c>
      <c r="L46" s="464">
        <f t="shared" si="28"/>
        <v>165.92894678480155</v>
      </c>
      <c r="M46" s="706"/>
      <c r="N46" s="706"/>
      <c r="O46" s="706"/>
      <c r="P46" s="706"/>
    </row>
    <row r="47" spans="1:19" ht="15.6">
      <c r="A47" s="441" t="s">
        <v>224</v>
      </c>
      <c r="B47" s="445"/>
      <c r="C47" s="446"/>
      <c r="D47" s="446"/>
      <c r="E47" s="446"/>
      <c r="F47" s="446"/>
      <c r="G47" s="446"/>
      <c r="H47" s="446"/>
      <c r="I47" s="446"/>
      <c r="J47" s="446"/>
      <c r="K47" s="446"/>
      <c r="L47" s="446"/>
      <c r="M47" s="707"/>
      <c r="N47" s="707"/>
      <c r="O47" s="707"/>
      <c r="P47" s="707"/>
    </row>
    <row r="48" spans="1:19">
      <c r="M48" s="706"/>
      <c r="N48" s="706"/>
      <c r="O48" s="706"/>
      <c r="P48" s="706"/>
    </row>
    <row r="49" spans="13:16">
      <c r="M49" s="707"/>
      <c r="N49" s="707"/>
      <c r="O49" s="707"/>
      <c r="P49" s="707"/>
    </row>
    <row r="50" spans="13:16">
      <c r="M50" s="706"/>
      <c r="N50" s="706"/>
      <c r="O50" s="706"/>
      <c r="P50" s="706"/>
    </row>
    <row r="51" spans="13:16">
      <c r="M51" s="707"/>
      <c r="N51" s="707"/>
      <c r="O51" s="707"/>
      <c r="P51" s="707"/>
    </row>
    <row r="52" spans="13:16">
      <c r="M52" s="706"/>
      <c r="N52" s="706"/>
      <c r="O52" s="706"/>
      <c r="P52" s="706"/>
    </row>
    <row r="53" spans="13:16">
      <c r="M53" s="707"/>
      <c r="N53" s="707"/>
      <c r="O53" s="707"/>
      <c r="P53" s="707"/>
    </row>
    <row r="54" spans="13:16">
      <c r="M54" s="706"/>
      <c r="N54" s="706"/>
      <c r="O54" s="706"/>
      <c r="P54" s="706"/>
    </row>
    <row r="55" spans="13:16">
      <c r="M55" s="707"/>
      <c r="N55" s="707"/>
      <c r="O55" s="707"/>
      <c r="P55" s="707"/>
    </row>
    <row r="56" spans="13:16">
      <c r="M56" s="706"/>
      <c r="N56" s="706"/>
      <c r="O56" s="706"/>
      <c r="P56" s="706"/>
    </row>
    <row r="57" spans="13:16">
      <c r="M57" s="707"/>
      <c r="N57" s="707"/>
      <c r="O57" s="707"/>
      <c r="P57" s="707"/>
    </row>
    <row r="58" spans="13:16">
      <c r="M58" s="706"/>
      <c r="N58" s="706"/>
      <c r="O58" s="706"/>
      <c r="P58" s="706"/>
    </row>
    <row r="59" spans="13:16">
      <c r="M59" s="707"/>
      <c r="N59" s="707"/>
      <c r="O59" s="707"/>
      <c r="P59" s="707"/>
    </row>
    <row r="60" spans="13:16">
      <c r="M60" s="706"/>
      <c r="N60" s="706"/>
      <c r="O60" s="706"/>
      <c r="P60" s="706"/>
    </row>
    <row r="61" spans="13:16">
      <c r="M61" s="707"/>
      <c r="N61" s="707"/>
      <c r="O61" s="707"/>
      <c r="P61" s="707"/>
    </row>
    <row r="62" spans="13:16">
      <c r="M62" s="706"/>
      <c r="N62" s="706"/>
      <c r="O62" s="706"/>
      <c r="P62" s="706"/>
    </row>
    <row r="63" spans="13:16">
      <c r="M63" s="707"/>
      <c r="N63" s="707"/>
      <c r="O63" s="707"/>
      <c r="P63" s="707"/>
    </row>
    <row r="64" spans="13:16">
      <c r="M64" s="706"/>
      <c r="N64" s="706"/>
      <c r="O64" s="706"/>
      <c r="P64" s="706"/>
    </row>
    <row r="65" spans="13:16">
      <c r="M65" s="707"/>
      <c r="N65" s="707"/>
      <c r="O65" s="707"/>
      <c r="P65" s="707"/>
    </row>
    <row r="66" spans="13:16">
      <c r="M66" s="706"/>
      <c r="N66" s="706"/>
      <c r="O66" s="706"/>
      <c r="P66" s="706"/>
    </row>
    <row r="67" spans="13:16">
      <c r="M67" s="707"/>
      <c r="N67" s="707"/>
      <c r="O67" s="707"/>
      <c r="P67" s="707"/>
    </row>
  </sheetData>
  <mergeCells count="136">
    <mergeCell ref="M62:M63"/>
    <mergeCell ref="N62:N63"/>
    <mergeCell ref="O62:O63"/>
    <mergeCell ref="P62:P63"/>
    <mergeCell ref="M64:M65"/>
    <mergeCell ref="N64:N65"/>
    <mergeCell ref="O64:O65"/>
    <mergeCell ref="P64:P65"/>
    <mergeCell ref="M66:M67"/>
    <mergeCell ref="N66:N67"/>
    <mergeCell ref="O66:O67"/>
    <mergeCell ref="P66:P67"/>
    <mergeCell ref="M56:M57"/>
    <mergeCell ref="N56:N57"/>
    <mergeCell ref="O56:O57"/>
    <mergeCell ref="P56:P57"/>
    <mergeCell ref="M58:M59"/>
    <mergeCell ref="N58:N59"/>
    <mergeCell ref="O58:O59"/>
    <mergeCell ref="P58:P59"/>
    <mergeCell ref="M60:M61"/>
    <mergeCell ref="N60:N61"/>
    <mergeCell ref="O60:O61"/>
    <mergeCell ref="P60:P61"/>
    <mergeCell ref="M50:M51"/>
    <mergeCell ref="N50:N51"/>
    <mergeCell ref="O50:O51"/>
    <mergeCell ref="P50:P51"/>
    <mergeCell ref="M52:M53"/>
    <mergeCell ref="N52:N53"/>
    <mergeCell ref="O52:O53"/>
    <mergeCell ref="P52:P53"/>
    <mergeCell ref="M54:M55"/>
    <mergeCell ref="N54:N55"/>
    <mergeCell ref="O54:O55"/>
    <mergeCell ref="P54:P55"/>
    <mergeCell ref="M44:M45"/>
    <mergeCell ref="N44:N45"/>
    <mergeCell ref="O44:O45"/>
    <mergeCell ref="P44:P45"/>
    <mergeCell ref="M46:M47"/>
    <mergeCell ref="N46:N47"/>
    <mergeCell ref="O46:O47"/>
    <mergeCell ref="P46:P47"/>
    <mergeCell ref="M48:M49"/>
    <mergeCell ref="N48:N49"/>
    <mergeCell ref="O48:O49"/>
    <mergeCell ref="P48:P49"/>
    <mergeCell ref="M38:M39"/>
    <mergeCell ref="N38:N39"/>
    <mergeCell ref="O38:O39"/>
    <mergeCell ref="P38:P39"/>
    <mergeCell ref="M40:M41"/>
    <mergeCell ref="N40:N41"/>
    <mergeCell ref="O40:O41"/>
    <mergeCell ref="P40:P41"/>
    <mergeCell ref="M42:M43"/>
    <mergeCell ref="N42:N43"/>
    <mergeCell ref="O42:O43"/>
    <mergeCell ref="P42:P43"/>
    <mergeCell ref="M34:M35"/>
    <mergeCell ref="N34:N35"/>
    <mergeCell ref="O34:O35"/>
    <mergeCell ref="P34:P35"/>
    <mergeCell ref="Q34:Q35"/>
    <mergeCell ref="R34:R35"/>
    <mergeCell ref="S34:S35"/>
    <mergeCell ref="M36:M37"/>
    <mergeCell ref="N36:N37"/>
    <mergeCell ref="O36:O37"/>
    <mergeCell ref="P36:P37"/>
    <mergeCell ref="M30:M31"/>
    <mergeCell ref="N30:N31"/>
    <mergeCell ref="O30:O31"/>
    <mergeCell ref="P30:P31"/>
    <mergeCell ref="Q30:Q31"/>
    <mergeCell ref="R30:R31"/>
    <mergeCell ref="S30:S31"/>
    <mergeCell ref="M32:M33"/>
    <mergeCell ref="N32:N33"/>
    <mergeCell ref="O32:O33"/>
    <mergeCell ref="P32:P33"/>
    <mergeCell ref="Q32:Q33"/>
    <mergeCell ref="R32:R33"/>
    <mergeCell ref="S32:S33"/>
    <mergeCell ref="P24:P25"/>
    <mergeCell ref="M26:M27"/>
    <mergeCell ref="N26:N27"/>
    <mergeCell ref="O26:O27"/>
    <mergeCell ref="P26:P27"/>
    <mergeCell ref="Q26:Q27"/>
    <mergeCell ref="R26:R27"/>
    <mergeCell ref="S26:S27"/>
    <mergeCell ref="M28:M29"/>
    <mergeCell ref="N28:N29"/>
    <mergeCell ref="O28:O29"/>
    <mergeCell ref="P28:P29"/>
    <mergeCell ref="Q28:Q29"/>
    <mergeCell ref="R28:R29"/>
    <mergeCell ref="S28:S29"/>
    <mergeCell ref="M19:M20"/>
    <mergeCell ref="N19:N20"/>
    <mergeCell ref="O19:O20"/>
    <mergeCell ref="M21:M22"/>
    <mergeCell ref="N21:N22"/>
    <mergeCell ref="O21:O22"/>
    <mergeCell ref="M23:M24"/>
    <mergeCell ref="N23:N24"/>
    <mergeCell ref="O23:O24"/>
    <mergeCell ref="M13:M14"/>
    <mergeCell ref="N13:N14"/>
    <mergeCell ref="O13:O14"/>
    <mergeCell ref="M15:M16"/>
    <mergeCell ref="N15:N16"/>
    <mergeCell ref="O15:O16"/>
    <mergeCell ref="M17:M18"/>
    <mergeCell ref="N17:N18"/>
    <mergeCell ref="O17:O18"/>
    <mergeCell ref="M7:M8"/>
    <mergeCell ref="N7:N8"/>
    <mergeCell ref="O7:O8"/>
    <mergeCell ref="M9:M10"/>
    <mergeCell ref="N9:N10"/>
    <mergeCell ref="O9:O10"/>
    <mergeCell ref="M11:M12"/>
    <mergeCell ref="N11:N12"/>
    <mergeCell ref="O11:O12"/>
    <mergeCell ref="M1:M2"/>
    <mergeCell ref="N1:N2"/>
    <mergeCell ref="O1:O2"/>
    <mergeCell ref="M3:M4"/>
    <mergeCell ref="N3:N4"/>
    <mergeCell ref="O3:O4"/>
    <mergeCell ref="M5:M6"/>
    <mergeCell ref="N5:N6"/>
    <mergeCell ref="O5:O6"/>
  </mergeCells>
  <pageMargins left="0.7" right="0.7" top="0.75" bottom="0.75" header="0.3" footer="0.3"/>
  <pageSetup paperSize="9" firstPageNumber="2147483648" orientation="portrait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theme="0"/>
    <pageSetUpPr fitToPage="1"/>
  </sheetPr>
  <dimension ref="A1:AS63"/>
  <sheetViews>
    <sheetView zoomScale="70" zoomScaleNormal="70" workbookViewId="0">
      <pane xSplit="1" ySplit="2" topLeftCell="B18" activePane="bottomRight" state="frozen"/>
      <selection activeCell="A25" sqref="A25"/>
      <selection pane="topRight"/>
      <selection pane="bottomLeft"/>
      <selection pane="bottomRight" activeCell="F26" sqref="F26"/>
    </sheetView>
  </sheetViews>
  <sheetFormatPr defaultColWidth="9.109375" defaultRowHeight="13.8"/>
  <cols>
    <col min="1" max="1" width="21" style="194" customWidth="1"/>
    <col min="2" max="2" width="12" style="193" bestFit="1" customWidth="1"/>
    <col min="3" max="3" width="15" style="193" customWidth="1"/>
    <col min="4" max="4" width="20.88671875" style="193" customWidth="1"/>
    <col min="5" max="5" width="18.109375" style="193" customWidth="1"/>
    <col min="6" max="6" width="15.6640625" style="193" customWidth="1"/>
    <col min="7" max="7" width="15.44140625" style="193" customWidth="1"/>
    <col min="8" max="8" width="17.109375" style="193" customWidth="1"/>
    <col min="9" max="9" width="14" style="193" customWidth="1"/>
    <col min="10" max="10" width="17.33203125" style="193" customWidth="1"/>
    <col min="11" max="11" width="13.44140625" style="193" customWidth="1"/>
    <col min="12" max="12" width="14.44140625" style="193" customWidth="1"/>
    <col min="13" max="13" width="16.33203125" style="193" customWidth="1"/>
    <col min="14" max="14" width="17.6640625" style="193" customWidth="1"/>
    <col min="15" max="15" width="15.6640625" style="193" customWidth="1"/>
    <col min="16" max="16" width="14.5546875" style="193" customWidth="1"/>
    <col min="17" max="17" width="16" style="193" customWidth="1"/>
    <col min="18" max="18" width="14" style="193" customWidth="1"/>
    <col min="19" max="19" width="21.44140625" style="193" customWidth="1"/>
    <col min="20" max="20" width="13.88671875" style="193" customWidth="1"/>
    <col min="21" max="21" width="13.6640625" style="193" customWidth="1"/>
    <col min="22" max="29" width="15" style="193" customWidth="1"/>
    <col min="30" max="30" width="14" style="193" customWidth="1"/>
    <col min="31" max="31" width="16.44140625" style="193" customWidth="1"/>
    <col min="32" max="32" width="15.44140625" style="193" customWidth="1"/>
    <col min="33" max="33" width="14.109375" style="193" customWidth="1"/>
    <col min="34" max="34" width="12.6640625" style="193" customWidth="1"/>
    <col min="35" max="35" width="13.88671875" style="193" customWidth="1"/>
    <col min="36" max="36" width="13.109375" style="193" customWidth="1"/>
    <col min="37" max="37" width="15" style="193" customWidth="1"/>
    <col min="38" max="39" width="14" style="193" customWidth="1"/>
    <col min="40" max="40" width="12.88671875" style="193" customWidth="1"/>
    <col min="41" max="41" width="13.109375" style="193" customWidth="1"/>
    <col min="42" max="42" width="14" style="193" customWidth="1"/>
    <col min="43" max="43" width="12.88671875" style="193" customWidth="1"/>
    <col min="44" max="44" width="13.109375" style="193" customWidth="1"/>
    <col min="45" max="45" width="14.88671875" style="193" customWidth="1"/>
    <col min="46" max="16384" width="9.109375" style="193"/>
  </cols>
  <sheetData>
    <row r="1" spans="1:45" ht="25.2">
      <c r="A1" s="708"/>
      <c r="B1" s="708"/>
      <c r="C1" s="708"/>
      <c r="D1" s="708"/>
      <c r="E1" s="708"/>
      <c r="F1" s="708"/>
      <c r="G1" s="708"/>
      <c r="H1" s="708"/>
      <c r="I1" s="708"/>
      <c r="J1" s="708"/>
      <c r="K1" s="708"/>
      <c r="L1" s="708"/>
      <c r="M1" s="708"/>
      <c r="N1" s="708"/>
      <c r="O1" s="708"/>
      <c r="P1" s="708"/>
      <c r="Q1" s="708"/>
      <c r="R1" s="708"/>
      <c r="S1" s="708"/>
      <c r="T1" s="708"/>
      <c r="U1" s="708"/>
      <c r="V1" s="708"/>
      <c r="W1" s="708"/>
      <c r="X1" s="708"/>
      <c r="Y1" s="708"/>
      <c r="Z1" s="708"/>
      <c r="AA1" s="708"/>
      <c r="AB1" s="708"/>
      <c r="AC1" s="708"/>
    </row>
    <row r="2" spans="1:45" s="469" customFormat="1">
      <c r="A2" s="475"/>
      <c r="B2" s="476" t="str">
        <f>'Расходы на ЗП ТОР'!D1</f>
        <v>I кв. 1 г.</v>
      </c>
      <c r="C2" s="476" t="str">
        <f>'Расходы на ЗП ТОР'!E1</f>
        <v>II кв. 1 г.</v>
      </c>
      <c r="D2" s="476" t="str">
        <f>'Расходы на ЗП ТОР'!F1</f>
        <v>III кв. 1 г.</v>
      </c>
      <c r="E2" s="476" t="str">
        <f>'Расходы на ЗП ТОР'!G1</f>
        <v>IV кв. 1 г.</v>
      </c>
      <c r="F2" s="476" t="str">
        <f>'Расходы на ЗП ТОР'!H1</f>
        <v>I кв. 2 г.</v>
      </c>
      <c r="G2" s="476" t="str">
        <f>'Расходы на ЗП ТОР'!I1</f>
        <v>II кв. 2 г.</v>
      </c>
      <c r="H2" s="476" t="str">
        <f>'Расходы на ЗП ТОР'!J1</f>
        <v>III кв. 2 г.</v>
      </c>
      <c r="I2" s="476" t="str">
        <f>'Расходы на ЗП ТОР'!K1</f>
        <v>IV кв. 2 г.</v>
      </c>
      <c r="J2" s="476" t="str">
        <f>'Расходы на ЗП ТОР'!L1</f>
        <v>I кв. 3 г.</v>
      </c>
      <c r="K2" s="476" t="str">
        <f>'Расходы на ЗП ТОР'!M1</f>
        <v>II кв. 3 г.</v>
      </c>
      <c r="L2" s="476" t="str">
        <f>'Расходы на ЗП ТОР'!N1</f>
        <v>III кв. 3 г.</v>
      </c>
      <c r="M2" s="476" t="str">
        <f>'Расходы на ЗП ТОР'!O1</f>
        <v>IV кв. 3 г.</v>
      </c>
      <c r="N2" s="476" t="str">
        <f>'Расходы на ЗП ТОР'!P1</f>
        <v>I кв. 4 г.</v>
      </c>
      <c r="O2" s="476" t="str">
        <f>'Расходы на ЗП ТОР'!Q1</f>
        <v>II кв. 4 г.</v>
      </c>
      <c r="P2" s="476" t="str">
        <f>'Расходы на ЗП ТОР'!R1</f>
        <v>III кв. 4 г.</v>
      </c>
      <c r="Q2" s="476" t="str">
        <f>'Расходы на ЗП ТОР'!S1</f>
        <v>IV кв. 4 г.</v>
      </c>
      <c r="R2" s="476" t="str">
        <f>'Расходы на ЗП ТОР'!T1</f>
        <v>I кв. 5 г.</v>
      </c>
      <c r="S2" s="476" t="str">
        <f>'Расходы на ЗП ТОР'!U1</f>
        <v>II кв. 5 г.</v>
      </c>
      <c r="T2" s="476" t="str">
        <f>'Расходы на ЗП ТОР'!V1</f>
        <v>III кв. 5 г.</v>
      </c>
      <c r="U2" s="476" t="str">
        <f>'Расходы на ЗП ТОР'!W1</f>
        <v>IV кв. 5 г.</v>
      </c>
      <c r="V2" s="476" t="str">
        <f>'Расходы на ЗП ТОР'!X1</f>
        <v>I кв. 6 г.</v>
      </c>
      <c r="W2" s="476" t="str">
        <f>'Расходы на ЗП ТОР'!Y1</f>
        <v>II кв. 6 г.</v>
      </c>
      <c r="X2" s="476" t="str">
        <f>'Расходы на ЗП ТОР'!Z1</f>
        <v>III кв. 6 г.</v>
      </c>
      <c r="Y2" s="476" t="str">
        <f>'Расходы на ЗП ТОР'!AA1</f>
        <v>IV кв. 6 г.</v>
      </c>
      <c r="Z2" s="476" t="str">
        <f>'Расходы на ЗП ТОР'!AB1</f>
        <v>I кв. 7 г.</v>
      </c>
      <c r="AA2" s="476" t="str">
        <f>'Расходы на ЗП ТОР'!AC1</f>
        <v>II кв. 7 г.</v>
      </c>
      <c r="AB2" s="476" t="str">
        <f>'Расходы на ЗП ТОР'!AD1</f>
        <v>III кв. 7 г.</v>
      </c>
      <c r="AC2" s="476" t="str">
        <f>'Расходы на ЗП ТОР'!AE1</f>
        <v>IV кв. 7 г.</v>
      </c>
      <c r="AD2" s="476" t="str">
        <f>'Расходы на ЗП ТОР'!AF1</f>
        <v>I кв. 8 г.</v>
      </c>
      <c r="AE2" s="476" t="str">
        <f>'Расходы на ЗП ТОР'!AG1</f>
        <v>II кв. 8 г.</v>
      </c>
      <c r="AF2" s="476" t="str">
        <f>'Расходы на ЗП ТОР'!AH1</f>
        <v>III кв. 8 г.</v>
      </c>
      <c r="AG2" s="476" t="str">
        <f>'Расходы на ЗП ТОР'!AI1</f>
        <v>IV кв. 8 г.</v>
      </c>
      <c r="AH2" s="476" t="str">
        <f>'Расходы на ЗП ТОР'!AJ1</f>
        <v>I кв. 9 г.</v>
      </c>
      <c r="AI2" s="476" t="str">
        <f>'Расходы на ЗП ТОР'!AK1</f>
        <v>II кв. 9 г.</v>
      </c>
      <c r="AJ2" s="476" t="str">
        <f>'Расходы на ЗП ТОР'!AL1</f>
        <v>III кв. 9 г.</v>
      </c>
      <c r="AK2" s="476" t="str">
        <f>'Расходы на ЗП ТОР'!AM1</f>
        <v>IV кв. 9 г.</v>
      </c>
      <c r="AL2" s="476" t="str">
        <f>'Расходы на ЗП ТОР'!AN1</f>
        <v>I кв. 10 г.</v>
      </c>
      <c r="AM2" s="476" t="str">
        <f>'Расходы на ЗП ТОР'!AO1</f>
        <v>II кв. 10 г.</v>
      </c>
      <c r="AN2" s="476" t="str">
        <f>'Расходы на ЗП ТОР'!AP1</f>
        <v>III кв. 10 г.</v>
      </c>
      <c r="AO2" s="476" t="str">
        <f>'Расходы на ЗП ТОР'!AQ1</f>
        <v>IV кв. 10 г.</v>
      </c>
      <c r="AP2" s="476" t="str">
        <f>'выручка по кв и годам'!AR1</f>
        <v>I кв. 11 г.</v>
      </c>
      <c r="AQ2" s="476" t="str">
        <f>'выручка по кв и годам'!AS1</f>
        <v>II кв. 11 г.</v>
      </c>
      <c r="AR2" s="476" t="str">
        <f>'выручка по кв и годам'!AT1</f>
        <v>III кв. 11 г.</v>
      </c>
      <c r="AS2" s="476" t="str">
        <f>'выручка по кв и годам'!AU1</f>
        <v>IV кв. 11 г.</v>
      </c>
    </row>
    <row r="3" spans="1:45" s="479" customFormat="1">
      <c r="A3" s="477" t="s">
        <v>265</v>
      </c>
      <c r="B3" s="478">
        <f>'выручка по кв и годам'!D5</f>
        <v>0</v>
      </c>
      <c r="C3" s="478">
        <f>'выручка по кв и годам'!E5</f>
        <v>0</v>
      </c>
      <c r="D3" s="478">
        <f>'выручка по кв и годам'!F5</f>
        <v>0</v>
      </c>
      <c r="E3" s="478">
        <f>'выручка по кв и годам'!G5</f>
        <v>0</v>
      </c>
      <c r="F3" s="478">
        <f>'выручка по кв и годам'!H5</f>
        <v>0</v>
      </c>
      <c r="G3" s="478">
        <f>'выручка по кв и годам'!I5</f>
        <v>0</v>
      </c>
      <c r="H3" s="478">
        <f>'выручка по кв и годам'!J5</f>
        <v>0</v>
      </c>
      <c r="I3" s="478">
        <f>'выручка по кв и годам'!K5</f>
        <v>0</v>
      </c>
      <c r="J3" s="478">
        <f>'выручка по кв и годам'!L5</f>
        <v>0</v>
      </c>
      <c r="K3" s="478">
        <f>'выручка по кв и годам'!M5</f>
        <v>0</v>
      </c>
      <c r="L3" s="478">
        <f>'выручка по кв и годам'!N5</f>
        <v>0</v>
      </c>
      <c r="M3" s="478">
        <f>'выручка по кв и годам'!O5</f>
        <v>0</v>
      </c>
      <c r="N3" s="478">
        <f>'выручка по кв и годам'!P5</f>
        <v>0</v>
      </c>
      <c r="O3" s="478">
        <f>'выручка по кв и годам'!Q5</f>
        <v>0</v>
      </c>
      <c r="P3" s="478">
        <f>'выручка по кв и годам'!R5</f>
        <v>0</v>
      </c>
      <c r="Q3" s="478">
        <f>'выручка по кв и годам'!S5</f>
        <v>0</v>
      </c>
      <c r="R3" s="478">
        <f>'выручка по кв и годам'!T5</f>
        <v>108797.5006543076</v>
      </c>
      <c r="S3" s="478">
        <f>'выручка по кв и годам'!U5</f>
        <v>108797.5006543076</v>
      </c>
      <c r="T3" s="478">
        <f>'выручка по кв и годам'!V5</f>
        <v>108797.5006543076</v>
      </c>
      <c r="U3" s="478">
        <f>'выручка по кв и годам'!W5</f>
        <v>108797.5006543076</v>
      </c>
      <c r="V3" s="478">
        <f>'выручка по кв и годам'!X5</f>
        <v>152445.59470386759</v>
      </c>
      <c r="W3" s="478">
        <f>'выручка по кв и годам'!Y5</f>
        <v>152445.59470386759</v>
      </c>
      <c r="X3" s="478">
        <f>'выручка по кв и годам'!Z5</f>
        <v>152445.59470386759</v>
      </c>
      <c r="Y3" s="478">
        <f>'выручка по кв и годам'!AA5</f>
        <v>152445.59470386759</v>
      </c>
      <c r="Z3" s="478">
        <f>'выручка по кв и годам'!AB5</f>
        <v>204438.18618657917</v>
      </c>
      <c r="AA3" s="478">
        <f>'выручка по кв и годам'!AC5</f>
        <v>204438.18618657917</v>
      </c>
      <c r="AB3" s="478">
        <f>'выручка по кв и годам'!AD5</f>
        <v>204438.18618657917</v>
      </c>
      <c r="AC3" s="478">
        <f>'выручка по кв и годам'!AE5</f>
        <v>204438.18618657917</v>
      </c>
      <c r="AD3" s="478">
        <f>'выручка по кв и годам'!AF5</f>
        <v>265822.37631496385</v>
      </c>
      <c r="AE3" s="478">
        <f>'выручка по кв и годам'!AG5</f>
        <v>265822.37631496385</v>
      </c>
      <c r="AF3" s="478">
        <f>'выручка по кв и годам'!AH5</f>
        <v>265822.37631496385</v>
      </c>
      <c r="AG3" s="478">
        <f>'выручка по кв и годам'!AI5</f>
        <v>265822.37631496385</v>
      </c>
      <c r="AH3" s="478">
        <f>'выручка по кв и годам'!AJ5</f>
        <v>321669.94370691769</v>
      </c>
      <c r="AI3" s="478">
        <f>'выручка по кв и годам'!AK5</f>
        <v>321669.94370691769</v>
      </c>
      <c r="AJ3" s="478">
        <f>'выручка по кв и годам'!AL5</f>
        <v>321669.94370691769</v>
      </c>
      <c r="AK3" s="478">
        <f>'выручка по кв и годам'!AM5</f>
        <v>321669.94370691769</v>
      </c>
      <c r="AL3" s="478">
        <f>'выручка по кв и годам'!AN5</f>
        <v>383186.18168434629</v>
      </c>
      <c r="AM3" s="478">
        <f>'выручка по кв и годам'!AO5</f>
        <v>383186.18168434629</v>
      </c>
      <c r="AN3" s="478">
        <f>'выручка по кв и годам'!AP5</f>
        <v>383186.18168434629</v>
      </c>
      <c r="AO3" s="478">
        <f>'выручка по кв и годам'!AQ5</f>
        <v>383186.18168434629</v>
      </c>
      <c r="AP3" s="478">
        <f>'выручка по кв и годам'!AR5</f>
        <v>405766.04800646182</v>
      </c>
      <c r="AQ3" s="478">
        <f>'выручка по кв и годам'!AS5</f>
        <v>405766.04800646182</v>
      </c>
      <c r="AR3" s="478">
        <f>'выручка по кв и годам'!AT5</f>
        <v>405766.04800646182</v>
      </c>
      <c r="AS3" s="478">
        <f>'выручка по кв и годам'!AU5</f>
        <v>405766.04800646182</v>
      </c>
    </row>
    <row r="4" spans="1:45" s="479" customFormat="1" ht="27.6">
      <c r="A4" s="477" t="s">
        <v>266</v>
      </c>
      <c r="B4" s="478">
        <f>'Расходы ТОР'!B18</f>
        <v>0</v>
      </c>
      <c r="C4" s="478">
        <f>'Расходы ТОР'!C18</f>
        <v>0</v>
      </c>
      <c r="D4" s="478">
        <f>'Расходы ТОР'!D18</f>
        <v>1.35963908325</v>
      </c>
      <c r="E4" s="478">
        <f>'Расходы ТОР'!E18</f>
        <v>1.35963908325</v>
      </c>
      <c r="F4" s="478">
        <f>'Расходы ТОР'!F18</f>
        <v>1.35963908325</v>
      </c>
      <c r="G4" s="478">
        <f>'Расходы ТОР'!G18</f>
        <v>1.35963908325</v>
      </c>
      <c r="H4" s="478">
        <f>'Расходы ТОР'!H18</f>
        <v>1.35963908325</v>
      </c>
      <c r="I4" s="478">
        <f>'Расходы ТОР'!I18</f>
        <v>1.35963908325</v>
      </c>
      <c r="J4" s="478">
        <f>'Расходы ТОР'!J18</f>
        <v>1.35963908325</v>
      </c>
      <c r="K4" s="478">
        <f>'Расходы ТОР'!K18</f>
        <v>1.35963908325</v>
      </c>
      <c r="L4" s="478">
        <f>'Расходы ТОР'!L18</f>
        <v>1.35963908325</v>
      </c>
      <c r="M4" s="478">
        <f>'Расходы ТОР'!M18</f>
        <v>1.35963908325</v>
      </c>
      <c r="N4" s="478">
        <f>'Расходы ТОР'!N18</f>
        <v>1.35963908325</v>
      </c>
      <c r="O4" s="478">
        <f>'Расходы ТОР'!O18</f>
        <v>1.35963908325</v>
      </c>
      <c r="P4" s="478">
        <f>'Расходы ТОР'!P18</f>
        <v>1.35963908325</v>
      </c>
      <c r="Q4" s="478">
        <f>'Расходы ТОР'!Q18</f>
        <v>1.35963908325</v>
      </c>
      <c r="R4" s="478">
        <f>'Расходы ТОР'!R18</f>
        <v>39328.187645520418</v>
      </c>
      <c r="S4" s="478">
        <f>'Расходы ТОР'!S18</f>
        <v>34994.854355520423</v>
      </c>
      <c r="T4" s="478">
        <f>'Расходы ТОР'!T18</f>
        <v>47161.521013853751</v>
      </c>
      <c r="U4" s="478">
        <f>'Расходы ТОР'!U18</f>
        <v>5494.8543205204187</v>
      </c>
      <c r="V4" s="478">
        <f>'Расходы ТОР'!V18</f>
        <v>76619.859468832059</v>
      </c>
      <c r="W4" s="478">
        <f>'Расходы ТОР'!W18</f>
        <v>76619.859468832059</v>
      </c>
      <c r="X4" s="478">
        <f>'Расходы ТОР'!X18</f>
        <v>76619.859468832059</v>
      </c>
      <c r="Y4" s="478">
        <f>'Расходы ТОР'!Y18</f>
        <v>78114.026135498731</v>
      </c>
      <c r="Z4" s="478">
        <f>'Расходы ТОР'!Z18</f>
        <v>97588.007510842188</v>
      </c>
      <c r="AA4" s="478">
        <f>'Расходы ТОР'!AA18</f>
        <v>97586.174177508859</v>
      </c>
      <c r="AB4" s="478">
        <f>'Расходы ТОР'!AB18</f>
        <v>97584.340844175531</v>
      </c>
      <c r="AC4" s="478">
        <f>'Расходы ТОР'!AC18</f>
        <v>97582.507510842188</v>
      </c>
      <c r="AD4" s="478">
        <f>'Расходы ТОР'!AD18</f>
        <v>120443.8865832367</v>
      </c>
      <c r="AE4" s="478">
        <f>'Расходы ТОР'!AE18</f>
        <v>120442.05324990337</v>
      </c>
      <c r="AF4" s="478">
        <f>'Расходы ТОР'!AF18</f>
        <v>120440.21991657003</v>
      </c>
      <c r="AG4" s="478">
        <f>'Расходы ТОР'!AG18</f>
        <v>120438.3865832367</v>
      </c>
      <c r="AH4" s="478">
        <f>'Расходы ТОР'!AH18</f>
        <v>141396.27863955183</v>
      </c>
      <c r="AI4" s="478">
        <f>'Расходы ТОР'!AI18</f>
        <v>141394.44530621852</v>
      </c>
      <c r="AJ4" s="478">
        <f>'Расходы ТОР'!AJ18</f>
        <v>141392.61197288518</v>
      </c>
      <c r="AK4" s="478">
        <f>'Расходы ТОР'!AK18</f>
        <v>141390.77863955183</v>
      </c>
      <c r="AL4" s="478">
        <f>'Расходы ТОР'!AL18</f>
        <v>164436.95966788349</v>
      </c>
      <c r="AM4" s="478">
        <f>'Расходы ТОР'!AM18</f>
        <v>164435.12633455015</v>
      </c>
      <c r="AN4" s="478">
        <f>'Расходы ТОР'!AN18</f>
        <v>164433.29300121681</v>
      </c>
      <c r="AO4" s="478">
        <f>'Расходы ТОР'!AO18</f>
        <v>164431.45966788349</v>
      </c>
      <c r="AP4" s="478">
        <f>'Расходы ТОР'!AP18</f>
        <v>172522.25042439636</v>
      </c>
      <c r="AQ4" s="478">
        <f>'Расходы ТОР'!AQ18</f>
        <v>172520.41709106302</v>
      </c>
      <c r="AR4" s="478">
        <f>'Расходы ТОР'!AR18</f>
        <v>172518.58375772971</v>
      </c>
      <c r="AS4" s="478">
        <f>'Расходы ТОР'!AS18</f>
        <v>172516.75042439636</v>
      </c>
    </row>
    <row r="5" spans="1:45" s="479" customFormat="1" ht="27.6">
      <c r="A5" s="477" t="s">
        <v>267</v>
      </c>
      <c r="B5" s="480">
        <f>'Расходы на П, строит-во, ввод'!B12</f>
        <v>0</v>
      </c>
      <c r="C5" s="480">
        <f>'Расходы на П, строит-во, ввод'!C12</f>
        <v>0</v>
      </c>
      <c r="D5" s="480">
        <f>'Расходы на П, строит-во, ввод'!D12</f>
        <v>2000</v>
      </c>
      <c r="E5" s="480">
        <f>'Расходы на П, строит-во, ввод'!E12</f>
        <v>0</v>
      </c>
      <c r="F5" s="480">
        <f>'Расходы на П, строит-во, ввод'!F12</f>
        <v>2000</v>
      </c>
      <c r="G5" s="480">
        <f>'Расходы на П, строит-во, ввод'!G12</f>
        <v>0</v>
      </c>
      <c r="H5" s="480">
        <f>'Расходы на П, строит-во, ввод'!H12</f>
        <v>0</v>
      </c>
      <c r="I5" s="480">
        <f>'Расходы на П, строит-во, ввод'!I12</f>
        <v>0</v>
      </c>
      <c r="J5" s="480">
        <f>'Расходы на П, строит-во, ввод'!J12</f>
        <v>0</v>
      </c>
      <c r="K5" s="480">
        <f>'Расходы на П, строит-во, ввод'!K12</f>
        <v>124000.00013</v>
      </c>
      <c r="L5" s="480">
        <f>'Расходы на П, строит-во, ввод'!L12</f>
        <v>149999.99987</v>
      </c>
      <c r="M5" s="480">
        <f>'Расходы на П, строит-во, ввод'!M12</f>
        <v>0</v>
      </c>
      <c r="N5" s="480">
        <f>'Расходы на П, строит-во, ввод'!N12</f>
        <v>0</v>
      </c>
      <c r="O5" s="480">
        <f>'Расходы на П, строит-во, ввод'!O12</f>
        <v>0</v>
      </c>
      <c r="P5" s="480">
        <f>'Расходы на П, строит-во, ввод'!P12</f>
        <v>76999.999920000002</v>
      </c>
      <c r="Q5" s="480">
        <f>'Расходы на П, строит-во, ввод'!Q12</f>
        <v>427000.00008000003</v>
      </c>
      <c r="R5" s="480"/>
      <c r="S5" s="481"/>
      <c r="T5" s="481"/>
      <c r="U5" s="481"/>
      <c r="V5" s="481"/>
      <c r="W5" s="481"/>
      <c r="X5" s="481"/>
      <c r="Y5" s="481"/>
      <c r="Z5" s="481"/>
      <c r="AA5" s="481"/>
      <c r="AB5" s="481"/>
      <c r="AC5" s="481"/>
      <c r="AD5" s="481"/>
      <c r="AE5" s="481"/>
      <c r="AF5" s="481"/>
      <c r="AG5" s="481"/>
      <c r="AH5" s="481"/>
      <c r="AI5" s="481"/>
      <c r="AJ5" s="481"/>
      <c r="AK5" s="481"/>
      <c r="AL5" s="481"/>
      <c r="AM5" s="481"/>
      <c r="AN5" s="481"/>
      <c r="AO5" s="481"/>
      <c r="AP5" s="481"/>
      <c r="AQ5" s="481"/>
      <c r="AR5" s="481"/>
      <c r="AS5" s="481"/>
    </row>
    <row r="6" spans="1:45" s="479" customFormat="1" ht="27.6">
      <c r="A6" s="477" t="s">
        <v>268</v>
      </c>
      <c r="B6" s="482">
        <f>B3-B4</f>
        <v>0</v>
      </c>
      <c r="C6" s="482">
        <f t="shared" ref="C6:AS6" si="0">C3-C4</f>
        <v>0</v>
      </c>
      <c r="D6" s="482">
        <f t="shared" si="0"/>
        <v>-1.35963908325</v>
      </c>
      <c r="E6" s="482">
        <f t="shared" si="0"/>
        <v>-1.35963908325</v>
      </c>
      <c r="F6" s="482">
        <f t="shared" si="0"/>
        <v>-1.35963908325</v>
      </c>
      <c r="G6" s="482">
        <f t="shared" si="0"/>
        <v>-1.35963908325</v>
      </c>
      <c r="H6" s="482">
        <f t="shared" si="0"/>
        <v>-1.35963908325</v>
      </c>
      <c r="I6" s="482">
        <f t="shared" si="0"/>
        <v>-1.35963908325</v>
      </c>
      <c r="J6" s="482">
        <f t="shared" si="0"/>
        <v>-1.35963908325</v>
      </c>
      <c r="K6" s="482">
        <f t="shared" si="0"/>
        <v>-1.35963908325</v>
      </c>
      <c r="L6" s="482">
        <f t="shared" si="0"/>
        <v>-1.35963908325</v>
      </c>
      <c r="M6" s="482">
        <f>M3-M4</f>
        <v>-1.35963908325</v>
      </c>
      <c r="N6" s="482">
        <f t="shared" si="0"/>
        <v>-1.35963908325</v>
      </c>
      <c r="O6" s="482">
        <f t="shared" si="0"/>
        <v>-1.35963908325</v>
      </c>
      <c r="P6" s="482">
        <f t="shared" si="0"/>
        <v>-1.35963908325</v>
      </c>
      <c r="Q6" s="482">
        <f t="shared" si="0"/>
        <v>-1.35963908325</v>
      </c>
      <c r="R6" s="482">
        <f t="shared" si="0"/>
        <v>69469.313008787183</v>
      </c>
      <c r="S6" s="482">
        <f t="shared" si="0"/>
        <v>73802.646298787178</v>
      </c>
      <c r="T6" s="482">
        <f t="shared" si="0"/>
        <v>61635.97964045385</v>
      </c>
      <c r="U6" s="482">
        <f t="shared" si="0"/>
        <v>103302.64633378718</v>
      </c>
      <c r="V6" s="482">
        <f t="shared" si="0"/>
        <v>75825.735235035536</v>
      </c>
      <c r="W6" s="482">
        <f t="shared" si="0"/>
        <v>75825.735235035536</v>
      </c>
      <c r="X6" s="482">
        <f t="shared" si="0"/>
        <v>75825.735235035536</v>
      </c>
      <c r="Y6" s="482">
        <f t="shared" si="0"/>
        <v>74331.568568368864</v>
      </c>
      <c r="Z6" s="482">
        <f t="shared" si="0"/>
        <v>106850.17867573698</v>
      </c>
      <c r="AA6" s="482">
        <f t="shared" si="0"/>
        <v>106852.01200907031</v>
      </c>
      <c r="AB6" s="482">
        <f t="shared" si="0"/>
        <v>106853.84534240364</v>
      </c>
      <c r="AC6" s="482">
        <f t="shared" si="0"/>
        <v>106855.67867573698</v>
      </c>
      <c r="AD6" s="482">
        <f t="shared" si="0"/>
        <v>145378.48973172717</v>
      </c>
      <c r="AE6" s="482">
        <f t="shared" si="0"/>
        <v>145380.32306506048</v>
      </c>
      <c r="AF6" s="482">
        <f t="shared" si="0"/>
        <v>145382.15639839382</v>
      </c>
      <c r="AG6" s="482">
        <f t="shared" si="0"/>
        <v>145383.98973172717</v>
      </c>
      <c r="AH6" s="482">
        <f t="shared" si="0"/>
        <v>180273.66506736586</v>
      </c>
      <c r="AI6" s="482">
        <f t="shared" si="0"/>
        <v>180275.49840069917</v>
      </c>
      <c r="AJ6" s="482">
        <f t="shared" si="0"/>
        <v>180277.33173403252</v>
      </c>
      <c r="AK6" s="482">
        <f t="shared" si="0"/>
        <v>180279.16506736586</v>
      </c>
      <c r="AL6" s="482">
        <f t="shared" si="0"/>
        <v>218749.22201646279</v>
      </c>
      <c r="AM6" s="482">
        <f t="shared" si="0"/>
        <v>218751.05534979614</v>
      </c>
      <c r="AN6" s="482">
        <f t="shared" si="0"/>
        <v>218752.88868312948</v>
      </c>
      <c r="AO6" s="482">
        <f t="shared" si="0"/>
        <v>218754.72201646279</v>
      </c>
      <c r="AP6" s="482">
        <f t="shared" si="0"/>
        <v>233243.79758206545</v>
      </c>
      <c r="AQ6" s="482">
        <f t="shared" si="0"/>
        <v>233245.6309153988</v>
      </c>
      <c r="AR6" s="482">
        <f t="shared" si="0"/>
        <v>233247.46424873211</v>
      </c>
      <c r="AS6" s="482">
        <f t="shared" si="0"/>
        <v>233249.29758206545</v>
      </c>
    </row>
    <row r="7" spans="1:45" s="240" customFormat="1" ht="54" customHeight="1">
      <c r="A7" s="241" t="s">
        <v>269</v>
      </c>
      <c r="B7" s="242"/>
      <c r="C7" s="242"/>
      <c r="D7" s="243">
        <f>'Расходы по займу'!D4</f>
        <v>0</v>
      </c>
      <c r="E7" s="243">
        <f>'Расходы по займу'!E4</f>
        <v>0</v>
      </c>
      <c r="F7" s="243">
        <f>'Расходы по займу'!F4</f>
        <v>0</v>
      </c>
      <c r="G7" s="243">
        <f>'Расходы по займу'!G4</f>
        <v>0</v>
      </c>
      <c r="H7" s="243">
        <f>'Расходы по займу'!H4</f>
        <v>0</v>
      </c>
      <c r="I7" s="243">
        <f>'Расходы по займу'!I4</f>
        <v>0</v>
      </c>
      <c r="J7" s="243">
        <f>'Расходы по займу'!J4</f>
        <v>0</v>
      </c>
      <c r="K7" s="243">
        <f>'Расходы по займу'!K4</f>
        <v>0</v>
      </c>
      <c r="L7" s="243">
        <f>'Расходы по займу'!L4</f>
        <v>0</v>
      </c>
      <c r="M7" s="243">
        <f>'Расходы по займу'!M4</f>
        <v>0</v>
      </c>
      <c r="N7" s="243">
        <f>'Расходы по займу'!N4</f>
        <v>0</v>
      </c>
      <c r="O7" s="243">
        <f>'Расходы по займу'!O4</f>
        <v>0</v>
      </c>
      <c r="P7" s="243">
        <f>'Расходы по займу'!P4</f>
        <v>2525</v>
      </c>
      <c r="Q7" s="243">
        <f>'Расходы по займу'!Q4</f>
        <v>7365.2408545770522</v>
      </c>
      <c r="R7" s="243">
        <f>'Расходы по займу'!R4</f>
        <v>7045.9897069978197</v>
      </c>
      <c r="S7" s="243">
        <f>'Расходы по займу'!S4</f>
        <v>6720.7151102154467</v>
      </c>
      <c r="T7" s="243">
        <f>'Расходы по займу'!T4</f>
        <v>6389.3034172138487</v>
      </c>
      <c r="U7" s="243">
        <f>'Расходы по займу'!U4</f>
        <v>6051.6388367496411</v>
      </c>
      <c r="V7" s="243">
        <f>'Расходы по займу'!V4</f>
        <v>5707.603392896066</v>
      </c>
      <c r="W7" s="243">
        <f>'Расходы по займу'!W4</f>
        <v>5357.0768838236299</v>
      </c>
      <c r="X7" s="243">
        <f>'Расходы по займу'!X4</f>
        <v>4999.9368398030419</v>
      </c>
      <c r="Y7" s="243">
        <f>'Расходы по займу'!Y4</f>
        <v>4636.0584804157661</v>
      </c>
      <c r="Z7" s="243">
        <f>'Расходы по займу'!Z4</f>
        <v>4265.3146709572484</v>
      </c>
      <c r="AA7" s="243">
        <f>'Расходы по займу'!AA4</f>
        <v>3887.5758780175856</v>
      </c>
      <c r="AB7" s="243">
        <f>'Расходы по займу'!AB4</f>
        <v>3502.7101242241233</v>
      </c>
      <c r="AC7" s="243">
        <f>'Расходы по займу'!AC4</f>
        <v>3110.5829421301451</v>
      </c>
      <c r="AD7" s="243">
        <f>'Расходы по займу'!AD4</f>
        <v>2711.0573272335778</v>
      </c>
      <c r="AE7" s="243">
        <f>'Расходы по займу'!AE4</f>
        <v>2303.9936901092701</v>
      </c>
      <c r="AF7" s="243">
        <f>'Расходы по займу'!AF4</f>
        <v>1889.2498076381357</v>
      </c>
      <c r="AG7" s="243">
        <f>'Расходы по займу'!AG4</f>
        <v>1466.6807733161099</v>
      </c>
      <c r="AH7" s="243">
        <f>'Расходы по займу'!AH4</f>
        <v>1036.1389466255682</v>
      </c>
      <c r="AI7" s="243">
        <f>'Расходы по займу'!AI4</f>
        <v>597.47390145151303</v>
      </c>
      <c r="AJ7" s="243">
        <f>'Расходы по займу'!AJ4</f>
        <v>150.5323735245039</v>
      </c>
      <c r="AK7" s="243">
        <f>'Расходы по займу'!AK4</f>
        <v>0</v>
      </c>
      <c r="AL7" s="243"/>
      <c r="AM7" s="243"/>
      <c r="AN7" s="244"/>
      <c r="AO7" s="244"/>
      <c r="AP7" s="245"/>
      <c r="AQ7" s="244"/>
      <c r="AR7" s="244"/>
      <c r="AS7" s="239"/>
    </row>
    <row r="8" spans="1:45" s="223" customFormat="1" ht="63.75" customHeight="1">
      <c r="A8" s="241" t="s">
        <v>270</v>
      </c>
      <c r="B8" s="246">
        <f>B6-B7</f>
        <v>0</v>
      </c>
      <c r="C8" s="246">
        <f t="shared" ref="C8" si="1">C6-C7</f>
        <v>0</v>
      </c>
      <c r="D8" s="246">
        <f>D6-D7</f>
        <v>-1.35963908325</v>
      </c>
      <c r="E8" s="246">
        <f>E6-E7</f>
        <v>-1.35963908325</v>
      </c>
      <c r="F8" s="247">
        <f>F6-F7</f>
        <v>-1.35963908325</v>
      </c>
      <c r="G8" s="248">
        <f t="shared" ref="G8:AS8" si="2">G6-G7</f>
        <v>-1.35963908325</v>
      </c>
      <c r="H8" s="249">
        <f t="shared" ref="H8:AN8" si="3">H6-H7</f>
        <v>-1.35963908325</v>
      </c>
      <c r="I8" s="249">
        <f t="shared" si="3"/>
        <v>-1.35963908325</v>
      </c>
      <c r="J8" s="239">
        <f t="shared" si="3"/>
        <v>-1.35963908325</v>
      </c>
      <c r="K8" s="239">
        <f t="shared" si="3"/>
        <v>-1.35963908325</v>
      </c>
      <c r="L8" s="239">
        <f t="shared" si="3"/>
        <v>-1.35963908325</v>
      </c>
      <c r="M8" s="239">
        <f>M6-M7</f>
        <v>-1.35963908325</v>
      </c>
      <c r="N8" s="239">
        <f t="shared" si="3"/>
        <v>-1.35963908325</v>
      </c>
      <c r="O8" s="239">
        <f t="shared" si="3"/>
        <v>-1.35963908325</v>
      </c>
      <c r="P8" s="239">
        <f t="shared" si="3"/>
        <v>-2526.3596390832499</v>
      </c>
      <c r="Q8" s="239">
        <f t="shared" si="3"/>
        <v>-7366.6004936603022</v>
      </c>
      <c r="R8" s="239">
        <f t="shared" si="3"/>
        <v>62423.323301789365</v>
      </c>
      <c r="S8" s="239">
        <f t="shared" si="3"/>
        <v>67081.931188571732</v>
      </c>
      <c r="T8" s="239">
        <f t="shared" si="3"/>
        <v>55246.67622324</v>
      </c>
      <c r="U8" s="239">
        <f t="shared" si="3"/>
        <v>97251.007497037543</v>
      </c>
      <c r="V8" s="239">
        <f t="shared" si="3"/>
        <v>70118.131842139468</v>
      </c>
      <c r="W8" s="239">
        <f t="shared" si="3"/>
        <v>70468.65835121191</v>
      </c>
      <c r="X8" s="239">
        <f t="shared" si="3"/>
        <v>70825.798395232501</v>
      </c>
      <c r="Y8" s="239">
        <f t="shared" si="3"/>
        <v>69695.510087953095</v>
      </c>
      <c r="Z8" s="239">
        <f t="shared" si="3"/>
        <v>102584.86400477974</v>
      </c>
      <c r="AA8" s="239">
        <f t="shared" si="3"/>
        <v>102964.43613105273</v>
      </c>
      <c r="AB8" s="239">
        <f t="shared" si="3"/>
        <v>103351.13521817952</v>
      </c>
      <c r="AC8" s="239">
        <f t="shared" si="3"/>
        <v>103745.09573360684</v>
      </c>
      <c r="AD8" s="239">
        <f t="shared" si="3"/>
        <v>142667.43240449359</v>
      </c>
      <c r="AE8" s="239">
        <f t="shared" si="3"/>
        <v>143076.32937495122</v>
      </c>
      <c r="AF8" s="239">
        <f t="shared" si="3"/>
        <v>143492.90659075568</v>
      </c>
      <c r="AG8" s="239">
        <f t="shared" si="3"/>
        <v>143917.30895841107</v>
      </c>
      <c r="AH8" s="239">
        <f t="shared" si="3"/>
        <v>179237.52612074028</v>
      </c>
      <c r="AI8" s="239">
        <f t="shared" si="3"/>
        <v>179678.02449924767</v>
      </c>
      <c r="AJ8" s="239">
        <f t="shared" si="3"/>
        <v>180126.79936050801</v>
      </c>
      <c r="AK8" s="239">
        <f t="shared" si="3"/>
        <v>180279.16506736586</v>
      </c>
      <c r="AL8" s="239">
        <f t="shared" si="3"/>
        <v>218749.22201646279</v>
      </c>
      <c r="AM8" s="239">
        <f t="shared" si="3"/>
        <v>218751.05534979614</v>
      </c>
      <c r="AN8" s="239">
        <f t="shared" si="3"/>
        <v>218752.88868312948</v>
      </c>
      <c r="AO8" s="239">
        <f t="shared" si="2"/>
        <v>218754.72201646279</v>
      </c>
      <c r="AP8" s="239">
        <f>AP6-AP7</f>
        <v>233243.79758206545</v>
      </c>
      <c r="AQ8" s="239">
        <f t="shared" si="2"/>
        <v>233245.6309153988</v>
      </c>
      <c r="AR8" s="239">
        <f t="shared" si="2"/>
        <v>233247.46424873211</v>
      </c>
      <c r="AS8" s="239">
        <f t="shared" si="2"/>
        <v>233249.29758206545</v>
      </c>
    </row>
    <row r="9" spans="1:45" s="223" customFormat="1" ht="61.5" customHeight="1">
      <c r="A9" s="241" t="s">
        <v>271</v>
      </c>
      <c r="B9" s="247">
        <f>IF(B8&lt;0,0,B8*0)</f>
        <v>0</v>
      </c>
      <c r="C9" s="247">
        <f>IF(C8&lt;0,0,C8*0)</f>
        <v>0</v>
      </c>
      <c r="D9" s="292">
        <f>IF(D8&lt;0,0,D8*0)</f>
        <v>0</v>
      </c>
      <c r="E9" s="292">
        <f t="shared" ref="E9:W9" si="4">IF(E8&lt;0,0,E8*0)</f>
        <v>0</v>
      </c>
      <c r="F9" s="292">
        <f t="shared" si="4"/>
        <v>0</v>
      </c>
      <c r="G9" s="292">
        <f t="shared" si="4"/>
        <v>0</v>
      </c>
      <c r="H9" s="292">
        <f t="shared" si="4"/>
        <v>0</v>
      </c>
      <c r="I9" s="292">
        <f t="shared" si="4"/>
        <v>0</v>
      </c>
      <c r="J9" s="292">
        <f t="shared" si="4"/>
        <v>0</v>
      </c>
      <c r="K9" s="292">
        <f t="shared" si="4"/>
        <v>0</v>
      </c>
      <c r="L9" s="292">
        <f t="shared" si="4"/>
        <v>0</v>
      </c>
      <c r="M9" s="292">
        <f t="shared" si="4"/>
        <v>0</v>
      </c>
      <c r="N9" s="292">
        <f t="shared" si="4"/>
        <v>0</v>
      </c>
      <c r="O9" s="292">
        <f t="shared" si="4"/>
        <v>0</v>
      </c>
      <c r="P9" s="292">
        <f t="shared" si="4"/>
        <v>0</v>
      </c>
      <c r="Q9" s="292">
        <f t="shared" si="4"/>
        <v>0</v>
      </c>
      <c r="R9" s="292">
        <f t="shared" si="4"/>
        <v>0</v>
      </c>
      <c r="S9" s="292">
        <f t="shared" si="4"/>
        <v>0</v>
      </c>
      <c r="T9" s="292">
        <f t="shared" si="4"/>
        <v>0</v>
      </c>
      <c r="U9" s="292">
        <f t="shared" si="4"/>
        <v>0</v>
      </c>
      <c r="V9" s="292">
        <f t="shared" si="4"/>
        <v>0</v>
      </c>
      <c r="W9" s="292">
        <f t="shared" si="4"/>
        <v>0</v>
      </c>
      <c r="X9" s="483">
        <f>IF(X8&lt;0,0,X8*0.12)</f>
        <v>8499.0958074279006</v>
      </c>
      <c r="Y9" s="292">
        <f>IF(Y8&lt;0,0,Y8*0.12)</f>
        <v>8363.4612105543711</v>
      </c>
      <c r="Z9" s="292">
        <f t="shared" ref="Z9:AQ9" si="5">IF(Z8&lt;0,0,Z8*0.12)</f>
        <v>12310.183680573567</v>
      </c>
      <c r="AA9" s="292">
        <f t="shared" si="5"/>
        <v>12355.732335726327</v>
      </c>
      <c r="AB9" s="292">
        <f t="shared" si="5"/>
        <v>12402.136226181543</v>
      </c>
      <c r="AC9" s="292">
        <f t="shared" si="5"/>
        <v>12449.41148803282</v>
      </c>
      <c r="AD9" s="292">
        <f t="shared" si="5"/>
        <v>17120.091888539231</v>
      </c>
      <c r="AE9" s="292">
        <f t="shared" si="5"/>
        <v>17169.159524994146</v>
      </c>
      <c r="AF9" s="292">
        <f t="shared" si="5"/>
        <v>17219.148790890682</v>
      </c>
      <c r="AG9" s="292">
        <f t="shared" si="5"/>
        <v>17270.077075009329</v>
      </c>
      <c r="AH9" s="292">
        <f t="shared" si="5"/>
        <v>21508.503134488834</v>
      </c>
      <c r="AI9" s="292">
        <f t="shared" si="5"/>
        <v>21561.362939909719</v>
      </c>
      <c r="AJ9" s="292">
        <f t="shared" si="5"/>
        <v>21615.215923260959</v>
      </c>
      <c r="AK9" s="292">
        <f t="shared" si="5"/>
        <v>21633.499808083903</v>
      </c>
      <c r="AL9" s="292">
        <f t="shared" si="5"/>
        <v>26249.906641975533</v>
      </c>
      <c r="AM9" s="292">
        <f t="shared" si="5"/>
        <v>26250.126641975534</v>
      </c>
      <c r="AN9" s="292">
        <f t="shared" si="5"/>
        <v>26250.346641975535</v>
      </c>
      <c r="AO9" s="292">
        <f t="shared" si="5"/>
        <v>26250.566641975533</v>
      </c>
      <c r="AP9" s="292">
        <f t="shared" si="5"/>
        <v>27989.255709847854</v>
      </c>
      <c r="AQ9" s="292">
        <f t="shared" si="5"/>
        <v>27989.475709847855</v>
      </c>
      <c r="AR9" s="483">
        <f t="shared" ref="AR9:AS9" si="6">IF(AR8&lt;0,0,AR8*0.2)</f>
        <v>46649.492849746428</v>
      </c>
      <c r="AS9" s="297">
        <f t="shared" si="6"/>
        <v>46649.859516413097</v>
      </c>
    </row>
    <row r="10" spans="1:45" s="488" customFormat="1" ht="60" customHeight="1">
      <c r="A10" s="484" t="s">
        <v>272</v>
      </c>
      <c r="B10" s="485">
        <f t="shared" ref="B10:E10" si="7">B8-B9</f>
        <v>0</v>
      </c>
      <c r="C10" s="485">
        <f t="shared" si="7"/>
        <v>0</v>
      </c>
      <c r="D10" s="486">
        <f t="shared" si="7"/>
        <v>-1.35963908325</v>
      </c>
      <c r="E10" s="486">
        <f t="shared" si="7"/>
        <v>-1.35963908325</v>
      </c>
      <c r="F10" s="486">
        <f t="shared" ref="F10:AS10" si="8">F8-F9</f>
        <v>-1.35963908325</v>
      </c>
      <c r="G10" s="487">
        <f t="shared" si="8"/>
        <v>-1.35963908325</v>
      </c>
      <c r="H10" s="487">
        <f>H8-H9</f>
        <v>-1.35963908325</v>
      </c>
      <c r="I10" s="487">
        <f t="shared" si="8"/>
        <v>-1.35963908325</v>
      </c>
      <c r="J10" s="487">
        <f t="shared" si="8"/>
        <v>-1.35963908325</v>
      </c>
      <c r="K10" s="487">
        <f t="shared" si="8"/>
        <v>-1.35963908325</v>
      </c>
      <c r="L10" s="487">
        <f t="shared" si="8"/>
        <v>-1.35963908325</v>
      </c>
      <c r="M10" s="487">
        <f t="shared" si="8"/>
        <v>-1.35963908325</v>
      </c>
      <c r="N10" s="487">
        <f t="shared" si="8"/>
        <v>-1.35963908325</v>
      </c>
      <c r="O10" s="487">
        <f t="shared" si="8"/>
        <v>-1.35963908325</v>
      </c>
      <c r="P10" s="487">
        <f t="shared" si="8"/>
        <v>-2526.3596390832499</v>
      </c>
      <c r="Q10" s="487">
        <f>Q8-Q9</f>
        <v>-7366.6004936603022</v>
      </c>
      <c r="R10" s="487">
        <f t="shared" si="8"/>
        <v>62423.323301789365</v>
      </c>
      <c r="S10" s="487">
        <f t="shared" si="8"/>
        <v>67081.931188571732</v>
      </c>
      <c r="T10" s="487">
        <f t="shared" si="8"/>
        <v>55246.67622324</v>
      </c>
      <c r="U10" s="487">
        <f t="shared" si="8"/>
        <v>97251.007497037543</v>
      </c>
      <c r="V10" s="487">
        <f t="shared" si="8"/>
        <v>70118.131842139468</v>
      </c>
      <c r="W10" s="487">
        <f t="shared" si="8"/>
        <v>70468.65835121191</v>
      </c>
      <c r="X10" s="487">
        <f t="shared" si="8"/>
        <v>62326.702587804597</v>
      </c>
      <c r="Y10" s="487">
        <f t="shared" si="8"/>
        <v>61332.048877398724</v>
      </c>
      <c r="Z10" s="487">
        <f t="shared" si="8"/>
        <v>90274.680324206172</v>
      </c>
      <c r="AA10" s="487">
        <f t="shared" si="8"/>
        <v>90608.703795326408</v>
      </c>
      <c r="AB10" s="487">
        <f t="shared" si="8"/>
        <v>90948.998991997985</v>
      </c>
      <c r="AC10" s="487">
        <f t="shared" si="8"/>
        <v>91295.684245574026</v>
      </c>
      <c r="AD10" s="487">
        <f t="shared" si="8"/>
        <v>125547.34051595436</v>
      </c>
      <c r="AE10" s="487">
        <f t="shared" si="8"/>
        <v>125907.16984995708</v>
      </c>
      <c r="AF10" s="487">
        <f t="shared" si="8"/>
        <v>126273.75779986499</v>
      </c>
      <c r="AG10" s="487">
        <f t="shared" si="8"/>
        <v>126647.23188340175</v>
      </c>
      <c r="AH10" s="487">
        <f t="shared" si="8"/>
        <v>157729.02298625145</v>
      </c>
      <c r="AI10" s="487">
        <f t="shared" si="8"/>
        <v>158116.66155933795</v>
      </c>
      <c r="AJ10" s="487">
        <f t="shared" si="8"/>
        <v>158511.58343724706</v>
      </c>
      <c r="AK10" s="487">
        <f t="shared" si="8"/>
        <v>158645.66525928196</v>
      </c>
      <c r="AL10" s="487">
        <f t="shared" si="8"/>
        <v>192499.31537448725</v>
      </c>
      <c r="AM10" s="487">
        <f t="shared" si="8"/>
        <v>192500.9287078206</v>
      </c>
      <c r="AN10" s="487">
        <f t="shared" si="8"/>
        <v>192502.54204115394</v>
      </c>
      <c r="AO10" s="487">
        <f t="shared" si="8"/>
        <v>192504.15537448725</v>
      </c>
      <c r="AP10" s="487">
        <f t="shared" si="8"/>
        <v>205254.54187221761</v>
      </c>
      <c r="AQ10" s="487">
        <f t="shared" si="8"/>
        <v>205256.15520555095</v>
      </c>
      <c r="AR10" s="487">
        <f t="shared" si="8"/>
        <v>186597.97139898568</v>
      </c>
      <c r="AS10" s="487">
        <f t="shared" si="8"/>
        <v>186599.43806565236</v>
      </c>
    </row>
    <row r="11" spans="1:45" s="240" customFormat="1" ht="48.75" customHeight="1">
      <c r="A11" s="241" t="s">
        <v>273</v>
      </c>
      <c r="B11" s="242"/>
      <c r="C11" s="242"/>
      <c r="D11" s="243">
        <f>'Расходы по займу'!D5</f>
        <v>0</v>
      </c>
      <c r="E11" s="243">
        <f>'Расходы по займу'!E5</f>
        <v>0</v>
      </c>
      <c r="F11" s="243">
        <f>'Расходы по займу'!F5</f>
        <v>0</v>
      </c>
      <c r="G11" s="243">
        <f>'Расходы по займу'!G5</f>
        <v>0</v>
      </c>
      <c r="H11" s="243">
        <f>'Расходы по займу'!H5</f>
        <v>0</v>
      </c>
      <c r="I11" s="243">
        <f>'Расходы по займу'!I5</f>
        <v>0</v>
      </c>
      <c r="J11" s="243">
        <f>'Расходы по займу'!J5</f>
        <v>0</v>
      </c>
      <c r="K11" s="243">
        <f>'Расходы по займу'!K5</f>
        <v>0</v>
      </c>
      <c r="L11" s="243">
        <f>'Расходы по займу'!L5</f>
        <v>0</v>
      </c>
      <c r="M11" s="243">
        <f>'Расходы по займу'!M5</f>
        <v>0</v>
      </c>
      <c r="N11" s="243">
        <f>'Расходы по займу'!N5</f>
        <v>0</v>
      </c>
      <c r="O11" s="243">
        <f>'Расходы по займу'!O5</f>
        <v>0</v>
      </c>
      <c r="P11" s="243">
        <f>'Расходы по займу'!P5</f>
        <v>5570.3312326320001</v>
      </c>
      <c r="Q11" s="243">
        <f>'Расходы по займу'!Q5</f>
        <v>16920.752843318951</v>
      </c>
      <c r="R11" s="243">
        <f>'Расходы по займу'!R5</f>
        <v>17240.003990898178</v>
      </c>
      <c r="S11" s="243">
        <f>'Расходы по займу'!S5</f>
        <v>17565.278587680554</v>
      </c>
      <c r="T11" s="243">
        <f>'Расходы по займу'!T5</f>
        <v>17896.690280682153</v>
      </c>
      <c r="U11" s="243">
        <f>'Расходы по займу'!U5</f>
        <v>18234.354861146359</v>
      </c>
      <c r="V11" s="243">
        <f>'Расходы по займу'!V5</f>
        <v>18578.390304999935</v>
      </c>
      <c r="W11" s="243">
        <f>'Расходы по займу'!W5</f>
        <v>18928.91681407237</v>
      </c>
      <c r="X11" s="243">
        <f>'Расходы по займу'!X5</f>
        <v>19286.056858092961</v>
      </c>
      <c r="Y11" s="243">
        <f>'Расходы по займу'!Y5</f>
        <v>19649.935217480233</v>
      </c>
      <c r="Z11" s="243">
        <f>'Расходы по займу'!Z5</f>
        <v>20020.679026938753</v>
      </c>
      <c r="AA11" s="243">
        <f>'Расходы по займу'!AA5</f>
        <v>20398.417819878414</v>
      </c>
      <c r="AB11" s="243">
        <f>'Расходы по займу'!AB5</f>
        <v>20783.283573671877</v>
      </c>
      <c r="AC11" s="243">
        <f>'Расходы по займу'!AC5</f>
        <v>21175.410755765857</v>
      </c>
      <c r="AD11" s="243">
        <f>'Расходы по займу'!AD5</f>
        <v>21574.936370662421</v>
      </c>
      <c r="AE11" s="243">
        <f>'Расходы по займу'!AE5</f>
        <v>21982.00000778673</v>
      </c>
      <c r="AF11" s="243">
        <f>'Расходы по займу'!AF5</f>
        <v>22396.743890257865</v>
      </c>
      <c r="AG11" s="243">
        <f>'Расходы по займу'!AG5</f>
        <v>22819.312924579892</v>
      </c>
      <c r="AH11" s="243">
        <f>'Расходы по займу'!AH5</f>
        <v>23249.854751270432</v>
      </c>
      <c r="AI11" s="243">
        <f>'Расходы по займу'!AI5</f>
        <v>23688.519796444485</v>
      </c>
      <c r="AJ11" s="243">
        <f>'Расходы по займу'!AJ5</f>
        <v>16040.130091739496</v>
      </c>
      <c r="AK11" s="243">
        <f>'Расходы по займу'!AK5</f>
        <v>0</v>
      </c>
      <c r="AL11" s="243"/>
      <c r="AM11" s="243"/>
      <c r="AN11" s="243"/>
      <c r="AO11" s="243"/>
      <c r="AP11" s="243"/>
      <c r="AQ11" s="243"/>
      <c r="AR11" s="243"/>
      <c r="AS11" s="243"/>
    </row>
    <row r="12" spans="1:45" s="223" customFormat="1" ht="54.75" customHeight="1">
      <c r="A12" s="241" t="s">
        <v>274</v>
      </c>
      <c r="B12" s="250">
        <f>B10-B11</f>
        <v>0</v>
      </c>
      <c r="C12" s="250">
        <f t="shared" ref="C12" si="9">C10-C11</f>
        <v>0</v>
      </c>
      <c r="D12" s="239">
        <f>D10-D11</f>
        <v>-1.35963908325</v>
      </c>
      <c r="E12" s="239">
        <f t="shared" ref="E12:AS12" si="10">E10-E11</f>
        <v>-1.35963908325</v>
      </c>
      <c r="F12" s="239">
        <f t="shared" si="10"/>
        <v>-1.35963908325</v>
      </c>
      <c r="G12" s="239">
        <f t="shared" si="10"/>
        <v>-1.35963908325</v>
      </c>
      <c r="H12" s="239">
        <f t="shared" si="10"/>
        <v>-1.35963908325</v>
      </c>
      <c r="I12" s="239">
        <f t="shared" si="10"/>
        <v>-1.35963908325</v>
      </c>
      <c r="J12" s="239">
        <f t="shared" si="10"/>
        <v>-1.35963908325</v>
      </c>
      <c r="K12" s="239">
        <f t="shared" si="10"/>
        <v>-1.35963908325</v>
      </c>
      <c r="L12" s="239">
        <f t="shared" si="10"/>
        <v>-1.35963908325</v>
      </c>
      <c r="M12" s="239">
        <f t="shared" si="10"/>
        <v>-1.35963908325</v>
      </c>
      <c r="N12" s="239">
        <f t="shared" si="10"/>
        <v>-1.35963908325</v>
      </c>
      <c r="O12" s="239">
        <f t="shared" si="10"/>
        <v>-1.35963908325</v>
      </c>
      <c r="P12" s="239">
        <f t="shared" si="10"/>
        <v>-8096.6908717152501</v>
      </c>
      <c r="Q12" s="239">
        <f t="shared" si="10"/>
        <v>-24287.353336979253</v>
      </c>
      <c r="R12" s="239">
        <f t="shared" si="10"/>
        <v>45183.319310891187</v>
      </c>
      <c r="S12" s="239">
        <f t="shared" si="10"/>
        <v>49516.652600891175</v>
      </c>
      <c r="T12" s="239">
        <f t="shared" si="10"/>
        <v>37349.985942557847</v>
      </c>
      <c r="U12" s="239">
        <f t="shared" si="10"/>
        <v>79016.65263589118</v>
      </c>
      <c r="V12" s="239">
        <f t="shared" si="10"/>
        <v>51539.741537139533</v>
      </c>
      <c r="W12" s="239">
        <f t="shared" si="10"/>
        <v>51539.74153713954</v>
      </c>
      <c r="X12" s="239">
        <f t="shared" si="10"/>
        <v>43040.645729711636</v>
      </c>
      <c r="Y12" s="239">
        <f t="shared" si="10"/>
        <v>41682.11365991849</v>
      </c>
      <c r="Z12" s="239">
        <f t="shared" si="10"/>
        <v>70254.001297267416</v>
      </c>
      <c r="AA12" s="239">
        <f t="shared" si="10"/>
        <v>70210.285975448001</v>
      </c>
      <c r="AB12" s="239">
        <f t="shared" si="10"/>
        <v>70165.715418326115</v>
      </c>
      <c r="AC12" s="239">
        <f t="shared" si="10"/>
        <v>70120.273489808169</v>
      </c>
      <c r="AD12" s="239">
        <f t="shared" si="10"/>
        <v>103972.40414529195</v>
      </c>
      <c r="AE12" s="239">
        <f t="shared" si="10"/>
        <v>103925.16984217035</v>
      </c>
      <c r="AF12" s="239">
        <f t="shared" si="10"/>
        <v>103877.01390960714</v>
      </c>
      <c r="AG12" s="239">
        <f t="shared" si="10"/>
        <v>103827.91895882186</v>
      </c>
      <c r="AH12" s="239">
        <f t="shared" si="10"/>
        <v>134479.16823498101</v>
      </c>
      <c r="AI12" s="239">
        <f t="shared" si="10"/>
        <v>134428.14176289347</v>
      </c>
      <c r="AJ12" s="239">
        <f t="shared" si="10"/>
        <v>142471.45334550756</v>
      </c>
      <c r="AK12" s="239">
        <f t="shared" si="10"/>
        <v>158645.66525928196</v>
      </c>
      <c r="AL12" s="239">
        <f t="shared" si="10"/>
        <v>192499.31537448725</v>
      </c>
      <c r="AM12" s="239">
        <f t="shared" si="10"/>
        <v>192500.9287078206</v>
      </c>
      <c r="AN12" s="239">
        <f t="shared" si="10"/>
        <v>192502.54204115394</v>
      </c>
      <c r="AO12" s="239">
        <f t="shared" si="10"/>
        <v>192504.15537448725</v>
      </c>
      <c r="AP12" s="239">
        <f t="shared" si="10"/>
        <v>205254.54187221761</v>
      </c>
      <c r="AQ12" s="239">
        <f t="shared" si="10"/>
        <v>205256.15520555095</v>
      </c>
      <c r="AR12" s="239">
        <f t="shared" si="10"/>
        <v>186597.97139898568</v>
      </c>
      <c r="AS12" s="239">
        <f t="shared" si="10"/>
        <v>186599.43806565236</v>
      </c>
    </row>
    <row r="13" spans="1:45" ht="41.4">
      <c r="A13" s="195" t="s">
        <v>275</v>
      </c>
      <c r="B13" s="251">
        <f>B11</f>
        <v>0</v>
      </c>
      <c r="C13" s="251">
        <f t="shared" ref="C13:E13" si="11">C11</f>
        <v>0</v>
      </c>
      <c r="D13" s="251">
        <f t="shared" si="11"/>
        <v>0</v>
      </c>
      <c r="E13" s="251">
        <f t="shared" si="11"/>
        <v>0</v>
      </c>
      <c r="F13" s="252">
        <f>F11</f>
        <v>0</v>
      </c>
      <c r="G13" s="231">
        <f>F13+G11</f>
        <v>0</v>
      </c>
      <c r="H13" s="231">
        <f t="shared" ref="H13:X13" si="12">G13+H11</f>
        <v>0</v>
      </c>
      <c r="I13" s="231">
        <f t="shared" si="12"/>
        <v>0</v>
      </c>
      <c r="J13" s="231">
        <f t="shared" si="12"/>
        <v>0</v>
      </c>
      <c r="K13" s="231">
        <f t="shared" si="12"/>
        <v>0</v>
      </c>
      <c r="L13" s="231">
        <f t="shared" si="12"/>
        <v>0</v>
      </c>
      <c r="M13" s="231">
        <f t="shared" si="12"/>
        <v>0</v>
      </c>
      <c r="N13" s="231">
        <f t="shared" si="12"/>
        <v>0</v>
      </c>
      <c r="O13" s="231">
        <f t="shared" si="12"/>
        <v>0</v>
      </c>
      <c r="P13" s="231">
        <f t="shared" si="12"/>
        <v>5570.3312326320001</v>
      </c>
      <c r="Q13" s="231">
        <f t="shared" si="12"/>
        <v>22491.084075950952</v>
      </c>
      <c r="R13" s="231">
        <f t="shared" si="12"/>
        <v>39731.08806684913</v>
      </c>
      <c r="S13" s="231">
        <f t="shared" si="12"/>
        <v>57296.366654529687</v>
      </c>
      <c r="T13" s="231">
        <f t="shared" si="12"/>
        <v>75193.056935211847</v>
      </c>
      <c r="U13" s="231">
        <f t="shared" si="12"/>
        <v>93427.41179635821</v>
      </c>
      <c r="V13" s="231">
        <f t="shared" si="12"/>
        <v>112005.80210135815</v>
      </c>
      <c r="W13" s="231">
        <f t="shared" si="12"/>
        <v>130934.71891543051</v>
      </c>
      <c r="X13" s="231">
        <f t="shared" si="12"/>
        <v>150220.77577352346</v>
      </c>
      <c r="Y13" s="231"/>
      <c r="Z13" s="231"/>
      <c r="AA13" s="231"/>
      <c r="AB13" s="231"/>
      <c r="AC13" s="231"/>
      <c r="AD13" s="231"/>
      <c r="AE13" s="231"/>
      <c r="AF13" s="231"/>
      <c r="AG13" s="231"/>
      <c r="AH13" s="231"/>
      <c r="AI13" s="231"/>
      <c r="AJ13" s="231"/>
      <c r="AK13" s="231"/>
      <c r="AL13" s="231"/>
      <c r="AM13" s="231"/>
      <c r="AN13" s="231"/>
      <c r="AO13" s="231"/>
      <c r="AP13" s="231"/>
      <c r="AQ13" s="231"/>
      <c r="AR13" s="231"/>
      <c r="AS13" s="231"/>
    </row>
    <row r="14" spans="1:45">
      <c r="A14" s="195" t="s">
        <v>276</v>
      </c>
      <c r="B14" s="253">
        <f t="shared" ref="B14:E14" si="13">B7+B11</f>
        <v>0</v>
      </c>
      <c r="C14" s="253">
        <f t="shared" si="13"/>
        <v>0</v>
      </c>
      <c r="D14" s="255">
        <f t="shared" si="13"/>
        <v>0</v>
      </c>
      <c r="E14" s="255">
        <f t="shared" si="13"/>
        <v>0</v>
      </c>
      <c r="F14" s="254">
        <f t="shared" ref="F14:AS14" si="14">F7+F11</f>
        <v>0</v>
      </c>
      <c r="G14" s="255">
        <f t="shared" si="14"/>
        <v>0</v>
      </c>
      <c r="H14" s="255">
        <f t="shared" ref="H14:AN14" si="15">H7+H11</f>
        <v>0</v>
      </c>
      <c r="I14" s="255">
        <f t="shared" si="15"/>
        <v>0</v>
      </c>
      <c r="J14" s="255">
        <f t="shared" si="15"/>
        <v>0</v>
      </c>
      <c r="K14" s="255">
        <f t="shared" si="15"/>
        <v>0</v>
      </c>
      <c r="L14" s="255">
        <f t="shared" si="15"/>
        <v>0</v>
      </c>
      <c r="M14" s="255">
        <f t="shared" si="15"/>
        <v>0</v>
      </c>
      <c r="N14" s="255">
        <f t="shared" si="15"/>
        <v>0</v>
      </c>
      <c r="O14" s="255">
        <f t="shared" si="15"/>
        <v>0</v>
      </c>
      <c r="P14" s="255">
        <f t="shared" si="15"/>
        <v>8095.3312326320001</v>
      </c>
      <c r="Q14" s="255">
        <f t="shared" si="15"/>
        <v>24285.993697896003</v>
      </c>
      <c r="R14" s="255">
        <f t="shared" si="15"/>
        <v>24285.993697895996</v>
      </c>
      <c r="S14" s="255">
        <f t="shared" si="15"/>
        <v>24285.993697896</v>
      </c>
      <c r="T14" s="255">
        <f t="shared" si="15"/>
        <v>24285.993697896003</v>
      </c>
      <c r="U14" s="255">
        <f t="shared" si="15"/>
        <v>24285.993697896</v>
      </c>
      <c r="V14" s="255">
        <f t="shared" si="15"/>
        <v>24285.993697896003</v>
      </c>
      <c r="W14" s="255">
        <f t="shared" si="15"/>
        <v>24285.993697896</v>
      </c>
      <c r="X14" s="255">
        <f t="shared" si="15"/>
        <v>24285.993697896003</v>
      </c>
      <c r="Y14" s="255">
        <f t="shared" si="15"/>
        <v>24285.993697896</v>
      </c>
      <c r="Z14" s="255">
        <f t="shared" si="15"/>
        <v>24285.993697896003</v>
      </c>
      <c r="AA14" s="255">
        <f t="shared" si="15"/>
        <v>24285.993697896</v>
      </c>
      <c r="AB14" s="255">
        <f t="shared" si="15"/>
        <v>24285.993697896</v>
      </c>
      <c r="AC14" s="255">
        <f t="shared" si="15"/>
        <v>24285.993697896003</v>
      </c>
      <c r="AD14" s="255">
        <f t="shared" si="15"/>
        <v>24285.993697896</v>
      </c>
      <c r="AE14" s="255">
        <f t="shared" si="15"/>
        <v>24285.993697896</v>
      </c>
      <c r="AF14" s="255">
        <f t="shared" si="15"/>
        <v>24285.993697896</v>
      </c>
      <c r="AG14" s="255">
        <f t="shared" si="15"/>
        <v>24285.993697896003</v>
      </c>
      <c r="AH14" s="255">
        <f t="shared" si="15"/>
        <v>24285.993697896</v>
      </c>
      <c r="AI14" s="255">
        <f t="shared" si="15"/>
        <v>24285.993697896</v>
      </c>
      <c r="AJ14" s="255">
        <f t="shared" si="15"/>
        <v>16190.662465264</v>
      </c>
      <c r="AK14" s="255">
        <f t="shared" si="15"/>
        <v>0</v>
      </c>
      <c r="AL14" s="255">
        <f t="shared" si="15"/>
        <v>0</v>
      </c>
      <c r="AM14" s="255">
        <f t="shared" si="15"/>
        <v>0</v>
      </c>
      <c r="AN14" s="255">
        <f t="shared" si="15"/>
        <v>0</v>
      </c>
      <c r="AO14" s="255">
        <f t="shared" si="14"/>
        <v>0</v>
      </c>
      <c r="AP14" s="255">
        <f t="shared" si="14"/>
        <v>0</v>
      </c>
      <c r="AQ14" s="255">
        <f t="shared" si="14"/>
        <v>0</v>
      </c>
      <c r="AR14" s="255">
        <f t="shared" si="14"/>
        <v>0</v>
      </c>
      <c r="AS14" s="255">
        <f t="shared" si="14"/>
        <v>0</v>
      </c>
    </row>
    <row r="15" spans="1:45" ht="72.75" customHeight="1">
      <c r="A15" s="195" t="s">
        <v>277</v>
      </c>
      <c r="B15" s="251">
        <f>B14</f>
        <v>0</v>
      </c>
      <c r="C15" s="251">
        <f t="shared" ref="C15:E15" si="16">C14</f>
        <v>0</v>
      </c>
      <c r="D15" s="251">
        <f t="shared" si="16"/>
        <v>0</v>
      </c>
      <c r="E15" s="251">
        <f t="shared" si="16"/>
        <v>0</v>
      </c>
      <c r="F15" s="252">
        <f>F14</f>
        <v>0</v>
      </c>
      <c r="G15" s="231">
        <f t="shared" ref="G15:X15" si="17">F15+G14</f>
        <v>0</v>
      </c>
      <c r="H15" s="231">
        <f t="shared" si="17"/>
        <v>0</v>
      </c>
      <c r="I15" s="231">
        <f t="shared" si="17"/>
        <v>0</v>
      </c>
      <c r="J15" s="231">
        <f>I15+J14</f>
        <v>0</v>
      </c>
      <c r="K15" s="231">
        <f t="shared" si="17"/>
        <v>0</v>
      </c>
      <c r="L15" s="231">
        <f>K15+L14</f>
        <v>0</v>
      </c>
      <c r="M15" s="231">
        <f t="shared" si="17"/>
        <v>0</v>
      </c>
      <c r="N15" s="231">
        <f t="shared" si="17"/>
        <v>0</v>
      </c>
      <c r="O15" s="231">
        <f t="shared" si="17"/>
        <v>0</v>
      </c>
      <c r="P15" s="231">
        <f t="shared" si="17"/>
        <v>8095.3312326320001</v>
      </c>
      <c r="Q15" s="231">
        <f t="shared" si="17"/>
        <v>32381.324930528004</v>
      </c>
      <c r="R15" s="231">
        <f t="shared" si="17"/>
        <v>56667.318628424</v>
      </c>
      <c r="S15" s="231">
        <f t="shared" si="17"/>
        <v>80953.312326319996</v>
      </c>
      <c r="T15" s="231">
        <f t="shared" si="17"/>
        <v>105239.306024216</v>
      </c>
      <c r="U15" s="231">
        <f t="shared" si="17"/>
        <v>129525.299722112</v>
      </c>
      <c r="V15" s="231">
        <f t="shared" si="17"/>
        <v>153811.29342000801</v>
      </c>
      <c r="W15" s="231">
        <f t="shared" si="17"/>
        <v>178097.28711790399</v>
      </c>
      <c r="X15" s="231">
        <f t="shared" si="17"/>
        <v>202383.28081580001</v>
      </c>
      <c r="Y15" s="231"/>
      <c r="Z15" s="231"/>
      <c r="AA15" s="231"/>
      <c r="AB15" s="231"/>
      <c r="AC15" s="231"/>
      <c r="AD15" s="231"/>
      <c r="AE15" s="231"/>
      <c r="AF15" s="231"/>
      <c r="AG15" s="231"/>
      <c r="AH15" s="231"/>
      <c r="AI15" s="231"/>
      <c r="AJ15" s="231"/>
      <c r="AK15" s="231"/>
      <c r="AL15" s="231"/>
      <c r="AM15" s="231"/>
      <c r="AN15" s="231"/>
      <c r="AO15" s="231"/>
      <c r="AP15" s="231"/>
      <c r="AQ15" s="231"/>
      <c r="AR15" s="231"/>
      <c r="AS15" s="231"/>
    </row>
    <row r="16" spans="1:45">
      <c r="F16" s="256"/>
      <c r="G16" s="256"/>
      <c r="H16" s="256"/>
      <c r="I16" s="256"/>
      <c r="J16" s="256"/>
      <c r="K16" s="256"/>
      <c r="L16" s="256"/>
      <c r="M16" s="256"/>
      <c r="N16" s="256"/>
      <c r="O16" s="256"/>
      <c r="P16" s="256"/>
      <c r="Q16" s="256"/>
      <c r="R16" s="256"/>
      <c r="S16" s="256"/>
      <c r="T16" s="256"/>
      <c r="U16" s="256"/>
      <c r="V16" s="256"/>
      <c r="W16" s="256"/>
      <c r="X16" s="256"/>
      <c r="Y16" s="256"/>
      <c r="Z16" s="256"/>
      <c r="AA16" s="256"/>
      <c r="AB16" s="256"/>
      <c r="AC16" s="256"/>
      <c r="AD16" s="256"/>
      <c r="AE16" s="256"/>
      <c r="AF16" s="256"/>
      <c r="AG16" s="256"/>
      <c r="AH16" s="256"/>
      <c r="AI16" s="256"/>
      <c r="AJ16" s="256"/>
      <c r="AK16" s="256"/>
      <c r="AL16" s="256"/>
      <c r="AM16" s="256"/>
      <c r="AN16" s="256"/>
      <c r="AO16" s="256"/>
      <c r="AP16" s="256"/>
      <c r="AQ16" s="256"/>
      <c r="AR16" s="256"/>
      <c r="AS16" s="256"/>
    </row>
    <row r="17" spans="1:45">
      <c r="B17" s="256"/>
      <c r="C17" s="256"/>
      <c r="D17" s="256"/>
      <c r="E17" s="256"/>
      <c r="F17" s="256"/>
      <c r="G17" s="256"/>
      <c r="H17" s="256"/>
      <c r="I17" s="256"/>
      <c r="J17" s="256"/>
      <c r="K17" s="256"/>
      <c r="L17" s="256"/>
      <c r="M17" s="256"/>
      <c r="N17" s="256"/>
      <c r="O17" s="256"/>
      <c r="P17" s="256"/>
      <c r="Q17" s="256"/>
      <c r="R17" s="256"/>
      <c r="S17" s="256"/>
      <c r="T17" s="256"/>
      <c r="U17" s="256"/>
      <c r="V17" s="256"/>
      <c r="W17" s="256"/>
      <c r="X17" s="256"/>
      <c r="Y17" s="256"/>
      <c r="Z17" s="256"/>
      <c r="AA17" s="256"/>
      <c r="AB17" s="256"/>
      <c r="AC17" s="256"/>
      <c r="AD17" s="256"/>
      <c r="AE17" s="256"/>
      <c r="AF17" s="256"/>
      <c r="AG17" s="256"/>
      <c r="AH17" s="256"/>
      <c r="AI17" s="256"/>
      <c r="AJ17" s="256"/>
      <c r="AK17" s="256"/>
      <c r="AL17" s="256"/>
      <c r="AM17" s="256"/>
      <c r="AN17" s="256"/>
      <c r="AO17" s="256"/>
      <c r="AP17" s="256"/>
      <c r="AQ17" s="256"/>
      <c r="AR17" s="256"/>
      <c r="AS17" s="256"/>
    </row>
    <row r="18" spans="1:45" ht="14.4">
      <c r="A18" s="614" t="s">
        <v>217</v>
      </c>
      <c r="B18" s="615" t="str">
        <f>'Расходы ТОР'!B24</f>
        <v>1 год</v>
      </c>
      <c r="C18" s="615" t="str">
        <f>'Расходы ТОР'!C24</f>
        <v>2 год</v>
      </c>
      <c r="D18" s="615" t="str">
        <f>'Расходы ТОР'!D24</f>
        <v>3 год</v>
      </c>
      <c r="E18" s="615" t="str">
        <f>'Расходы ТОР'!E24</f>
        <v>4 год</v>
      </c>
      <c r="F18" s="615" t="str">
        <f>'Расходы ТОР'!F24</f>
        <v>5 год</v>
      </c>
      <c r="G18" s="615" t="str">
        <f>'Расходы ТОР'!G24</f>
        <v>6 год</v>
      </c>
      <c r="H18" s="615" t="str">
        <f>'Расходы ТОР'!H24</f>
        <v>7 год</v>
      </c>
      <c r="I18" s="615" t="str">
        <f>'Расходы ТОР'!I24</f>
        <v>8 год</v>
      </c>
      <c r="J18" s="615" t="str">
        <f>'Расходы ТОР'!J24</f>
        <v>9 год</v>
      </c>
      <c r="K18" s="615" t="str">
        <f>'Расходы ТОР'!K24</f>
        <v>10 год</v>
      </c>
      <c r="L18" s="615" t="str">
        <f>'Расходы ТОР'!L24</f>
        <v>11 год</v>
      </c>
      <c r="M18" s="256"/>
      <c r="N18" s="256"/>
      <c r="O18" s="256"/>
      <c r="P18" s="256"/>
      <c r="Q18" s="256"/>
      <c r="R18" s="256"/>
      <c r="S18" s="256"/>
      <c r="T18" s="256"/>
      <c r="U18" s="256"/>
      <c r="V18" s="256"/>
      <c r="W18" s="256"/>
      <c r="X18" s="256"/>
      <c r="Y18" s="256"/>
      <c r="Z18" s="256"/>
      <c r="AA18" s="256"/>
      <c r="AB18" s="256"/>
      <c r="AC18" s="256"/>
      <c r="AD18" s="256"/>
      <c r="AE18" s="257"/>
      <c r="AF18" s="256"/>
      <c r="AG18" s="256"/>
      <c r="AH18" s="256"/>
      <c r="AI18" s="256"/>
      <c r="AJ18" s="256"/>
      <c r="AK18" s="256"/>
      <c r="AL18" s="256"/>
      <c r="AM18" s="256"/>
      <c r="AN18" s="256"/>
      <c r="AO18" s="256"/>
      <c r="AP18" s="256"/>
      <c r="AQ18" s="256"/>
      <c r="AR18" s="256"/>
      <c r="AS18" s="256"/>
    </row>
    <row r="19" spans="1:45" ht="14.4">
      <c r="A19" s="616" t="s">
        <v>265</v>
      </c>
      <c r="B19" s="617">
        <f>SUM(B3:E3)</f>
        <v>0</v>
      </c>
      <c r="C19" s="618">
        <f>F3+G3+H3+I3</f>
        <v>0</v>
      </c>
      <c r="D19" s="619">
        <f>J3+K3+L3+M3</f>
        <v>0</v>
      </c>
      <c r="E19" s="619">
        <f>N3+O3+P3+Q3</f>
        <v>0</v>
      </c>
      <c r="F19" s="604">
        <f>R3+S3+T3+U3</f>
        <v>435190.00261723041</v>
      </c>
      <c r="G19" s="604">
        <f>V3+W3+X3+Y3</f>
        <v>609782.37881547038</v>
      </c>
      <c r="H19" s="604">
        <f>Z3+AA3+AB3+AC3</f>
        <v>817752.74474631669</v>
      </c>
      <c r="I19" s="604">
        <f>AD3+AE3+AF3+AG3</f>
        <v>1063289.5052598554</v>
      </c>
      <c r="J19" s="604">
        <f>AH3+AI3+AJ3+AK3</f>
        <v>1286679.7748276708</v>
      </c>
      <c r="K19" s="604">
        <f>AL3+AM3+AN3+AO3</f>
        <v>1532744.7267373852</v>
      </c>
      <c r="L19" s="604">
        <f t="shared" ref="L19:L31" si="18">AP3+AQ3+AR3+AS3</f>
        <v>1623064.1920258473</v>
      </c>
      <c r="M19" s="256"/>
      <c r="N19" s="256"/>
      <c r="O19" s="256"/>
      <c r="P19" s="256"/>
      <c r="Q19" s="256"/>
      <c r="R19" s="256"/>
      <c r="S19" s="256"/>
      <c r="T19" s="256"/>
      <c r="U19" s="256"/>
      <c r="V19" s="256"/>
      <c r="W19" s="256"/>
      <c r="X19" s="256"/>
      <c r="Y19" s="256"/>
      <c r="Z19" s="256"/>
      <c r="AA19" s="256"/>
      <c r="AB19" s="256"/>
      <c r="AC19" s="256"/>
      <c r="AD19" s="256"/>
      <c r="AE19" s="256"/>
      <c r="AF19" s="256"/>
      <c r="AG19" s="256"/>
      <c r="AH19" s="256"/>
      <c r="AI19" s="256"/>
      <c r="AJ19" s="256"/>
      <c r="AK19" s="256"/>
      <c r="AL19" s="256"/>
      <c r="AM19" s="256"/>
      <c r="AN19" s="256"/>
      <c r="AO19" s="256"/>
      <c r="AP19" s="256"/>
      <c r="AQ19" s="256"/>
      <c r="AR19" s="256"/>
      <c r="AS19" s="256"/>
    </row>
    <row r="20" spans="1:45" ht="28.8">
      <c r="A20" s="616" t="s">
        <v>266</v>
      </c>
      <c r="B20" s="617">
        <f t="shared" ref="B20:B31" si="19">SUM(B4:E4)</f>
        <v>2.7192781665000001</v>
      </c>
      <c r="C20" s="618">
        <f t="shared" ref="C20:C31" si="20">F4+G4+H4+I4</f>
        <v>5.4385563330000002</v>
      </c>
      <c r="D20" s="619">
        <f t="shared" ref="D20:D31" si="21">J4+K4+L4+M4</f>
        <v>5.4385563330000002</v>
      </c>
      <c r="E20" s="619">
        <f t="shared" ref="E20:E31" si="22">N4+O4+P4+Q4</f>
        <v>5.4385563330000002</v>
      </c>
      <c r="F20" s="604">
        <f t="shared" ref="F20:F31" si="23">R4+S4+T4+U4</f>
        <v>126979.41733541501</v>
      </c>
      <c r="G20" s="604">
        <f t="shared" ref="G20:G31" si="24">V4+W4+X4+Y4</f>
        <v>307973.60454199492</v>
      </c>
      <c r="H20" s="604">
        <f t="shared" ref="H20:H31" si="25">Z4+AA4+AB4+AC4</f>
        <v>390341.03004336875</v>
      </c>
      <c r="I20" s="604">
        <f t="shared" ref="I20:I31" si="26">AD4+AE4+AF4+AG4</f>
        <v>481764.5463329468</v>
      </c>
      <c r="J20" s="604">
        <f t="shared" ref="J20:J31" si="27">AH4+AI4+AJ4+AK4</f>
        <v>565574.11455820734</v>
      </c>
      <c r="K20" s="604">
        <f t="shared" ref="K20:K31" si="28">AL4+AM4+AN4+AO4</f>
        <v>657736.83867153397</v>
      </c>
      <c r="L20" s="604">
        <f t="shared" si="18"/>
        <v>690078.00169758545</v>
      </c>
      <c r="M20" s="256"/>
      <c r="N20" s="256"/>
      <c r="O20" s="256"/>
      <c r="P20" s="256"/>
      <c r="Q20" s="256"/>
      <c r="R20" s="256"/>
      <c r="S20" s="256"/>
      <c r="T20" s="256"/>
      <c r="U20" s="256"/>
      <c r="V20" s="256"/>
      <c r="W20" s="256"/>
      <c r="X20" s="256"/>
      <c r="Y20" s="256"/>
      <c r="Z20" s="256"/>
      <c r="AA20" s="256"/>
      <c r="AB20" s="256"/>
      <c r="AC20" s="256"/>
      <c r="AD20" s="256"/>
      <c r="AE20" s="256"/>
      <c r="AF20" s="256"/>
      <c r="AG20" s="256"/>
      <c r="AH20" s="256"/>
      <c r="AI20" s="256"/>
      <c r="AJ20" s="256"/>
      <c r="AK20" s="256"/>
      <c r="AL20" s="256"/>
      <c r="AM20" s="256"/>
      <c r="AN20" s="256"/>
      <c r="AO20" s="256"/>
      <c r="AP20" s="256"/>
      <c r="AQ20" s="256"/>
      <c r="AR20" s="256"/>
      <c r="AS20" s="256"/>
    </row>
    <row r="21" spans="1:45" ht="28.8">
      <c r="A21" s="616" t="s">
        <v>267</v>
      </c>
      <c r="B21" s="617">
        <f t="shared" si="19"/>
        <v>2000</v>
      </c>
      <c r="C21" s="618">
        <f t="shared" si="20"/>
        <v>2000</v>
      </c>
      <c r="D21" s="619">
        <f t="shared" si="21"/>
        <v>274000</v>
      </c>
      <c r="E21" s="619">
        <f t="shared" si="22"/>
        <v>504000</v>
      </c>
      <c r="F21" s="604">
        <f t="shared" si="23"/>
        <v>0</v>
      </c>
      <c r="G21" s="604">
        <f t="shared" si="24"/>
        <v>0</v>
      </c>
      <c r="H21" s="604">
        <f t="shared" si="25"/>
        <v>0</v>
      </c>
      <c r="I21" s="604">
        <f t="shared" si="26"/>
        <v>0</v>
      </c>
      <c r="J21" s="604">
        <f t="shared" si="27"/>
        <v>0</v>
      </c>
      <c r="K21" s="604">
        <f t="shared" si="28"/>
        <v>0</v>
      </c>
      <c r="L21" s="604">
        <f t="shared" si="18"/>
        <v>0</v>
      </c>
      <c r="M21" s="256"/>
      <c r="N21" s="256"/>
      <c r="O21" s="256"/>
      <c r="P21" s="256"/>
      <c r="Q21" s="256"/>
      <c r="R21" s="256"/>
      <c r="S21" s="256"/>
      <c r="T21" s="256"/>
      <c r="U21" s="256"/>
      <c r="V21" s="256"/>
      <c r="W21" s="256"/>
      <c r="X21" s="256"/>
      <c r="Y21" s="256"/>
      <c r="Z21" s="256"/>
      <c r="AA21" s="256"/>
      <c r="AB21" s="256"/>
      <c r="AC21" s="256"/>
      <c r="AD21" s="256"/>
      <c r="AE21" s="256"/>
      <c r="AF21" s="256"/>
      <c r="AG21" s="256"/>
      <c r="AH21" s="256"/>
      <c r="AI21" s="256"/>
      <c r="AJ21" s="256"/>
      <c r="AK21" s="256"/>
      <c r="AL21" s="256"/>
      <c r="AM21" s="256"/>
      <c r="AN21" s="256"/>
      <c r="AO21" s="256"/>
      <c r="AP21" s="256"/>
      <c r="AQ21" s="256"/>
      <c r="AR21" s="256"/>
      <c r="AS21" s="256"/>
    </row>
    <row r="22" spans="1:45" ht="28.8">
      <c r="A22" s="616" t="s">
        <v>268</v>
      </c>
      <c r="B22" s="617">
        <f t="shared" si="19"/>
        <v>-2.7192781665000001</v>
      </c>
      <c r="C22" s="618">
        <f t="shared" si="20"/>
        <v>-5.4385563330000002</v>
      </c>
      <c r="D22" s="619">
        <f t="shared" si="21"/>
        <v>-5.4385563330000002</v>
      </c>
      <c r="E22" s="619">
        <f t="shared" si="22"/>
        <v>-5.4385563330000002</v>
      </c>
      <c r="F22" s="604">
        <f t="shared" si="23"/>
        <v>308210.58528181538</v>
      </c>
      <c r="G22" s="604">
        <f t="shared" si="24"/>
        <v>301808.77427347546</v>
      </c>
      <c r="H22" s="604">
        <f t="shared" si="25"/>
        <v>427411.71470294794</v>
      </c>
      <c r="I22" s="604">
        <f t="shared" si="26"/>
        <v>581524.95892690867</v>
      </c>
      <c r="J22" s="604">
        <f t="shared" si="27"/>
        <v>721105.66026946343</v>
      </c>
      <c r="K22" s="604">
        <f t="shared" si="28"/>
        <v>875007.88806585118</v>
      </c>
      <c r="L22" s="604">
        <f t="shared" si="18"/>
        <v>932986.19032826182</v>
      </c>
      <c r="M22" s="256"/>
      <c r="N22" s="256"/>
      <c r="O22" s="256"/>
      <c r="P22" s="256"/>
      <c r="Q22" s="256"/>
      <c r="R22" s="256"/>
      <c r="S22" s="256"/>
      <c r="T22" s="256"/>
      <c r="U22" s="256"/>
      <c r="V22" s="256"/>
      <c r="W22" s="256"/>
      <c r="X22" s="256"/>
      <c r="Y22" s="256"/>
      <c r="Z22" s="256"/>
      <c r="AA22" s="256"/>
      <c r="AB22" s="256"/>
      <c r="AC22" s="256"/>
      <c r="AD22" s="256"/>
      <c r="AE22" s="256"/>
      <c r="AF22" s="256"/>
      <c r="AG22" s="256"/>
      <c r="AH22" s="256"/>
      <c r="AI22" s="256"/>
      <c r="AJ22" s="256"/>
      <c r="AK22" s="256"/>
      <c r="AL22" s="256"/>
      <c r="AM22" s="256"/>
      <c r="AN22" s="256"/>
      <c r="AO22" s="256"/>
      <c r="AP22" s="256"/>
      <c r="AQ22" s="256"/>
      <c r="AR22" s="256"/>
      <c r="AS22" s="256"/>
    </row>
    <row r="23" spans="1:45" s="230" customFormat="1" ht="14.4">
      <c r="A23" s="616" t="s">
        <v>269</v>
      </c>
      <c r="B23" s="617">
        <f t="shared" si="19"/>
        <v>0</v>
      </c>
      <c r="C23" s="618">
        <f t="shared" si="20"/>
        <v>0</v>
      </c>
      <c r="D23" s="619">
        <f t="shared" si="21"/>
        <v>0</v>
      </c>
      <c r="E23" s="619">
        <f t="shared" si="22"/>
        <v>9890.2408545770522</v>
      </c>
      <c r="F23" s="604">
        <f t="shared" si="23"/>
        <v>26207.647071176754</v>
      </c>
      <c r="G23" s="604">
        <f t="shared" si="24"/>
        <v>20700.675596938505</v>
      </c>
      <c r="H23" s="604">
        <f t="shared" si="25"/>
        <v>14766.183615329104</v>
      </c>
      <c r="I23" s="604">
        <f t="shared" si="26"/>
        <v>8370.981598297094</v>
      </c>
      <c r="J23" s="604">
        <f t="shared" si="27"/>
        <v>1784.145221601585</v>
      </c>
      <c r="K23" s="604">
        <f t="shared" si="28"/>
        <v>0</v>
      </c>
      <c r="L23" s="604">
        <f t="shared" si="18"/>
        <v>0</v>
      </c>
      <c r="M23" s="256"/>
      <c r="N23" s="256"/>
      <c r="O23" s="256"/>
      <c r="P23" s="256"/>
      <c r="Q23" s="256"/>
      <c r="R23" s="256"/>
      <c r="S23" s="258"/>
      <c r="T23" s="258"/>
      <c r="U23" s="258"/>
      <c r="V23" s="258"/>
      <c r="W23" s="258"/>
      <c r="X23" s="258"/>
      <c r="Y23" s="258"/>
      <c r="Z23" s="258"/>
      <c r="AA23" s="258"/>
      <c r="AB23" s="258"/>
      <c r="AC23" s="258"/>
      <c r="AD23" s="258"/>
      <c r="AE23" s="258"/>
      <c r="AF23" s="258"/>
      <c r="AG23" s="258"/>
      <c r="AH23" s="258"/>
      <c r="AI23" s="258"/>
      <c r="AJ23" s="258"/>
      <c r="AK23" s="258"/>
      <c r="AL23" s="258"/>
      <c r="AM23" s="258"/>
      <c r="AN23" s="258"/>
      <c r="AO23" s="258"/>
      <c r="AP23" s="258"/>
      <c r="AQ23" s="258"/>
      <c r="AR23" s="258"/>
      <c r="AS23" s="258"/>
    </row>
    <row r="24" spans="1:45" ht="28.8">
      <c r="A24" s="616" t="s">
        <v>270</v>
      </c>
      <c r="B24" s="617">
        <f t="shared" si="19"/>
        <v>-2.7192781665000001</v>
      </c>
      <c r="C24" s="618">
        <f t="shared" si="20"/>
        <v>-5.4385563330000002</v>
      </c>
      <c r="D24" s="619">
        <f t="shared" si="21"/>
        <v>-5.4385563330000002</v>
      </c>
      <c r="E24" s="619">
        <f t="shared" si="22"/>
        <v>-9895.679410910052</v>
      </c>
      <c r="F24" s="604">
        <f t="shared" si="23"/>
        <v>282002.93821063865</v>
      </c>
      <c r="G24" s="604">
        <f t="shared" si="24"/>
        <v>281108.09867653699</v>
      </c>
      <c r="H24" s="604">
        <f t="shared" si="25"/>
        <v>412645.53108761879</v>
      </c>
      <c r="I24" s="604">
        <f t="shared" si="26"/>
        <v>573153.97732861154</v>
      </c>
      <c r="J24" s="604">
        <f t="shared" si="27"/>
        <v>719321.51504786185</v>
      </c>
      <c r="K24" s="604">
        <f t="shared" si="28"/>
        <v>875007.88806585118</v>
      </c>
      <c r="L24" s="604">
        <f t="shared" si="18"/>
        <v>932986.19032826182</v>
      </c>
      <c r="M24" s="256"/>
      <c r="N24" s="256"/>
      <c r="O24" s="256"/>
      <c r="P24" s="256"/>
      <c r="Q24" s="256"/>
      <c r="R24" s="256"/>
      <c r="S24" s="256"/>
      <c r="T24" s="256"/>
      <c r="U24" s="256"/>
      <c r="V24" s="256"/>
      <c r="W24" s="256"/>
      <c r="X24" s="256"/>
      <c r="Y24" s="256"/>
      <c r="Z24" s="256"/>
      <c r="AA24" s="256"/>
      <c r="AB24" s="256"/>
      <c r="AC24" s="256"/>
      <c r="AD24" s="256"/>
      <c r="AE24" s="256"/>
      <c r="AF24" s="256"/>
      <c r="AG24" s="256"/>
      <c r="AH24" s="256"/>
      <c r="AI24" s="256"/>
      <c r="AJ24" s="256"/>
      <c r="AK24" s="256"/>
      <c r="AL24" s="256"/>
      <c r="AM24" s="256"/>
      <c r="AN24" s="256"/>
      <c r="AO24" s="256"/>
      <c r="AP24" s="256"/>
      <c r="AQ24" s="256"/>
      <c r="AR24" s="256"/>
      <c r="AS24" s="256"/>
    </row>
    <row r="25" spans="1:45" ht="36" customHeight="1">
      <c r="A25" s="616" t="s">
        <v>271</v>
      </c>
      <c r="B25" s="617">
        <f t="shared" si="19"/>
        <v>0</v>
      </c>
      <c r="C25" s="618">
        <f t="shared" si="20"/>
        <v>0</v>
      </c>
      <c r="D25" s="619">
        <f t="shared" si="21"/>
        <v>0</v>
      </c>
      <c r="E25" s="619">
        <f t="shared" si="22"/>
        <v>0</v>
      </c>
      <c r="F25" s="604">
        <f t="shared" si="23"/>
        <v>0</v>
      </c>
      <c r="G25" s="604">
        <f t="shared" si="24"/>
        <v>16862.557017982272</v>
      </c>
      <c r="H25" s="604">
        <f t="shared" si="25"/>
        <v>49517.463730514261</v>
      </c>
      <c r="I25" s="604">
        <f t="shared" si="26"/>
        <v>68778.477279433399</v>
      </c>
      <c r="J25" s="604">
        <f t="shared" si="27"/>
        <v>86318.581805743408</v>
      </c>
      <c r="K25" s="604">
        <f t="shared" si="28"/>
        <v>105000.94656790212</v>
      </c>
      <c r="L25" s="604">
        <f t="shared" si="18"/>
        <v>149278.08378585524</v>
      </c>
      <c r="M25" s="256"/>
      <c r="N25" s="256"/>
      <c r="O25" s="256"/>
      <c r="P25" s="256"/>
      <c r="Q25" s="256"/>
      <c r="R25" s="256"/>
      <c r="S25" s="256"/>
      <c r="T25" s="256"/>
      <c r="U25" s="256"/>
      <c r="V25" s="256"/>
      <c r="W25" s="256"/>
      <c r="X25" s="256"/>
      <c r="Y25" s="256"/>
      <c r="Z25" s="256"/>
      <c r="AA25" s="256"/>
      <c r="AB25" s="256"/>
      <c r="AC25" s="256"/>
      <c r="AD25" s="256"/>
      <c r="AE25" s="256"/>
      <c r="AF25" s="256"/>
      <c r="AG25" s="256"/>
      <c r="AH25" s="256"/>
      <c r="AI25" s="256"/>
      <c r="AJ25" s="256"/>
      <c r="AK25" s="256"/>
      <c r="AL25" s="256"/>
      <c r="AM25" s="256"/>
      <c r="AN25" s="256"/>
      <c r="AO25" s="256"/>
      <c r="AP25" s="256"/>
      <c r="AQ25" s="256"/>
      <c r="AR25" s="256"/>
      <c r="AS25" s="256"/>
    </row>
    <row r="26" spans="1:45" ht="28.8">
      <c r="A26" s="620" t="s">
        <v>272</v>
      </c>
      <c r="B26" s="621">
        <f t="shared" si="19"/>
        <v>-2.7192781665000001</v>
      </c>
      <c r="C26" s="621">
        <f t="shared" si="20"/>
        <v>-5.4385563330000002</v>
      </c>
      <c r="D26" s="621">
        <f t="shared" si="21"/>
        <v>-5.4385563330000002</v>
      </c>
      <c r="E26" s="621">
        <f t="shared" si="22"/>
        <v>-9895.679410910052</v>
      </c>
      <c r="F26" s="621">
        <f t="shared" si="23"/>
        <v>282002.93821063865</v>
      </c>
      <c r="G26" s="621">
        <f t="shared" si="24"/>
        <v>264245.54165855469</v>
      </c>
      <c r="H26" s="621">
        <f t="shared" si="25"/>
        <v>363128.06735710462</v>
      </c>
      <c r="I26" s="621">
        <f t="shared" si="26"/>
        <v>504375.5000491782</v>
      </c>
      <c r="J26" s="621">
        <f t="shared" si="27"/>
        <v>633002.93324211845</v>
      </c>
      <c r="K26" s="621">
        <f t="shared" si="28"/>
        <v>770006.94149794907</v>
      </c>
      <c r="L26" s="621">
        <f t="shared" si="18"/>
        <v>783708.1065424066</v>
      </c>
      <c r="M26" s="256"/>
      <c r="N26" s="256"/>
      <c r="O26" s="256"/>
      <c r="P26" s="256"/>
      <c r="Q26" s="256"/>
      <c r="R26" s="256"/>
      <c r="S26" s="259"/>
      <c r="T26" s="256"/>
      <c r="U26" s="256"/>
      <c r="V26" s="256"/>
      <c r="W26" s="256"/>
      <c r="X26" s="256"/>
      <c r="Y26" s="256"/>
      <c r="Z26" s="256"/>
      <c r="AA26" s="256"/>
      <c r="AB26" s="256"/>
      <c r="AC26" s="256"/>
      <c r="AD26" s="256"/>
      <c r="AE26" s="256"/>
      <c r="AF26" s="256"/>
      <c r="AG26" s="256"/>
      <c r="AH26" s="256"/>
      <c r="AI26" s="256"/>
      <c r="AJ26" s="256"/>
      <c r="AK26" s="256"/>
      <c r="AL26" s="256"/>
      <c r="AM26" s="256"/>
      <c r="AN26" s="256"/>
      <c r="AO26" s="256"/>
      <c r="AP26" s="256"/>
      <c r="AQ26" s="256"/>
      <c r="AR26" s="256"/>
      <c r="AS26" s="256"/>
    </row>
    <row r="27" spans="1:45" s="230" customFormat="1" ht="28.8">
      <c r="A27" s="616" t="s">
        <v>273</v>
      </c>
      <c r="B27" s="617">
        <f t="shared" si="19"/>
        <v>0</v>
      </c>
      <c r="C27" s="618">
        <f t="shared" si="20"/>
        <v>0</v>
      </c>
      <c r="D27" s="619">
        <f t="shared" si="21"/>
        <v>0</v>
      </c>
      <c r="E27" s="619">
        <f t="shared" si="22"/>
        <v>22491.084075950952</v>
      </c>
      <c r="F27" s="604">
        <f t="shared" si="23"/>
        <v>70936.327720407236</v>
      </c>
      <c r="G27" s="604">
        <f t="shared" si="24"/>
        <v>76443.2991946455</v>
      </c>
      <c r="H27" s="604">
        <f t="shared" si="25"/>
        <v>82377.79117625489</v>
      </c>
      <c r="I27" s="604">
        <f t="shared" si="26"/>
        <v>88772.993193286908</v>
      </c>
      <c r="J27" s="604">
        <f t="shared" si="27"/>
        <v>62978.504639454419</v>
      </c>
      <c r="K27" s="604">
        <f t="shared" si="28"/>
        <v>0</v>
      </c>
      <c r="L27" s="604">
        <f t="shared" si="18"/>
        <v>0</v>
      </c>
      <c r="M27" s="256"/>
      <c r="N27" s="256"/>
      <c r="O27" s="256"/>
      <c r="P27" s="256"/>
      <c r="Q27" s="256"/>
      <c r="R27" s="256"/>
      <c r="S27" s="258"/>
      <c r="T27" s="256"/>
      <c r="U27" s="256"/>
      <c r="V27" s="256"/>
      <c r="W27" s="256"/>
      <c r="X27" s="256"/>
      <c r="Y27" s="256"/>
      <c r="Z27" s="256"/>
      <c r="AA27" s="256"/>
      <c r="AB27" s="256"/>
      <c r="AC27" s="256"/>
      <c r="AD27" s="256"/>
      <c r="AE27" s="256"/>
      <c r="AF27" s="256"/>
      <c r="AG27" s="256"/>
      <c r="AH27" s="258"/>
      <c r="AI27" s="258"/>
      <c r="AJ27" s="258"/>
      <c r="AK27" s="258"/>
      <c r="AL27" s="258"/>
      <c r="AM27" s="258"/>
      <c r="AN27" s="258"/>
      <c r="AO27" s="258"/>
      <c r="AP27" s="258"/>
      <c r="AQ27" s="258"/>
      <c r="AR27" s="258"/>
      <c r="AS27" s="258"/>
    </row>
    <row r="28" spans="1:45" ht="28.8">
      <c r="A28" s="616" t="s">
        <v>274</v>
      </c>
      <c r="B28" s="617">
        <f t="shared" si="19"/>
        <v>-2.7192781665000001</v>
      </c>
      <c r="C28" s="618">
        <f t="shared" si="20"/>
        <v>-5.4385563330000002</v>
      </c>
      <c r="D28" s="619">
        <f t="shared" si="21"/>
        <v>-5.4385563330000002</v>
      </c>
      <c r="E28" s="619">
        <f t="shared" si="22"/>
        <v>-32386.763486861004</v>
      </c>
      <c r="F28" s="604">
        <f t="shared" si="23"/>
        <v>211066.61049023137</v>
      </c>
      <c r="G28" s="604">
        <f t="shared" si="24"/>
        <v>187802.24246390918</v>
      </c>
      <c r="H28" s="604">
        <f t="shared" si="25"/>
        <v>280750.2761808497</v>
      </c>
      <c r="I28" s="604">
        <f t="shared" si="26"/>
        <v>415602.50685589126</v>
      </c>
      <c r="J28" s="604">
        <f t="shared" si="27"/>
        <v>570024.42860266403</v>
      </c>
      <c r="K28" s="604">
        <f t="shared" si="28"/>
        <v>770006.94149794907</v>
      </c>
      <c r="L28" s="604">
        <f t="shared" si="18"/>
        <v>783708.1065424066</v>
      </c>
      <c r="M28" s="256"/>
      <c r="N28" s="256"/>
      <c r="O28" s="256"/>
      <c r="P28" s="256"/>
      <c r="Q28" s="256"/>
      <c r="R28" s="256"/>
      <c r="S28" s="256"/>
      <c r="T28" s="256"/>
      <c r="U28" s="256"/>
      <c r="V28" s="256"/>
      <c r="W28" s="256"/>
      <c r="X28" s="256"/>
      <c r="Y28" s="256"/>
      <c r="Z28" s="256"/>
      <c r="AA28" s="256"/>
      <c r="AB28" s="256"/>
      <c r="AC28" s="256"/>
      <c r="AD28" s="256"/>
      <c r="AE28" s="256"/>
      <c r="AF28" s="256"/>
      <c r="AG28" s="256"/>
      <c r="AH28" s="256"/>
      <c r="AI28" s="256"/>
      <c r="AJ28" s="256"/>
      <c r="AK28" s="256"/>
      <c r="AL28" s="256"/>
      <c r="AM28" s="256"/>
      <c r="AN28" s="256"/>
      <c r="AO28" s="256"/>
      <c r="AP28" s="256"/>
      <c r="AQ28" s="256"/>
      <c r="AR28" s="256"/>
      <c r="AS28" s="256"/>
    </row>
    <row r="29" spans="1:45" ht="43.2">
      <c r="A29" s="616" t="s">
        <v>275</v>
      </c>
      <c r="B29" s="617">
        <f t="shared" si="19"/>
        <v>0</v>
      </c>
      <c r="C29" s="618">
        <f t="shared" si="20"/>
        <v>0</v>
      </c>
      <c r="D29" s="619">
        <f t="shared" si="21"/>
        <v>0</v>
      </c>
      <c r="E29" s="619">
        <f t="shared" si="22"/>
        <v>28061.415308582953</v>
      </c>
      <c r="F29" s="604">
        <f t="shared" si="23"/>
        <v>265647.92345294892</v>
      </c>
      <c r="G29" s="604">
        <f t="shared" si="24"/>
        <v>393161.29679031216</v>
      </c>
      <c r="H29" s="604">
        <f t="shared" si="25"/>
        <v>0</v>
      </c>
      <c r="I29" s="604">
        <f t="shared" si="26"/>
        <v>0</v>
      </c>
      <c r="J29" s="604">
        <f t="shared" si="27"/>
        <v>0</v>
      </c>
      <c r="K29" s="604">
        <f t="shared" si="28"/>
        <v>0</v>
      </c>
      <c r="L29" s="604">
        <f t="shared" si="18"/>
        <v>0</v>
      </c>
      <c r="M29" s="256"/>
      <c r="N29" s="256"/>
      <c r="O29" s="256"/>
      <c r="P29" s="256"/>
      <c r="Q29" s="256"/>
      <c r="R29" s="256"/>
      <c r="S29" s="256"/>
      <c r="T29" s="256"/>
      <c r="U29" s="256"/>
      <c r="V29" s="256"/>
      <c r="W29" s="256"/>
      <c r="X29" s="256"/>
      <c r="Y29" s="256"/>
      <c r="Z29" s="256"/>
      <c r="AA29" s="256"/>
      <c r="AB29" s="256"/>
      <c r="AC29" s="256"/>
      <c r="AD29" s="256"/>
      <c r="AE29" s="256"/>
      <c r="AF29" s="256"/>
      <c r="AG29" s="256"/>
      <c r="AH29" s="256"/>
      <c r="AI29" s="256"/>
      <c r="AJ29" s="256"/>
      <c r="AK29" s="256"/>
      <c r="AL29" s="256"/>
      <c r="AM29" s="256"/>
      <c r="AN29" s="256"/>
      <c r="AO29" s="256"/>
      <c r="AP29" s="256"/>
      <c r="AQ29" s="256"/>
      <c r="AR29" s="256"/>
      <c r="AS29" s="256"/>
    </row>
    <row r="30" spans="1:45" ht="14.4">
      <c r="A30" s="616" t="s">
        <v>276</v>
      </c>
      <c r="B30" s="617">
        <f t="shared" si="19"/>
        <v>0</v>
      </c>
      <c r="C30" s="618">
        <f t="shared" si="20"/>
        <v>0</v>
      </c>
      <c r="D30" s="619">
        <f t="shared" si="21"/>
        <v>0</v>
      </c>
      <c r="E30" s="619">
        <f t="shared" si="22"/>
        <v>32381.324930528004</v>
      </c>
      <c r="F30" s="604">
        <f t="shared" si="23"/>
        <v>97143.974791583998</v>
      </c>
      <c r="G30" s="604">
        <f t="shared" si="24"/>
        <v>97143.974791584013</v>
      </c>
      <c r="H30" s="604">
        <f t="shared" si="25"/>
        <v>97143.974791584013</v>
      </c>
      <c r="I30" s="604">
        <f t="shared" si="26"/>
        <v>97143.974791583998</v>
      </c>
      <c r="J30" s="604">
        <f t="shared" si="27"/>
        <v>64762.649861056001</v>
      </c>
      <c r="K30" s="604">
        <f t="shared" si="28"/>
        <v>0</v>
      </c>
      <c r="L30" s="604">
        <f t="shared" si="18"/>
        <v>0</v>
      </c>
      <c r="M30" s="256"/>
      <c r="N30" s="256"/>
      <c r="O30" s="256"/>
      <c r="P30" s="256"/>
      <c r="Q30" s="256"/>
      <c r="R30" s="256"/>
      <c r="S30" s="256"/>
      <c r="T30" s="256"/>
      <c r="U30" s="256"/>
      <c r="V30" s="256"/>
      <c r="W30" s="256"/>
      <c r="X30" s="256"/>
      <c r="Y30" s="256"/>
      <c r="Z30" s="256"/>
      <c r="AA30" s="256"/>
      <c r="AB30" s="256"/>
      <c r="AC30" s="256"/>
      <c r="AD30" s="256"/>
      <c r="AE30" s="256"/>
      <c r="AF30" s="256"/>
      <c r="AG30" s="256"/>
      <c r="AH30" s="256"/>
      <c r="AI30" s="256"/>
      <c r="AJ30" s="256"/>
      <c r="AK30" s="256"/>
      <c r="AL30" s="256"/>
      <c r="AM30" s="256"/>
      <c r="AN30" s="256"/>
      <c r="AO30" s="256"/>
      <c r="AP30" s="256"/>
      <c r="AQ30" s="256"/>
      <c r="AR30" s="256"/>
      <c r="AS30" s="256"/>
    </row>
    <row r="31" spans="1:45" ht="28.8">
      <c r="A31" s="616" t="s">
        <v>277</v>
      </c>
      <c r="B31" s="617">
        <f t="shared" si="19"/>
        <v>0</v>
      </c>
      <c r="C31" s="618">
        <f t="shared" si="20"/>
        <v>0</v>
      </c>
      <c r="D31" s="619">
        <f t="shared" si="21"/>
        <v>0</v>
      </c>
      <c r="E31" s="619">
        <f t="shared" si="22"/>
        <v>40476.656163160005</v>
      </c>
      <c r="F31" s="604">
        <f t="shared" si="23"/>
        <v>372385.23670107202</v>
      </c>
      <c r="G31" s="604">
        <f t="shared" si="24"/>
        <v>534291.86135371192</v>
      </c>
      <c r="H31" s="604">
        <f t="shared" si="25"/>
        <v>0</v>
      </c>
      <c r="I31" s="604">
        <f t="shared" si="26"/>
        <v>0</v>
      </c>
      <c r="J31" s="604">
        <f t="shared" si="27"/>
        <v>0</v>
      </c>
      <c r="K31" s="604">
        <f t="shared" si="28"/>
        <v>0</v>
      </c>
      <c r="L31" s="604">
        <f t="shared" si="18"/>
        <v>0</v>
      </c>
      <c r="M31" s="256"/>
      <c r="N31" s="256"/>
      <c r="O31" s="256"/>
      <c r="P31" s="256"/>
      <c r="Q31" s="256"/>
      <c r="R31" s="256"/>
      <c r="S31" s="256"/>
      <c r="T31" s="256"/>
      <c r="U31" s="256"/>
      <c r="V31" s="256"/>
      <c r="W31" s="256"/>
      <c r="X31" s="256"/>
      <c r="Y31" s="256"/>
      <c r="Z31" s="256"/>
      <c r="AA31" s="256"/>
      <c r="AB31" s="256"/>
      <c r="AC31" s="256"/>
      <c r="AD31" s="256"/>
      <c r="AE31" s="256"/>
      <c r="AF31" s="256"/>
      <c r="AG31" s="256"/>
      <c r="AH31" s="256"/>
      <c r="AI31" s="256"/>
      <c r="AJ31" s="256"/>
      <c r="AK31" s="256"/>
      <c r="AL31" s="256"/>
      <c r="AM31" s="256"/>
      <c r="AN31" s="256"/>
      <c r="AO31" s="256"/>
      <c r="AP31" s="256"/>
      <c r="AQ31" s="256"/>
      <c r="AR31" s="256"/>
      <c r="AS31" s="256"/>
    </row>
    <row r="32" spans="1:45">
      <c r="A32" s="260"/>
      <c r="B32" s="260"/>
      <c r="C32" s="261"/>
      <c r="D32" s="261"/>
      <c r="E32" s="261"/>
      <c r="F32" s="256"/>
      <c r="G32" s="256"/>
      <c r="H32" s="256"/>
      <c r="I32" s="256"/>
      <c r="J32" s="256"/>
      <c r="K32" s="256"/>
      <c r="L32" s="256"/>
      <c r="M32" s="256"/>
      <c r="N32" s="256"/>
      <c r="O32" s="256"/>
      <c r="P32" s="256"/>
      <c r="Q32" s="256"/>
      <c r="R32" s="256"/>
      <c r="S32" s="256"/>
      <c r="T32" s="256"/>
      <c r="U32" s="256"/>
      <c r="V32" s="256"/>
      <c r="W32" s="256"/>
      <c r="X32" s="256"/>
      <c r="Y32" s="256"/>
      <c r="Z32" s="256"/>
      <c r="AA32" s="256"/>
      <c r="AB32" s="256"/>
      <c r="AC32" s="256"/>
      <c r="AD32" s="256"/>
      <c r="AE32" s="256"/>
      <c r="AF32" s="256"/>
      <c r="AG32" s="256"/>
      <c r="AH32" s="256"/>
      <c r="AI32" s="256"/>
      <c r="AJ32" s="256"/>
      <c r="AK32" s="256"/>
      <c r="AL32" s="256"/>
      <c r="AM32" s="256"/>
      <c r="AN32" s="256"/>
      <c r="AO32" s="256"/>
      <c r="AP32" s="256"/>
      <c r="AQ32" s="256"/>
      <c r="AR32" s="256"/>
      <c r="AS32" s="256"/>
    </row>
    <row r="33" spans="1:45">
      <c r="A33" s="260"/>
      <c r="B33" s="204"/>
      <c r="C33" s="204"/>
      <c r="D33" s="204"/>
      <c r="E33" s="204"/>
      <c r="F33" s="256"/>
      <c r="G33" s="256"/>
      <c r="H33" s="256"/>
      <c r="I33" s="256"/>
      <c r="J33" s="256"/>
      <c r="K33" s="256"/>
      <c r="L33" s="256"/>
      <c r="M33" s="256"/>
      <c r="N33" s="256"/>
      <c r="O33" s="256"/>
      <c r="P33" s="256"/>
      <c r="Q33" s="256"/>
      <c r="R33" s="256"/>
      <c r="S33" s="256"/>
      <c r="T33" s="256"/>
      <c r="U33" s="256"/>
      <c r="V33" s="256"/>
      <c r="W33" s="256"/>
      <c r="X33" s="256"/>
      <c r="Y33" s="256"/>
      <c r="Z33" s="256"/>
      <c r="AA33" s="256"/>
      <c r="AB33" s="256"/>
      <c r="AC33" s="256"/>
      <c r="AD33" s="256"/>
      <c r="AE33" s="256"/>
      <c r="AF33" s="256"/>
      <c r="AG33" s="256"/>
      <c r="AH33" s="256"/>
      <c r="AI33" s="256"/>
      <c r="AJ33" s="256"/>
      <c r="AK33" s="256"/>
      <c r="AL33" s="256"/>
      <c r="AM33" s="256"/>
      <c r="AN33" s="256"/>
      <c r="AO33" s="256"/>
      <c r="AP33" s="256"/>
      <c r="AQ33" s="256"/>
      <c r="AR33" s="256"/>
      <c r="AS33" s="256"/>
    </row>
    <row r="34" spans="1:45">
      <c r="B34" s="204"/>
      <c r="C34" s="204"/>
      <c r="D34" s="204"/>
      <c r="E34" s="204"/>
      <c r="F34" s="256"/>
      <c r="G34" s="256"/>
      <c r="H34" s="256"/>
      <c r="I34" s="256"/>
      <c r="J34" s="256"/>
      <c r="K34" s="256"/>
      <c r="L34" s="256"/>
      <c r="M34" s="256"/>
      <c r="N34" s="256"/>
      <c r="O34" s="256"/>
      <c r="P34" s="256"/>
      <c r="Q34" s="256"/>
      <c r="R34" s="256"/>
      <c r="S34" s="256"/>
      <c r="T34" s="256"/>
      <c r="U34" s="256"/>
      <c r="V34" s="256"/>
      <c r="W34" s="256"/>
      <c r="X34" s="256"/>
      <c r="Y34" s="256"/>
      <c r="Z34" s="256"/>
      <c r="AA34" s="256"/>
      <c r="AB34" s="256"/>
      <c r="AC34" s="256"/>
      <c r="AD34" s="256"/>
      <c r="AE34" s="256"/>
      <c r="AF34" s="256"/>
      <c r="AG34" s="256"/>
      <c r="AH34" s="256"/>
      <c r="AI34" s="256"/>
      <c r="AJ34" s="256"/>
      <c r="AK34" s="256"/>
      <c r="AL34" s="256"/>
      <c r="AM34" s="256"/>
      <c r="AN34" s="256"/>
      <c r="AO34" s="256"/>
      <c r="AP34" s="256"/>
      <c r="AQ34" s="256"/>
      <c r="AR34" s="256"/>
      <c r="AS34" s="256"/>
    </row>
    <row r="35" spans="1:45">
      <c r="B35" s="203"/>
      <c r="C35" s="203"/>
      <c r="D35" s="203"/>
      <c r="E35" s="203"/>
      <c r="F35" s="256"/>
      <c r="G35" s="256"/>
      <c r="H35" s="256"/>
      <c r="I35" s="256"/>
      <c r="J35" s="256"/>
      <c r="K35" s="256"/>
      <c r="L35" s="256"/>
      <c r="M35" s="256"/>
      <c r="N35" s="256"/>
      <c r="O35" s="256"/>
      <c r="P35" s="256"/>
      <c r="Q35" s="256"/>
      <c r="R35" s="256"/>
      <c r="S35" s="256"/>
      <c r="T35" s="256"/>
      <c r="U35" s="256"/>
      <c r="V35" s="256"/>
      <c r="W35" s="256"/>
      <c r="X35" s="256"/>
      <c r="Y35" s="256"/>
      <c r="Z35" s="256"/>
      <c r="AA35" s="256"/>
      <c r="AB35" s="256"/>
      <c r="AC35" s="256"/>
      <c r="AD35" s="256"/>
      <c r="AE35" s="256"/>
      <c r="AF35" s="256"/>
      <c r="AG35" s="256"/>
      <c r="AH35" s="256"/>
      <c r="AI35" s="256"/>
      <c r="AJ35" s="256"/>
      <c r="AK35" s="256"/>
      <c r="AL35" s="256"/>
      <c r="AM35" s="256"/>
      <c r="AN35" s="256"/>
      <c r="AO35" s="256"/>
      <c r="AP35" s="256"/>
      <c r="AQ35" s="256"/>
      <c r="AR35" s="256"/>
      <c r="AS35" s="256"/>
    </row>
    <row r="36" spans="1:45">
      <c r="C36" s="203"/>
      <c r="D36" s="203"/>
      <c r="E36" s="203"/>
      <c r="F36" s="203"/>
      <c r="G36" s="203"/>
      <c r="H36" s="203"/>
      <c r="I36" s="203"/>
      <c r="J36" s="203"/>
      <c r="K36" s="203"/>
      <c r="L36" s="203"/>
      <c r="M36" s="203"/>
      <c r="N36" s="203"/>
      <c r="O36" s="203"/>
      <c r="P36" s="203"/>
      <c r="Q36" s="203"/>
      <c r="R36" s="256"/>
      <c r="S36" s="256"/>
      <c r="T36" s="256"/>
      <c r="U36" s="256"/>
      <c r="V36" s="256"/>
      <c r="W36" s="256"/>
      <c r="X36" s="256"/>
      <c r="Y36" s="256"/>
      <c r="Z36" s="256"/>
      <c r="AA36" s="256"/>
      <c r="AB36" s="256"/>
      <c r="AC36" s="256"/>
      <c r="AD36" s="256"/>
      <c r="AE36" s="256"/>
      <c r="AF36" s="256"/>
      <c r="AG36" s="256"/>
      <c r="AH36" s="256"/>
      <c r="AI36" s="256"/>
      <c r="AJ36" s="256"/>
      <c r="AK36" s="256"/>
      <c r="AL36" s="256"/>
      <c r="AM36" s="256"/>
      <c r="AN36" s="256"/>
      <c r="AO36" s="256"/>
      <c r="AP36" s="256"/>
      <c r="AQ36" s="256"/>
      <c r="AR36" s="256"/>
      <c r="AS36" s="256"/>
    </row>
    <row r="37" spans="1:45">
      <c r="B37" s="203"/>
      <c r="C37" s="203"/>
      <c r="D37" s="203"/>
      <c r="E37" s="203"/>
      <c r="F37" s="203"/>
      <c r="G37" s="203"/>
      <c r="H37" s="203"/>
      <c r="I37" s="203"/>
      <c r="J37" s="203"/>
      <c r="K37" s="203"/>
      <c r="L37" s="203"/>
      <c r="M37" s="203"/>
      <c r="N37" s="203"/>
      <c r="O37" s="203"/>
      <c r="P37" s="203"/>
      <c r="Q37" s="203"/>
      <c r="R37" s="203"/>
      <c r="S37" s="203"/>
      <c r="T37" s="256"/>
      <c r="U37" s="256"/>
      <c r="V37" s="256"/>
      <c r="W37" s="256"/>
      <c r="X37" s="256"/>
      <c r="Y37" s="256"/>
      <c r="Z37" s="256"/>
      <c r="AA37" s="256"/>
      <c r="AB37" s="256"/>
      <c r="AC37" s="256"/>
      <c r="AD37" s="256"/>
      <c r="AE37" s="256"/>
      <c r="AF37" s="256"/>
      <c r="AG37" s="256"/>
      <c r="AH37" s="256"/>
      <c r="AI37" s="256"/>
      <c r="AJ37" s="256"/>
      <c r="AK37" s="256"/>
      <c r="AL37" s="256"/>
      <c r="AM37" s="256"/>
      <c r="AN37" s="256"/>
      <c r="AO37" s="256"/>
      <c r="AP37" s="256"/>
      <c r="AQ37" s="256"/>
      <c r="AR37" s="256"/>
      <c r="AS37" s="256"/>
    </row>
    <row r="38" spans="1:45">
      <c r="C38" s="235"/>
      <c r="D38" s="235"/>
      <c r="E38" s="256"/>
      <c r="F38" s="256"/>
      <c r="G38" s="256"/>
      <c r="H38" s="256"/>
      <c r="I38" s="256"/>
      <c r="J38" s="256"/>
      <c r="K38" s="256"/>
      <c r="L38" s="256"/>
      <c r="M38" s="256"/>
      <c r="N38" s="256"/>
      <c r="O38" s="256"/>
      <c r="P38" s="235"/>
      <c r="Q38" s="235"/>
      <c r="R38" s="235"/>
      <c r="S38" s="235"/>
      <c r="T38" s="256"/>
      <c r="U38" s="256"/>
      <c r="V38" s="256"/>
      <c r="W38" s="256"/>
      <c r="X38" s="256"/>
      <c r="Y38" s="256"/>
      <c r="Z38" s="256"/>
      <c r="AA38" s="256"/>
      <c r="AB38" s="256"/>
      <c r="AC38" s="256"/>
      <c r="AD38" s="256"/>
      <c r="AE38" s="256"/>
      <c r="AF38" s="256"/>
      <c r="AG38" s="256"/>
      <c r="AH38" s="256"/>
      <c r="AI38" s="256"/>
      <c r="AJ38" s="256"/>
      <c r="AK38" s="256"/>
      <c r="AL38" s="256"/>
      <c r="AM38" s="256"/>
      <c r="AN38" s="256"/>
      <c r="AO38" s="256"/>
      <c r="AP38" s="256"/>
      <c r="AQ38" s="256"/>
      <c r="AR38" s="256"/>
      <c r="AS38" s="256"/>
    </row>
    <row r="39" spans="1:45" ht="11.25" customHeight="1">
      <c r="F39" s="256"/>
      <c r="G39" s="256"/>
      <c r="H39" s="256"/>
      <c r="I39" s="256"/>
      <c r="J39" s="256"/>
      <c r="K39" s="256"/>
      <c r="L39" s="256"/>
      <c r="M39" s="256"/>
      <c r="N39" s="256"/>
      <c r="O39" s="256"/>
      <c r="P39" s="256"/>
      <c r="Q39" s="256"/>
      <c r="R39" s="256"/>
      <c r="S39" s="256"/>
      <c r="T39" s="256"/>
      <c r="U39" s="256"/>
      <c r="V39" s="256"/>
      <c r="W39" s="256"/>
      <c r="X39" s="256"/>
      <c r="Y39" s="256"/>
      <c r="Z39" s="256"/>
      <c r="AA39" s="256"/>
      <c r="AB39" s="256"/>
      <c r="AC39" s="256"/>
      <c r="AD39" s="256"/>
      <c r="AE39" s="256"/>
      <c r="AF39" s="256"/>
      <c r="AG39" s="256"/>
      <c r="AH39" s="256"/>
      <c r="AI39" s="256"/>
      <c r="AJ39" s="256"/>
      <c r="AK39" s="256"/>
      <c r="AL39" s="256"/>
      <c r="AM39" s="256"/>
      <c r="AN39" s="256"/>
      <c r="AO39" s="256"/>
      <c r="AP39" s="256"/>
      <c r="AQ39" s="256"/>
      <c r="AR39" s="256"/>
      <c r="AS39" s="256"/>
    </row>
    <row r="40" spans="1:45">
      <c r="B40" s="203"/>
      <c r="C40" s="203"/>
      <c r="D40" s="203"/>
      <c r="E40" s="203"/>
      <c r="F40" s="203"/>
      <c r="G40" s="203"/>
      <c r="H40" s="203"/>
      <c r="I40" s="203"/>
      <c r="J40" s="203"/>
      <c r="K40" s="203"/>
      <c r="L40" s="203"/>
      <c r="M40" s="203"/>
      <c r="N40" s="203"/>
      <c r="O40" s="203"/>
      <c r="P40" s="203"/>
      <c r="Q40" s="256"/>
      <c r="R40" s="256"/>
      <c r="S40" s="256"/>
      <c r="T40" s="256"/>
      <c r="U40" s="256"/>
      <c r="V40" s="256"/>
      <c r="W40" s="256"/>
      <c r="X40" s="256"/>
      <c r="Y40" s="256"/>
      <c r="Z40" s="256"/>
      <c r="AA40" s="256"/>
      <c r="AB40" s="256"/>
      <c r="AC40" s="256"/>
      <c r="AD40" s="256"/>
      <c r="AE40" s="256"/>
      <c r="AF40" s="256"/>
      <c r="AG40" s="256"/>
      <c r="AH40" s="256"/>
      <c r="AI40" s="256"/>
      <c r="AJ40" s="256"/>
      <c r="AK40" s="256"/>
      <c r="AL40" s="256"/>
      <c r="AM40" s="256"/>
      <c r="AN40" s="256"/>
      <c r="AO40" s="256"/>
      <c r="AP40" s="256"/>
      <c r="AQ40" s="256"/>
      <c r="AR40" s="256"/>
      <c r="AS40" s="256"/>
    </row>
    <row r="41" spans="1:45">
      <c r="F41" s="256"/>
      <c r="G41" s="256"/>
      <c r="H41" s="256"/>
      <c r="I41" s="256"/>
      <c r="J41" s="256"/>
      <c r="K41" s="256"/>
      <c r="L41" s="256"/>
      <c r="M41" s="256"/>
      <c r="N41" s="256"/>
      <c r="O41" s="256"/>
      <c r="P41" s="256"/>
      <c r="Q41" s="256"/>
      <c r="R41" s="256"/>
      <c r="S41" s="256"/>
      <c r="T41" s="256"/>
      <c r="U41" s="256"/>
      <c r="V41" s="256"/>
      <c r="W41" s="256"/>
      <c r="X41" s="256"/>
      <c r="Y41" s="256"/>
      <c r="Z41" s="256"/>
      <c r="AA41" s="256"/>
      <c r="AB41" s="256"/>
      <c r="AC41" s="256"/>
      <c r="AD41" s="256"/>
      <c r="AE41" s="256"/>
      <c r="AF41" s="256"/>
      <c r="AG41" s="256"/>
      <c r="AH41" s="256"/>
      <c r="AI41" s="256"/>
      <c r="AJ41" s="256"/>
      <c r="AK41" s="256"/>
      <c r="AL41" s="256"/>
      <c r="AM41" s="256"/>
      <c r="AN41" s="256"/>
      <c r="AO41" s="256"/>
      <c r="AP41" s="256"/>
      <c r="AQ41" s="256"/>
      <c r="AR41" s="256"/>
      <c r="AS41" s="256"/>
    </row>
    <row r="42" spans="1:45">
      <c r="E42" s="203"/>
      <c r="F42" s="256"/>
      <c r="G42" s="256"/>
      <c r="H42" s="256"/>
      <c r="I42" s="256"/>
      <c r="J42" s="256"/>
      <c r="K42" s="256"/>
      <c r="L42" s="256"/>
      <c r="M42" s="256"/>
      <c r="N42" s="256"/>
      <c r="O42" s="256"/>
      <c r="P42" s="256"/>
      <c r="Q42" s="256"/>
      <c r="R42" s="256"/>
      <c r="S42" s="256"/>
      <c r="T42" s="256"/>
      <c r="U42" s="256"/>
      <c r="V42" s="256"/>
      <c r="W42" s="256"/>
      <c r="X42" s="256"/>
      <c r="Y42" s="256"/>
      <c r="Z42" s="256"/>
      <c r="AA42" s="256"/>
      <c r="AB42" s="256"/>
      <c r="AC42" s="256"/>
      <c r="AD42" s="256"/>
      <c r="AE42" s="256"/>
      <c r="AF42" s="256"/>
      <c r="AG42" s="256"/>
      <c r="AH42" s="256"/>
      <c r="AI42" s="256"/>
      <c r="AJ42" s="256"/>
      <c r="AK42" s="256"/>
      <c r="AL42" s="256"/>
      <c r="AM42" s="256"/>
      <c r="AN42" s="256"/>
      <c r="AO42" s="256"/>
      <c r="AP42" s="256"/>
      <c r="AQ42" s="256"/>
      <c r="AR42" s="256"/>
      <c r="AS42" s="256"/>
    </row>
    <row r="43" spans="1:45">
      <c r="F43" s="256"/>
      <c r="G43" s="256"/>
      <c r="H43" s="256"/>
      <c r="I43" s="256"/>
      <c r="J43" s="256"/>
      <c r="K43" s="256"/>
      <c r="L43" s="256"/>
      <c r="M43" s="256"/>
      <c r="N43" s="256"/>
      <c r="O43" s="256"/>
      <c r="P43" s="256"/>
      <c r="Q43" s="256"/>
      <c r="R43" s="256"/>
      <c r="S43" s="256"/>
      <c r="T43" s="256"/>
      <c r="U43" s="256"/>
      <c r="V43" s="256"/>
      <c r="W43" s="256"/>
      <c r="X43" s="256"/>
      <c r="Y43" s="256"/>
      <c r="Z43" s="256"/>
      <c r="AA43" s="256"/>
      <c r="AB43" s="256"/>
      <c r="AC43" s="256"/>
      <c r="AD43" s="256"/>
      <c r="AE43" s="256"/>
      <c r="AF43" s="256"/>
      <c r="AG43" s="256"/>
      <c r="AH43" s="256"/>
      <c r="AI43" s="256"/>
      <c r="AJ43" s="256"/>
      <c r="AK43" s="256"/>
      <c r="AL43" s="256"/>
      <c r="AM43" s="256"/>
      <c r="AN43" s="256"/>
      <c r="AO43" s="256"/>
      <c r="AP43" s="256"/>
      <c r="AQ43" s="256"/>
      <c r="AR43" s="256"/>
      <c r="AS43" s="256"/>
    </row>
    <row r="44" spans="1:45">
      <c r="F44" s="256"/>
      <c r="G44" s="256"/>
      <c r="H44" s="256"/>
      <c r="I44" s="256"/>
      <c r="J44" s="256"/>
      <c r="K44" s="256"/>
      <c r="L44" s="256"/>
      <c r="M44" s="256"/>
      <c r="N44" s="256"/>
      <c r="O44" s="256"/>
      <c r="P44" s="256"/>
      <c r="Q44" s="256"/>
      <c r="R44" s="256"/>
      <c r="S44" s="256"/>
      <c r="T44" s="256"/>
      <c r="U44" s="256"/>
      <c r="V44" s="256"/>
      <c r="W44" s="256"/>
      <c r="X44" s="256"/>
      <c r="Y44" s="256"/>
      <c r="Z44" s="256"/>
      <c r="AA44" s="256"/>
      <c r="AB44" s="256"/>
      <c r="AC44" s="256"/>
      <c r="AD44" s="256"/>
      <c r="AE44" s="256"/>
      <c r="AF44" s="256"/>
      <c r="AG44" s="256"/>
      <c r="AH44" s="256"/>
      <c r="AI44" s="256"/>
      <c r="AJ44" s="256"/>
      <c r="AK44" s="256"/>
      <c r="AL44" s="256"/>
      <c r="AM44" s="256"/>
      <c r="AN44" s="256"/>
      <c r="AO44" s="256"/>
      <c r="AP44" s="256"/>
      <c r="AQ44" s="256"/>
      <c r="AR44" s="256"/>
      <c r="AS44" s="256"/>
    </row>
    <row r="45" spans="1:45">
      <c r="F45" s="256"/>
      <c r="G45" s="256"/>
      <c r="H45" s="256"/>
      <c r="I45" s="256"/>
      <c r="J45" s="256"/>
      <c r="K45" s="256"/>
      <c r="L45" s="256"/>
      <c r="M45" s="256"/>
      <c r="N45" s="256"/>
      <c r="O45" s="256"/>
      <c r="P45" s="256"/>
      <c r="Q45" s="256"/>
      <c r="R45" s="256"/>
      <c r="S45" s="256"/>
      <c r="T45" s="256"/>
      <c r="U45" s="256"/>
      <c r="V45" s="256"/>
      <c r="W45" s="256"/>
      <c r="X45" s="256"/>
      <c r="Y45" s="256"/>
      <c r="Z45" s="256"/>
      <c r="AA45" s="256"/>
      <c r="AB45" s="256"/>
      <c r="AC45" s="256"/>
      <c r="AD45" s="256"/>
      <c r="AE45" s="256"/>
      <c r="AF45" s="256"/>
      <c r="AG45" s="256"/>
      <c r="AH45" s="256"/>
      <c r="AI45" s="256"/>
      <c r="AJ45" s="256"/>
      <c r="AK45" s="256"/>
      <c r="AL45" s="256"/>
      <c r="AM45" s="256"/>
      <c r="AN45" s="256"/>
      <c r="AO45" s="256"/>
      <c r="AP45" s="256"/>
      <c r="AQ45" s="256"/>
      <c r="AR45" s="256"/>
      <c r="AS45" s="256"/>
    </row>
    <row r="46" spans="1:45">
      <c r="B46" s="203"/>
      <c r="F46" s="256"/>
      <c r="G46" s="256"/>
      <c r="H46" s="256"/>
      <c r="I46" s="256"/>
      <c r="J46" s="256"/>
      <c r="K46" s="256"/>
      <c r="L46" s="256"/>
      <c r="M46" s="256"/>
      <c r="N46" s="256"/>
      <c r="O46" s="256"/>
      <c r="P46" s="256"/>
      <c r="Q46" s="256"/>
      <c r="R46" s="256"/>
      <c r="S46" s="256"/>
      <c r="T46" s="256"/>
      <c r="U46" s="256"/>
      <c r="V46" s="256"/>
      <c r="W46" s="256"/>
      <c r="X46" s="256"/>
      <c r="Y46" s="256"/>
      <c r="Z46" s="256"/>
      <c r="AA46" s="256"/>
      <c r="AB46" s="256"/>
      <c r="AC46" s="256"/>
      <c r="AD46" s="256"/>
      <c r="AE46" s="256"/>
      <c r="AF46" s="256"/>
      <c r="AG46" s="256"/>
      <c r="AH46" s="256"/>
      <c r="AI46" s="256"/>
      <c r="AJ46" s="256"/>
      <c r="AK46" s="256"/>
      <c r="AL46" s="256"/>
      <c r="AM46" s="256"/>
      <c r="AN46" s="256"/>
      <c r="AO46" s="256"/>
      <c r="AP46" s="256"/>
      <c r="AQ46" s="256"/>
      <c r="AR46" s="256"/>
      <c r="AS46" s="256"/>
    </row>
    <row r="47" spans="1:45">
      <c r="A47" s="256"/>
      <c r="B47" s="256"/>
      <c r="C47" s="256"/>
      <c r="D47" s="256"/>
      <c r="E47" s="256"/>
      <c r="F47" s="256"/>
      <c r="G47" s="256"/>
      <c r="H47" s="256"/>
      <c r="I47" s="256"/>
      <c r="J47" s="256"/>
      <c r="K47" s="256"/>
      <c r="L47" s="256"/>
      <c r="M47" s="256"/>
      <c r="N47" s="256"/>
      <c r="O47" s="256"/>
      <c r="P47" s="256"/>
      <c r="Q47" s="256"/>
      <c r="R47" s="256"/>
      <c r="S47" s="256"/>
      <c r="T47" s="256"/>
      <c r="U47" s="256"/>
      <c r="V47" s="256"/>
      <c r="W47" s="256"/>
      <c r="X47" s="256"/>
      <c r="Y47" s="256"/>
      <c r="Z47" s="256"/>
      <c r="AA47" s="256"/>
      <c r="AB47" s="256"/>
      <c r="AC47" s="256"/>
      <c r="AD47" s="256"/>
      <c r="AE47" s="256"/>
      <c r="AF47" s="256"/>
      <c r="AG47" s="256"/>
      <c r="AH47" s="256"/>
      <c r="AI47" s="256"/>
      <c r="AJ47" s="256"/>
      <c r="AK47" s="256"/>
      <c r="AL47" s="256"/>
      <c r="AM47" s="256"/>
      <c r="AN47" s="256"/>
      <c r="AO47" s="256"/>
      <c r="AP47" s="256"/>
      <c r="AQ47" s="256"/>
      <c r="AR47" s="256"/>
      <c r="AS47" s="256"/>
    </row>
    <row r="48" spans="1:45">
      <c r="B48" s="262"/>
      <c r="F48" s="256"/>
      <c r="G48" s="256"/>
      <c r="H48" s="256"/>
      <c r="I48" s="256"/>
      <c r="J48" s="256"/>
      <c r="K48" s="256"/>
      <c r="L48" s="256"/>
      <c r="M48" s="256"/>
      <c r="N48" s="256"/>
      <c r="O48" s="256"/>
      <c r="P48" s="256"/>
      <c r="Q48" s="256"/>
      <c r="R48" s="256"/>
      <c r="S48" s="256"/>
      <c r="T48" s="256"/>
      <c r="U48" s="256"/>
      <c r="V48" s="256"/>
      <c r="W48" s="256"/>
      <c r="X48" s="256"/>
      <c r="Y48" s="256"/>
      <c r="Z48" s="256"/>
      <c r="AA48" s="256"/>
      <c r="AB48" s="256"/>
      <c r="AC48" s="256"/>
      <c r="AD48" s="256"/>
      <c r="AE48" s="256"/>
      <c r="AF48" s="256"/>
      <c r="AG48" s="256"/>
      <c r="AH48" s="256"/>
      <c r="AI48" s="256"/>
      <c r="AJ48" s="256"/>
      <c r="AK48" s="256"/>
      <c r="AL48" s="256"/>
      <c r="AM48" s="256"/>
      <c r="AN48" s="256"/>
      <c r="AO48" s="256"/>
      <c r="AP48" s="256"/>
      <c r="AQ48" s="256"/>
      <c r="AR48" s="256"/>
      <c r="AS48" s="256"/>
    </row>
    <row r="49" spans="2:45">
      <c r="B49" s="203"/>
      <c r="F49" s="256"/>
      <c r="G49" s="256"/>
      <c r="H49" s="256"/>
      <c r="I49" s="256"/>
      <c r="J49" s="256"/>
      <c r="K49" s="256"/>
      <c r="L49" s="256"/>
      <c r="M49" s="256"/>
      <c r="N49" s="256"/>
      <c r="O49" s="256"/>
      <c r="P49" s="256"/>
      <c r="Q49" s="256"/>
      <c r="R49" s="256"/>
      <c r="S49" s="256"/>
      <c r="T49" s="256"/>
      <c r="U49" s="256"/>
      <c r="V49" s="256"/>
      <c r="W49" s="256"/>
      <c r="X49" s="256"/>
      <c r="Y49" s="256"/>
      <c r="Z49" s="256"/>
      <c r="AA49" s="256"/>
      <c r="AB49" s="256"/>
      <c r="AC49" s="256"/>
      <c r="AD49" s="256"/>
      <c r="AE49" s="256"/>
      <c r="AF49" s="256"/>
      <c r="AG49" s="256"/>
      <c r="AH49" s="256"/>
      <c r="AI49" s="256"/>
      <c r="AJ49" s="256"/>
      <c r="AK49" s="256"/>
      <c r="AL49" s="256"/>
      <c r="AM49" s="256"/>
      <c r="AN49" s="256"/>
      <c r="AO49" s="256"/>
      <c r="AP49" s="256"/>
      <c r="AQ49" s="256"/>
      <c r="AR49" s="256"/>
      <c r="AS49" s="256"/>
    </row>
    <row r="50" spans="2:45">
      <c r="B50" s="263"/>
      <c r="F50" s="256"/>
      <c r="G50" s="256"/>
      <c r="H50" s="256"/>
      <c r="I50" s="256"/>
      <c r="J50" s="256"/>
      <c r="K50" s="256"/>
      <c r="L50" s="256"/>
      <c r="M50" s="256"/>
      <c r="N50" s="256"/>
      <c r="O50" s="256"/>
      <c r="P50" s="256"/>
      <c r="Q50" s="256"/>
      <c r="R50" s="256"/>
      <c r="S50" s="256"/>
      <c r="T50" s="256"/>
      <c r="U50" s="256"/>
      <c r="V50" s="256"/>
      <c r="W50" s="256"/>
      <c r="X50" s="256"/>
      <c r="Y50" s="256"/>
      <c r="Z50" s="256"/>
      <c r="AA50" s="256"/>
      <c r="AB50" s="256"/>
      <c r="AC50" s="256"/>
      <c r="AD50" s="256"/>
      <c r="AE50" s="256"/>
      <c r="AF50" s="256"/>
      <c r="AG50" s="256"/>
      <c r="AH50" s="256"/>
      <c r="AI50" s="256"/>
      <c r="AJ50" s="256"/>
      <c r="AK50" s="256"/>
      <c r="AL50" s="256"/>
      <c r="AM50" s="256"/>
      <c r="AN50" s="256"/>
      <c r="AO50" s="256"/>
      <c r="AP50" s="256"/>
      <c r="AQ50" s="256"/>
      <c r="AR50" s="256"/>
      <c r="AS50" s="256"/>
    </row>
    <row r="51" spans="2:45">
      <c r="B51" s="263"/>
      <c r="C51" s="203"/>
      <c r="D51" s="203"/>
      <c r="E51" s="203"/>
      <c r="F51" s="256"/>
      <c r="G51" s="256"/>
      <c r="H51" s="256"/>
      <c r="I51" s="256"/>
      <c r="J51" s="256"/>
      <c r="K51" s="256"/>
      <c r="L51" s="256"/>
      <c r="M51" s="256"/>
      <c r="N51" s="256"/>
      <c r="O51" s="256"/>
      <c r="P51" s="256"/>
      <c r="Q51" s="256"/>
      <c r="R51" s="256"/>
      <c r="S51" s="256"/>
      <c r="T51" s="256"/>
      <c r="U51" s="256"/>
      <c r="V51" s="256"/>
      <c r="W51" s="256"/>
      <c r="X51" s="256"/>
      <c r="Y51" s="256"/>
      <c r="Z51" s="256"/>
      <c r="AA51" s="256"/>
      <c r="AB51" s="256"/>
      <c r="AC51" s="256"/>
      <c r="AD51" s="256"/>
      <c r="AE51" s="256"/>
      <c r="AF51" s="256"/>
      <c r="AG51" s="256"/>
      <c r="AH51" s="256"/>
      <c r="AI51" s="256"/>
      <c r="AJ51" s="256"/>
      <c r="AK51" s="256"/>
      <c r="AL51" s="256"/>
      <c r="AM51" s="256"/>
      <c r="AN51" s="256"/>
      <c r="AO51" s="256"/>
      <c r="AP51" s="256"/>
      <c r="AQ51" s="256"/>
      <c r="AR51" s="256"/>
      <c r="AS51" s="256"/>
    </row>
    <row r="52" spans="2:45">
      <c r="B52" s="264"/>
      <c r="F52" s="256"/>
      <c r="G52" s="256"/>
      <c r="H52" s="256"/>
      <c r="I52" s="256"/>
      <c r="J52" s="256"/>
      <c r="K52" s="256"/>
      <c r="L52" s="256"/>
      <c r="M52" s="256"/>
      <c r="N52" s="256"/>
      <c r="O52" s="256"/>
      <c r="P52" s="256"/>
      <c r="Q52" s="256"/>
      <c r="R52" s="256"/>
      <c r="S52" s="256"/>
      <c r="T52" s="256"/>
      <c r="U52" s="256"/>
      <c r="V52" s="256"/>
      <c r="W52" s="256"/>
      <c r="X52" s="256"/>
      <c r="Y52" s="256"/>
      <c r="Z52" s="256"/>
      <c r="AA52" s="256"/>
      <c r="AB52" s="256"/>
      <c r="AC52" s="256"/>
      <c r="AD52" s="256"/>
      <c r="AE52" s="256"/>
      <c r="AF52" s="256"/>
      <c r="AG52" s="256"/>
      <c r="AH52" s="256"/>
      <c r="AI52" s="256"/>
      <c r="AJ52" s="256"/>
      <c r="AK52" s="256"/>
      <c r="AL52" s="256"/>
      <c r="AM52" s="256"/>
      <c r="AN52" s="256"/>
      <c r="AO52" s="256"/>
      <c r="AP52" s="256"/>
      <c r="AQ52" s="256"/>
      <c r="AR52" s="256"/>
      <c r="AS52" s="256"/>
    </row>
    <row r="53" spans="2:45">
      <c r="B53" s="263"/>
      <c r="C53" s="263"/>
      <c r="D53" s="263"/>
      <c r="F53" s="256"/>
      <c r="G53" s="256"/>
      <c r="H53" s="256"/>
      <c r="I53" s="256"/>
      <c r="J53" s="256"/>
      <c r="K53" s="256"/>
      <c r="L53" s="256"/>
      <c r="M53" s="256"/>
      <c r="N53" s="256"/>
      <c r="O53" s="256"/>
      <c r="P53" s="256"/>
      <c r="Q53" s="256"/>
      <c r="R53" s="256"/>
      <c r="S53" s="256"/>
      <c r="T53" s="256"/>
      <c r="U53" s="256"/>
      <c r="V53" s="256"/>
      <c r="W53" s="256"/>
      <c r="X53" s="256"/>
      <c r="Y53" s="256"/>
      <c r="Z53" s="256"/>
      <c r="AA53" s="256"/>
      <c r="AB53" s="256"/>
      <c r="AC53" s="256"/>
      <c r="AD53" s="256"/>
      <c r="AE53" s="256"/>
      <c r="AF53" s="256"/>
      <c r="AG53" s="256"/>
      <c r="AH53" s="256"/>
      <c r="AI53" s="256"/>
      <c r="AJ53" s="256"/>
      <c r="AK53" s="256"/>
      <c r="AL53" s="256"/>
      <c r="AM53" s="256"/>
      <c r="AN53" s="256"/>
      <c r="AO53" s="256"/>
      <c r="AP53" s="256"/>
      <c r="AQ53" s="256"/>
      <c r="AR53" s="256"/>
      <c r="AS53" s="256"/>
    </row>
    <row r="54" spans="2:45">
      <c r="F54" s="256"/>
      <c r="G54" s="256"/>
      <c r="H54" s="256"/>
      <c r="I54" s="256"/>
      <c r="J54" s="256"/>
      <c r="K54" s="256"/>
      <c r="L54" s="256"/>
      <c r="M54" s="256"/>
      <c r="N54" s="256"/>
      <c r="O54" s="256"/>
      <c r="P54" s="256"/>
      <c r="Q54" s="256"/>
      <c r="R54" s="256"/>
      <c r="S54" s="256"/>
      <c r="T54" s="256"/>
      <c r="U54" s="256"/>
      <c r="V54" s="256"/>
      <c r="W54" s="256"/>
      <c r="X54" s="256"/>
      <c r="Y54" s="256"/>
      <c r="Z54" s="256"/>
      <c r="AA54" s="256"/>
      <c r="AB54" s="256"/>
      <c r="AC54" s="256"/>
      <c r="AD54" s="256"/>
      <c r="AE54" s="256"/>
      <c r="AF54" s="256"/>
      <c r="AG54" s="256"/>
      <c r="AH54" s="256"/>
      <c r="AI54" s="256"/>
      <c r="AJ54" s="256"/>
      <c r="AK54" s="256"/>
      <c r="AL54" s="256"/>
      <c r="AM54" s="256"/>
      <c r="AN54" s="256"/>
      <c r="AO54" s="256"/>
      <c r="AP54" s="256"/>
      <c r="AQ54" s="256"/>
      <c r="AR54" s="256"/>
      <c r="AS54" s="256"/>
    </row>
    <row r="55" spans="2:45">
      <c r="F55" s="256"/>
      <c r="G55" s="256"/>
      <c r="H55" s="256"/>
      <c r="I55" s="256"/>
      <c r="J55" s="256"/>
      <c r="K55" s="256"/>
      <c r="L55" s="256"/>
      <c r="M55" s="256"/>
      <c r="N55" s="256"/>
      <c r="O55" s="256"/>
      <c r="P55" s="256"/>
      <c r="Q55" s="256"/>
      <c r="R55" s="256"/>
      <c r="S55" s="256"/>
      <c r="T55" s="256"/>
      <c r="U55" s="256"/>
      <c r="V55" s="256"/>
      <c r="W55" s="256"/>
      <c r="X55" s="256"/>
      <c r="Y55" s="256"/>
      <c r="Z55" s="256"/>
      <c r="AA55" s="256"/>
      <c r="AB55" s="256"/>
      <c r="AC55" s="256"/>
      <c r="AD55" s="256"/>
      <c r="AE55" s="256"/>
      <c r="AF55" s="256"/>
      <c r="AG55" s="256"/>
      <c r="AH55" s="256"/>
      <c r="AI55" s="256"/>
      <c r="AJ55" s="256"/>
      <c r="AK55" s="256"/>
      <c r="AL55" s="256"/>
      <c r="AM55" s="256"/>
      <c r="AN55" s="256"/>
      <c r="AO55" s="256"/>
      <c r="AP55" s="256"/>
      <c r="AQ55" s="256"/>
      <c r="AR55" s="256"/>
      <c r="AS55" s="256"/>
    </row>
    <row r="56" spans="2:45">
      <c r="D56" s="265"/>
      <c r="F56" s="256"/>
      <c r="G56" s="256"/>
      <c r="H56" s="256"/>
      <c r="I56" s="256"/>
      <c r="J56" s="256"/>
      <c r="K56" s="256"/>
      <c r="L56" s="256"/>
      <c r="M56" s="256"/>
      <c r="N56" s="256"/>
      <c r="O56" s="256"/>
      <c r="P56" s="256"/>
      <c r="Q56" s="256"/>
      <c r="R56" s="256"/>
      <c r="S56" s="256"/>
      <c r="T56" s="256"/>
      <c r="U56" s="256"/>
      <c r="V56" s="256"/>
      <c r="W56" s="256"/>
      <c r="X56" s="256"/>
      <c r="Y56" s="256"/>
      <c r="Z56" s="256"/>
      <c r="AA56" s="256"/>
      <c r="AB56" s="256"/>
      <c r="AC56" s="256"/>
      <c r="AD56" s="256"/>
      <c r="AE56" s="256"/>
      <c r="AF56" s="256"/>
      <c r="AG56" s="256"/>
      <c r="AH56" s="256"/>
      <c r="AI56" s="256"/>
      <c r="AJ56" s="256"/>
      <c r="AK56" s="256"/>
      <c r="AL56" s="256"/>
      <c r="AM56" s="256"/>
      <c r="AN56" s="256"/>
      <c r="AO56" s="256"/>
      <c r="AP56" s="256"/>
      <c r="AQ56" s="256"/>
      <c r="AR56" s="256"/>
      <c r="AS56" s="256"/>
    </row>
    <row r="57" spans="2:45" ht="18">
      <c r="D57" s="266"/>
      <c r="F57" s="256"/>
      <c r="G57" s="256"/>
      <c r="H57" s="256"/>
      <c r="I57" s="256"/>
      <c r="J57" s="256"/>
      <c r="K57" s="256"/>
      <c r="L57" s="256"/>
      <c r="M57" s="256"/>
      <c r="N57" s="256"/>
      <c r="O57" s="256"/>
      <c r="P57" s="256"/>
      <c r="Q57" s="256"/>
      <c r="R57" s="256"/>
      <c r="S57" s="256"/>
      <c r="T57" s="256"/>
      <c r="U57" s="256"/>
      <c r="V57" s="256"/>
      <c r="W57" s="256"/>
      <c r="X57" s="256"/>
      <c r="Y57" s="256"/>
      <c r="Z57" s="256"/>
      <c r="AA57" s="256"/>
      <c r="AB57" s="256"/>
      <c r="AC57" s="256"/>
      <c r="AD57" s="256"/>
      <c r="AE57" s="256"/>
      <c r="AF57" s="256"/>
      <c r="AG57" s="256"/>
      <c r="AH57" s="256"/>
      <c r="AI57" s="256"/>
      <c r="AJ57" s="256"/>
      <c r="AK57" s="256"/>
      <c r="AL57" s="256"/>
      <c r="AM57" s="256"/>
      <c r="AN57" s="256"/>
      <c r="AO57" s="256"/>
      <c r="AP57" s="256"/>
      <c r="AQ57" s="256"/>
      <c r="AR57" s="256"/>
      <c r="AS57" s="256"/>
    </row>
    <row r="58" spans="2:45" ht="18">
      <c r="B58" s="709"/>
      <c r="C58" s="709"/>
      <c r="D58" s="709"/>
      <c r="E58" s="709"/>
      <c r="F58" s="256"/>
      <c r="G58" s="256"/>
      <c r="H58" s="256"/>
      <c r="I58" s="256"/>
      <c r="J58" s="256"/>
      <c r="K58" s="256"/>
      <c r="L58" s="256"/>
      <c r="M58" s="256"/>
      <c r="N58" s="256"/>
      <c r="O58" s="256"/>
      <c r="P58" s="256"/>
      <c r="Q58" s="256"/>
      <c r="R58" s="256"/>
      <c r="S58" s="256"/>
      <c r="T58" s="256"/>
      <c r="U58" s="256"/>
      <c r="V58" s="256"/>
      <c r="W58" s="256"/>
      <c r="X58" s="256"/>
      <c r="Y58" s="256"/>
      <c r="Z58" s="256"/>
      <c r="AA58" s="256"/>
      <c r="AB58" s="256"/>
      <c r="AC58" s="256"/>
      <c r="AD58" s="256"/>
      <c r="AE58" s="256"/>
      <c r="AF58" s="256"/>
      <c r="AG58" s="256"/>
      <c r="AH58" s="256"/>
      <c r="AI58" s="256"/>
      <c r="AJ58" s="256"/>
      <c r="AK58" s="256"/>
      <c r="AL58" s="256"/>
      <c r="AM58" s="256"/>
      <c r="AN58" s="256"/>
      <c r="AO58" s="256"/>
      <c r="AP58" s="256"/>
      <c r="AQ58" s="256"/>
      <c r="AR58" s="256"/>
      <c r="AS58" s="256"/>
    </row>
    <row r="59" spans="2:45" ht="27" customHeight="1">
      <c r="F59" s="256"/>
      <c r="G59" s="256"/>
      <c r="H59" s="256"/>
      <c r="I59" s="256"/>
      <c r="J59" s="256"/>
      <c r="K59" s="256"/>
      <c r="L59" s="256"/>
      <c r="M59" s="256"/>
      <c r="N59" s="256"/>
      <c r="O59" s="256"/>
      <c r="P59" s="256"/>
      <c r="Q59" s="256"/>
      <c r="R59" s="256"/>
      <c r="S59" s="256"/>
      <c r="T59" s="256"/>
      <c r="U59" s="256"/>
      <c r="V59" s="256"/>
      <c r="W59" s="256"/>
      <c r="X59" s="256"/>
      <c r="Y59" s="256"/>
      <c r="Z59" s="256"/>
      <c r="AA59" s="256"/>
      <c r="AB59" s="256"/>
      <c r="AC59" s="256"/>
      <c r="AD59" s="256"/>
      <c r="AE59" s="256"/>
      <c r="AF59" s="256"/>
      <c r="AG59" s="256"/>
      <c r="AH59" s="256"/>
      <c r="AI59" s="256"/>
      <c r="AJ59" s="256"/>
      <c r="AK59" s="256"/>
      <c r="AL59" s="256"/>
      <c r="AM59" s="256"/>
      <c r="AN59" s="256"/>
      <c r="AO59" s="256"/>
      <c r="AP59" s="256"/>
      <c r="AQ59" s="256"/>
      <c r="AR59" s="256"/>
      <c r="AS59" s="256"/>
    </row>
    <row r="60" spans="2:45" ht="18">
      <c r="B60" s="709"/>
      <c r="C60" s="709"/>
      <c r="D60" s="709"/>
      <c r="E60" s="709"/>
      <c r="F60" s="256"/>
      <c r="G60" s="256"/>
      <c r="H60" s="256"/>
      <c r="I60" s="256"/>
      <c r="J60" s="256"/>
      <c r="K60" s="256"/>
      <c r="L60" s="256"/>
      <c r="M60" s="256"/>
      <c r="N60" s="256"/>
      <c r="O60" s="256"/>
      <c r="P60" s="256"/>
      <c r="Q60" s="256"/>
      <c r="R60" s="256"/>
      <c r="S60" s="256"/>
      <c r="T60" s="256"/>
      <c r="U60" s="256"/>
      <c r="V60" s="256"/>
      <c r="W60" s="256"/>
      <c r="X60" s="256"/>
      <c r="Y60" s="256"/>
      <c r="Z60" s="256"/>
      <c r="AA60" s="256"/>
      <c r="AB60" s="256"/>
      <c r="AC60" s="256"/>
      <c r="AD60" s="256"/>
      <c r="AE60" s="256"/>
      <c r="AF60" s="256"/>
      <c r="AG60" s="256"/>
      <c r="AH60" s="256"/>
      <c r="AI60" s="256"/>
      <c r="AJ60" s="256"/>
      <c r="AK60" s="256"/>
      <c r="AL60" s="256"/>
      <c r="AM60" s="256"/>
      <c r="AN60" s="256"/>
      <c r="AO60" s="256"/>
      <c r="AP60" s="256"/>
      <c r="AQ60" s="256"/>
      <c r="AR60" s="256"/>
      <c r="AS60" s="256"/>
    </row>
    <row r="61" spans="2:45">
      <c r="F61" s="256"/>
      <c r="G61" s="256"/>
      <c r="H61" s="256"/>
      <c r="I61" s="256"/>
      <c r="J61" s="256"/>
      <c r="K61" s="256"/>
      <c r="L61" s="256"/>
      <c r="M61" s="256"/>
      <c r="N61" s="256"/>
      <c r="O61" s="256"/>
      <c r="P61" s="256"/>
      <c r="Q61" s="256"/>
      <c r="R61" s="256"/>
      <c r="S61" s="256"/>
      <c r="T61" s="256"/>
      <c r="U61" s="256"/>
      <c r="V61" s="256"/>
      <c r="W61" s="256"/>
      <c r="X61" s="256"/>
      <c r="Y61" s="256"/>
      <c r="Z61" s="256"/>
      <c r="AA61" s="256"/>
      <c r="AB61" s="256"/>
      <c r="AC61" s="256"/>
      <c r="AD61" s="256"/>
      <c r="AE61" s="256"/>
      <c r="AF61" s="256"/>
      <c r="AG61" s="256"/>
      <c r="AH61" s="256"/>
      <c r="AI61" s="256"/>
      <c r="AJ61" s="256"/>
      <c r="AK61" s="256"/>
      <c r="AL61" s="256"/>
      <c r="AM61" s="256"/>
      <c r="AN61" s="256"/>
      <c r="AO61" s="256"/>
      <c r="AP61" s="256"/>
      <c r="AQ61" s="256"/>
      <c r="AR61" s="256"/>
      <c r="AS61" s="256"/>
    </row>
    <row r="62" spans="2:45">
      <c r="F62" s="256"/>
      <c r="G62" s="256"/>
      <c r="H62" s="256"/>
      <c r="I62" s="256"/>
      <c r="J62" s="256"/>
      <c r="K62" s="256"/>
      <c r="L62" s="256"/>
      <c r="M62" s="256"/>
      <c r="N62" s="256"/>
      <c r="O62" s="256"/>
      <c r="P62" s="256"/>
      <c r="Q62" s="256"/>
      <c r="R62" s="256"/>
      <c r="S62" s="256"/>
      <c r="T62" s="256"/>
      <c r="U62" s="256"/>
      <c r="V62" s="256"/>
      <c r="W62" s="256"/>
      <c r="X62" s="256"/>
      <c r="Y62" s="256"/>
      <c r="Z62" s="256"/>
      <c r="AA62" s="256"/>
      <c r="AB62" s="256"/>
      <c r="AC62" s="256"/>
      <c r="AD62" s="256"/>
      <c r="AE62" s="256"/>
      <c r="AF62" s="256"/>
      <c r="AG62" s="256"/>
      <c r="AH62" s="256"/>
      <c r="AI62" s="256"/>
      <c r="AJ62" s="256"/>
      <c r="AK62" s="256"/>
      <c r="AL62" s="256"/>
      <c r="AM62" s="256"/>
      <c r="AN62" s="256"/>
      <c r="AO62" s="256"/>
      <c r="AP62" s="256"/>
      <c r="AQ62" s="256"/>
      <c r="AR62" s="256"/>
      <c r="AS62" s="256"/>
    </row>
    <row r="63" spans="2:45">
      <c r="F63" s="256"/>
      <c r="G63" s="256"/>
      <c r="H63" s="256"/>
      <c r="I63" s="256"/>
      <c r="J63" s="256"/>
      <c r="K63" s="256"/>
      <c r="L63" s="256"/>
      <c r="M63" s="256"/>
      <c r="N63" s="256"/>
      <c r="O63" s="256"/>
      <c r="P63" s="256"/>
      <c r="Q63" s="256"/>
      <c r="R63" s="256"/>
      <c r="S63" s="256"/>
      <c r="T63" s="256"/>
      <c r="U63" s="256"/>
      <c r="V63" s="256"/>
      <c r="W63" s="256"/>
      <c r="X63" s="256"/>
      <c r="Y63" s="256"/>
      <c r="Z63" s="256"/>
      <c r="AA63" s="256"/>
      <c r="AB63" s="256"/>
      <c r="AC63" s="256"/>
      <c r="AD63" s="256"/>
      <c r="AE63" s="256"/>
      <c r="AF63" s="256"/>
      <c r="AG63" s="256"/>
      <c r="AH63" s="256"/>
      <c r="AI63" s="256"/>
      <c r="AJ63" s="256"/>
      <c r="AK63" s="256"/>
      <c r="AL63" s="256"/>
      <c r="AM63" s="256"/>
      <c r="AN63" s="256"/>
      <c r="AO63" s="256"/>
      <c r="AP63" s="256"/>
      <c r="AQ63" s="256"/>
      <c r="AR63" s="256"/>
      <c r="AS63" s="256"/>
    </row>
  </sheetData>
  <mergeCells count="3">
    <mergeCell ref="A1:AC1"/>
    <mergeCell ref="B58:E58"/>
    <mergeCell ref="B60:E60"/>
  </mergeCells>
  <pageMargins left="0.7" right="0.7" top="0.75" bottom="0.75" header="0.3" footer="0.3"/>
  <pageSetup paperSize="8" scale="63" firstPageNumber="2147483648" orientation="landscape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theme="0"/>
    <pageSetUpPr fitToPage="1"/>
  </sheetPr>
  <dimension ref="A1:AD38"/>
  <sheetViews>
    <sheetView topLeftCell="A2" zoomScale="40" zoomScaleNormal="40" workbookViewId="0">
      <selection activeCell="N20" sqref="N19:N20"/>
    </sheetView>
  </sheetViews>
  <sheetFormatPr defaultColWidth="9.109375" defaultRowHeight="14.4"/>
  <cols>
    <col min="1" max="1" width="21.88671875" style="282" customWidth="1"/>
    <col min="2" max="2" width="19.88671875" style="282" customWidth="1"/>
    <col min="3" max="10" width="14.33203125" style="282" customWidth="1"/>
    <col min="11" max="11" width="17.44140625" style="282" customWidth="1"/>
    <col min="12" max="12" width="18.33203125" style="282" customWidth="1"/>
    <col min="13" max="14" width="24.33203125" style="282" customWidth="1"/>
    <col min="15" max="15" width="23.5546875" style="282" customWidth="1"/>
    <col min="16" max="16" width="16.88671875" style="282" customWidth="1"/>
    <col min="17" max="18" width="13.44140625" style="282" customWidth="1"/>
    <col min="19" max="19" width="14" style="282" customWidth="1"/>
    <col min="20" max="20" width="12.6640625" style="282" customWidth="1"/>
    <col min="21" max="21" width="13.88671875" style="282" customWidth="1"/>
    <col min="22" max="22" width="12.33203125" style="282" customWidth="1"/>
    <col min="23" max="23" width="13.44140625" style="282" customWidth="1"/>
    <col min="24" max="24" width="12.44140625" style="282" customWidth="1"/>
    <col min="25" max="25" width="14.109375" style="282" customWidth="1"/>
    <col min="26" max="26" width="12.44140625" style="282" customWidth="1"/>
    <col min="27" max="27" width="13.109375" style="282" customWidth="1"/>
    <col min="28" max="28" width="12.6640625" style="282" customWidth="1"/>
    <col min="29" max="16384" width="9.109375" style="282"/>
  </cols>
  <sheetData>
    <row r="1" spans="1:20" ht="25.8">
      <c r="A1" s="710"/>
      <c r="B1" s="710"/>
      <c r="C1" s="710"/>
      <c r="D1" s="710"/>
      <c r="E1" s="710"/>
      <c r="F1" s="710"/>
      <c r="G1" s="710"/>
    </row>
    <row r="2" spans="1:20">
      <c r="A2" s="494" t="s">
        <v>390</v>
      </c>
      <c r="B2" s="493">
        <f>допущения!C43</f>
        <v>0.16415094339622635</v>
      </c>
      <c r="C2" s="299"/>
      <c r="D2" s="300"/>
      <c r="E2" s="300"/>
      <c r="F2" s="300"/>
    </row>
    <row r="3" spans="1:20" ht="24.75" customHeight="1">
      <c r="A3" s="330" t="s">
        <v>391</v>
      </c>
      <c r="B3" s="301">
        <v>0</v>
      </c>
      <c r="C3" s="301">
        <f>B3+1</f>
        <v>1</v>
      </c>
      <c r="D3" s="301">
        <f t="shared" ref="D3:L3" si="0">C3+1</f>
        <v>2</v>
      </c>
      <c r="E3" s="301">
        <f t="shared" si="0"/>
        <v>3</v>
      </c>
      <c r="F3" s="301">
        <f t="shared" si="0"/>
        <v>4</v>
      </c>
      <c r="G3" s="301">
        <f t="shared" si="0"/>
        <v>5</v>
      </c>
      <c r="H3" s="301">
        <f t="shared" si="0"/>
        <v>6</v>
      </c>
      <c r="I3" s="301">
        <f t="shared" si="0"/>
        <v>7</v>
      </c>
      <c r="J3" s="301">
        <f t="shared" si="0"/>
        <v>8</v>
      </c>
      <c r="K3" s="301">
        <f t="shared" si="0"/>
        <v>9</v>
      </c>
      <c r="L3" s="301">
        <f t="shared" si="0"/>
        <v>10</v>
      </c>
      <c r="M3" s="638" t="s">
        <v>460</v>
      </c>
      <c r="N3" s="638" t="s">
        <v>460</v>
      </c>
    </row>
    <row r="4" spans="1:20">
      <c r="A4" s="489" t="s">
        <v>57</v>
      </c>
      <c r="B4" s="490" t="str">
        <f>'Расходы ТОР'!B24</f>
        <v>1 год</v>
      </c>
      <c r="C4" s="490" t="str">
        <f>'Фин результат ТОР'!C18</f>
        <v>2 год</v>
      </c>
      <c r="D4" s="490" t="str">
        <f>'Фин результат ТОР'!D18</f>
        <v>3 год</v>
      </c>
      <c r="E4" s="490" t="str">
        <f>'Фин результат ТОР'!E18</f>
        <v>4 год</v>
      </c>
      <c r="F4" s="490" t="str">
        <f>'Фин результат ТОР'!F18</f>
        <v>5 год</v>
      </c>
      <c r="G4" s="490" t="str">
        <f>'Фин результат ТОР'!G18</f>
        <v>6 год</v>
      </c>
      <c r="H4" s="490" t="str">
        <f>'Фин результат ТОР'!H18</f>
        <v>7 год</v>
      </c>
      <c r="I4" s="490" t="str">
        <f>'Фин результат ТОР'!I18</f>
        <v>8 год</v>
      </c>
      <c r="J4" s="490" t="str">
        <f>'Фин результат ТОР'!J18</f>
        <v>9 год</v>
      </c>
      <c r="K4" s="490" t="str">
        <f>'Фин результат ТОР'!K18</f>
        <v>10 год</v>
      </c>
      <c r="L4" s="490" t="str">
        <f>'Фин результат ТОР'!L18</f>
        <v>11 год</v>
      </c>
      <c r="M4" s="491" t="s">
        <v>21</v>
      </c>
      <c r="N4" s="492" t="s">
        <v>278</v>
      </c>
    </row>
    <row r="5" spans="1:20">
      <c r="A5" s="298" t="str">
        <f>'Фин результат ТОР'!A19</f>
        <v>Выручка</v>
      </c>
      <c r="B5" s="302">
        <f>'Фин результат ТОР'!B19</f>
        <v>0</v>
      </c>
      <c r="C5" s="302">
        <f>'Фин результат ТОР'!C19</f>
        <v>0</v>
      </c>
      <c r="D5" s="302">
        <f>'Фин результат ТОР'!D19</f>
        <v>0</v>
      </c>
      <c r="E5" s="302">
        <f>'Фин результат ТОР'!E19</f>
        <v>0</v>
      </c>
      <c r="F5" s="302">
        <f>'Фин результат ТОР'!F19</f>
        <v>435190.00261723041</v>
      </c>
      <c r="G5" s="303">
        <f>'Фин результат ТОР'!G19</f>
        <v>609782.37881547038</v>
      </c>
      <c r="H5" s="302">
        <f>'Фин результат ТОР'!H19</f>
        <v>817752.74474631669</v>
      </c>
      <c r="I5" s="302">
        <f>'Фин результат ТОР'!I19</f>
        <v>1063289.5052598554</v>
      </c>
      <c r="J5" s="302">
        <f>'Фин результат ТОР'!J19</f>
        <v>1286679.7748276708</v>
      </c>
      <c r="K5" s="302">
        <f>'Фин результат ТОР'!K19</f>
        <v>1532744.7267373852</v>
      </c>
      <c r="L5" s="303">
        <f>'Фин результат ТОР'!L19</f>
        <v>1623064.1920258473</v>
      </c>
      <c r="M5" s="304">
        <f>SUM(B5:L5)</f>
        <v>7368503.3250297774</v>
      </c>
      <c r="N5" s="304">
        <f>AVERAGE(B5:L5)</f>
        <v>669863.93863907072</v>
      </c>
    </row>
    <row r="6" spans="1:20" ht="28.8">
      <c r="A6" s="298" t="str">
        <f>'Фин результат ТОР'!A20</f>
        <v>Расходы основной деятельности</v>
      </c>
      <c r="B6" s="302">
        <f>'Фин результат ТОР'!B20</f>
        <v>2.7192781665000001</v>
      </c>
      <c r="C6" s="302">
        <f>'Фин результат ТОР'!C20</f>
        <v>5.4385563330000002</v>
      </c>
      <c r="D6" s="302">
        <f>'Фин результат ТОР'!D20</f>
        <v>5.4385563330000002</v>
      </c>
      <c r="E6" s="302">
        <f>'Фин результат ТОР'!E20</f>
        <v>5.4385563330000002</v>
      </c>
      <c r="F6" s="302">
        <f>'Фин результат ТОР'!F20</f>
        <v>126979.41733541501</v>
      </c>
      <c r="G6" s="303">
        <f>'Фин результат ТОР'!G20</f>
        <v>307973.60454199492</v>
      </c>
      <c r="H6" s="302">
        <f>'Фин результат ТОР'!H20</f>
        <v>390341.03004336875</v>
      </c>
      <c r="I6" s="302">
        <f>'Фин результат ТОР'!I20</f>
        <v>481764.5463329468</v>
      </c>
      <c r="J6" s="302">
        <f>'Фин результат ТОР'!J20</f>
        <v>565574.11455820734</v>
      </c>
      <c r="K6" s="302">
        <f>'Фин результат ТОР'!K20</f>
        <v>657736.83867153397</v>
      </c>
      <c r="L6" s="302">
        <f>'Фин результат ТОР'!L20</f>
        <v>690078.00169758545</v>
      </c>
      <c r="M6" s="304">
        <f t="shared" ref="M6:M12" si="1">SUM(B6:L6)</f>
        <v>3220466.5881282175</v>
      </c>
      <c r="N6" s="304">
        <f t="shared" ref="N6:N12" si="2">AVERAGE(B6:L6)</f>
        <v>292769.68982983794</v>
      </c>
    </row>
    <row r="7" spans="1:20" ht="30.75" customHeight="1">
      <c r="A7" s="298" t="str">
        <f>'Фин результат ТОР'!A26</f>
        <v>Чистая прибыль (убыток)</v>
      </c>
      <c r="B7" s="302">
        <f>'Фин результат ТОР'!B26</f>
        <v>-2.7192781665000001</v>
      </c>
      <c r="C7" s="303">
        <f>'Фин результат ТОР'!C26</f>
        <v>-5.4385563330000002</v>
      </c>
      <c r="D7" s="303">
        <f>'Фин результат ТОР'!D26</f>
        <v>-5.4385563330000002</v>
      </c>
      <c r="E7" s="303">
        <f>'Фин результат ТОР'!E26</f>
        <v>-9895.679410910052</v>
      </c>
      <c r="F7" s="302">
        <f>'Фин результат ТОР'!F26</f>
        <v>282002.93821063865</v>
      </c>
      <c r="G7" s="303">
        <f>'Фин результат ТОР'!G26</f>
        <v>264245.54165855469</v>
      </c>
      <c r="H7" s="302">
        <f>'Фин результат ТОР'!H26</f>
        <v>363128.06735710462</v>
      </c>
      <c r="I7" s="302">
        <f>'Фин результат ТОР'!I26</f>
        <v>504375.5000491782</v>
      </c>
      <c r="J7" s="302">
        <f>'Фин результат ТОР'!J26</f>
        <v>633002.93324211845</v>
      </c>
      <c r="K7" s="302">
        <f>'Фин результат ТОР'!K26</f>
        <v>770006.94149794907</v>
      </c>
      <c r="L7" s="302">
        <f>'Фин результат ТОР'!L26</f>
        <v>783708.1065424066</v>
      </c>
      <c r="M7" s="304">
        <f t="shared" si="1"/>
        <v>3590560.7527562077</v>
      </c>
      <c r="N7" s="304">
        <f t="shared" si="2"/>
        <v>326414.61388692795</v>
      </c>
      <c r="T7" s="305"/>
    </row>
    <row r="8" spans="1:20" ht="33" customHeight="1">
      <c r="A8" s="298" t="str">
        <f>'Фин результат ТОР'!A27</f>
        <v>На выплату основного долга</v>
      </c>
      <c r="B8" s="302">
        <f>'Фин результат ТОР'!B27</f>
        <v>0</v>
      </c>
      <c r="C8" s="302">
        <f>'Фин результат ТОР'!C27</f>
        <v>0</v>
      </c>
      <c r="D8" s="303">
        <f>'Фин результат ТОР'!D27</f>
        <v>0</v>
      </c>
      <c r="E8" s="303">
        <f>'Фин результат ТОР'!E27</f>
        <v>22491.084075950952</v>
      </c>
      <c r="F8" s="303">
        <f>'Фин результат ТОР'!F27</f>
        <v>70936.327720407236</v>
      </c>
      <c r="G8" s="303">
        <f>'Фин результат ТОР'!G27</f>
        <v>76443.2991946455</v>
      </c>
      <c r="H8" s="302">
        <f>'Фин результат ТОР'!H27</f>
        <v>82377.79117625489</v>
      </c>
      <c r="I8" s="302">
        <f>'Фин результат ТОР'!I27</f>
        <v>88772.993193286908</v>
      </c>
      <c r="J8" s="302">
        <f>'Фин результат ТОР'!J27</f>
        <v>62978.504639454419</v>
      </c>
      <c r="K8" s="302">
        <f>'Фин результат ТОР'!K27</f>
        <v>0</v>
      </c>
      <c r="L8" s="302">
        <f>'Фин результат ТОР'!L27</f>
        <v>0</v>
      </c>
      <c r="M8" s="304">
        <f t="shared" si="1"/>
        <v>403999.99999999988</v>
      </c>
      <c r="N8" s="304">
        <f t="shared" si="2"/>
        <v>36727.272727272713</v>
      </c>
    </row>
    <row r="9" spans="1:20" ht="29.25" customHeight="1">
      <c r="A9" s="298" t="str">
        <f>'Фин результат ТОР'!A21</f>
        <v>Расходование инвестиций</v>
      </c>
      <c r="B9" s="302">
        <f>'Фин результат ТОР'!B21</f>
        <v>2000</v>
      </c>
      <c r="C9" s="302">
        <f>'Фин результат ТОР'!C21</f>
        <v>2000</v>
      </c>
      <c r="D9" s="302">
        <f>'Фин результат ТОР'!D21</f>
        <v>274000</v>
      </c>
      <c r="E9" s="302">
        <f>'Фин результат ТОР'!E21</f>
        <v>504000</v>
      </c>
      <c r="F9" s="302">
        <f>'Фин результат ТОР'!F21</f>
        <v>0</v>
      </c>
      <c r="G9" s="303">
        <f>'Фин результат ТОР'!G21</f>
        <v>0</v>
      </c>
      <c r="H9" s="302">
        <f>'Фин результат ТОР'!H21</f>
        <v>0</v>
      </c>
      <c r="I9" s="302">
        <f>'Фин результат ТОР'!I21</f>
        <v>0</v>
      </c>
      <c r="J9" s="302">
        <f>'Фин результат ТОР'!J21</f>
        <v>0</v>
      </c>
      <c r="K9" s="302">
        <f>'Фин результат ТОР'!K21</f>
        <v>0</v>
      </c>
      <c r="L9" s="302">
        <f>'Фин результат ТОР'!L21</f>
        <v>0</v>
      </c>
      <c r="M9" s="304">
        <f t="shared" si="1"/>
        <v>782000</v>
      </c>
      <c r="N9" s="304">
        <f t="shared" si="2"/>
        <v>71090.909090909088</v>
      </c>
      <c r="T9" s="305"/>
    </row>
    <row r="10" spans="1:20" ht="29.25" customHeight="1">
      <c r="A10" s="498" t="s">
        <v>279</v>
      </c>
      <c r="B10" s="499"/>
      <c r="C10" s="499"/>
      <c r="D10" s="499"/>
      <c r="E10" s="499"/>
      <c r="F10" s="499"/>
      <c r="G10" s="500"/>
      <c r="H10" s="499"/>
      <c r="I10" s="499"/>
      <c r="J10" s="499"/>
      <c r="K10" s="499"/>
      <c r="L10" s="499"/>
      <c r="M10" s="304"/>
      <c r="N10" s="304"/>
      <c r="T10" s="305"/>
    </row>
    <row r="11" spans="1:20" ht="29.25" customHeight="1">
      <c r="A11" s="298" t="s">
        <v>280</v>
      </c>
      <c r="B11" s="302">
        <f>B9</f>
        <v>2000</v>
      </c>
      <c r="C11" s="302">
        <f>C9</f>
        <v>2000</v>
      </c>
      <c r="D11" s="302">
        <f t="shared" ref="D11:L11" si="3">D9/(1+$B$2)^C3</f>
        <v>235364.66774716374</v>
      </c>
      <c r="E11" s="302">
        <f t="shared" si="3"/>
        <v>371887.813937361</v>
      </c>
      <c r="F11" s="302">
        <f t="shared" si="3"/>
        <v>0</v>
      </c>
      <c r="G11" s="303">
        <f t="shared" si="3"/>
        <v>0</v>
      </c>
      <c r="H11" s="302">
        <f t="shared" si="3"/>
        <v>0</v>
      </c>
      <c r="I11" s="302">
        <f t="shared" si="3"/>
        <v>0</v>
      </c>
      <c r="J11" s="302">
        <f t="shared" si="3"/>
        <v>0</v>
      </c>
      <c r="K11" s="302">
        <f t="shared" si="3"/>
        <v>0</v>
      </c>
      <c r="L11" s="302">
        <f t="shared" si="3"/>
        <v>0</v>
      </c>
      <c r="M11" s="304">
        <f t="shared" si="1"/>
        <v>611252.4816845248</v>
      </c>
      <c r="N11" s="304">
        <f t="shared" si="2"/>
        <v>55568.407425865887</v>
      </c>
    </row>
    <row r="12" spans="1:20" ht="29.25" customHeight="1">
      <c r="A12" s="298" t="s">
        <v>281</v>
      </c>
      <c r="B12" s="302">
        <f>B7</f>
        <v>-2.7192781665000001</v>
      </c>
      <c r="C12" s="302">
        <f>C7/(1+B2)</f>
        <v>-4.6716934464991899</v>
      </c>
      <c r="D12" s="302">
        <f>D7/(1+$B$2)^D3</f>
        <v>-4.012961955663811</v>
      </c>
      <c r="E12" s="302">
        <f t="shared" ref="E12:L12" si="4">E7/(1+$B$2)^E3</f>
        <v>-6272.1687417373969</v>
      </c>
      <c r="F12" s="302">
        <f t="shared" si="4"/>
        <v>153538.2037819541</v>
      </c>
      <c r="G12" s="302">
        <f t="shared" si="4"/>
        <v>123583.70084376773</v>
      </c>
      <c r="H12" s="302">
        <f t="shared" si="4"/>
        <v>145882.78700355283</v>
      </c>
      <c r="I12" s="302">
        <f t="shared" si="4"/>
        <v>174055.96909056051</v>
      </c>
      <c r="J12" s="302">
        <f t="shared" si="4"/>
        <v>187642.56762201129</v>
      </c>
      <c r="K12" s="302">
        <f t="shared" si="4"/>
        <v>196069.92846959576</v>
      </c>
      <c r="L12" s="302">
        <f t="shared" si="4"/>
        <v>171419.96209528472</v>
      </c>
      <c r="M12" s="304">
        <f t="shared" si="1"/>
        <v>1145909.5462314207</v>
      </c>
      <c r="N12" s="304">
        <f t="shared" si="2"/>
        <v>104173.59511194733</v>
      </c>
    </row>
    <row r="13" spans="1:20" ht="29.25" customHeight="1">
      <c r="A13" s="640" t="s">
        <v>461</v>
      </c>
      <c r="B13" s="302">
        <f>B7-B9</f>
        <v>-2002.7192781665001</v>
      </c>
      <c r="C13" s="302">
        <f t="shared" ref="C13:L13" si="5">C7-C9</f>
        <v>-2005.438556333</v>
      </c>
      <c r="D13" s="302">
        <f t="shared" si="5"/>
        <v>-274005.43855633301</v>
      </c>
      <c r="E13" s="302">
        <f t="shared" si="5"/>
        <v>-513895.67941091006</v>
      </c>
      <c r="F13" s="302">
        <f t="shared" si="5"/>
        <v>282002.93821063865</v>
      </c>
      <c r="G13" s="302">
        <f t="shared" si="5"/>
        <v>264245.54165855469</v>
      </c>
      <c r="H13" s="302">
        <f t="shared" si="5"/>
        <v>363128.06735710462</v>
      </c>
      <c r="I13" s="302">
        <f t="shared" si="5"/>
        <v>504375.5000491782</v>
      </c>
      <c r="J13" s="302">
        <f t="shared" si="5"/>
        <v>633002.93324211845</v>
      </c>
      <c r="K13" s="302">
        <f t="shared" si="5"/>
        <v>770006.94149794907</v>
      </c>
      <c r="L13" s="302">
        <f t="shared" si="5"/>
        <v>783708.1065424066</v>
      </c>
      <c r="M13" s="639"/>
      <c r="N13" s="639"/>
    </row>
    <row r="14" spans="1:20" ht="29.25" customHeight="1">
      <c r="A14" s="640" t="s">
        <v>462</v>
      </c>
      <c r="B14" s="302">
        <v>1</v>
      </c>
      <c r="C14" s="642">
        <f>B14/(1+$B$2)</f>
        <v>0.85899513776337122</v>
      </c>
      <c r="D14" s="642">
        <f t="shared" ref="D14:L14" si="6">C14/(1+$B$2)</f>
        <v>0.73787264670111319</v>
      </c>
      <c r="E14" s="642">
        <f t="shared" si="6"/>
        <v>0.63382901580484607</v>
      </c>
      <c r="F14" s="642">
        <f t="shared" si="6"/>
        <v>0.54445604274970583</v>
      </c>
      <c r="G14" s="642">
        <f t="shared" si="6"/>
        <v>0.4676850934478835</v>
      </c>
      <c r="H14" s="642">
        <f t="shared" si="6"/>
        <v>0.40173922127613987</v>
      </c>
      <c r="I14" s="642">
        <f t="shared" si="6"/>
        <v>0.34509203772504726</v>
      </c>
      <c r="J14" s="642">
        <f t="shared" si="6"/>
        <v>0.29643238248666948</v>
      </c>
      <c r="K14" s="642">
        <f t="shared" si="6"/>
        <v>0.25463397523166104</v>
      </c>
      <c r="L14" s="642">
        <f t="shared" si="6"/>
        <v>0.21872934663335553</v>
      </c>
      <c r="M14" s="639"/>
      <c r="N14" s="639"/>
    </row>
    <row r="15" spans="1:20" ht="29.25" customHeight="1">
      <c r="A15" s="640" t="s">
        <v>463</v>
      </c>
      <c r="B15" s="302">
        <f>B13*B14</f>
        <v>-2002.7192781665001</v>
      </c>
      <c r="C15" s="302">
        <f t="shared" ref="C15:L15" si="7">C13*C14</f>
        <v>-1722.6619689732415</v>
      </c>
      <c r="D15" s="302">
        <f t="shared" si="7"/>
        <v>-202181.11815806068</v>
      </c>
      <c r="E15" s="302">
        <f t="shared" si="7"/>
        <v>-325721.9927073798</v>
      </c>
      <c r="F15" s="302">
        <f t="shared" si="7"/>
        <v>153538.20378195413</v>
      </c>
      <c r="G15" s="302">
        <f t="shared" si="7"/>
        <v>123583.70084376774</v>
      </c>
      <c r="H15" s="302">
        <f t="shared" si="7"/>
        <v>145882.78700355289</v>
      </c>
      <c r="I15" s="302">
        <f t="shared" si="7"/>
        <v>174055.96909056057</v>
      </c>
      <c r="J15" s="302">
        <f t="shared" si="7"/>
        <v>187642.56762201135</v>
      </c>
      <c r="K15" s="302">
        <f t="shared" si="7"/>
        <v>196069.92846959582</v>
      </c>
      <c r="L15" s="302">
        <f t="shared" si="7"/>
        <v>171419.96209528478</v>
      </c>
      <c r="M15" s="639"/>
      <c r="N15" s="639"/>
    </row>
    <row r="16" spans="1:20" ht="43.5" customHeight="1">
      <c r="A16" s="298" t="s">
        <v>282</v>
      </c>
      <c r="B16" s="302">
        <f>B12</f>
        <v>-2.7192781665000001</v>
      </c>
      <c r="C16" s="302">
        <f>C12</f>
        <v>-4.6716934464991899</v>
      </c>
      <c r="D16" s="302">
        <f>D12+C16</f>
        <v>-8.6846554021630009</v>
      </c>
      <c r="E16" s="302">
        <f t="shared" ref="E16:K16" si="8">E12+D16</f>
        <v>-6280.85339713956</v>
      </c>
      <c r="F16" s="302">
        <f t="shared" si="8"/>
        <v>147257.35038481455</v>
      </c>
      <c r="G16" s="303">
        <f>G12+F16</f>
        <v>270841.05122858228</v>
      </c>
      <c r="H16" s="303">
        <f t="shared" si="8"/>
        <v>416723.83823213511</v>
      </c>
      <c r="I16" s="302">
        <f t="shared" si="8"/>
        <v>590779.80732269562</v>
      </c>
      <c r="J16" s="302">
        <f t="shared" si="8"/>
        <v>778422.37494470691</v>
      </c>
      <c r="K16" s="302">
        <f t="shared" si="8"/>
        <v>974492.30341430265</v>
      </c>
      <c r="L16" s="302">
        <f>L12+K16</f>
        <v>1145912.2655095872</v>
      </c>
    </row>
    <row r="17" spans="1:30" ht="29.25" customHeight="1">
      <c r="A17" s="298" t="s">
        <v>283</v>
      </c>
      <c r="B17" s="302">
        <f>B12-B11</f>
        <v>-2002.7192781665001</v>
      </c>
      <c r="C17" s="302">
        <f>C12-C11</f>
        <v>-2004.6716934464991</v>
      </c>
      <c r="D17" s="302">
        <f t="shared" ref="D17:L17" si="9">D12-D11</f>
        <v>-235368.68070911939</v>
      </c>
      <c r="E17" s="302">
        <f t="shared" si="9"/>
        <v>-378159.98267909838</v>
      </c>
      <c r="F17" s="303">
        <f t="shared" si="9"/>
        <v>153538.2037819541</v>
      </c>
      <c r="G17" s="303">
        <f>G12-G11</f>
        <v>123583.70084376773</v>
      </c>
      <c r="H17" s="302">
        <f t="shared" si="9"/>
        <v>145882.78700355283</v>
      </c>
      <c r="I17" s="302">
        <f t="shared" si="9"/>
        <v>174055.96909056051</v>
      </c>
      <c r="J17" s="302">
        <f t="shared" si="9"/>
        <v>187642.56762201129</v>
      </c>
      <c r="K17" s="302">
        <f t="shared" si="9"/>
        <v>196069.92846959576</v>
      </c>
      <c r="L17" s="302">
        <f t="shared" si="9"/>
        <v>171419.96209528472</v>
      </c>
      <c r="P17" s="306"/>
      <c r="Q17" s="306"/>
      <c r="R17" s="306"/>
      <c r="S17" s="306"/>
      <c r="T17" s="306"/>
      <c r="U17" s="306"/>
      <c r="V17" s="306"/>
      <c r="W17" s="306"/>
      <c r="X17" s="306"/>
      <c r="Y17" s="306"/>
      <c r="Z17" s="306"/>
      <c r="AA17" s="306"/>
      <c r="AB17" s="306"/>
    </row>
    <row r="18" spans="1:30" ht="28.8">
      <c r="A18" s="298" t="s">
        <v>284</v>
      </c>
      <c r="B18" s="302">
        <f>B7-B8-B9</f>
        <v>-2002.7192781665001</v>
      </c>
      <c r="C18" s="302">
        <f>C7-C8-C9</f>
        <v>-2005.438556333</v>
      </c>
      <c r="D18" s="303">
        <f t="shared" ref="D18:L18" si="10">D7-D8-D9</f>
        <v>-274005.43855633301</v>
      </c>
      <c r="E18" s="303">
        <f t="shared" si="10"/>
        <v>-536386.76348686102</v>
      </c>
      <c r="F18" s="303">
        <f t="shared" si="10"/>
        <v>211066.61049023143</v>
      </c>
      <c r="G18" s="303">
        <f>G10+G7-G8-G9</f>
        <v>187802.24246390921</v>
      </c>
      <c r="H18" s="307">
        <f t="shared" si="10"/>
        <v>280750.27618084976</v>
      </c>
      <c r="I18" s="302">
        <f t="shared" si="10"/>
        <v>415602.50685589132</v>
      </c>
      <c r="J18" s="302">
        <f>J7-J8-J9</f>
        <v>570024.42860266403</v>
      </c>
      <c r="K18" s="302">
        <f t="shared" si="10"/>
        <v>770006.94149794907</v>
      </c>
      <c r="L18" s="302">
        <f t="shared" si="10"/>
        <v>783708.1065424066</v>
      </c>
      <c r="P18" s="306"/>
      <c r="Q18" s="306"/>
      <c r="R18" s="306"/>
      <c r="S18" s="306"/>
      <c r="T18" s="306"/>
      <c r="U18" s="306"/>
      <c r="V18" s="306"/>
      <c r="W18" s="306"/>
      <c r="X18" s="306"/>
      <c r="Y18" s="306"/>
      <c r="Z18" s="306"/>
      <c r="AA18" s="306"/>
      <c r="AB18" s="306"/>
      <c r="AC18" s="305"/>
      <c r="AD18" s="305"/>
    </row>
    <row r="19" spans="1:30" ht="46.5" customHeight="1">
      <c r="A19" s="298" t="s">
        <v>285</v>
      </c>
      <c r="B19" s="302">
        <f>B18</f>
        <v>-2002.7192781665001</v>
      </c>
      <c r="C19" s="302">
        <f>C18+B19</f>
        <v>-4008.1578344995</v>
      </c>
      <c r="D19" s="302">
        <f>C19+D18</f>
        <v>-278013.59639083251</v>
      </c>
      <c r="E19" s="302">
        <f>D19+E18</f>
        <v>-814400.35987769347</v>
      </c>
      <c r="F19" s="307">
        <f>E19+F18</f>
        <v>-603333.74938746204</v>
      </c>
      <c r="G19" s="303">
        <f>F19+G18</f>
        <v>-415531.50692355284</v>
      </c>
      <c r="H19" s="307">
        <f t="shared" ref="H19:L19" si="11">G19+H18</f>
        <v>-134781.23074270308</v>
      </c>
      <c r="I19" s="547">
        <f t="shared" si="11"/>
        <v>280821.27611318824</v>
      </c>
      <c r="J19" s="303">
        <f t="shared" si="11"/>
        <v>850845.70471585228</v>
      </c>
      <c r="K19" s="303">
        <f>J19+K18</f>
        <v>1620852.6462138013</v>
      </c>
      <c r="L19" s="303">
        <f t="shared" si="11"/>
        <v>2404560.7527562082</v>
      </c>
    </row>
    <row r="20" spans="1:30" ht="43.2">
      <c r="A20" s="298" t="s">
        <v>286</v>
      </c>
      <c r="B20" s="302">
        <f>B18</f>
        <v>-2002.7192781665001</v>
      </c>
      <c r="C20" s="302">
        <f>C18</f>
        <v>-2005.438556333</v>
      </c>
      <c r="D20" s="302">
        <f t="shared" ref="D20:L20" si="12">D18/(1+$B$2)^C3</f>
        <v>-235369.33944061023</v>
      </c>
      <c r="E20" s="302">
        <f t="shared" si="12"/>
        <v>-395785.12082949415</v>
      </c>
      <c r="F20" s="302">
        <f t="shared" si="12"/>
        <v>133780.14199628818</v>
      </c>
      <c r="G20" s="303">
        <f t="shared" si="12"/>
        <v>102250.06575142076</v>
      </c>
      <c r="H20" s="302">
        <f t="shared" si="12"/>
        <v>131302.71915115981</v>
      </c>
      <c r="I20" s="303">
        <f t="shared" si="12"/>
        <v>166963.82746469733</v>
      </c>
      <c r="J20" s="302">
        <f t="shared" si="12"/>
        <v>196710.89161954899</v>
      </c>
      <c r="K20" s="303">
        <f t="shared" si="12"/>
        <v>228254.99219951048</v>
      </c>
      <c r="L20" s="303">
        <f t="shared" si="12"/>
        <v>199558.71059017105</v>
      </c>
    </row>
    <row r="21" spans="1:30" ht="32.25" customHeight="1">
      <c r="A21" s="496" t="s">
        <v>464</v>
      </c>
      <c r="B21" s="308">
        <f>NPV(B2,C13:L13)+(B13)</f>
        <v>620564.62679414684</v>
      </c>
      <c r="C21" s="310" t="s">
        <v>287</v>
      </c>
      <c r="D21" s="311"/>
    </row>
    <row r="22" spans="1:30" ht="32.25" customHeight="1">
      <c r="A22" s="496" t="s">
        <v>465</v>
      </c>
      <c r="B22" s="308">
        <f>SUM(B15:L15)</f>
        <v>620564.62679414707</v>
      </c>
      <c r="C22" s="641"/>
      <c r="D22" s="311"/>
    </row>
    <row r="23" spans="1:30" ht="28.8">
      <c r="A23" s="309" t="s">
        <v>288</v>
      </c>
      <c r="B23" s="312">
        <f>M7/M5</f>
        <v>0.48728494707460795</v>
      </c>
      <c r="C23" s="313"/>
    </row>
    <row r="24" spans="1:30" ht="28.8">
      <c r="A24" s="309" t="s">
        <v>289</v>
      </c>
      <c r="B24" s="312">
        <f>M7/M6</f>
        <v>1.1149194237854505</v>
      </c>
      <c r="C24" s="313"/>
    </row>
    <row r="25" spans="1:30">
      <c r="A25" s="495" t="s">
        <v>290</v>
      </c>
      <c r="B25" s="314">
        <f>B21/M11</f>
        <v>1.0152345313739408</v>
      </c>
      <c r="C25" s="310" t="s">
        <v>291</v>
      </c>
    </row>
    <row r="26" spans="1:30" ht="34.5" customHeight="1">
      <c r="A26" s="497" t="s">
        <v>292</v>
      </c>
      <c r="B26" s="315">
        <f>IRR(B18:K18,B2)</f>
        <v>0.28514823876094519</v>
      </c>
      <c r="C26" s="282" t="s">
        <v>293</v>
      </c>
    </row>
    <row r="27" spans="1:30" ht="45" customHeight="1">
      <c r="A27" s="497" t="s">
        <v>501</v>
      </c>
      <c r="B27" s="316">
        <f>M9/N7+I3</f>
        <v>9.3957260696388119</v>
      </c>
    </row>
    <row r="28" spans="1:30">
      <c r="A28" s="298"/>
      <c r="B28" s="317">
        <f>E3+(-F20+M11)/F19</f>
        <v>2.2086099274688462</v>
      </c>
      <c r="D28" s="305"/>
      <c r="F28" s="305"/>
    </row>
    <row r="29" spans="1:30" ht="30" customHeight="1">
      <c r="A29" s="309" t="s">
        <v>294</v>
      </c>
      <c r="B29" s="318">
        <f>SUM(C18:L18)</f>
        <v>2406563.4720343743</v>
      </c>
    </row>
    <row r="30" spans="1:30" ht="43.2">
      <c r="A30" s="309" t="s">
        <v>295</v>
      </c>
      <c r="B30" s="312">
        <f>N7/M9</f>
        <v>0.4174099921827723</v>
      </c>
    </row>
    <row r="31" spans="1:30" ht="31.5" customHeight="1">
      <c r="A31" s="309" t="s">
        <v>296</v>
      </c>
      <c r="B31" s="312">
        <f>M7/M9</f>
        <v>4.591509914010496</v>
      </c>
    </row>
    <row r="32" spans="1:30" ht="42.75" customHeight="1"/>
    <row r="33" spans="1:12">
      <c r="A33" s="320"/>
      <c r="B33" s="321" t="str">
        <f>B4</f>
        <v>1 год</v>
      </c>
      <c r="C33" s="321" t="str">
        <f t="shared" ref="C33:L33" si="13">C4</f>
        <v>2 год</v>
      </c>
      <c r="D33" s="321" t="str">
        <f t="shared" si="13"/>
        <v>3 год</v>
      </c>
      <c r="E33" s="321" t="str">
        <f t="shared" si="13"/>
        <v>4 год</v>
      </c>
      <c r="F33" s="321" t="str">
        <f t="shared" si="13"/>
        <v>5 год</v>
      </c>
      <c r="G33" s="321" t="str">
        <f t="shared" si="13"/>
        <v>6 год</v>
      </c>
      <c r="H33" s="321" t="str">
        <f t="shared" si="13"/>
        <v>7 год</v>
      </c>
      <c r="I33" s="321" t="str">
        <f t="shared" si="13"/>
        <v>8 год</v>
      </c>
      <c r="J33" s="321" t="str">
        <f t="shared" si="13"/>
        <v>9 год</v>
      </c>
      <c r="K33" s="321" t="str">
        <f t="shared" si="13"/>
        <v>10 год</v>
      </c>
      <c r="L33" s="321" t="str">
        <f t="shared" si="13"/>
        <v>11 год</v>
      </c>
    </row>
    <row r="34" spans="1:12" ht="28.8">
      <c r="A34" s="319" t="s">
        <v>369</v>
      </c>
      <c r="B34" s="322">
        <f>B18/1000</f>
        <v>-2.0027192781665</v>
      </c>
      <c r="C34" s="322">
        <f t="shared" ref="C34:L34" si="14">C18/1000</f>
        <v>-2.0054385563329999</v>
      </c>
      <c r="D34" s="322">
        <f t="shared" si="14"/>
        <v>-274.00543855633299</v>
      </c>
      <c r="E34" s="322">
        <f t="shared" si="14"/>
        <v>-536.38676348686101</v>
      </c>
      <c r="F34" s="322">
        <f t="shared" si="14"/>
        <v>211.06661049023143</v>
      </c>
      <c r="G34" s="322">
        <f t="shared" si="14"/>
        <v>187.80224246390921</v>
      </c>
      <c r="H34" s="322">
        <f t="shared" si="14"/>
        <v>280.75027618084977</v>
      </c>
      <c r="I34" s="322">
        <f t="shared" si="14"/>
        <v>415.60250685589131</v>
      </c>
      <c r="J34" s="322">
        <f t="shared" si="14"/>
        <v>570.02442860266399</v>
      </c>
      <c r="K34" s="322">
        <f t="shared" si="14"/>
        <v>770.00694149794901</v>
      </c>
      <c r="L34" s="322">
        <f t="shared" si="14"/>
        <v>783.70810654240665</v>
      </c>
    </row>
    <row r="37" spans="1:12">
      <c r="A37" s="320"/>
      <c r="B37" s="321" t="str">
        <f>B33</f>
        <v>1 год</v>
      </c>
      <c r="C37" s="321" t="str">
        <f t="shared" ref="C37:L37" si="15">C33</f>
        <v>2 год</v>
      </c>
      <c r="D37" s="321" t="str">
        <f t="shared" si="15"/>
        <v>3 год</v>
      </c>
      <c r="E37" s="321" t="str">
        <f t="shared" si="15"/>
        <v>4 год</v>
      </c>
      <c r="F37" s="321" t="str">
        <f t="shared" si="15"/>
        <v>5 год</v>
      </c>
      <c r="G37" s="321" t="str">
        <f t="shared" si="15"/>
        <v>6 год</v>
      </c>
      <c r="H37" s="321" t="str">
        <f t="shared" si="15"/>
        <v>7 год</v>
      </c>
      <c r="I37" s="321" t="str">
        <f t="shared" si="15"/>
        <v>8 год</v>
      </c>
      <c r="J37" s="321" t="str">
        <f t="shared" si="15"/>
        <v>9 год</v>
      </c>
      <c r="K37" s="321" t="str">
        <f t="shared" si="15"/>
        <v>10 год</v>
      </c>
      <c r="L37" s="321" t="str">
        <f t="shared" si="15"/>
        <v>11 год</v>
      </c>
    </row>
    <row r="38" spans="1:12" ht="28.8">
      <c r="A38" s="549" t="s">
        <v>414</v>
      </c>
      <c r="B38" s="322">
        <f>B7/1000</f>
        <v>-2.7192781665000003E-3</v>
      </c>
      <c r="C38" s="322">
        <f t="shared" ref="C38:L38" si="16">C7/1000</f>
        <v>-5.4385563330000006E-3</v>
      </c>
      <c r="D38" s="322">
        <f t="shared" si="16"/>
        <v>-5.4385563330000006E-3</v>
      </c>
      <c r="E38" s="322">
        <f t="shared" si="16"/>
        <v>-9.8956794109100521</v>
      </c>
      <c r="F38" s="322">
        <f t="shared" si="16"/>
        <v>282.00293821063866</v>
      </c>
      <c r="G38" s="322">
        <f t="shared" si="16"/>
        <v>264.24554165855471</v>
      </c>
      <c r="H38" s="322">
        <f t="shared" si="16"/>
        <v>363.12806735710461</v>
      </c>
      <c r="I38" s="322">
        <f t="shared" si="16"/>
        <v>504.37550004917819</v>
      </c>
      <c r="J38" s="322">
        <f t="shared" si="16"/>
        <v>633.0029332421185</v>
      </c>
      <c r="K38" s="322">
        <f t="shared" si="16"/>
        <v>770.00694149794901</v>
      </c>
      <c r="L38" s="322">
        <f t="shared" si="16"/>
        <v>783.70810654240665</v>
      </c>
    </row>
  </sheetData>
  <mergeCells count="1">
    <mergeCell ref="A1:G1"/>
  </mergeCells>
  <pageMargins left="0.7" right="0.7" top="0.75" bottom="0.75" header="0.3" footer="0.3"/>
  <pageSetup paperSize="9" firstPageNumber="2147483648" orientation="landscape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Лист2">
    <pageSetUpPr fitToPage="1"/>
  </sheetPr>
  <dimension ref="A1:J26"/>
  <sheetViews>
    <sheetView zoomScale="70" workbookViewId="0">
      <pane xSplit="1" topLeftCell="B1" activePane="topRight" state="frozen"/>
      <selection pane="topRight"/>
    </sheetView>
  </sheetViews>
  <sheetFormatPr defaultRowHeight="14.4"/>
  <cols>
    <col min="1" max="1" width="26.5546875" style="51" customWidth="1"/>
    <col min="2" max="2" width="11.88671875" style="52" customWidth="1"/>
    <col min="3" max="3" width="13" style="53" customWidth="1"/>
    <col min="4" max="6" width="12.88671875" style="69" customWidth="1"/>
    <col min="10" max="10" width="11.109375" bestFit="1" customWidth="1"/>
  </cols>
  <sheetData>
    <row r="1" spans="1:10">
      <c r="A1" s="81"/>
      <c r="B1" s="81"/>
      <c r="C1" s="81"/>
      <c r="D1" s="267"/>
      <c r="E1" s="267"/>
      <c r="F1" s="267"/>
      <c r="G1" s="268"/>
      <c r="H1" s="268"/>
      <c r="I1" s="268"/>
      <c r="J1" s="268"/>
    </row>
    <row r="2" spans="1:10">
      <c r="A2" s="81"/>
      <c r="B2" s="81"/>
      <c r="C2" s="81"/>
      <c r="D2" s="269">
        <v>0.3</v>
      </c>
      <c r="E2" s="269"/>
      <c r="F2" s="269"/>
      <c r="G2" s="270"/>
      <c r="H2" s="270"/>
      <c r="I2" s="270"/>
      <c r="J2" s="270"/>
    </row>
    <row r="3" spans="1:10" s="61" customFormat="1" ht="55.2">
      <c r="A3" s="194" t="s">
        <v>67</v>
      </c>
      <c r="B3" s="271" t="s">
        <v>43</v>
      </c>
      <c r="C3" s="222" t="s">
        <v>297</v>
      </c>
      <c r="D3" s="272" t="s">
        <v>298</v>
      </c>
      <c r="E3" s="272" t="s">
        <v>299</v>
      </c>
      <c r="F3" s="272" t="s">
        <v>300</v>
      </c>
      <c r="G3" s="272" t="s">
        <v>301</v>
      </c>
    </row>
    <row r="4" spans="1:10">
      <c r="A4" s="194" t="s">
        <v>302</v>
      </c>
      <c r="B4" s="271" t="s">
        <v>303</v>
      </c>
      <c r="C4" s="222">
        <f>'объем работ 100% загр'!C4</f>
        <v>4.5</v>
      </c>
      <c r="D4" s="69">
        <f>'объем работ 100% загр'!V4</f>
        <v>598.50000000000011</v>
      </c>
      <c r="E4" s="69">
        <f t="shared" ref="E4:E23" si="0">C4*D4</f>
        <v>2693.2500000000005</v>
      </c>
      <c r="F4" s="69">
        <f t="shared" ref="F4:F23" si="1">E4*3</f>
        <v>8079.7500000000018</v>
      </c>
      <c r="G4">
        <f t="shared" ref="G4:G25" si="2">E4*3</f>
        <v>8079.7500000000018</v>
      </c>
    </row>
    <row r="5" spans="1:10" ht="124.2">
      <c r="A5" s="194" t="s">
        <v>304</v>
      </c>
      <c r="B5" s="271" t="s">
        <v>305</v>
      </c>
      <c r="C5" s="222">
        <f>'объем работ 100% загр'!C5</f>
        <v>6.3E-3</v>
      </c>
      <c r="D5" s="69">
        <f>'объем работ 100% загр'!V5</f>
        <v>4750000.0000000009</v>
      </c>
      <c r="E5" s="69">
        <f t="shared" si="0"/>
        <v>29925.000000000007</v>
      </c>
      <c r="F5" s="69">
        <f t="shared" si="1"/>
        <v>89775.000000000029</v>
      </c>
      <c r="G5">
        <f t="shared" si="2"/>
        <v>89775.000000000029</v>
      </c>
    </row>
    <row r="6" spans="1:10" ht="123.75" customHeight="1">
      <c r="A6" s="194" t="s">
        <v>306</v>
      </c>
      <c r="B6" s="271" t="s">
        <v>305</v>
      </c>
      <c r="C6" s="222">
        <f>'объем работ 100% загр'!C6</f>
        <v>9.3000000000000007</v>
      </c>
      <c r="D6" s="69">
        <f>'объем работ 100% загр'!V6</f>
        <v>5158.5000000000009</v>
      </c>
      <c r="E6" s="69">
        <f t="shared" si="0"/>
        <v>47974.05000000001</v>
      </c>
      <c r="F6" s="69">
        <f t="shared" si="1"/>
        <v>143922.15000000002</v>
      </c>
      <c r="G6">
        <f t="shared" si="2"/>
        <v>143922.15000000002</v>
      </c>
    </row>
    <row r="7" spans="1:10" ht="55.2">
      <c r="A7" s="194" t="s">
        <v>307</v>
      </c>
      <c r="B7" s="271" t="s">
        <v>308</v>
      </c>
      <c r="C7" s="222" t="e">
        <f t="shared" ref="C7:C25" si="3">'объем работ 100% загр'!#REF!</f>
        <v>#REF!</v>
      </c>
      <c r="D7" s="69" t="e">
        <f t="shared" ref="D7:D25" si="4">'объем работ 100% загр'!#REF!</f>
        <v>#REF!</v>
      </c>
      <c r="E7" s="69" t="e">
        <f t="shared" si="0"/>
        <v>#REF!</v>
      </c>
      <c r="F7" s="69" t="e">
        <f t="shared" si="1"/>
        <v>#REF!</v>
      </c>
      <c r="G7" t="e">
        <f t="shared" si="2"/>
        <v>#REF!</v>
      </c>
    </row>
    <row r="8" spans="1:10" ht="27.6">
      <c r="A8" s="194" t="s">
        <v>309</v>
      </c>
      <c r="B8" s="271" t="s">
        <v>310</v>
      </c>
      <c r="C8" s="222" t="e">
        <f t="shared" si="3"/>
        <v>#REF!</v>
      </c>
      <c r="D8" s="69" t="e">
        <f t="shared" si="4"/>
        <v>#REF!</v>
      </c>
      <c r="E8" s="69" t="e">
        <f t="shared" si="0"/>
        <v>#REF!</v>
      </c>
      <c r="F8" s="69" t="e">
        <f t="shared" si="1"/>
        <v>#REF!</v>
      </c>
      <c r="G8" t="e">
        <f t="shared" si="2"/>
        <v>#REF!</v>
      </c>
    </row>
    <row r="9" spans="1:10" ht="27.6">
      <c r="A9" s="194" t="s">
        <v>311</v>
      </c>
      <c r="B9" s="271" t="s">
        <v>312</v>
      </c>
      <c r="C9" s="222" t="e">
        <f t="shared" si="3"/>
        <v>#REF!</v>
      </c>
      <c r="D9" s="69" t="e">
        <f t="shared" si="4"/>
        <v>#REF!</v>
      </c>
      <c r="E9" s="69" t="e">
        <f t="shared" si="0"/>
        <v>#REF!</v>
      </c>
      <c r="F9" s="69" t="e">
        <f t="shared" si="1"/>
        <v>#REF!</v>
      </c>
      <c r="G9" t="e">
        <f t="shared" si="2"/>
        <v>#REF!</v>
      </c>
    </row>
    <row r="10" spans="1:10" ht="69">
      <c r="A10" s="194" t="s">
        <v>313</v>
      </c>
      <c r="B10" s="271" t="s">
        <v>314</v>
      </c>
      <c r="C10" s="222" t="e">
        <f t="shared" si="3"/>
        <v>#REF!</v>
      </c>
      <c r="D10" s="69" t="e">
        <f t="shared" si="4"/>
        <v>#REF!</v>
      </c>
      <c r="E10" s="69" t="e">
        <f t="shared" si="0"/>
        <v>#REF!</v>
      </c>
      <c r="F10" s="69" t="e">
        <f t="shared" si="1"/>
        <v>#REF!</v>
      </c>
      <c r="G10" t="e">
        <f t="shared" si="2"/>
        <v>#REF!</v>
      </c>
    </row>
    <row r="11" spans="1:10" ht="69">
      <c r="A11" s="194" t="s">
        <v>315</v>
      </c>
      <c r="B11" s="271" t="s">
        <v>316</v>
      </c>
      <c r="C11" s="222" t="e">
        <f t="shared" si="3"/>
        <v>#REF!</v>
      </c>
      <c r="D11" s="69" t="e">
        <f t="shared" si="4"/>
        <v>#REF!</v>
      </c>
      <c r="E11" s="69" t="e">
        <f t="shared" si="0"/>
        <v>#REF!</v>
      </c>
      <c r="F11" s="69" t="e">
        <f t="shared" si="1"/>
        <v>#REF!</v>
      </c>
      <c r="G11" t="e">
        <f t="shared" si="2"/>
        <v>#REF!</v>
      </c>
    </row>
    <row r="12" spans="1:10" ht="72">
      <c r="A12" s="51" t="s">
        <v>317</v>
      </c>
      <c r="B12" s="271" t="s">
        <v>314</v>
      </c>
      <c r="C12" s="222" t="e">
        <f t="shared" si="3"/>
        <v>#REF!</v>
      </c>
      <c r="D12" s="69" t="e">
        <f t="shared" si="4"/>
        <v>#REF!</v>
      </c>
      <c r="E12" s="69" t="e">
        <f t="shared" si="0"/>
        <v>#REF!</v>
      </c>
      <c r="F12" s="69" t="e">
        <f t="shared" si="1"/>
        <v>#REF!</v>
      </c>
      <c r="G12" t="e">
        <f t="shared" si="2"/>
        <v>#REF!</v>
      </c>
    </row>
    <row r="13" spans="1:10" ht="72">
      <c r="A13" s="51" t="s">
        <v>318</v>
      </c>
      <c r="B13" s="271" t="s">
        <v>316</v>
      </c>
      <c r="C13" s="222" t="e">
        <f t="shared" si="3"/>
        <v>#REF!</v>
      </c>
      <c r="D13" s="69" t="e">
        <f t="shared" si="4"/>
        <v>#REF!</v>
      </c>
      <c r="E13" s="69" t="e">
        <f t="shared" si="0"/>
        <v>#REF!</v>
      </c>
      <c r="F13" s="69" t="e">
        <f t="shared" si="1"/>
        <v>#REF!</v>
      </c>
      <c r="G13" t="e">
        <f t="shared" si="2"/>
        <v>#REF!</v>
      </c>
    </row>
    <row r="14" spans="1:10" ht="86.4">
      <c r="A14" s="51" t="s">
        <v>319</v>
      </c>
      <c r="B14" s="271" t="s">
        <v>314</v>
      </c>
      <c r="C14" s="222" t="e">
        <f t="shared" si="3"/>
        <v>#REF!</v>
      </c>
      <c r="D14" s="69" t="e">
        <f t="shared" si="4"/>
        <v>#REF!</v>
      </c>
      <c r="E14" s="69" t="e">
        <f t="shared" si="0"/>
        <v>#REF!</v>
      </c>
      <c r="F14" s="69" t="e">
        <f t="shared" si="1"/>
        <v>#REF!</v>
      </c>
      <c r="G14" t="e">
        <f t="shared" si="2"/>
        <v>#REF!</v>
      </c>
    </row>
    <row r="15" spans="1:10" ht="86.4">
      <c r="A15" s="51" t="s">
        <v>320</v>
      </c>
      <c r="B15" s="271" t="s">
        <v>316</v>
      </c>
      <c r="C15" s="222" t="e">
        <f t="shared" si="3"/>
        <v>#REF!</v>
      </c>
      <c r="D15" s="69" t="e">
        <f t="shared" si="4"/>
        <v>#REF!</v>
      </c>
      <c r="E15" s="69" t="e">
        <f t="shared" si="0"/>
        <v>#REF!</v>
      </c>
      <c r="F15" s="69" t="e">
        <f t="shared" si="1"/>
        <v>#REF!</v>
      </c>
      <c r="G15" t="e">
        <f t="shared" si="2"/>
        <v>#REF!</v>
      </c>
    </row>
    <row r="16" spans="1:10" ht="72">
      <c r="A16" s="51" t="s">
        <v>321</v>
      </c>
      <c r="B16" s="271" t="s">
        <v>314</v>
      </c>
      <c r="C16" s="222" t="e">
        <f t="shared" si="3"/>
        <v>#REF!</v>
      </c>
      <c r="D16" s="69" t="e">
        <f t="shared" si="4"/>
        <v>#REF!</v>
      </c>
      <c r="E16" s="69" t="e">
        <f t="shared" si="0"/>
        <v>#REF!</v>
      </c>
      <c r="F16" s="69" t="e">
        <f t="shared" si="1"/>
        <v>#REF!</v>
      </c>
      <c r="G16" t="e">
        <f t="shared" si="2"/>
        <v>#REF!</v>
      </c>
    </row>
    <row r="17" spans="1:9" ht="72">
      <c r="A17" s="51" t="s">
        <v>322</v>
      </c>
      <c r="B17" s="271" t="s">
        <v>316</v>
      </c>
      <c r="C17" s="222" t="e">
        <f t="shared" si="3"/>
        <v>#REF!</v>
      </c>
      <c r="D17" s="69" t="e">
        <f t="shared" si="4"/>
        <v>#REF!</v>
      </c>
      <c r="E17" s="69" t="e">
        <f t="shared" si="0"/>
        <v>#REF!</v>
      </c>
      <c r="F17" s="69" t="e">
        <f t="shared" si="1"/>
        <v>#REF!</v>
      </c>
      <c r="G17" t="e">
        <f t="shared" si="2"/>
        <v>#REF!</v>
      </c>
    </row>
    <row r="18" spans="1:9" ht="27.6">
      <c r="A18" s="51" t="s">
        <v>323</v>
      </c>
      <c r="B18" s="271" t="s">
        <v>314</v>
      </c>
      <c r="C18" s="222" t="e">
        <f t="shared" si="3"/>
        <v>#REF!</v>
      </c>
      <c r="D18" s="69" t="e">
        <f t="shared" si="4"/>
        <v>#REF!</v>
      </c>
      <c r="E18" s="69" t="e">
        <f t="shared" si="0"/>
        <v>#REF!</v>
      </c>
      <c r="F18" s="69" t="e">
        <f t="shared" si="1"/>
        <v>#REF!</v>
      </c>
      <c r="G18" t="e">
        <f t="shared" si="2"/>
        <v>#REF!</v>
      </c>
    </row>
    <row r="19" spans="1:9" ht="72">
      <c r="A19" s="51" t="s">
        <v>324</v>
      </c>
      <c r="B19" s="271" t="s">
        <v>325</v>
      </c>
      <c r="C19" s="222" t="e">
        <f t="shared" si="3"/>
        <v>#REF!</v>
      </c>
      <c r="D19" s="69" t="e">
        <f t="shared" si="4"/>
        <v>#REF!</v>
      </c>
      <c r="E19" s="69" t="e">
        <f t="shared" si="0"/>
        <v>#REF!</v>
      </c>
      <c r="F19" s="69" t="e">
        <f t="shared" si="1"/>
        <v>#REF!</v>
      </c>
      <c r="G19" t="e">
        <f t="shared" si="2"/>
        <v>#REF!</v>
      </c>
    </row>
    <row r="20" spans="1:9" ht="72">
      <c r="A20" s="51" t="s">
        <v>326</v>
      </c>
      <c r="B20" s="271" t="s">
        <v>325</v>
      </c>
      <c r="C20" s="222" t="e">
        <f t="shared" si="3"/>
        <v>#REF!</v>
      </c>
      <c r="D20" s="69" t="e">
        <f t="shared" si="4"/>
        <v>#REF!</v>
      </c>
      <c r="E20" s="69" t="e">
        <f t="shared" si="0"/>
        <v>#REF!</v>
      </c>
      <c r="F20" s="69" t="e">
        <f t="shared" si="1"/>
        <v>#REF!</v>
      </c>
      <c r="G20" t="e">
        <f t="shared" si="2"/>
        <v>#REF!</v>
      </c>
    </row>
    <row r="21" spans="1:9">
      <c r="A21" s="51" t="s">
        <v>327</v>
      </c>
      <c r="B21" s="52" t="s">
        <v>325</v>
      </c>
      <c r="C21" s="222" t="e">
        <f t="shared" si="3"/>
        <v>#REF!</v>
      </c>
      <c r="D21" s="69" t="e">
        <f t="shared" si="4"/>
        <v>#REF!</v>
      </c>
      <c r="E21" s="69" t="e">
        <f t="shared" si="0"/>
        <v>#REF!</v>
      </c>
      <c r="F21" s="69" t="e">
        <f t="shared" si="1"/>
        <v>#REF!</v>
      </c>
      <c r="G21" t="e">
        <f t="shared" si="2"/>
        <v>#REF!</v>
      </c>
    </row>
    <row r="22" spans="1:9" ht="28.8">
      <c r="A22" s="51" t="s">
        <v>328</v>
      </c>
      <c r="B22" s="52" t="s">
        <v>325</v>
      </c>
      <c r="C22" s="222" t="e">
        <f t="shared" si="3"/>
        <v>#REF!</v>
      </c>
      <c r="D22" s="69" t="e">
        <f t="shared" si="4"/>
        <v>#REF!</v>
      </c>
      <c r="E22" s="69" t="e">
        <f t="shared" si="0"/>
        <v>#REF!</v>
      </c>
      <c r="F22" s="69" t="e">
        <f t="shared" si="1"/>
        <v>#REF!</v>
      </c>
      <c r="G22" t="e">
        <f t="shared" si="2"/>
        <v>#REF!</v>
      </c>
    </row>
    <row r="23" spans="1:9" ht="56.25" customHeight="1">
      <c r="A23" s="51" t="s">
        <v>329</v>
      </c>
      <c r="B23" s="52" t="s">
        <v>330</v>
      </c>
      <c r="C23" s="222" t="e">
        <f t="shared" si="3"/>
        <v>#REF!</v>
      </c>
      <c r="D23" s="69" t="e">
        <f t="shared" si="4"/>
        <v>#REF!</v>
      </c>
      <c r="E23" s="69" t="e">
        <f t="shared" si="0"/>
        <v>#REF!</v>
      </c>
      <c r="F23" s="69" t="e">
        <f t="shared" si="1"/>
        <v>#REF!</v>
      </c>
      <c r="G23" t="e">
        <f t="shared" si="2"/>
        <v>#REF!</v>
      </c>
    </row>
    <row r="24" spans="1:9" s="51" customFormat="1" ht="56.25" customHeight="1">
      <c r="A24" s="51" t="s">
        <v>331</v>
      </c>
      <c r="B24" s="51" t="s">
        <v>325</v>
      </c>
      <c r="C24" s="51" t="e">
        <f t="shared" si="3"/>
        <v>#REF!</v>
      </c>
      <c r="D24" s="69" t="e">
        <f t="shared" si="4"/>
        <v>#REF!</v>
      </c>
      <c r="E24" s="51" t="e">
        <f t="shared" ref="E24:E25" si="5">C24*D24</f>
        <v>#REF!</v>
      </c>
      <c r="F24" s="51" t="e">
        <f t="shared" ref="F24:F25" si="6">E24*3</f>
        <v>#REF!</v>
      </c>
      <c r="G24" t="e">
        <f t="shared" si="2"/>
        <v>#REF!</v>
      </c>
    </row>
    <row r="25" spans="1:9" s="51" customFormat="1" ht="56.25" customHeight="1">
      <c r="A25" s="51" t="s">
        <v>332</v>
      </c>
      <c r="B25" s="51" t="s">
        <v>325</v>
      </c>
      <c r="C25" s="51" t="e">
        <f t="shared" si="3"/>
        <v>#REF!</v>
      </c>
      <c r="D25" s="69" t="e">
        <f t="shared" si="4"/>
        <v>#REF!</v>
      </c>
      <c r="E25" s="51" t="e">
        <f t="shared" si="5"/>
        <v>#REF!</v>
      </c>
      <c r="F25" s="51" t="e">
        <f t="shared" si="6"/>
        <v>#REF!</v>
      </c>
      <c r="G25" t="e">
        <f t="shared" si="2"/>
        <v>#REF!</v>
      </c>
      <c r="I25" s="273"/>
    </row>
    <row r="26" spans="1:9">
      <c r="F26" s="69" t="e">
        <f>SUM(F4:F25)</f>
        <v>#REF!</v>
      </c>
      <c r="G26" t="e">
        <f>SUM(G4:G25)</f>
        <v>#REF!</v>
      </c>
    </row>
  </sheetData>
  <pageMargins left="0.7" right="0.7" top="0.75" bottom="0.75" header="0.3" footer="0.3"/>
  <pageSetup paperSize="8" scale="68" firstPageNumber="2147483648" orientation="portrait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Лист3"/>
  <dimension ref="A1:J26"/>
  <sheetViews>
    <sheetView zoomScale="70" workbookViewId="0">
      <pane xSplit="1" topLeftCell="B1" activePane="topRight" state="frozen"/>
      <selection pane="topRight"/>
    </sheetView>
  </sheetViews>
  <sheetFormatPr defaultRowHeight="14.4"/>
  <cols>
    <col min="1" max="1" width="26.5546875" style="51" customWidth="1"/>
    <col min="2" max="2" width="11.88671875" style="52" customWidth="1"/>
    <col min="3" max="3" width="13" style="53" customWidth="1"/>
    <col min="4" max="6" width="12.88671875" style="69" customWidth="1"/>
  </cols>
  <sheetData>
    <row r="1" spans="1:10">
      <c r="A1" s="81"/>
      <c r="B1" s="81"/>
      <c r="C1" s="81"/>
      <c r="D1" s="267"/>
      <c r="E1" s="267"/>
      <c r="F1" s="267"/>
      <c r="G1" s="268"/>
      <c r="H1" s="268"/>
      <c r="I1" s="268"/>
      <c r="J1" s="268"/>
    </row>
    <row r="2" spans="1:10">
      <c r="A2" s="81"/>
      <c r="B2" s="81"/>
      <c r="C2" s="81"/>
      <c r="D2" s="269">
        <v>0.3</v>
      </c>
      <c r="E2" s="269"/>
      <c r="F2" s="269"/>
      <c r="G2" s="270"/>
      <c r="H2" s="270"/>
      <c r="I2" s="270"/>
      <c r="J2" s="270"/>
    </row>
    <row r="3" spans="1:10" s="61" customFormat="1" ht="55.2">
      <c r="A3" s="194" t="s">
        <v>67</v>
      </c>
      <c r="B3" s="271" t="s">
        <v>43</v>
      </c>
      <c r="C3" s="222" t="s">
        <v>297</v>
      </c>
      <c r="D3" s="272" t="s">
        <v>298</v>
      </c>
      <c r="E3" s="272" t="s">
        <v>299</v>
      </c>
      <c r="F3" s="272" t="s">
        <v>300</v>
      </c>
      <c r="G3" s="272" t="s">
        <v>301</v>
      </c>
    </row>
    <row r="4" spans="1:10">
      <c r="A4" s="194" t="s">
        <v>302</v>
      </c>
      <c r="B4" s="271" t="s">
        <v>303</v>
      </c>
      <c r="C4" s="274">
        <f>'объем работ 100% загр'!D4</f>
        <v>4.7700000000000005</v>
      </c>
      <c r="D4" s="69">
        <f>'объем работ 100% загр'!U4</f>
        <v>567.00000000000011</v>
      </c>
      <c r="E4" s="69">
        <f t="shared" ref="E4:E23" si="0">C4*D4</f>
        <v>2704.5900000000006</v>
      </c>
      <c r="F4" s="69">
        <f t="shared" ref="F4:F23" si="1">E4*3</f>
        <v>8113.7700000000023</v>
      </c>
      <c r="G4">
        <f t="shared" ref="G4:G25" si="2">E4*12</f>
        <v>32455.080000000009</v>
      </c>
    </row>
    <row r="5" spans="1:10" ht="124.2">
      <c r="A5" s="194" t="s">
        <v>304</v>
      </c>
      <c r="B5" s="271" t="s">
        <v>305</v>
      </c>
      <c r="C5" s="274">
        <f>'объем работ 100% загр'!D5</f>
        <v>6.6780000000000008E-3</v>
      </c>
      <c r="D5" s="69">
        <f>'объем работ 100% загр'!U5</f>
        <v>4500000.0000000009</v>
      </c>
      <c r="E5" s="69">
        <f t="shared" si="0"/>
        <v>30051.000000000011</v>
      </c>
      <c r="F5" s="69">
        <f t="shared" si="1"/>
        <v>90153.000000000029</v>
      </c>
      <c r="G5">
        <f t="shared" si="2"/>
        <v>360612.00000000012</v>
      </c>
    </row>
    <row r="6" spans="1:10" ht="123.75" customHeight="1">
      <c r="A6" s="194" t="s">
        <v>306</v>
      </c>
      <c r="B6" s="271" t="s">
        <v>305</v>
      </c>
      <c r="C6" s="274">
        <f>'объем работ 100% загр'!D6</f>
        <v>9.8580000000000005</v>
      </c>
      <c r="D6" s="69">
        <f>'объем работ 100% загр'!U6</f>
        <v>4887.0000000000009</v>
      </c>
      <c r="E6" s="69">
        <f t="shared" si="0"/>
        <v>48176.046000000009</v>
      </c>
      <c r="F6" s="69">
        <f t="shared" si="1"/>
        <v>144528.13800000004</v>
      </c>
      <c r="G6">
        <f t="shared" si="2"/>
        <v>578112.55200000014</v>
      </c>
    </row>
    <row r="7" spans="1:10" ht="55.2">
      <c r="A7" s="194" t="s">
        <v>307</v>
      </c>
      <c r="B7" s="271" t="s">
        <v>308</v>
      </c>
      <c r="C7" s="274" t="e">
        <f t="shared" ref="C7:C25" si="3">'объем работ 100% загр'!#REF!</f>
        <v>#REF!</v>
      </c>
      <c r="D7" s="69" t="e">
        <f t="shared" ref="D7:D25" si="4">'объем работ 100% загр'!#REF!</f>
        <v>#REF!</v>
      </c>
      <c r="E7" s="69" t="e">
        <f t="shared" si="0"/>
        <v>#REF!</v>
      </c>
      <c r="F7" s="69" t="e">
        <f t="shared" si="1"/>
        <v>#REF!</v>
      </c>
      <c r="G7" t="e">
        <f t="shared" si="2"/>
        <v>#REF!</v>
      </c>
    </row>
    <row r="8" spans="1:10" ht="27.6">
      <c r="A8" s="194" t="s">
        <v>309</v>
      </c>
      <c r="B8" s="271" t="s">
        <v>310</v>
      </c>
      <c r="C8" s="274" t="e">
        <f t="shared" si="3"/>
        <v>#REF!</v>
      </c>
      <c r="D8" s="69" t="e">
        <f t="shared" si="4"/>
        <v>#REF!</v>
      </c>
      <c r="E8" s="69" t="e">
        <f t="shared" si="0"/>
        <v>#REF!</v>
      </c>
      <c r="F8" s="69" t="e">
        <f t="shared" si="1"/>
        <v>#REF!</v>
      </c>
      <c r="G8" t="e">
        <f t="shared" si="2"/>
        <v>#REF!</v>
      </c>
    </row>
    <row r="9" spans="1:10" ht="27.6">
      <c r="A9" s="194" t="s">
        <v>311</v>
      </c>
      <c r="B9" s="271" t="s">
        <v>312</v>
      </c>
      <c r="C9" s="274" t="e">
        <f t="shared" si="3"/>
        <v>#REF!</v>
      </c>
      <c r="D9" s="69" t="e">
        <f t="shared" si="4"/>
        <v>#REF!</v>
      </c>
      <c r="E9" s="69" t="e">
        <f t="shared" si="0"/>
        <v>#REF!</v>
      </c>
      <c r="F9" s="69" t="e">
        <f t="shared" si="1"/>
        <v>#REF!</v>
      </c>
      <c r="G9" t="e">
        <f t="shared" si="2"/>
        <v>#REF!</v>
      </c>
    </row>
    <row r="10" spans="1:10" ht="69">
      <c r="A10" s="194" t="s">
        <v>313</v>
      </c>
      <c r="B10" s="271" t="s">
        <v>314</v>
      </c>
      <c r="C10" s="274" t="e">
        <f t="shared" si="3"/>
        <v>#REF!</v>
      </c>
      <c r="D10" s="69" t="e">
        <f t="shared" si="4"/>
        <v>#REF!</v>
      </c>
      <c r="E10" s="69" t="e">
        <f t="shared" si="0"/>
        <v>#REF!</v>
      </c>
      <c r="F10" s="69" t="e">
        <f t="shared" si="1"/>
        <v>#REF!</v>
      </c>
      <c r="G10" t="e">
        <f t="shared" si="2"/>
        <v>#REF!</v>
      </c>
    </row>
    <row r="11" spans="1:10" ht="69">
      <c r="A11" s="194" t="s">
        <v>315</v>
      </c>
      <c r="B11" s="271" t="s">
        <v>316</v>
      </c>
      <c r="C11" s="274" t="e">
        <f t="shared" si="3"/>
        <v>#REF!</v>
      </c>
      <c r="D11" s="69" t="e">
        <f t="shared" si="4"/>
        <v>#REF!</v>
      </c>
      <c r="E11" s="69" t="e">
        <f t="shared" si="0"/>
        <v>#REF!</v>
      </c>
      <c r="F11" s="69" t="e">
        <f t="shared" si="1"/>
        <v>#REF!</v>
      </c>
      <c r="G11" t="e">
        <f t="shared" si="2"/>
        <v>#REF!</v>
      </c>
    </row>
    <row r="12" spans="1:10" ht="72">
      <c r="A12" s="51" t="s">
        <v>317</v>
      </c>
      <c r="B12" s="271" t="s">
        <v>314</v>
      </c>
      <c r="C12" s="274" t="e">
        <f t="shared" si="3"/>
        <v>#REF!</v>
      </c>
      <c r="D12" s="69" t="e">
        <f t="shared" si="4"/>
        <v>#REF!</v>
      </c>
      <c r="E12" s="69" t="e">
        <f t="shared" si="0"/>
        <v>#REF!</v>
      </c>
      <c r="F12" s="69" t="e">
        <f t="shared" si="1"/>
        <v>#REF!</v>
      </c>
      <c r="G12" t="e">
        <f t="shared" si="2"/>
        <v>#REF!</v>
      </c>
    </row>
    <row r="13" spans="1:10" ht="72">
      <c r="A13" s="51" t="s">
        <v>318</v>
      </c>
      <c r="B13" s="271" t="s">
        <v>316</v>
      </c>
      <c r="C13" s="274" t="e">
        <f t="shared" si="3"/>
        <v>#REF!</v>
      </c>
      <c r="D13" s="69" t="e">
        <f t="shared" si="4"/>
        <v>#REF!</v>
      </c>
      <c r="E13" s="69" t="e">
        <f t="shared" si="0"/>
        <v>#REF!</v>
      </c>
      <c r="F13" s="69" t="e">
        <f t="shared" si="1"/>
        <v>#REF!</v>
      </c>
      <c r="G13" t="e">
        <f t="shared" si="2"/>
        <v>#REF!</v>
      </c>
    </row>
    <row r="14" spans="1:10" ht="86.4">
      <c r="A14" s="51" t="s">
        <v>319</v>
      </c>
      <c r="B14" s="271" t="s">
        <v>314</v>
      </c>
      <c r="C14" s="274" t="e">
        <f t="shared" si="3"/>
        <v>#REF!</v>
      </c>
      <c r="D14" s="69" t="e">
        <f t="shared" si="4"/>
        <v>#REF!</v>
      </c>
      <c r="E14" s="69" t="e">
        <f t="shared" si="0"/>
        <v>#REF!</v>
      </c>
      <c r="F14" s="69" t="e">
        <f t="shared" si="1"/>
        <v>#REF!</v>
      </c>
      <c r="G14" t="e">
        <f t="shared" si="2"/>
        <v>#REF!</v>
      </c>
    </row>
    <row r="15" spans="1:10" ht="86.4">
      <c r="A15" s="51" t="s">
        <v>320</v>
      </c>
      <c r="B15" s="271" t="s">
        <v>316</v>
      </c>
      <c r="C15" s="274" t="e">
        <f t="shared" si="3"/>
        <v>#REF!</v>
      </c>
      <c r="D15" s="69" t="e">
        <f t="shared" si="4"/>
        <v>#REF!</v>
      </c>
      <c r="E15" s="69" t="e">
        <f>C15*D15</f>
        <v>#REF!</v>
      </c>
      <c r="F15" s="69" t="e">
        <f t="shared" si="1"/>
        <v>#REF!</v>
      </c>
      <c r="G15" t="e">
        <f t="shared" si="2"/>
        <v>#REF!</v>
      </c>
    </row>
    <row r="16" spans="1:10" ht="72">
      <c r="A16" s="51" t="s">
        <v>321</v>
      </c>
      <c r="B16" s="271" t="s">
        <v>314</v>
      </c>
      <c r="C16" s="274" t="e">
        <f t="shared" si="3"/>
        <v>#REF!</v>
      </c>
      <c r="D16" s="69" t="e">
        <f t="shared" si="4"/>
        <v>#REF!</v>
      </c>
      <c r="E16" s="69" t="e">
        <f t="shared" si="0"/>
        <v>#REF!</v>
      </c>
      <c r="F16" s="69" t="e">
        <f t="shared" si="1"/>
        <v>#REF!</v>
      </c>
      <c r="G16" t="e">
        <f t="shared" si="2"/>
        <v>#REF!</v>
      </c>
    </row>
    <row r="17" spans="1:10" ht="72">
      <c r="A17" s="51" t="s">
        <v>322</v>
      </c>
      <c r="B17" s="271" t="s">
        <v>316</v>
      </c>
      <c r="C17" s="274" t="e">
        <f t="shared" si="3"/>
        <v>#REF!</v>
      </c>
      <c r="D17" s="69" t="e">
        <f t="shared" si="4"/>
        <v>#REF!</v>
      </c>
      <c r="E17" s="69" t="e">
        <f t="shared" si="0"/>
        <v>#REF!</v>
      </c>
      <c r="F17" s="69" t="e">
        <f t="shared" si="1"/>
        <v>#REF!</v>
      </c>
      <c r="G17" t="e">
        <f t="shared" si="2"/>
        <v>#REF!</v>
      </c>
    </row>
    <row r="18" spans="1:10" ht="27.6">
      <c r="A18" s="51" t="s">
        <v>323</v>
      </c>
      <c r="B18" s="271" t="s">
        <v>314</v>
      </c>
      <c r="C18" s="274" t="e">
        <f t="shared" si="3"/>
        <v>#REF!</v>
      </c>
      <c r="D18" s="69" t="e">
        <f t="shared" si="4"/>
        <v>#REF!</v>
      </c>
      <c r="E18" s="69" t="e">
        <f t="shared" si="0"/>
        <v>#REF!</v>
      </c>
      <c r="F18" s="69" t="e">
        <f t="shared" si="1"/>
        <v>#REF!</v>
      </c>
      <c r="G18" t="e">
        <f t="shared" si="2"/>
        <v>#REF!</v>
      </c>
    </row>
    <row r="19" spans="1:10" ht="72">
      <c r="A19" s="51" t="s">
        <v>324</v>
      </c>
      <c r="B19" s="271" t="s">
        <v>325</v>
      </c>
      <c r="C19" s="274" t="e">
        <f t="shared" si="3"/>
        <v>#REF!</v>
      </c>
      <c r="D19" s="69" t="e">
        <f t="shared" si="4"/>
        <v>#REF!</v>
      </c>
      <c r="E19" s="69" t="e">
        <f t="shared" si="0"/>
        <v>#REF!</v>
      </c>
      <c r="F19" s="69" t="e">
        <f t="shared" si="1"/>
        <v>#REF!</v>
      </c>
      <c r="G19" t="e">
        <f t="shared" si="2"/>
        <v>#REF!</v>
      </c>
    </row>
    <row r="20" spans="1:10" ht="72">
      <c r="A20" s="51" t="s">
        <v>326</v>
      </c>
      <c r="B20" s="271" t="s">
        <v>325</v>
      </c>
      <c r="C20" s="274" t="e">
        <f t="shared" si="3"/>
        <v>#REF!</v>
      </c>
      <c r="D20" s="69" t="e">
        <f t="shared" si="4"/>
        <v>#REF!</v>
      </c>
      <c r="E20" s="69" t="e">
        <f t="shared" si="0"/>
        <v>#REF!</v>
      </c>
      <c r="F20" s="69" t="e">
        <f t="shared" si="1"/>
        <v>#REF!</v>
      </c>
      <c r="G20" t="e">
        <f t="shared" si="2"/>
        <v>#REF!</v>
      </c>
    </row>
    <row r="21" spans="1:10">
      <c r="A21" s="51" t="s">
        <v>327</v>
      </c>
      <c r="B21" s="52" t="s">
        <v>325</v>
      </c>
      <c r="C21" s="274" t="e">
        <f t="shared" si="3"/>
        <v>#REF!</v>
      </c>
      <c r="D21" s="69" t="e">
        <f t="shared" si="4"/>
        <v>#REF!</v>
      </c>
      <c r="E21" s="69" t="e">
        <f t="shared" si="0"/>
        <v>#REF!</v>
      </c>
      <c r="F21" s="69" t="e">
        <f t="shared" si="1"/>
        <v>#REF!</v>
      </c>
      <c r="G21" t="e">
        <f t="shared" si="2"/>
        <v>#REF!</v>
      </c>
    </row>
    <row r="22" spans="1:10" ht="28.8">
      <c r="A22" s="51" t="s">
        <v>328</v>
      </c>
      <c r="B22" s="52" t="s">
        <v>325</v>
      </c>
      <c r="C22" s="274" t="e">
        <f t="shared" si="3"/>
        <v>#REF!</v>
      </c>
      <c r="D22" s="69" t="e">
        <f t="shared" si="4"/>
        <v>#REF!</v>
      </c>
      <c r="E22" s="69" t="e">
        <f t="shared" si="0"/>
        <v>#REF!</v>
      </c>
      <c r="F22" s="69" t="e">
        <f t="shared" si="1"/>
        <v>#REF!</v>
      </c>
      <c r="G22" t="e">
        <f t="shared" si="2"/>
        <v>#REF!</v>
      </c>
    </row>
    <row r="23" spans="1:10" ht="56.25" customHeight="1">
      <c r="A23" s="51" t="s">
        <v>329</v>
      </c>
      <c r="B23" s="52" t="s">
        <v>330</v>
      </c>
      <c r="C23" s="274" t="e">
        <f t="shared" si="3"/>
        <v>#REF!</v>
      </c>
      <c r="D23" s="69" t="e">
        <f t="shared" si="4"/>
        <v>#REF!</v>
      </c>
      <c r="E23" s="69" t="e">
        <f t="shared" si="0"/>
        <v>#REF!</v>
      </c>
      <c r="F23" s="69" t="e">
        <f t="shared" si="1"/>
        <v>#REF!</v>
      </c>
      <c r="G23" t="e">
        <f t="shared" si="2"/>
        <v>#REF!</v>
      </c>
    </row>
    <row r="24" spans="1:10" ht="56.25" customHeight="1">
      <c r="A24" s="51" t="s">
        <v>331</v>
      </c>
      <c r="B24" s="51" t="s">
        <v>325</v>
      </c>
      <c r="C24" s="51" t="e">
        <f t="shared" si="3"/>
        <v>#REF!</v>
      </c>
      <c r="D24" s="273" t="e">
        <f t="shared" si="4"/>
        <v>#REF!</v>
      </c>
      <c r="E24" s="51" t="e">
        <f t="shared" ref="E24:E25" si="5">C24*D24</f>
        <v>#REF!</v>
      </c>
      <c r="F24" s="51" t="e">
        <f t="shared" ref="F24:F25" si="6">E24*3</f>
        <v>#REF!</v>
      </c>
      <c r="G24" t="e">
        <f t="shared" si="2"/>
        <v>#REF!</v>
      </c>
    </row>
    <row r="25" spans="1:10" ht="56.25" customHeight="1">
      <c r="A25" s="51" t="s">
        <v>332</v>
      </c>
      <c r="B25" s="51" t="s">
        <v>325</v>
      </c>
      <c r="C25" s="51" t="e">
        <f t="shared" si="3"/>
        <v>#REF!</v>
      </c>
      <c r="D25" s="273" t="e">
        <f t="shared" si="4"/>
        <v>#REF!</v>
      </c>
      <c r="E25" s="51" t="e">
        <f t="shared" si="5"/>
        <v>#REF!</v>
      </c>
      <c r="F25" s="51" t="e">
        <f t="shared" si="6"/>
        <v>#REF!</v>
      </c>
      <c r="G25" t="e">
        <f t="shared" si="2"/>
        <v>#REF!</v>
      </c>
    </row>
    <row r="26" spans="1:10">
      <c r="F26" s="69" t="e">
        <f>SUM(F4:F25)</f>
        <v>#REF!</v>
      </c>
      <c r="G26" t="e">
        <f>SUM(G4:G25)</f>
        <v>#REF!</v>
      </c>
      <c r="I26" s="69"/>
      <c r="J26">
        <f>I26*4</f>
        <v>0</v>
      </c>
    </row>
  </sheetData>
  <pageMargins left="0.7" right="0.7" top="0.75" bottom="0.75" header="0.3" footer="0.3"/>
  <pageSetup paperSize="9" firstPageNumber="2147483648" orientation="portrait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Лист4"/>
  <dimension ref="A1:J26"/>
  <sheetViews>
    <sheetView zoomScale="70" workbookViewId="0">
      <pane xSplit="1" topLeftCell="B1" activePane="topRight" state="frozen"/>
      <selection pane="topRight"/>
    </sheetView>
  </sheetViews>
  <sheetFormatPr defaultRowHeight="14.4"/>
  <cols>
    <col min="1" max="1" width="26.5546875" style="51" customWidth="1"/>
    <col min="2" max="2" width="11.88671875" style="52" customWidth="1"/>
    <col min="3" max="3" width="13" style="53" customWidth="1"/>
    <col min="4" max="6" width="12.88671875" style="69" customWidth="1"/>
  </cols>
  <sheetData>
    <row r="1" spans="1:10">
      <c r="A1" s="81"/>
      <c r="B1" s="81"/>
      <c r="C1" s="81"/>
      <c r="D1" s="267"/>
      <c r="E1" s="267"/>
      <c r="F1" s="267"/>
      <c r="G1" s="268"/>
      <c r="H1" s="268"/>
      <c r="I1" s="268"/>
      <c r="J1" s="268"/>
    </row>
    <row r="2" spans="1:10">
      <c r="A2" s="81"/>
      <c r="B2" s="81"/>
      <c r="C2" s="81"/>
      <c r="D2" s="269">
        <v>0.3</v>
      </c>
      <c r="E2" s="269"/>
      <c r="F2" s="269"/>
      <c r="G2" s="270"/>
      <c r="H2" s="270"/>
      <c r="I2" s="270"/>
      <c r="J2" s="270"/>
    </row>
    <row r="3" spans="1:10" s="61" customFormat="1" ht="55.2">
      <c r="A3" s="194" t="s">
        <v>67</v>
      </c>
      <c r="B3" s="271" t="s">
        <v>43</v>
      </c>
      <c r="C3" s="222" t="s">
        <v>297</v>
      </c>
      <c r="D3" s="272" t="s">
        <v>298</v>
      </c>
      <c r="E3" s="272" t="s">
        <v>299</v>
      </c>
      <c r="F3" s="272" t="s">
        <v>300</v>
      </c>
      <c r="G3" s="272" t="s">
        <v>301</v>
      </c>
    </row>
    <row r="4" spans="1:10">
      <c r="A4" s="194" t="s">
        <v>302</v>
      </c>
      <c r="B4" s="271" t="s">
        <v>303</v>
      </c>
      <c r="C4" s="274">
        <f>'объем работ 100% загр'!E4</f>
        <v>4.8415499999999998</v>
      </c>
      <c r="D4" s="69">
        <f>'объем работ 100% загр'!T4</f>
        <v>535.5</v>
      </c>
      <c r="E4" s="69">
        <f t="shared" ref="E4:E22" si="0">C4*D4</f>
        <v>2592.6500249999999</v>
      </c>
      <c r="F4" s="69">
        <f t="shared" ref="F4:F22" si="1">E4*3</f>
        <v>7777.9500749999997</v>
      </c>
      <c r="G4">
        <f t="shared" ref="G4:G25" si="2">E4*12</f>
        <v>31111.800299999999</v>
      </c>
    </row>
    <row r="5" spans="1:10" ht="124.2">
      <c r="A5" s="194" t="s">
        <v>304</v>
      </c>
      <c r="B5" s="271" t="s">
        <v>305</v>
      </c>
      <c r="C5" s="274">
        <f>'объем работ 100% загр'!E5</f>
        <v>7.0786800000000013E-3</v>
      </c>
      <c r="D5" s="69">
        <f>'объем работ 100% загр'!T5</f>
        <v>4250000</v>
      </c>
      <c r="E5" s="69">
        <f t="shared" si="0"/>
        <v>30084.390000000007</v>
      </c>
      <c r="F5" s="69">
        <f t="shared" si="1"/>
        <v>90253.170000000013</v>
      </c>
      <c r="G5">
        <f t="shared" si="2"/>
        <v>361012.68000000005</v>
      </c>
    </row>
    <row r="6" spans="1:10" ht="123.75" customHeight="1">
      <c r="A6" s="194" t="s">
        <v>306</v>
      </c>
      <c r="B6" s="271" t="s">
        <v>305</v>
      </c>
      <c r="C6" s="274">
        <f>'объем работ 100% загр'!E6</f>
        <v>10.449480000000001</v>
      </c>
      <c r="D6" s="69">
        <f>'объем работ 100% загр'!T6</f>
        <v>4615.5000000000009</v>
      </c>
      <c r="E6" s="69">
        <f t="shared" si="0"/>
        <v>48229.574940000013</v>
      </c>
      <c r="F6" s="69">
        <f t="shared" si="1"/>
        <v>144688.72482000003</v>
      </c>
      <c r="G6">
        <f t="shared" si="2"/>
        <v>578754.89928000013</v>
      </c>
    </row>
    <row r="7" spans="1:10" ht="55.2">
      <c r="A7" s="194" t="s">
        <v>307</v>
      </c>
      <c r="B7" s="271" t="s">
        <v>308</v>
      </c>
      <c r="C7" s="274" t="e">
        <f t="shared" ref="C7:C25" si="3">'объем работ 100% загр'!#REF!</f>
        <v>#REF!</v>
      </c>
      <c r="D7" s="69" t="e">
        <f t="shared" ref="D7:D25" si="4">'объем работ 100% загр'!#REF!</f>
        <v>#REF!</v>
      </c>
      <c r="E7" s="69" t="e">
        <f t="shared" si="0"/>
        <v>#REF!</v>
      </c>
      <c r="F7" s="69" t="e">
        <f t="shared" si="1"/>
        <v>#REF!</v>
      </c>
      <c r="G7" t="e">
        <f t="shared" si="2"/>
        <v>#REF!</v>
      </c>
    </row>
    <row r="8" spans="1:10" ht="27.6">
      <c r="A8" s="194" t="s">
        <v>309</v>
      </c>
      <c r="B8" s="271" t="s">
        <v>310</v>
      </c>
      <c r="C8" s="274" t="e">
        <f t="shared" si="3"/>
        <v>#REF!</v>
      </c>
      <c r="D8" s="69" t="e">
        <f t="shared" si="4"/>
        <v>#REF!</v>
      </c>
      <c r="E8" s="69" t="e">
        <f t="shared" si="0"/>
        <v>#REF!</v>
      </c>
      <c r="F8" s="69" t="e">
        <f t="shared" si="1"/>
        <v>#REF!</v>
      </c>
      <c r="G8" t="e">
        <f t="shared" si="2"/>
        <v>#REF!</v>
      </c>
    </row>
    <row r="9" spans="1:10" ht="27.6">
      <c r="A9" s="194" t="s">
        <v>311</v>
      </c>
      <c r="B9" s="271" t="s">
        <v>312</v>
      </c>
      <c r="C9" s="274" t="e">
        <f t="shared" si="3"/>
        <v>#REF!</v>
      </c>
      <c r="D9" s="69" t="e">
        <f t="shared" si="4"/>
        <v>#REF!</v>
      </c>
      <c r="E9" s="69" t="e">
        <f t="shared" si="0"/>
        <v>#REF!</v>
      </c>
      <c r="F9" s="69" t="e">
        <f t="shared" si="1"/>
        <v>#REF!</v>
      </c>
      <c r="G9" t="e">
        <f t="shared" si="2"/>
        <v>#REF!</v>
      </c>
    </row>
    <row r="10" spans="1:10" ht="69">
      <c r="A10" s="194" t="s">
        <v>313</v>
      </c>
      <c r="B10" s="271" t="s">
        <v>314</v>
      </c>
      <c r="C10" s="274" t="e">
        <f t="shared" si="3"/>
        <v>#REF!</v>
      </c>
      <c r="D10" s="69" t="e">
        <f t="shared" si="4"/>
        <v>#REF!</v>
      </c>
      <c r="E10" s="69" t="e">
        <f t="shared" si="0"/>
        <v>#REF!</v>
      </c>
      <c r="F10" s="69" t="e">
        <f t="shared" si="1"/>
        <v>#REF!</v>
      </c>
      <c r="G10" t="e">
        <f t="shared" si="2"/>
        <v>#REF!</v>
      </c>
    </row>
    <row r="11" spans="1:10" ht="69">
      <c r="A11" s="194" t="s">
        <v>315</v>
      </c>
      <c r="B11" s="271" t="s">
        <v>316</v>
      </c>
      <c r="C11" s="274" t="e">
        <f t="shared" si="3"/>
        <v>#REF!</v>
      </c>
      <c r="D11" s="69" t="e">
        <f t="shared" si="4"/>
        <v>#REF!</v>
      </c>
      <c r="E11" s="69" t="e">
        <f t="shared" si="0"/>
        <v>#REF!</v>
      </c>
      <c r="F11" s="69" t="e">
        <f t="shared" si="1"/>
        <v>#REF!</v>
      </c>
      <c r="G11" t="e">
        <f t="shared" si="2"/>
        <v>#REF!</v>
      </c>
    </row>
    <row r="12" spans="1:10" ht="72">
      <c r="A12" s="51" t="s">
        <v>317</v>
      </c>
      <c r="B12" s="271" t="s">
        <v>314</v>
      </c>
      <c r="C12" s="274" t="e">
        <f t="shared" si="3"/>
        <v>#REF!</v>
      </c>
      <c r="D12" s="69" t="e">
        <f t="shared" si="4"/>
        <v>#REF!</v>
      </c>
      <c r="E12" s="69" t="e">
        <f t="shared" si="0"/>
        <v>#REF!</v>
      </c>
      <c r="F12" s="69" t="e">
        <f t="shared" si="1"/>
        <v>#REF!</v>
      </c>
      <c r="G12" t="e">
        <f t="shared" si="2"/>
        <v>#REF!</v>
      </c>
    </row>
    <row r="13" spans="1:10" ht="72">
      <c r="A13" s="51" t="s">
        <v>318</v>
      </c>
      <c r="B13" s="271" t="s">
        <v>316</v>
      </c>
      <c r="C13" s="274" t="e">
        <f t="shared" si="3"/>
        <v>#REF!</v>
      </c>
      <c r="D13" s="69" t="e">
        <f t="shared" si="4"/>
        <v>#REF!</v>
      </c>
      <c r="E13" s="69" t="e">
        <f t="shared" si="0"/>
        <v>#REF!</v>
      </c>
      <c r="F13" s="69" t="e">
        <f t="shared" si="1"/>
        <v>#REF!</v>
      </c>
      <c r="G13" t="e">
        <f t="shared" si="2"/>
        <v>#REF!</v>
      </c>
    </row>
    <row r="14" spans="1:10" ht="86.4">
      <c r="A14" s="51" t="s">
        <v>319</v>
      </c>
      <c r="B14" s="271" t="s">
        <v>314</v>
      </c>
      <c r="C14" s="274" t="e">
        <f t="shared" si="3"/>
        <v>#REF!</v>
      </c>
      <c r="D14" s="69" t="e">
        <f t="shared" si="4"/>
        <v>#REF!</v>
      </c>
      <c r="E14" s="69" t="e">
        <f t="shared" si="0"/>
        <v>#REF!</v>
      </c>
      <c r="F14" s="69" t="e">
        <f t="shared" si="1"/>
        <v>#REF!</v>
      </c>
      <c r="G14" t="e">
        <f t="shared" si="2"/>
        <v>#REF!</v>
      </c>
    </row>
    <row r="15" spans="1:10" ht="86.4">
      <c r="A15" s="51" t="s">
        <v>320</v>
      </c>
      <c r="B15" s="271" t="s">
        <v>316</v>
      </c>
      <c r="C15" s="274" t="e">
        <f t="shared" si="3"/>
        <v>#REF!</v>
      </c>
      <c r="D15" s="69" t="e">
        <f t="shared" si="4"/>
        <v>#REF!</v>
      </c>
      <c r="E15" s="69" t="e">
        <f t="shared" si="0"/>
        <v>#REF!</v>
      </c>
      <c r="F15" s="69" t="e">
        <f t="shared" si="1"/>
        <v>#REF!</v>
      </c>
      <c r="G15" t="e">
        <f t="shared" si="2"/>
        <v>#REF!</v>
      </c>
    </row>
    <row r="16" spans="1:10" ht="72">
      <c r="A16" s="51" t="s">
        <v>321</v>
      </c>
      <c r="B16" s="271" t="s">
        <v>314</v>
      </c>
      <c r="C16" s="274" t="e">
        <f t="shared" si="3"/>
        <v>#REF!</v>
      </c>
      <c r="D16" s="69" t="e">
        <f t="shared" si="4"/>
        <v>#REF!</v>
      </c>
      <c r="E16" s="69" t="e">
        <f t="shared" si="0"/>
        <v>#REF!</v>
      </c>
      <c r="F16" s="69" t="e">
        <f t="shared" si="1"/>
        <v>#REF!</v>
      </c>
      <c r="G16" t="e">
        <f t="shared" si="2"/>
        <v>#REF!</v>
      </c>
    </row>
    <row r="17" spans="1:9" ht="72">
      <c r="A17" s="51" t="s">
        <v>322</v>
      </c>
      <c r="B17" s="271" t="s">
        <v>316</v>
      </c>
      <c r="C17" s="274" t="e">
        <f t="shared" si="3"/>
        <v>#REF!</v>
      </c>
      <c r="D17" s="69" t="e">
        <f t="shared" si="4"/>
        <v>#REF!</v>
      </c>
      <c r="E17" s="69" t="e">
        <f t="shared" si="0"/>
        <v>#REF!</v>
      </c>
      <c r="F17" s="69" t="e">
        <f t="shared" si="1"/>
        <v>#REF!</v>
      </c>
      <c r="G17" t="e">
        <f t="shared" si="2"/>
        <v>#REF!</v>
      </c>
    </row>
    <row r="18" spans="1:9" ht="27.6">
      <c r="A18" s="51" t="s">
        <v>323</v>
      </c>
      <c r="B18" s="271" t="s">
        <v>314</v>
      </c>
      <c r="C18" s="274" t="e">
        <f t="shared" si="3"/>
        <v>#REF!</v>
      </c>
      <c r="D18" s="69" t="e">
        <f t="shared" si="4"/>
        <v>#REF!</v>
      </c>
      <c r="E18" s="69" t="e">
        <f t="shared" si="0"/>
        <v>#REF!</v>
      </c>
      <c r="F18" s="69" t="e">
        <f t="shared" si="1"/>
        <v>#REF!</v>
      </c>
      <c r="G18" t="e">
        <f t="shared" si="2"/>
        <v>#REF!</v>
      </c>
    </row>
    <row r="19" spans="1:9" ht="72">
      <c r="A19" s="51" t="s">
        <v>324</v>
      </c>
      <c r="B19" s="271" t="s">
        <v>325</v>
      </c>
      <c r="C19" s="274" t="e">
        <f t="shared" si="3"/>
        <v>#REF!</v>
      </c>
      <c r="D19" s="69" t="e">
        <f t="shared" si="4"/>
        <v>#REF!</v>
      </c>
      <c r="E19" s="69" t="e">
        <f t="shared" si="0"/>
        <v>#REF!</v>
      </c>
      <c r="F19" s="69" t="e">
        <f t="shared" si="1"/>
        <v>#REF!</v>
      </c>
      <c r="G19" t="e">
        <f t="shared" si="2"/>
        <v>#REF!</v>
      </c>
    </row>
    <row r="20" spans="1:9" ht="72">
      <c r="A20" s="51" t="s">
        <v>326</v>
      </c>
      <c r="B20" s="271" t="s">
        <v>325</v>
      </c>
      <c r="C20" s="274" t="e">
        <f t="shared" si="3"/>
        <v>#REF!</v>
      </c>
      <c r="D20" s="69" t="e">
        <f t="shared" si="4"/>
        <v>#REF!</v>
      </c>
      <c r="E20" s="69" t="e">
        <f t="shared" si="0"/>
        <v>#REF!</v>
      </c>
      <c r="F20" s="69" t="e">
        <f t="shared" si="1"/>
        <v>#REF!</v>
      </c>
      <c r="G20" t="e">
        <f t="shared" si="2"/>
        <v>#REF!</v>
      </c>
    </row>
    <row r="21" spans="1:9">
      <c r="A21" s="51" t="s">
        <v>327</v>
      </c>
      <c r="B21" s="52" t="s">
        <v>325</v>
      </c>
      <c r="C21" s="274" t="e">
        <f t="shared" si="3"/>
        <v>#REF!</v>
      </c>
      <c r="D21" s="69" t="e">
        <f t="shared" si="4"/>
        <v>#REF!</v>
      </c>
      <c r="E21" s="69" t="e">
        <f t="shared" si="0"/>
        <v>#REF!</v>
      </c>
      <c r="F21" s="69" t="e">
        <f t="shared" si="1"/>
        <v>#REF!</v>
      </c>
      <c r="G21" t="e">
        <f t="shared" si="2"/>
        <v>#REF!</v>
      </c>
    </row>
    <row r="22" spans="1:9" ht="28.8">
      <c r="A22" s="51" t="s">
        <v>328</v>
      </c>
      <c r="B22" s="52" t="s">
        <v>325</v>
      </c>
      <c r="C22" s="274" t="e">
        <f t="shared" si="3"/>
        <v>#REF!</v>
      </c>
      <c r="D22" s="69" t="e">
        <f t="shared" si="4"/>
        <v>#REF!</v>
      </c>
      <c r="E22" s="69" t="e">
        <f t="shared" si="0"/>
        <v>#REF!</v>
      </c>
      <c r="F22" s="69" t="e">
        <f t="shared" si="1"/>
        <v>#REF!</v>
      </c>
      <c r="G22" t="e">
        <f t="shared" si="2"/>
        <v>#REF!</v>
      </c>
    </row>
    <row r="23" spans="1:9" ht="28.8">
      <c r="A23" s="51" t="s">
        <v>329</v>
      </c>
      <c r="B23" s="52" t="s">
        <v>330</v>
      </c>
      <c r="C23" s="274" t="e">
        <f t="shared" si="3"/>
        <v>#REF!</v>
      </c>
      <c r="D23" s="69" t="e">
        <f t="shared" si="4"/>
        <v>#REF!</v>
      </c>
      <c r="E23" s="69" t="e">
        <f t="shared" ref="E23:E25" si="5">C23*D23</f>
        <v>#REF!</v>
      </c>
      <c r="F23" s="69" t="e">
        <f t="shared" ref="F23:F25" si="6">E23*3</f>
        <v>#REF!</v>
      </c>
      <c r="G23" t="e">
        <f t="shared" si="2"/>
        <v>#REF!</v>
      </c>
    </row>
    <row r="24" spans="1:9" ht="56.25" customHeight="1">
      <c r="A24" s="51" t="s">
        <v>331</v>
      </c>
      <c r="B24" s="51" t="s">
        <v>325</v>
      </c>
      <c r="C24" s="51" t="e">
        <f t="shared" si="3"/>
        <v>#REF!</v>
      </c>
      <c r="D24" s="273" t="e">
        <f t="shared" si="4"/>
        <v>#REF!</v>
      </c>
      <c r="E24" s="51" t="e">
        <f t="shared" si="5"/>
        <v>#REF!</v>
      </c>
      <c r="F24" s="51" t="e">
        <f t="shared" si="6"/>
        <v>#REF!</v>
      </c>
      <c r="G24" t="e">
        <f t="shared" si="2"/>
        <v>#REF!</v>
      </c>
    </row>
    <row r="25" spans="1:9" ht="56.25" customHeight="1">
      <c r="A25" s="51" t="s">
        <v>332</v>
      </c>
      <c r="B25" s="51" t="s">
        <v>325</v>
      </c>
      <c r="C25" s="51" t="e">
        <f t="shared" si="3"/>
        <v>#REF!</v>
      </c>
      <c r="D25" s="273" t="e">
        <f t="shared" si="4"/>
        <v>#REF!</v>
      </c>
      <c r="E25" s="51" t="e">
        <f t="shared" si="5"/>
        <v>#REF!</v>
      </c>
      <c r="F25" s="51" t="e">
        <f t="shared" si="6"/>
        <v>#REF!</v>
      </c>
      <c r="G25" t="e">
        <f t="shared" si="2"/>
        <v>#REF!</v>
      </c>
    </row>
    <row r="26" spans="1:9">
      <c r="F26" s="69" t="e">
        <f>SUM(F4:F25)</f>
        <v>#REF!</v>
      </c>
      <c r="G26" t="e">
        <f>SUM(G4:G25)</f>
        <v>#REF!</v>
      </c>
      <c r="I26" s="69"/>
    </row>
  </sheetData>
  <pageMargins left="0.7" right="0.7" top="0.75" bottom="0.75" header="0.3" footer="0.3"/>
  <pageSetup paperSize="9" firstPageNumber="2147483648"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0"/>
  </sheetPr>
  <dimension ref="A1:F82"/>
  <sheetViews>
    <sheetView topLeftCell="A61" zoomScale="80" zoomScaleNormal="80" workbookViewId="0">
      <selection activeCell="A82" sqref="A82"/>
    </sheetView>
  </sheetViews>
  <sheetFormatPr defaultRowHeight="14.4"/>
  <cols>
    <col min="1" max="1" width="16" customWidth="1"/>
    <col min="2" max="2" width="33.6640625" customWidth="1"/>
    <col min="3" max="3" width="21.5546875" customWidth="1"/>
    <col min="4" max="4" width="19" customWidth="1"/>
    <col min="5" max="5" width="25.88671875" customWidth="1"/>
    <col min="6" max="6" width="21.6640625" customWidth="1"/>
    <col min="7" max="7" width="21.44140625" customWidth="1"/>
    <col min="8" max="8" width="18.5546875" customWidth="1"/>
    <col min="9" max="9" width="13.6640625" customWidth="1"/>
  </cols>
  <sheetData>
    <row r="1" spans="1:3">
      <c r="A1" t="s">
        <v>352</v>
      </c>
      <c r="B1" s="624" t="s">
        <v>451</v>
      </c>
      <c r="C1" s="283"/>
    </row>
    <row r="2" spans="1:3">
      <c r="A2" t="s">
        <v>353</v>
      </c>
      <c r="B2" s="282" t="s">
        <v>362</v>
      </c>
      <c r="C2" s="328" t="s">
        <v>429</v>
      </c>
    </row>
    <row r="4" spans="1:3">
      <c r="A4" t="s">
        <v>354</v>
      </c>
      <c r="C4" s="328">
        <v>14</v>
      </c>
    </row>
    <row r="6" spans="1:3">
      <c r="A6" t="s">
        <v>395</v>
      </c>
      <c r="C6" s="352">
        <v>7794.17</v>
      </c>
    </row>
    <row r="7" spans="1:3">
      <c r="B7" s="323"/>
      <c r="C7" s="584"/>
    </row>
    <row r="8" spans="1:3">
      <c r="B8" s="323"/>
      <c r="C8" s="584"/>
    </row>
    <row r="9" spans="1:3" ht="31.5" customHeight="1">
      <c r="A9" s="661" t="s">
        <v>409</v>
      </c>
      <c r="B9" s="661"/>
      <c r="C9" s="346">
        <v>0.03</v>
      </c>
    </row>
    <row r="13" spans="1:3">
      <c r="A13" s="569"/>
    </row>
    <row r="14" spans="1:3">
      <c r="A14" s="2" t="s">
        <v>0</v>
      </c>
      <c r="B14" s="2"/>
      <c r="C14" s="2"/>
    </row>
    <row r="15" spans="1:3">
      <c r="A15" s="569"/>
      <c r="C15" s="328"/>
    </row>
    <row r="16" spans="1:3">
      <c r="A16" s="282" t="s">
        <v>363</v>
      </c>
      <c r="C16" s="328">
        <v>15</v>
      </c>
    </row>
    <row r="17" spans="1:3" ht="30" customHeight="1">
      <c r="A17" s="661" t="s">
        <v>364</v>
      </c>
      <c r="B17" s="661"/>
      <c r="C17" s="328">
        <v>30</v>
      </c>
    </row>
    <row r="18" spans="1:3">
      <c r="A18" s="2" t="s">
        <v>1</v>
      </c>
      <c r="C18" s="328"/>
    </row>
    <row r="19" spans="1:3">
      <c r="A19" t="s">
        <v>452</v>
      </c>
      <c r="C19" s="597">
        <v>0.2</v>
      </c>
    </row>
    <row r="20" spans="1:3">
      <c r="A20" s="282" t="s">
        <v>355</v>
      </c>
      <c r="C20" s="350">
        <v>2.1999999999999999E-2</v>
      </c>
    </row>
    <row r="21" spans="1:3">
      <c r="A21" s="282" t="s">
        <v>356</v>
      </c>
      <c r="C21" s="346">
        <v>0.13</v>
      </c>
    </row>
    <row r="22" spans="1:3">
      <c r="A22" s="282" t="s">
        <v>357</v>
      </c>
      <c r="C22" s="346">
        <v>0.3</v>
      </c>
    </row>
    <row r="23" spans="1:3">
      <c r="A23" s="282" t="s">
        <v>358</v>
      </c>
      <c r="C23" s="350">
        <v>3.0000000000000001E-3</v>
      </c>
    </row>
    <row r="24" spans="1:3">
      <c r="A24" s="282" t="s">
        <v>359</v>
      </c>
      <c r="C24" s="346">
        <v>0.22</v>
      </c>
    </row>
    <row r="25" spans="1:3" ht="30" customHeight="1">
      <c r="A25" s="661" t="s">
        <v>360</v>
      </c>
      <c r="B25" s="661"/>
      <c r="C25" s="350">
        <v>2.9000000000000001E-2</v>
      </c>
    </row>
    <row r="26" spans="1:3" ht="30.75" customHeight="1">
      <c r="A26" s="661" t="s">
        <v>361</v>
      </c>
      <c r="B26" s="661"/>
      <c r="C26" s="350">
        <v>5.0999999999999997E-2</v>
      </c>
    </row>
    <row r="27" spans="1:3">
      <c r="A27" s="284" t="s">
        <v>367</v>
      </c>
    </row>
    <row r="28" spans="1:3" ht="27.75" customHeight="1">
      <c r="A28" s="661" t="s">
        <v>392</v>
      </c>
      <c r="B28" s="661"/>
      <c r="C28" s="350">
        <v>1E-4</v>
      </c>
    </row>
    <row r="29" spans="1:3">
      <c r="A29" t="s">
        <v>2</v>
      </c>
      <c r="B29" s="323"/>
      <c r="C29" s="352">
        <v>112119</v>
      </c>
    </row>
    <row r="30" spans="1:3">
      <c r="A30" s="526" t="s">
        <v>410</v>
      </c>
      <c r="B30" s="323"/>
      <c r="C30" s="352">
        <v>54385.563329999997</v>
      </c>
    </row>
    <row r="31" spans="1:3">
      <c r="A31" s="502" t="s">
        <v>403</v>
      </c>
      <c r="C31" s="568">
        <v>0</v>
      </c>
    </row>
    <row r="33" spans="1:4">
      <c r="B33" s="282"/>
      <c r="C33" s="323"/>
    </row>
    <row r="34" spans="1:4">
      <c r="A34" s="330" t="s">
        <v>376</v>
      </c>
      <c r="C34" s="599">
        <v>0.01</v>
      </c>
    </row>
    <row r="36" spans="1:4">
      <c r="A36" s="282" t="s">
        <v>365</v>
      </c>
      <c r="C36" s="346">
        <v>0.06</v>
      </c>
    </row>
    <row r="37" spans="1:4">
      <c r="A37" s="526" t="s">
        <v>412</v>
      </c>
      <c r="C37" s="346">
        <v>0.06</v>
      </c>
    </row>
    <row r="38" spans="1:4">
      <c r="A38" s="283" t="s">
        <v>3</v>
      </c>
      <c r="B38" s="283"/>
      <c r="C38" s="283"/>
    </row>
    <row r="39" spans="1:4">
      <c r="A39" s="282" t="s">
        <v>348</v>
      </c>
      <c r="C39" s="599">
        <v>0.06</v>
      </c>
      <c r="D39" t="s">
        <v>349</v>
      </c>
    </row>
    <row r="40" spans="1:4">
      <c r="A40" s="282" t="s">
        <v>351</v>
      </c>
      <c r="C40" s="4">
        <v>7.4999999999999997E-2</v>
      </c>
      <c r="D40" t="s">
        <v>350</v>
      </c>
    </row>
    <row r="42" spans="1:4" ht="29.25" customHeight="1">
      <c r="A42" s="661" t="s">
        <v>5</v>
      </c>
      <c r="B42" s="663"/>
      <c r="C42" s="346">
        <v>0.15</v>
      </c>
    </row>
    <row r="43" spans="1:4">
      <c r="A43" t="s">
        <v>6</v>
      </c>
      <c r="C43" s="351">
        <f>(1+C40)/(1+C39)-1+C42</f>
        <v>0.16415094339622635</v>
      </c>
    </row>
    <row r="44" spans="1:4">
      <c r="A44" t="s">
        <v>4</v>
      </c>
    </row>
    <row r="51" spans="1:6">
      <c r="A51" s="282" t="s">
        <v>366</v>
      </c>
      <c r="C51" s="346">
        <v>0.15</v>
      </c>
    </row>
    <row r="54" spans="1:6" ht="17.25" customHeight="1">
      <c r="A54" s="283" t="s">
        <v>370</v>
      </c>
      <c r="B54" s="283"/>
      <c r="C54" s="348"/>
      <c r="D54" s="52"/>
      <c r="F54" s="80"/>
    </row>
    <row r="55" spans="1:6">
      <c r="A55" s="331" t="s">
        <v>371</v>
      </c>
      <c r="C55" s="52"/>
      <c r="D55" s="52"/>
      <c r="F55" s="80"/>
    </row>
    <row r="56" spans="1:6">
      <c r="A56" s="662" t="s">
        <v>396</v>
      </c>
      <c r="B56" s="663" t="s">
        <v>57</v>
      </c>
      <c r="C56" s="327">
        <v>5.5169999999999997E-2</v>
      </c>
      <c r="D56" s="324"/>
    </row>
    <row r="57" spans="1:6">
      <c r="A57" s="662"/>
      <c r="B57" s="663"/>
      <c r="C57" s="623"/>
      <c r="D57" s="622"/>
    </row>
    <row r="58" spans="1:6">
      <c r="A58" s="662" t="s">
        <v>397</v>
      </c>
      <c r="B58" s="663" t="s">
        <v>57</v>
      </c>
      <c r="C58" s="327">
        <v>4.2610000000000002E-2</v>
      </c>
      <c r="D58" s="325"/>
    </row>
    <row r="59" spans="1:6">
      <c r="A59" s="661"/>
      <c r="B59" s="663"/>
      <c r="C59" s="623"/>
      <c r="D59" s="326"/>
    </row>
    <row r="60" spans="1:6">
      <c r="A60" s="661"/>
      <c r="B60" s="663"/>
      <c r="C60" s="623"/>
      <c r="D60" s="326"/>
    </row>
    <row r="61" spans="1:6">
      <c r="A61" s="662" t="s">
        <v>398</v>
      </c>
      <c r="B61" s="662"/>
      <c r="C61" s="327">
        <v>0.69098000000000004</v>
      </c>
      <c r="D61" s="326"/>
    </row>
    <row r="63" spans="1:6">
      <c r="A63" s="347" t="s">
        <v>375</v>
      </c>
    </row>
    <row r="64" spans="1:6">
      <c r="A64" s="666" t="s">
        <v>374</v>
      </c>
      <c r="B64" s="667"/>
      <c r="C64" s="346">
        <v>0.05</v>
      </c>
    </row>
    <row r="65" spans="1:6">
      <c r="A65" s="659" t="s">
        <v>450</v>
      </c>
      <c r="B65" s="660"/>
      <c r="C65" s="595">
        <v>0.3</v>
      </c>
      <c r="E65" s="502"/>
    </row>
    <row r="66" spans="1:6">
      <c r="A66" s="668" t="s">
        <v>445</v>
      </c>
      <c r="B66" s="660"/>
      <c r="C66" s="597">
        <v>1.4E-2</v>
      </c>
    </row>
    <row r="67" spans="1:6" ht="15" customHeight="1">
      <c r="A67" s="660" t="s">
        <v>248</v>
      </c>
      <c r="B67" s="660"/>
      <c r="C67" s="346">
        <v>0.02</v>
      </c>
    </row>
    <row r="68" spans="1:6" ht="30.75" customHeight="1">
      <c r="A68" s="660" t="s">
        <v>446</v>
      </c>
      <c r="B68" s="660"/>
      <c r="C68" s="346">
        <v>0.15</v>
      </c>
    </row>
    <row r="69" spans="1:6">
      <c r="C69" s="349"/>
    </row>
    <row r="70" spans="1:6" ht="15" customHeight="1">
      <c r="A70" s="347" t="s">
        <v>448</v>
      </c>
      <c r="B70" s="347"/>
      <c r="C70" s="349"/>
    </row>
    <row r="71" spans="1:6">
      <c r="A71" s="659" t="s">
        <v>449</v>
      </c>
      <c r="B71" s="660"/>
      <c r="C71" s="349">
        <v>750</v>
      </c>
    </row>
    <row r="72" spans="1:6">
      <c r="A72" s="502"/>
      <c r="C72" s="349"/>
    </row>
    <row r="73" spans="1:6">
      <c r="A73" s="330"/>
      <c r="C73" s="349"/>
    </row>
    <row r="74" spans="1:6">
      <c r="A74" s="502"/>
      <c r="C74" s="349"/>
      <c r="D74" s="502"/>
      <c r="F74" s="502"/>
    </row>
    <row r="75" spans="1:6">
      <c r="A75" s="526"/>
      <c r="C75" s="349"/>
    </row>
    <row r="76" spans="1:6">
      <c r="A76" s="503" t="s">
        <v>399</v>
      </c>
    </row>
    <row r="77" spans="1:6" ht="31.5" customHeight="1">
      <c r="A77" s="665" t="s">
        <v>434</v>
      </c>
      <c r="B77" s="665"/>
      <c r="C77" s="576">
        <v>4000</v>
      </c>
    </row>
    <row r="78" spans="1:6" ht="34.5" customHeight="1">
      <c r="A78" s="664" t="s">
        <v>435</v>
      </c>
      <c r="B78" s="664"/>
      <c r="C78" s="576">
        <v>274000</v>
      </c>
    </row>
    <row r="79" spans="1:6" ht="29.25" customHeight="1">
      <c r="A79" s="664" t="s">
        <v>436</v>
      </c>
      <c r="B79" s="664"/>
      <c r="C79" s="576">
        <v>204000</v>
      </c>
    </row>
    <row r="80" spans="1:6" ht="15" customHeight="1">
      <c r="A80" s="330" t="s">
        <v>437</v>
      </c>
      <c r="B80" s="330"/>
      <c r="C80" s="576">
        <v>160000</v>
      </c>
    </row>
    <row r="81" spans="1:3" ht="15" customHeight="1">
      <c r="A81" s="330" t="s">
        <v>439</v>
      </c>
      <c r="B81" s="330"/>
      <c r="C81" s="576">
        <v>40000</v>
      </c>
    </row>
    <row r="82" spans="1:3">
      <c r="A82" s="330" t="s">
        <v>438</v>
      </c>
      <c r="B82" s="330"/>
      <c r="C82" s="576">
        <v>100000</v>
      </c>
    </row>
  </sheetData>
  <mergeCells count="21">
    <mergeCell ref="A71:B71"/>
    <mergeCell ref="A78:B78"/>
    <mergeCell ref="A79:B79"/>
    <mergeCell ref="A59:B59"/>
    <mergeCell ref="A17:B17"/>
    <mergeCell ref="A28:B28"/>
    <mergeCell ref="A77:B77"/>
    <mergeCell ref="A25:B25"/>
    <mergeCell ref="A26:B26"/>
    <mergeCell ref="A42:B42"/>
    <mergeCell ref="A60:B60"/>
    <mergeCell ref="A61:B61"/>
    <mergeCell ref="A64:B64"/>
    <mergeCell ref="A66:B66"/>
    <mergeCell ref="A67:B67"/>
    <mergeCell ref="A68:B68"/>
    <mergeCell ref="A65:B65"/>
    <mergeCell ref="A9:B9"/>
    <mergeCell ref="A56:B56"/>
    <mergeCell ref="A57:B57"/>
    <mergeCell ref="A58:B58"/>
  </mergeCells>
  <pageMargins left="0.7" right="0.7" top="0.75" bottom="0.75" header="0.3" footer="0.3"/>
  <pageSetup paperSize="9" firstPageNumber="2147483648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Лист5"/>
  <dimension ref="A1:J26"/>
  <sheetViews>
    <sheetView zoomScale="70" workbookViewId="0">
      <pane xSplit="1" topLeftCell="B1" activePane="topRight" state="frozen"/>
      <selection pane="topRight"/>
    </sheetView>
  </sheetViews>
  <sheetFormatPr defaultRowHeight="14.4"/>
  <cols>
    <col min="1" max="1" width="26.5546875" style="51" customWidth="1"/>
    <col min="2" max="2" width="11.88671875" style="52" customWidth="1"/>
    <col min="3" max="3" width="13" style="53" customWidth="1"/>
    <col min="4" max="6" width="12.88671875" style="69" customWidth="1"/>
  </cols>
  <sheetData>
    <row r="1" spans="1:10">
      <c r="A1" s="81"/>
      <c r="B1" s="81"/>
      <c r="C1" s="81"/>
      <c r="D1" s="267"/>
      <c r="E1" s="267"/>
      <c r="F1" s="267"/>
      <c r="G1" s="268"/>
      <c r="H1" s="268"/>
      <c r="I1" s="268"/>
      <c r="J1" s="268"/>
    </row>
    <row r="2" spans="1:10">
      <c r="A2" s="81"/>
      <c r="B2" s="81"/>
      <c r="C2" s="81"/>
      <c r="D2" s="269">
        <v>0.3</v>
      </c>
      <c r="E2" s="269"/>
      <c r="F2" s="269"/>
      <c r="G2" s="270"/>
      <c r="H2" s="270"/>
      <c r="I2" s="270"/>
      <c r="J2" s="270"/>
    </row>
    <row r="3" spans="1:10" s="61" customFormat="1" ht="55.2">
      <c r="A3" s="194" t="s">
        <v>67</v>
      </c>
      <c r="B3" s="271" t="s">
        <v>43</v>
      </c>
      <c r="C3" s="222" t="s">
        <v>297</v>
      </c>
      <c r="D3" s="272" t="s">
        <v>298</v>
      </c>
      <c r="E3" s="272" t="s">
        <v>299</v>
      </c>
      <c r="F3" s="272" t="s">
        <v>300</v>
      </c>
      <c r="G3" s="272" t="s">
        <v>301</v>
      </c>
    </row>
    <row r="4" spans="1:10">
      <c r="A4" s="194" t="s">
        <v>302</v>
      </c>
      <c r="B4" s="271" t="s">
        <v>303</v>
      </c>
      <c r="C4" s="274">
        <f>'объем работ 100% загр'!F4</f>
        <v>4.9141732499999993</v>
      </c>
      <c r="D4" s="69">
        <f>'объем работ 100% загр'!S4</f>
        <v>504</v>
      </c>
      <c r="E4" s="69">
        <f t="shared" ref="E4:E23" si="0">C4*D4</f>
        <v>2476.7433179999998</v>
      </c>
      <c r="F4" s="69">
        <f t="shared" ref="F4:F23" si="1">E4*3</f>
        <v>7430.2299539999995</v>
      </c>
      <c r="G4">
        <f t="shared" ref="G4:G23" si="2">E4*12</f>
        <v>29720.919815999998</v>
      </c>
    </row>
    <row r="5" spans="1:10" ht="124.2">
      <c r="A5" s="194" t="s">
        <v>304</v>
      </c>
      <c r="B5" s="271" t="s">
        <v>305</v>
      </c>
      <c r="C5" s="274">
        <f>'объем работ 100% загр'!F5</f>
        <v>7.5034008000000015E-3</v>
      </c>
      <c r="D5" s="69">
        <f>'объем работ 100% загр'!S5</f>
        <v>4000000</v>
      </c>
      <c r="E5" s="69">
        <f t="shared" si="0"/>
        <v>30013.603200000005</v>
      </c>
      <c r="F5" s="69">
        <f t="shared" si="1"/>
        <v>90040.809600000008</v>
      </c>
      <c r="G5">
        <f t="shared" si="2"/>
        <v>360163.23840000003</v>
      </c>
    </row>
    <row r="6" spans="1:10" ht="123.75" customHeight="1">
      <c r="A6" s="194" t="s">
        <v>306</v>
      </c>
      <c r="B6" s="271" t="s">
        <v>305</v>
      </c>
      <c r="C6" s="274">
        <f>'объем работ 100% загр'!F6</f>
        <v>11.076448800000001</v>
      </c>
      <c r="D6" s="69">
        <f>'объем работ 100% загр'!S6</f>
        <v>4344</v>
      </c>
      <c r="E6" s="69">
        <f t="shared" si="0"/>
        <v>48116.093587200005</v>
      </c>
      <c r="F6" s="69">
        <f t="shared" si="1"/>
        <v>144348.28076160001</v>
      </c>
      <c r="G6">
        <f t="shared" si="2"/>
        <v>577393.12304640003</v>
      </c>
    </row>
    <row r="7" spans="1:10" ht="55.2">
      <c r="A7" s="194" t="s">
        <v>307</v>
      </c>
      <c r="B7" s="271" t="s">
        <v>308</v>
      </c>
      <c r="C7" s="274" t="e">
        <f t="shared" ref="C7:C25" si="3">'объем работ 100% загр'!#REF!</f>
        <v>#REF!</v>
      </c>
      <c r="D7" s="69" t="e">
        <f t="shared" ref="D7:D25" si="4">'объем работ 100% загр'!#REF!</f>
        <v>#REF!</v>
      </c>
      <c r="E7" s="69" t="e">
        <f t="shared" si="0"/>
        <v>#REF!</v>
      </c>
      <c r="F7" s="69" t="e">
        <f t="shared" si="1"/>
        <v>#REF!</v>
      </c>
      <c r="G7" t="e">
        <f t="shared" si="2"/>
        <v>#REF!</v>
      </c>
    </row>
    <row r="8" spans="1:10" ht="27.6">
      <c r="A8" s="194" t="s">
        <v>309</v>
      </c>
      <c r="B8" s="271" t="s">
        <v>310</v>
      </c>
      <c r="C8" s="274" t="e">
        <f t="shared" si="3"/>
        <v>#REF!</v>
      </c>
      <c r="D8" s="69" t="e">
        <f t="shared" si="4"/>
        <v>#REF!</v>
      </c>
      <c r="E8" s="69" t="e">
        <f t="shared" si="0"/>
        <v>#REF!</v>
      </c>
      <c r="F8" s="69" t="e">
        <f t="shared" si="1"/>
        <v>#REF!</v>
      </c>
      <c r="G8" t="e">
        <f t="shared" si="2"/>
        <v>#REF!</v>
      </c>
    </row>
    <row r="9" spans="1:10" ht="27.6">
      <c r="A9" s="194" t="s">
        <v>311</v>
      </c>
      <c r="B9" s="271" t="s">
        <v>312</v>
      </c>
      <c r="C9" s="274" t="e">
        <f t="shared" si="3"/>
        <v>#REF!</v>
      </c>
      <c r="D9" s="69" t="e">
        <f t="shared" si="4"/>
        <v>#REF!</v>
      </c>
      <c r="E9" s="69" t="e">
        <f t="shared" si="0"/>
        <v>#REF!</v>
      </c>
      <c r="F9" s="69" t="e">
        <f t="shared" si="1"/>
        <v>#REF!</v>
      </c>
      <c r="G9" t="e">
        <f t="shared" si="2"/>
        <v>#REF!</v>
      </c>
    </row>
    <row r="10" spans="1:10" ht="69">
      <c r="A10" s="194" t="s">
        <v>313</v>
      </c>
      <c r="B10" s="271" t="s">
        <v>314</v>
      </c>
      <c r="C10" s="274" t="e">
        <f t="shared" si="3"/>
        <v>#REF!</v>
      </c>
      <c r="D10" s="69" t="e">
        <f t="shared" si="4"/>
        <v>#REF!</v>
      </c>
      <c r="E10" s="69" t="e">
        <f t="shared" si="0"/>
        <v>#REF!</v>
      </c>
      <c r="F10" s="69" t="e">
        <f t="shared" si="1"/>
        <v>#REF!</v>
      </c>
      <c r="G10" t="e">
        <f t="shared" si="2"/>
        <v>#REF!</v>
      </c>
    </row>
    <row r="11" spans="1:10" ht="69">
      <c r="A11" s="194" t="s">
        <v>315</v>
      </c>
      <c r="B11" s="271" t="s">
        <v>316</v>
      </c>
      <c r="C11" s="274" t="e">
        <f t="shared" si="3"/>
        <v>#REF!</v>
      </c>
      <c r="D11" s="69" t="e">
        <f t="shared" si="4"/>
        <v>#REF!</v>
      </c>
      <c r="E11" s="69" t="e">
        <f t="shared" si="0"/>
        <v>#REF!</v>
      </c>
      <c r="F11" s="69" t="e">
        <f t="shared" si="1"/>
        <v>#REF!</v>
      </c>
      <c r="G11" t="e">
        <f t="shared" si="2"/>
        <v>#REF!</v>
      </c>
    </row>
    <row r="12" spans="1:10" ht="72">
      <c r="A12" s="51" t="s">
        <v>317</v>
      </c>
      <c r="B12" s="271" t="s">
        <v>314</v>
      </c>
      <c r="C12" s="274" t="e">
        <f t="shared" si="3"/>
        <v>#REF!</v>
      </c>
      <c r="D12" s="69" t="e">
        <f t="shared" si="4"/>
        <v>#REF!</v>
      </c>
      <c r="E12" s="69" t="e">
        <f t="shared" si="0"/>
        <v>#REF!</v>
      </c>
      <c r="F12" s="69" t="e">
        <f t="shared" si="1"/>
        <v>#REF!</v>
      </c>
      <c r="G12" t="e">
        <f t="shared" si="2"/>
        <v>#REF!</v>
      </c>
    </row>
    <row r="13" spans="1:10" ht="72">
      <c r="A13" s="51" t="s">
        <v>318</v>
      </c>
      <c r="B13" s="271" t="s">
        <v>316</v>
      </c>
      <c r="C13" s="274" t="e">
        <f t="shared" si="3"/>
        <v>#REF!</v>
      </c>
      <c r="D13" s="69" t="e">
        <f t="shared" si="4"/>
        <v>#REF!</v>
      </c>
      <c r="E13" s="69" t="e">
        <f t="shared" si="0"/>
        <v>#REF!</v>
      </c>
      <c r="F13" s="69" t="e">
        <f t="shared" si="1"/>
        <v>#REF!</v>
      </c>
      <c r="G13" t="e">
        <f t="shared" si="2"/>
        <v>#REF!</v>
      </c>
    </row>
    <row r="14" spans="1:10" ht="86.4">
      <c r="A14" s="51" t="s">
        <v>319</v>
      </c>
      <c r="B14" s="271" t="s">
        <v>314</v>
      </c>
      <c r="C14" s="274" t="e">
        <f t="shared" si="3"/>
        <v>#REF!</v>
      </c>
      <c r="D14" s="69" t="e">
        <f t="shared" si="4"/>
        <v>#REF!</v>
      </c>
      <c r="E14" s="69" t="e">
        <f t="shared" si="0"/>
        <v>#REF!</v>
      </c>
      <c r="F14" s="69" t="e">
        <f t="shared" si="1"/>
        <v>#REF!</v>
      </c>
      <c r="G14" t="e">
        <f t="shared" si="2"/>
        <v>#REF!</v>
      </c>
    </row>
    <row r="15" spans="1:10" ht="86.4">
      <c r="A15" s="51" t="s">
        <v>320</v>
      </c>
      <c r="B15" s="271" t="s">
        <v>316</v>
      </c>
      <c r="C15" s="274" t="e">
        <f t="shared" si="3"/>
        <v>#REF!</v>
      </c>
      <c r="D15" s="69" t="e">
        <f t="shared" si="4"/>
        <v>#REF!</v>
      </c>
      <c r="E15" s="69" t="e">
        <f t="shared" si="0"/>
        <v>#REF!</v>
      </c>
      <c r="F15" s="69" t="e">
        <f t="shared" si="1"/>
        <v>#REF!</v>
      </c>
      <c r="G15" t="e">
        <f t="shared" si="2"/>
        <v>#REF!</v>
      </c>
    </row>
    <row r="16" spans="1:10" ht="72">
      <c r="A16" s="51" t="s">
        <v>321</v>
      </c>
      <c r="B16" s="271" t="s">
        <v>314</v>
      </c>
      <c r="C16" s="274" t="e">
        <f t="shared" si="3"/>
        <v>#REF!</v>
      </c>
      <c r="D16" s="69" t="e">
        <f t="shared" si="4"/>
        <v>#REF!</v>
      </c>
      <c r="E16" s="69" t="e">
        <f t="shared" si="0"/>
        <v>#REF!</v>
      </c>
      <c r="F16" s="69" t="e">
        <f t="shared" si="1"/>
        <v>#REF!</v>
      </c>
      <c r="G16" t="e">
        <f t="shared" si="2"/>
        <v>#REF!</v>
      </c>
    </row>
    <row r="17" spans="1:9" ht="72">
      <c r="A17" s="51" t="s">
        <v>322</v>
      </c>
      <c r="B17" s="271" t="s">
        <v>316</v>
      </c>
      <c r="C17" s="274" t="e">
        <f t="shared" si="3"/>
        <v>#REF!</v>
      </c>
      <c r="D17" s="69" t="e">
        <f t="shared" si="4"/>
        <v>#REF!</v>
      </c>
      <c r="E17" s="69" t="e">
        <f t="shared" si="0"/>
        <v>#REF!</v>
      </c>
      <c r="F17" s="69" t="e">
        <f t="shared" si="1"/>
        <v>#REF!</v>
      </c>
      <c r="G17" t="e">
        <f t="shared" si="2"/>
        <v>#REF!</v>
      </c>
    </row>
    <row r="18" spans="1:9" ht="27.6">
      <c r="A18" s="51" t="s">
        <v>323</v>
      </c>
      <c r="B18" s="271" t="s">
        <v>314</v>
      </c>
      <c r="C18" s="274" t="e">
        <f t="shared" si="3"/>
        <v>#REF!</v>
      </c>
      <c r="D18" s="69" t="e">
        <f t="shared" si="4"/>
        <v>#REF!</v>
      </c>
      <c r="E18" s="69" t="e">
        <f t="shared" si="0"/>
        <v>#REF!</v>
      </c>
      <c r="F18" s="69" t="e">
        <f t="shared" si="1"/>
        <v>#REF!</v>
      </c>
      <c r="G18" t="e">
        <f t="shared" si="2"/>
        <v>#REF!</v>
      </c>
    </row>
    <row r="19" spans="1:9" ht="72">
      <c r="A19" s="51" t="s">
        <v>324</v>
      </c>
      <c r="B19" s="271" t="s">
        <v>325</v>
      </c>
      <c r="C19" s="274" t="e">
        <f t="shared" si="3"/>
        <v>#REF!</v>
      </c>
      <c r="D19" s="69" t="e">
        <f t="shared" si="4"/>
        <v>#REF!</v>
      </c>
      <c r="E19" s="69" t="e">
        <f t="shared" si="0"/>
        <v>#REF!</v>
      </c>
      <c r="F19" s="69" t="e">
        <f t="shared" si="1"/>
        <v>#REF!</v>
      </c>
      <c r="G19" t="e">
        <f t="shared" si="2"/>
        <v>#REF!</v>
      </c>
    </row>
    <row r="20" spans="1:9" ht="72">
      <c r="A20" s="51" t="s">
        <v>326</v>
      </c>
      <c r="B20" s="271" t="s">
        <v>325</v>
      </c>
      <c r="C20" s="274" t="e">
        <f t="shared" si="3"/>
        <v>#REF!</v>
      </c>
      <c r="D20" s="69" t="e">
        <f t="shared" si="4"/>
        <v>#REF!</v>
      </c>
      <c r="E20" s="69" t="e">
        <f t="shared" si="0"/>
        <v>#REF!</v>
      </c>
      <c r="F20" s="69" t="e">
        <f t="shared" si="1"/>
        <v>#REF!</v>
      </c>
      <c r="G20" t="e">
        <f t="shared" si="2"/>
        <v>#REF!</v>
      </c>
    </row>
    <row r="21" spans="1:9">
      <c r="A21" s="51" t="s">
        <v>327</v>
      </c>
      <c r="B21" s="52" t="s">
        <v>325</v>
      </c>
      <c r="C21" s="274" t="e">
        <f t="shared" si="3"/>
        <v>#REF!</v>
      </c>
      <c r="D21" s="69" t="e">
        <f t="shared" si="4"/>
        <v>#REF!</v>
      </c>
      <c r="E21" s="69" t="e">
        <f t="shared" si="0"/>
        <v>#REF!</v>
      </c>
      <c r="F21" s="69" t="e">
        <f t="shared" si="1"/>
        <v>#REF!</v>
      </c>
      <c r="G21" t="e">
        <f t="shared" si="2"/>
        <v>#REF!</v>
      </c>
    </row>
    <row r="22" spans="1:9" ht="28.8">
      <c r="A22" s="51" t="s">
        <v>328</v>
      </c>
      <c r="B22" s="52" t="s">
        <v>325</v>
      </c>
      <c r="C22" s="274" t="e">
        <f t="shared" si="3"/>
        <v>#REF!</v>
      </c>
      <c r="D22" s="69" t="e">
        <f t="shared" si="4"/>
        <v>#REF!</v>
      </c>
      <c r="E22" s="69" t="e">
        <f t="shared" si="0"/>
        <v>#REF!</v>
      </c>
      <c r="F22" s="69" t="e">
        <f t="shared" si="1"/>
        <v>#REF!</v>
      </c>
      <c r="G22" t="e">
        <f t="shared" si="2"/>
        <v>#REF!</v>
      </c>
    </row>
    <row r="23" spans="1:9" ht="56.25" customHeight="1">
      <c r="A23" s="51" t="s">
        <v>329</v>
      </c>
      <c r="B23" s="52" t="s">
        <v>330</v>
      </c>
      <c r="C23" s="274" t="e">
        <f t="shared" si="3"/>
        <v>#REF!</v>
      </c>
      <c r="D23" s="69" t="e">
        <f t="shared" si="4"/>
        <v>#REF!</v>
      </c>
      <c r="E23" s="69" t="e">
        <f t="shared" si="0"/>
        <v>#REF!</v>
      </c>
      <c r="F23" s="69" t="e">
        <f t="shared" si="1"/>
        <v>#REF!</v>
      </c>
      <c r="G23" t="e">
        <f t="shared" si="2"/>
        <v>#REF!</v>
      </c>
    </row>
    <row r="24" spans="1:9" ht="56.25" customHeight="1">
      <c r="A24" s="51" t="s">
        <v>331</v>
      </c>
      <c r="B24" s="51" t="s">
        <v>325</v>
      </c>
      <c r="C24" s="51" t="e">
        <f t="shared" si="3"/>
        <v>#REF!</v>
      </c>
      <c r="D24" s="273" t="e">
        <f t="shared" si="4"/>
        <v>#REF!</v>
      </c>
      <c r="E24" s="51" t="e">
        <f t="shared" ref="E24:E25" si="5">C24*D24</f>
        <v>#REF!</v>
      </c>
      <c r="F24" s="51" t="e">
        <f t="shared" ref="F24:F25" si="6">E24*3</f>
        <v>#REF!</v>
      </c>
      <c r="G24" s="51" t="e">
        <f t="shared" ref="G24:G25" si="7">E24*12</f>
        <v>#REF!</v>
      </c>
    </row>
    <row r="25" spans="1:9" ht="56.25" customHeight="1">
      <c r="A25" s="51" t="s">
        <v>332</v>
      </c>
      <c r="B25" s="51" t="s">
        <v>325</v>
      </c>
      <c r="C25" s="51" t="e">
        <f t="shared" si="3"/>
        <v>#REF!</v>
      </c>
      <c r="D25" s="273" t="e">
        <f t="shared" si="4"/>
        <v>#REF!</v>
      </c>
      <c r="E25" s="51" t="e">
        <f t="shared" si="5"/>
        <v>#REF!</v>
      </c>
      <c r="F25" s="51" t="e">
        <f t="shared" si="6"/>
        <v>#REF!</v>
      </c>
      <c r="G25" s="51" t="e">
        <f t="shared" si="7"/>
        <v>#REF!</v>
      </c>
    </row>
    <row r="26" spans="1:9">
      <c r="F26" s="69" t="e">
        <f>SUM(F4:F25)</f>
        <v>#REF!</v>
      </c>
      <c r="G26" t="e">
        <f>SUM(G4:G25)</f>
        <v>#REF!</v>
      </c>
      <c r="I26" s="69"/>
    </row>
  </sheetData>
  <pageMargins left="0.7" right="0.7" top="0.75" bottom="0.75" header="0.3" footer="0.3"/>
  <pageSetup paperSize="9" firstPageNumber="2147483648" orientation="portrait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Лист6"/>
  <dimension ref="A1:J27"/>
  <sheetViews>
    <sheetView zoomScale="70" workbookViewId="0">
      <pane xSplit="1" topLeftCell="B1" activePane="topRight" state="frozen"/>
      <selection pane="topRight"/>
    </sheetView>
  </sheetViews>
  <sheetFormatPr defaultRowHeight="14.4"/>
  <cols>
    <col min="1" max="1" width="26.5546875" style="51" customWidth="1"/>
    <col min="2" max="2" width="11.88671875" style="52" customWidth="1"/>
    <col min="3" max="3" width="13" style="53" customWidth="1"/>
    <col min="4" max="6" width="12.88671875" style="69" customWidth="1"/>
  </cols>
  <sheetData>
    <row r="1" spans="1:10">
      <c r="A1" s="81"/>
      <c r="B1" s="81"/>
      <c r="C1" s="81"/>
      <c r="D1" s="267"/>
      <c r="E1" s="267"/>
      <c r="F1" s="267"/>
      <c r="G1" s="268"/>
      <c r="H1" s="268"/>
      <c r="I1" s="268"/>
      <c r="J1" s="268"/>
    </row>
    <row r="2" spans="1:10">
      <c r="A2" s="81"/>
      <c r="B2" s="81"/>
      <c r="C2" s="81"/>
      <c r="D2" s="269">
        <v>0.3</v>
      </c>
      <c r="E2" s="269"/>
      <c r="F2" s="269"/>
      <c r="G2" s="270"/>
      <c r="H2" s="270"/>
      <c r="I2" s="270"/>
      <c r="J2" s="270"/>
    </row>
    <row r="3" spans="1:10" s="61" customFormat="1" ht="55.2">
      <c r="A3" s="194" t="s">
        <v>67</v>
      </c>
      <c r="B3" s="271" t="s">
        <v>43</v>
      </c>
      <c r="C3" s="222" t="s">
        <v>297</v>
      </c>
      <c r="D3" s="272" t="s">
        <v>298</v>
      </c>
      <c r="E3" s="272" t="s">
        <v>299</v>
      </c>
      <c r="F3" s="272" t="s">
        <v>300</v>
      </c>
      <c r="G3" s="272" t="s">
        <v>301</v>
      </c>
    </row>
    <row r="4" spans="1:10">
      <c r="A4" s="194" t="s">
        <v>302</v>
      </c>
      <c r="B4" s="271" t="s">
        <v>303</v>
      </c>
      <c r="C4" s="274">
        <f>'объем работ 100% загр'!G4</f>
        <v>4.9878858487499986</v>
      </c>
      <c r="D4" s="69">
        <f>'объем работ 100% загр'!S4</f>
        <v>504</v>
      </c>
      <c r="E4" s="69">
        <f t="shared" ref="E4:E22" si="0">C4*D4</f>
        <v>2513.8944677699992</v>
      </c>
      <c r="F4" s="69">
        <f t="shared" ref="F4:F22" si="1">E4*3</f>
        <v>7541.6834033099976</v>
      </c>
      <c r="G4">
        <f t="shared" ref="G4:G22" si="2">E4*12</f>
        <v>30166.733613239991</v>
      </c>
    </row>
    <row r="5" spans="1:10" ht="124.2">
      <c r="A5" s="194" t="s">
        <v>304</v>
      </c>
      <c r="B5" s="271" t="s">
        <v>305</v>
      </c>
      <c r="C5" s="274">
        <f>'объем работ 100% загр'!G5</f>
        <v>7.9536048480000014E-3</v>
      </c>
      <c r="D5" s="69">
        <f>'объем работ 100% загр'!S5</f>
        <v>4000000</v>
      </c>
      <c r="E5" s="69">
        <f t="shared" si="0"/>
        <v>31814.419392000007</v>
      </c>
      <c r="F5" s="69">
        <f t="shared" si="1"/>
        <v>95443.258176000018</v>
      </c>
      <c r="G5">
        <f t="shared" si="2"/>
        <v>381773.03270400007</v>
      </c>
    </row>
    <row r="6" spans="1:10" ht="123.75" customHeight="1">
      <c r="A6" s="194" t="s">
        <v>306</v>
      </c>
      <c r="B6" s="271" t="s">
        <v>305</v>
      </c>
      <c r="C6" s="274">
        <f>'объем работ 100% загр'!G6</f>
        <v>11.741035728000002</v>
      </c>
      <c r="D6" s="69">
        <f>'объем работ 100% загр'!S6</f>
        <v>4344</v>
      </c>
      <c r="E6" s="69">
        <f t="shared" si="0"/>
        <v>51003.059202432007</v>
      </c>
      <c r="F6" s="69">
        <f t="shared" si="1"/>
        <v>153009.17760729603</v>
      </c>
      <c r="G6">
        <f t="shared" si="2"/>
        <v>612036.71042918414</v>
      </c>
    </row>
    <row r="7" spans="1:10" ht="55.2">
      <c r="A7" s="194" t="s">
        <v>307</v>
      </c>
      <c r="B7" s="271" t="s">
        <v>308</v>
      </c>
      <c r="C7" s="274" t="e">
        <f t="shared" ref="C7:C25" si="3">'объем работ 100% загр'!#REF!</f>
        <v>#REF!</v>
      </c>
      <c r="D7" s="69" t="e">
        <f t="shared" ref="D7:D25" si="4">'объем работ 100% загр'!#REF!</f>
        <v>#REF!</v>
      </c>
      <c r="E7" s="69" t="e">
        <f t="shared" si="0"/>
        <v>#REF!</v>
      </c>
      <c r="F7" s="69" t="e">
        <f t="shared" si="1"/>
        <v>#REF!</v>
      </c>
      <c r="G7" t="e">
        <f t="shared" si="2"/>
        <v>#REF!</v>
      </c>
    </row>
    <row r="8" spans="1:10" ht="27.6">
      <c r="A8" s="194" t="s">
        <v>309</v>
      </c>
      <c r="B8" s="271" t="s">
        <v>310</v>
      </c>
      <c r="C8" s="274" t="e">
        <f t="shared" si="3"/>
        <v>#REF!</v>
      </c>
      <c r="D8" s="69" t="e">
        <f t="shared" si="4"/>
        <v>#REF!</v>
      </c>
      <c r="E8" s="69" t="e">
        <f t="shared" si="0"/>
        <v>#REF!</v>
      </c>
      <c r="F8" s="69" t="e">
        <f t="shared" si="1"/>
        <v>#REF!</v>
      </c>
      <c r="G8" t="e">
        <f t="shared" si="2"/>
        <v>#REF!</v>
      </c>
    </row>
    <row r="9" spans="1:10" ht="27.6">
      <c r="A9" s="194" t="s">
        <v>311</v>
      </c>
      <c r="B9" s="271" t="s">
        <v>312</v>
      </c>
      <c r="C9" s="274" t="e">
        <f t="shared" si="3"/>
        <v>#REF!</v>
      </c>
      <c r="D9" s="69" t="e">
        <f t="shared" si="4"/>
        <v>#REF!</v>
      </c>
      <c r="E9" s="69" t="e">
        <f t="shared" si="0"/>
        <v>#REF!</v>
      </c>
      <c r="F9" s="69" t="e">
        <f t="shared" si="1"/>
        <v>#REF!</v>
      </c>
      <c r="G9" t="e">
        <f t="shared" si="2"/>
        <v>#REF!</v>
      </c>
    </row>
    <row r="10" spans="1:10" ht="69">
      <c r="A10" s="194" t="s">
        <v>313</v>
      </c>
      <c r="B10" s="271" t="s">
        <v>314</v>
      </c>
      <c r="C10" s="274" t="e">
        <f t="shared" si="3"/>
        <v>#REF!</v>
      </c>
      <c r="D10" s="69" t="e">
        <f t="shared" si="4"/>
        <v>#REF!</v>
      </c>
      <c r="E10" s="69" t="e">
        <f t="shared" si="0"/>
        <v>#REF!</v>
      </c>
      <c r="F10" s="69" t="e">
        <f t="shared" si="1"/>
        <v>#REF!</v>
      </c>
      <c r="G10" t="e">
        <f t="shared" si="2"/>
        <v>#REF!</v>
      </c>
    </row>
    <row r="11" spans="1:10" ht="69">
      <c r="A11" s="194" t="s">
        <v>315</v>
      </c>
      <c r="B11" s="271" t="s">
        <v>316</v>
      </c>
      <c r="C11" s="274" t="e">
        <f t="shared" si="3"/>
        <v>#REF!</v>
      </c>
      <c r="D11" s="69" t="e">
        <f t="shared" si="4"/>
        <v>#REF!</v>
      </c>
      <c r="E11" s="69" t="e">
        <f t="shared" si="0"/>
        <v>#REF!</v>
      </c>
      <c r="F11" s="69" t="e">
        <f t="shared" si="1"/>
        <v>#REF!</v>
      </c>
      <c r="G11" t="e">
        <f t="shared" si="2"/>
        <v>#REF!</v>
      </c>
    </row>
    <row r="12" spans="1:10" ht="72">
      <c r="A12" s="51" t="s">
        <v>317</v>
      </c>
      <c r="B12" s="271" t="s">
        <v>314</v>
      </c>
      <c r="C12" s="274" t="e">
        <f t="shared" si="3"/>
        <v>#REF!</v>
      </c>
      <c r="D12" s="69" t="e">
        <f t="shared" si="4"/>
        <v>#REF!</v>
      </c>
      <c r="E12" s="69" t="e">
        <f t="shared" si="0"/>
        <v>#REF!</v>
      </c>
      <c r="F12" s="69" t="e">
        <f t="shared" si="1"/>
        <v>#REF!</v>
      </c>
      <c r="G12" t="e">
        <f t="shared" si="2"/>
        <v>#REF!</v>
      </c>
    </row>
    <row r="13" spans="1:10" ht="72">
      <c r="A13" s="51" t="s">
        <v>318</v>
      </c>
      <c r="B13" s="271" t="s">
        <v>316</v>
      </c>
      <c r="C13" s="274" t="e">
        <f t="shared" si="3"/>
        <v>#REF!</v>
      </c>
      <c r="D13" s="69" t="e">
        <f t="shared" si="4"/>
        <v>#REF!</v>
      </c>
      <c r="E13" s="69" t="e">
        <f t="shared" si="0"/>
        <v>#REF!</v>
      </c>
      <c r="F13" s="69" t="e">
        <f t="shared" si="1"/>
        <v>#REF!</v>
      </c>
      <c r="G13" t="e">
        <f t="shared" si="2"/>
        <v>#REF!</v>
      </c>
    </row>
    <row r="14" spans="1:10" ht="86.4">
      <c r="A14" s="51" t="s">
        <v>319</v>
      </c>
      <c r="B14" s="271" t="s">
        <v>314</v>
      </c>
      <c r="C14" s="274" t="e">
        <f t="shared" si="3"/>
        <v>#REF!</v>
      </c>
      <c r="D14" s="69" t="e">
        <f t="shared" si="4"/>
        <v>#REF!</v>
      </c>
      <c r="E14" s="69" t="e">
        <f t="shared" si="0"/>
        <v>#REF!</v>
      </c>
      <c r="F14" s="69" t="e">
        <f t="shared" si="1"/>
        <v>#REF!</v>
      </c>
      <c r="G14" t="e">
        <f t="shared" si="2"/>
        <v>#REF!</v>
      </c>
    </row>
    <row r="15" spans="1:10" ht="86.4">
      <c r="A15" s="51" t="s">
        <v>320</v>
      </c>
      <c r="B15" s="271" t="s">
        <v>316</v>
      </c>
      <c r="C15" s="274" t="e">
        <f t="shared" si="3"/>
        <v>#REF!</v>
      </c>
      <c r="D15" s="69" t="e">
        <f t="shared" si="4"/>
        <v>#REF!</v>
      </c>
      <c r="E15" s="69" t="e">
        <f t="shared" si="0"/>
        <v>#REF!</v>
      </c>
      <c r="F15" s="69" t="e">
        <f t="shared" si="1"/>
        <v>#REF!</v>
      </c>
      <c r="G15" t="e">
        <f t="shared" si="2"/>
        <v>#REF!</v>
      </c>
    </row>
    <row r="16" spans="1:10" ht="72">
      <c r="A16" s="51" t="s">
        <v>321</v>
      </c>
      <c r="B16" s="271" t="s">
        <v>314</v>
      </c>
      <c r="C16" s="274" t="e">
        <f t="shared" si="3"/>
        <v>#REF!</v>
      </c>
      <c r="D16" s="69" t="e">
        <f t="shared" si="4"/>
        <v>#REF!</v>
      </c>
      <c r="E16" s="69" t="e">
        <f t="shared" si="0"/>
        <v>#REF!</v>
      </c>
      <c r="F16" s="69" t="e">
        <f t="shared" si="1"/>
        <v>#REF!</v>
      </c>
      <c r="G16" t="e">
        <f t="shared" si="2"/>
        <v>#REF!</v>
      </c>
    </row>
    <row r="17" spans="1:9" ht="72">
      <c r="A17" s="51" t="s">
        <v>322</v>
      </c>
      <c r="B17" s="271" t="s">
        <v>316</v>
      </c>
      <c r="C17" s="274" t="e">
        <f t="shared" si="3"/>
        <v>#REF!</v>
      </c>
      <c r="D17" s="69" t="e">
        <f t="shared" si="4"/>
        <v>#REF!</v>
      </c>
      <c r="E17" s="69" t="e">
        <f t="shared" si="0"/>
        <v>#REF!</v>
      </c>
      <c r="F17" s="69" t="e">
        <f t="shared" si="1"/>
        <v>#REF!</v>
      </c>
      <c r="G17" t="e">
        <f t="shared" si="2"/>
        <v>#REF!</v>
      </c>
    </row>
    <row r="18" spans="1:9" ht="27.6">
      <c r="A18" s="51" t="s">
        <v>323</v>
      </c>
      <c r="B18" s="271" t="s">
        <v>314</v>
      </c>
      <c r="C18" s="274" t="e">
        <f t="shared" si="3"/>
        <v>#REF!</v>
      </c>
      <c r="D18" s="69" t="e">
        <f t="shared" si="4"/>
        <v>#REF!</v>
      </c>
      <c r="E18" s="69" t="e">
        <f t="shared" si="0"/>
        <v>#REF!</v>
      </c>
      <c r="F18" s="69" t="e">
        <f t="shared" si="1"/>
        <v>#REF!</v>
      </c>
      <c r="G18" t="e">
        <f t="shared" si="2"/>
        <v>#REF!</v>
      </c>
    </row>
    <row r="19" spans="1:9" ht="72">
      <c r="A19" s="51" t="s">
        <v>324</v>
      </c>
      <c r="B19" s="271" t="s">
        <v>325</v>
      </c>
      <c r="C19" s="274" t="e">
        <f t="shared" si="3"/>
        <v>#REF!</v>
      </c>
      <c r="D19" s="69" t="e">
        <f t="shared" si="4"/>
        <v>#REF!</v>
      </c>
      <c r="E19" s="69" t="e">
        <f t="shared" si="0"/>
        <v>#REF!</v>
      </c>
      <c r="F19" s="69" t="e">
        <f t="shared" si="1"/>
        <v>#REF!</v>
      </c>
      <c r="G19" t="e">
        <f t="shared" si="2"/>
        <v>#REF!</v>
      </c>
    </row>
    <row r="20" spans="1:9" ht="72">
      <c r="A20" s="51" t="s">
        <v>326</v>
      </c>
      <c r="B20" s="271" t="s">
        <v>325</v>
      </c>
      <c r="C20" s="274" t="e">
        <f t="shared" si="3"/>
        <v>#REF!</v>
      </c>
      <c r="D20" s="69" t="e">
        <f t="shared" si="4"/>
        <v>#REF!</v>
      </c>
      <c r="E20" s="69" t="e">
        <f t="shared" si="0"/>
        <v>#REF!</v>
      </c>
      <c r="F20" s="69" t="e">
        <f t="shared" si="1"/>
        <v>#REF!</v>
      </c>
      <c r="G20" t="e">
        <f t="shared" si="2"/>
        <v>#REF!</v>
      </c>
    </row>
    <row r="21" spans="1:9">
      <c r="A21" s="51" t="s">
        <v>327</v>
      </c>
      <c r="B21" s="52" t="s">
        <v>325</v>
      </c>
      <c r="C21" s="274" t="e">
        <f t="shared" si="3"/>
        <v>#REF!</v>
      </c>
      <c r="D21" s="69" t="e">
        <f t="shared" si="4"/>
        <v>#REF!</v>
      </c>
      <c r="E21" s="69" t="e">
        <f t="shared" si="0"/>
        <v>#REF!</v>
      </c>
      <c r="F21" s="69" t="e">
        <f t="shared" si="1"/>
        <v>#REF!</v>
      </c>
      <c r="G21" t="e">
        <f t="shared" si="2"/>
        <v>#REF!</v>
      </c>
    </row>
    <row r="22" spans="1:9" ht="28.8">
      <c r="A22" s="51" t="s">
        <v>328</v>
      </c>
      <c r="B22" s="52" t="s">
        <v>325</v>
      </c>
      <c r="C22" s="274" t="e">
        <f t="shared" si="3"/>
        <v>#REF!</v>
      </c>
      <c r="D22" s="69" t="e">
        <f t="shared" si="4"/>
        <v>#REF!</v>
      </c>
      <c r="E22" s="69" t="e">
        <f t="shared" si="0"/>
        <v>#REF!</v>
      </c>
      <c r="F22" s="69" t="e">
        <f t="shared" si="1"/>
        <v>#REF!</v>
      </c>
      <c r="G22" t="e">
        <f t="shared" si="2"/>
        <v>#REF!</v>
      </c>
    </row>
    <row r="23" spans="1:9" ht="28.8">
      <c r="A23" s="51" t="s">
        <v>329</v>
      </c>
      <c r="B23" s="52" t="s">
        <v>330</v>
      </c>
      <c r="C23" s="274" t="e">
        <f t="shared" si="3"/>
        <v>#REF!</v>
      </c>
      <c r="D23" s="69" t="e">
        <f t="shared" si="4"/>
        <v>#REF!</v>
      </c>
      <c r="E23" s="69" t="e">
        <f t="shared" ref="E23:E25" si="5">C23*D23</f>
        <v>#REF!</v>
      </c>
      <c r="F23" s="69" t="e">
        <f t="shared" ref="F23:F25" si="6">E23*3</f>
        <v>#REF!</v>
      </c>
      <c r="G23" t="e">
        <f t="shared" ref="G23:G25" si="7">E23*12</f>
        <v>#REF!</v>
      </c>
    </row>
    <row r="24" spans="1:9" ht="56.25" customHeight="1">
      <c r="A24" s="51" t="s">
        <v>331</v>
      </c>
      <c r="B24" s="51" t="s">
        <v>325</v>
      </c>
      <c r="C24" s="51" t="e">
        <f t="shared" si="3"/>
        <v>#REF!</v>
      </c>
      <c r="D24" s="273" t="e">
        <f t="shared" si="4"/>
        <v>#REF!</v>
      </c>
      <c r="E24" s="51" t="e">
        <f t="shared" si="5"/>
        <v>#REF!</v>
      </c>
      <c r="F24" s="51" t="e">
        <f t="shared" si="6"/>
        <v>#REF!</v>
      </c>
      <c r="G24" s="51" t="e">
        <f t="shared" si="7"/>
        <v>#REF!</v>
      </c>
    </row>
    <row r="25" spans="1:9" ht="56.25" customHeight="1">
      <c r="A25" s="51" t="s">
        <v>332</v>
      </c>
      <c r="B25" s="51" t="s">
        <v>325</v>
      </c>
      <c r="C25" s="51" t="e">
        <f t="shared" si="3"/>
        <v>#REF!</v>
      </c>
      <c r="D25" s="273" t="e">
        <f t="shared" si="4"/>
        <v>#REF!</v>
      </c>
      <c r="E25" s="51" t="e">
        <f t="shared" si="5"/>
        <v>#REF!</v>
      </c>
      <c r="F25" s="51" t="e">
        <f t="shared" si="6"/>
        <v>#REF!</v>
      </c>
      <c r="G25" s="51" t="e">
        <f t="shared" si="7"/>
        <v>#REF!</v>
      </c>
    </row>
    <row r="27" spans="1:9">
      <c r="F27" s="69" t="e">
        <f>SUM(F4:F26)</f>
        <v>#REF!</v>
      </c>
      <c r="G27" t="e">
        <f>SUM(G4:G26)</f>
        <v>#REF!</v>
      </c>
      <c r="I27" s="69"/>
    </row>
  </sheetData>
  <pageMargins left="0.7" right="0.7" top="0.75" bottom="0.75" header="0.3" footer="0.3"/>
  <pageSetup paperSize="9" firstPageNumber="2147483648" orientation="portrait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J27"/>
  <sheetViews>
    <sheetView zoomScale="70" workbookViewId="0">
      <pane xSplit="1" topLeftCell="B1" activePane="topRight" state="frozen"/>
      <selection pane="topRight"/>
    </sheetView>
  </sheetViews>
  <sheetFormatPr defaultRowHeight="14.4"/>
  <cols>
    <col min="1" max="1" width="26.5546875" style="51" customWidth="1"/>
    <col min="2" max="2" width="11.88671875" style="52" customWidth="1"/>
    <col min="3" max="3" width="13" style="53" customWidth="1"/>
    <col min="4" max="6" width="12.88671875" style="69" customWidth="1"/>
    <col min="7" max="7" width="10.109375" bestFit="1" customWidth="1"/>
  </cols>
  <sheetData>
    <row r="1" spans="1:10">
      <c r="A1" s="81"/>
      <c r="B1" s="81"/>
      <c r="C1" s="81"/>
      <c r="D1" s="267"/>
      <c r="E1" s="267"/>
      <c r="F1" s="267"/>
      <c r="G1" s="268"/>
      <c r="H1" s="268"/>
      <c r="I1" s="268"/>
      <c r="J1" s="268"/>
    </row>
    <row r="2" spans="1:10" ht="30" customHeight="1">
      <c r="A2" s="81"/>
      <c r="B2" s="81"/>
      <c r="C2" s="81"/>
      <c r="D2" s="269">
        <v>0.3</v>
      </c>
      <c r="E2" s="269"/>
      <c r="F2" s="269"/>
      <c r="G2" s="270"/>
      <c r="H2" s="270"/>
      <c r="I2" s="270"/>
      <c r="J2" s="270"/>
    </row>
    <row r="3" spans="1:10" s="61" customFormat="1" ht="55.2">
      <c r="A3" s="194" t="s">
        <v>67</v>
      </c>
      <c r="B3" s="271" t="s">
        <v>43</v>
      </c>
      <c r="C3" s="222" t="s">
        <v>297</v>
      </c>
      <c r="D3" s="272" t="s">
        <v>298</v>
      </c>
      <c r="E3" s="272" t="s">
        <v>299</v>
      </c>
      <c r="F3" s="272" t="s">
        <v>300</v>
      </c>
      <c r="G3" s="272" t="s">
        <v>301</v>
      </c>
    </row>
    <row r="4" spans="1:10">
      <c r="A4" s="194" t="s">
        <v>302</v>
      </c>
      <c r="B4" s="271" t="s">
        <v>303</v>
      </c>
      <c r="C4" s="274">
        <f>'объем работ 100% загр'!H4</f>
        <v>5.0627041364812477</v>
      </c>
      <c r="D4" s="170">
        <f>'объем работ 100% загр'!S4</f>
        <v>504</v>
      </c>
      <c r="E4" s="170">
        <f t="shared" ref="E4:E22" si="0">C4*D4</f>
        <v>2551.6028847865487</v>
      </c>
      <c r="F4" s="170">
        <f t="shared" ref="F4:F22" si="1">E4*3</f>
        <v>7654.8086543596455</v>
      </c>
      <c r="G4" s="170">
        <f t="shared" ref="G4:G22" si="2">E4*12</f>
        <v>30619.234617438582</v>
      </c>
    </row>
    <row r="5" spans="1:10" ht="124.2">
      <c r="A5" s="194" t="s">
        <v>304</v>
      </c>
      <c r="B5" s="271" t="s">
        <v>305</v>
      </c>
      <c r="C5" s="274">
        <f>'объем работ 100% загр'!H5</f>
        <v>8.4308211388800011E-3</v>
      </c>
      <c r="D5" s="170">
        <f>'объем работ 100% загр'!S5</f>
        <v>4000000</v>
      </c>
      <c r="E5" s="170">
        <f t="shared" si="0"/>
        <v>33723.284555520004</v>
      </c>
      <c r="F5" s="170">
        <f t="shared" si="1"/>
        <v>101169.85366656001</v>
      </c>
      <c r="G5" s="170">
        <f t="shared" si="2"/>
        <v>404679.41466624005</v>
      </c>
    </row>
    <row r="6" spans="1:10" ht="123.75" customHeight="1">
      <c r="A6" s="194" t="s">
        <v>306</v>
      </c>
      <c r="B6" s="271" t="s">
        <v>305</v>
      </c>
      <c r="C6" s="274">
        <f>'объем работ 100% загр'!H6</f>
        <v>12.445497871680002</v>
      </c>
      <c r="D6" s="170">
        <f>'объем работ 100% загр'!S6</f>
        <v>4344</v>
      </c>
      <c r="E6" s="170">
        <f t="shared" si="0"/>
        <v>54063.242754577928</v>
      </c>
      <c r="F6" s="170">
        <f t="shared" si="1"/>
        <v>162189.72826373379</v>
      </c>
      <c r="G6" s="170">
        <f t="shared" si="2"/>
        <v>648758.91305493517</v>
      </c>
    </row>
    <row r="7" spans="1:10" ht="55.2">
      <c r="A7" s="194" t="s">
        <v>307</v>
      </c>
      <c r="B7" s="271" t="s">
        <v>308</v>
      </c>
      <c r="C7" s="274" t="e">
        <f t="shared" ref="C7:C25" si="3">'объем работ 100% загр'!#REF!</f>
        <v>#REF!</v>
      </c>
      <c r="D7" s="170" t="e">
        <f t="shared" ref="D7:D25" si="4">'объем работ 100% загр'!#REF!</f>
        <v>#REF!</v>
      </c>
      <c r="E7" s="170" t="e">
        <f t="shared" si="0"/>
        <v>#REF!</v>
      </c>
      <c r="F7" s="170" t="e">
        <f t="shared" si="1"/>
        <v>#REF!</v>
      </c>
      <c r="G7" s="170" t="e">
        <f t="shared" si="2"/>
        <v>#REF!</v>
      </c>
    </row>
    <row r="8" spans="1:10" ht="27.6">
      <c r="A8" s="194" t="s">
        <v>309</v>
      </c>
      <c r="B8" s="271" t="s">
        <v>310</v>
      </c>
      <c r="C8" s="274" t="e">
        <f t="shared" si="3"/>
        <v>#REF!</v>
      </c>
      <c r="D8" s="170" t="e">
        <f t="shared" si="4"/>
        <v>#REF!</v>
      </c>
      <c r="E8" s="170" t="e">
        <f t="shared" si="0"/>
        <v>#REF!</v>
      </c>
      <c r="F8" s="170" t="e">
        <f t="shared" si="1"/>
        <v>#REF!</v>
      </c>
      <c r="G8" s="170" t="e">
        <f t="shared" si="2"/>
        <v>#REF!</v>
      </c>
    </row>
    <row r="9" spans="1:10" ht="27.6">
      <c r="A9" s="194" t="s">
        <v>311</v>
      </c>
      <c r="B9" s="271" t="s">
        <v>312</v>
      </c>
      <c r="C9" s="274" t="e">
        <f t="shared" si="3"/>
        <v>#REF!</v>
      </c>
      <c r="D9" s="170" t="e">
        <f t="shared" si="4"/>
        <v>#REF!</v>
      </c>
      <c r="E9" s="170" t="e">
        <f t="shared" si="0"/>
        <v>#REF!</v>
      </c>
      <c r="F9" s="170" t="e">
        <f t="shared" si="1"/>
        <v>#REF!</v>
      </c>
      <c r="G9" s="170" t="e">
        <f t="shared" si="2"/>
        <v>#REF!</v>
      </c>
    </row>
    <row r="10" spans="1:10" ht="69">
      <c r="A10" s="194" t="s">
        <v>313</v>
      </c>
      <c r="B10" s="271" t="s">
        <v>314</v>
      </c>
      <c r="C10" s="274" t="e">
        <f t="shared" si="3"/>
        <v>#REF!</v>
      </c>
      <c r="D10" s="170" t="e">
        <f t="shared" si="4"/>
        <v>#REF!</v>
      </c>
      <c r="E10" s="170" t="e">
        <f t="shared" si="0"/>
        <v>#REF!</v>
      </c>
      <c r="F10" s="170" t="e">
        <f t="shared" si="1"/>
        <v>#REF!</v>
      </c>
      <c r="G10" s="170" t="e">
        <f t="shared" si="2"/>
        <v>#REF!</v>
      </c>
    </row>
    <row r="11" spans="1:10" ht="69">
      <c r="A11" s="194" t="s">
        <v>315</v>
      </c>
      <c r="B11" s="271" t="s">
        <v>316</v>
      </c>
      <c r="C11" s="274" t="e">
        <f t="shared" si="3"/>
        <v>#REF!</v>
      </c>
      <c r="D11" s="170" t="e">
        <f t="shared" si="4"/>
        <v>#REF!</v>
      </c>
      <c r="E11" s="170" t="e">
        <f t="shared" si="0"/>
        <v>#REF!</v>
      </c>
      <c r="F11" s="170" t="e">
        <f t="shared" si="1"/>
        <v>#REF!</v>
      </c>
      <c r="G11" s="170" t="e">
        <f t="shared" si="2"/>
        <v>#REF!</v>
      </c>
    </row>
    <row r="12" spans="1:10" ht="72">
      <c r="A12" s="51" t="s">
        <v>317</v>
      </c>
      <c r="B12" s="271" t="s">
        <v>314</v>
      </c>
      <c r="C12" s="274" t="e">
        <f t="shared" si="3"/>
        <v>#REF!</v>
      </c>
      <c r="D12" s="170" t="e">
        <f t="shared" si="4"/>
        <v>#REF!</v>
      </c>
      <c r="E12" s="170" t="e">
        <f t="shared" si="0"/>
        <v>#REF!</v>
      </c>
      <c r="F12" s="170" t="e">
        <f t="shared" si="1"/>
        <v>#REF!</v>
      </c>
      <c r="G12" s="170" t="e">
        <f t="shared" si="2"/>
        <v>#REF!</v>
      </c>
    </row>
    <row r="13" spans="1:10" ht="72">
      <c r="A13" s="51" t="s">
        <v>318</v>
      </c>
      <c r="B13" s="271" t="s">
        <v>316</v>
      </c>
      <c r="C13" s="274" t="e">
        <f t="shared" si="3"/>
        <v>#REF!</v>
      </c>
      <c r="D13" s="170" t="e">
        <f t="shared" si="4"/>
        <v>#REF!</v>
      </c>
      <c r="E13" s="170" t="e">
        <f t="shared" si="0"/>
        <v>#REF!</v>
      </c>
      <c r="F13" s="170" t="e">
        <f t="shared" si="1"/>
        <v>#REF!</v>
      </c>
      <c r="G13" s="170" t="e">
        <f t="shared" si="2"/>
        <v>#REF!</v>
      </c>
    </row>
    <row r="14" spans="1:10" ht="86.4">
      <c r="A14" s="51" t="s">
        <v>319</v>
      </c>
      <c r="B14" s="271" t="s">
        <v>314</v>
      </c>
      <c r="C14" s="274" t="e">
        <f t="shared" si="3"/>
        <v>#REF!</v>
      </c>
      <c r="D14" s="170" t="e">
        <f t="shared" si="4"/>
        <v>#REF!</v>
      </c>
      <c r="E14" s="170" t="e">
        <f t="shared" si="0"/>
        <v>#REF!</v>
      </c>
      <c r="F14" s="170" t="e">
        <f t="shared" si="1"/>
        <v>#REF!</v>
      </c>
      <c r="G14" s="170" t="e">
        <f t="shared" si="2"/>
        <v>#REF!</v>
      </c>
    </row>
    <row r="15" spans="1:10" ht="86.4">
      <c r="A15" s="51" t="s">
        <v>320</v>
      </c>
      <c r="B15" s="271" t="s">
        <v>316</v>
      </c>
      <c r="C15" s="274" t="e">
        <f t="shared" si="3"/>
        <v>#REF!</v>
      </c>
      <c r="D15" s="170" t="e">
        <f t="shared" si="4"/>
        <v>#REF!</v>
      </c>
      <c r="E15" s="170" t="e">
        <f t="shared" si="0"/>
        <v>#REF!</v>
      </c>
      <c r="F15" s="170" t="e">
        <f t="shared" si="1"/>
        <v>#REF!</v>
      </c>
      <c r="G15" s="170" t="e">
        <f t="shared" si="2"/>
        <v>#REF!</v>
      </c>
    </row>
    <row r="16" spans="1:10" ht="72">
      <c r="A16" s="51" t="s">
        <v>321</v>
      </c>
      <c r="B16" s="271" t="s">
        <v>314</v>
      </c>
      <c r="C16" s="274" t="e">
        <f t="shared" si="3"/>
        <v>#REF!</v>
      </c>
      <c r="D16" s="170" t="e">
        <f t="shared" si="4"/>
        <v>#REF!</v>
      </c>
      <c r="E16" s="170" t="e">
        <f t="shared" si="0"/>
        <v>#REF!</v>
      </c>
      <c r="F16" s="170" t="e">
        <f t="shared" si="1"/>
        <v>#REF!</v>
      </c>
      <c r="G16" s="170" t="e">
        <f t="shared" si="2"/>
        <v>#REF!</v>
      </c>
    </row>
    <row r="17" spans="1:9" ht="72">
      <c r="A17" s="51" t="s">
        <v>322</v>
      </c>
      <c r="B17" s="271" t="s">
        <v>316</v>
      </c>
      <c r="C17" s="274" t="e">
        <f t="shared" si="3"/>
        <v>#REF!</v>
      </c>
      <c r="D17" s="170" t="e">
        <f t="shared" si="4"/>
        <v>#REF!</v>
      </c>
      <c r="E17" s="170" t="e">
        <f t="shared" si="0"/>
        <v>#REF!</v>
      </c>
      <c r="F17" s="170" t="e">
        <f t="shared" si="1"/>
        <v>#REF!</v>
      </c>
      <c r="G17" s="170" t="e">
        <f t="shared" si="2"/>
        <v>#REF!</v>
      </c>
    </row>
    <row r="18" spans="1:9" ht="27.6">
      <c r="A18" s="51" t="s">
        <v>323</v>
      </c>
      <c r="B18" s="271" t="s">
        <v>314</v>
      </c>
      <c r="C18" s="274" t="e">
        <f t="shared" si="3"/>
        <v>#REF!</v>
      </c>
      <c r="D18" s="170" t="e">
        <f t="shared" si="4"/>
        <v>#REF!</v>
      </c>
      <c r="E18" s="170" t="e">
        <f t="shared" si="0"/>
        <v>#REF!</v>
      </c>
      <c r="F18" s="170" t="e">
        <f t="shared" si="1"/>
        <v>#REF!</v>
      </c>
      <c r="G18" s="170" t="e">
        <f t="shared" si="2"/>
        <v>#REF!</v>
      </c>
    </row>
    <row r="19" spans="1:9" ht="72">
      <c r="A19" s="51" t="s">
        <v>324</v>
      </c>
      <c r="B19" s="271" t="s">
        <v>325</v>
      </c>
      <c r="C19" s="274" t="e">
        <f t="shared" si="3"/>
        <v>#REF!</v>
      </c>
      <c r="D19" s="170" t="e">
        <f t="shared" si="4"/>
        <v>#REF!</v>
      </c>
      <c r="E19" s="170" t="e">
        <f t="shared" si="0"/>
        <v>#REF!</v>
      </c>
      <c r="F19" s="170" t="e">
        <f t="shared" si="1"/>
        <v>#REF!</v>
      </c>
      <c r="G19" s="170" t="e">
        <f t="shared" si="2"/>
        <v>#REF!</v>
      </c>
    </row>
    <row r="20" spans="1:9" ht="72">
      <c r="A20" s="51" t="s">
        <v>326</v>
      </c>
      <c r="B20" s="271" t="s">
        <v>325</v>
      </c>
      <c r="C20" s="274" t="e">
        <f t="shared" si="3"/>
        <v>#REF!</v>
      </c>
      <c r="D20" s="170" t="e">
        <f t="shared" si="4"/>
        <v>#REF!</v>
      </c>
      <c r="E20" s="170" t="e">
        <f t="shared" si="0"/>
        <v>#REF!</v>
      </c>
      <c r="F20" s="170" t="e">
        <f t="shared" si="1"/>
        <v>#REF!</v>
      </c>
      <c r="G20" s="170" t="e">
        <f t="shared" si="2"/>
        <v>#REF!</v>
      </c>
    </row>
    <row r="21" spans="1:9">
      <c r="A21" s="51" t="s">
        <v>327</v>
      </c>
      <c r="B21" s="52" t="s">
        <v>325</v>
      </c>
      <c r="C21" s="274" t="e">
        <f t="shared" si="3"/>
        <v>#REF!</v>
      </c>
      <c r="D21" s="170" t="e">
        <f t="shared" si="4"/>
        <v>#REF!</v>
      </c>
      <c r="E21" s="170" t="e">
        <f t="shared" si="0"/>
        <v>#REF!</v>
      </c>
      <c r="F21" s="170" t="e">
        <f t="shared" si="1"/>
        <v>#REF!</v>
      </c>
      <c r="G21" s="170" t="e">
        <f t="shared" si="2"/>
        <v>#REF!</v>
      </c>
    </row>
    <row r="22" spans="1:9" ht="28.8">
      <c r="A22" s="51" t="s">
        <v>328</v>
      </c>
      <c r="B22" s="52" t="s">
        <v>325</v>
      </c>
      <c r="C22" s="274" t="e">
        <f t="shared" si="3"/>
        <v>#REF!</v>
      </c>
      <c r="D22" s="170" t="e">
        <f t="shared" si="4"/>
        <v>#REF!</v>
      </c>
      <c r="E22" s="170" t="e">
        <f t="shared" si="0"/>
        <v>#REF!</v>
      </c>
      <c r="F22" s="170" t="e">
        <f t="shared" si="1"/>
        <v>#REF!</v>
      </c>
      <c r="G22" s="170" t="e">
        <f t="shared" si="2"/>
        <v>#REF!</v>
      </c>
    </row>
    <row r="23" spans="1:9" ht="28.8">
      <c r="A23" s="51" t="s">
        <v>329</v>
      </c>
      <c r="B23" s="52" t="s">
        <v>330</v>
      </c>
      <c r="C23" s="274" t="e">
        <f t="shared" si="3"/>
        <v>#REF!</v>
      </c>
      <c r="D23" s="170" t="e">
        <f t="shared" si="4"/>
        <v>#REF!</v>
      </c>
      <c r="E23" s="170" t="e">
        <f t="shared" ref="E23:E25" si="5">C23*D23</f>
        <v>#REF!</v>
      </c>
      <c r="F23" s="170" t="e">
        <f t="shared" ref="F23:F25" si="6">E23*3</f>
        <v>#REF!</v>
      </c>
      <c r="G23" s="170" t="e">
        <f t="shared" ref="G23:G25" si="7">E23*12</f>
        <v>#REF!</v>
      </c>
    </row>
    <row r="24" spans="1:9" ht="56.25" customHeight="1">
      <c r="A24" s="51" t="s">
        <v>331</v>
      </c>
      <c r="B24" s="51" t="s">
        <v>325</v>
      </c>
      <c r="C24" s="274" t="e">
        <f t="shared" si="3"/>
        <v>#REF!</v>
      </c>
      <c r="D24" s="275" t="e">
        <f t="shared" si="4"/>
        <v>#REF!</v>
      </c>
      <c r="E24" s="275" t="e">
        <f t="shared" si="5"/>
        <v>#REF!</v>
      </c>
      <c r="F24" s="275" t="e">
        <f t="shared" si="6"/>
        <v>#REF!</v>
      </c>
      <c r="G24" s="275" t="e">
        <f t="shared" si="7"/>
        <v>#REF!</v>
      </c>
    </row>
    <row r="25" spans="1:9" ht="56.25" customHeight="1">
      <c r="A25" s="51" t="s">
        <v>332</v>
      </c>
      <c r="B25" s="51" t="s">
        <v>325</v>
      </c>
      <c r="C25" s="274" t="e">
        <f t="shared" si="3"/>
        <v>#REF!</v>
      </c>
      <c r="D25" s="275" t="e">
        <f t="shared" si="4"/>
        <v>#REF!</v>
      </c>
      <c r="E25" s="275" t="e">
        <f t="shared" si="5"/>
        <v>#REF!</v>
      </c>
      <c r="F25" s="275" t="e">
        <f t="shared" si="6"/>
        <v>#REF!</v>
      </c>
      <c r="G25" s="275" t="e">
        <f t="shared" si="7"/>
        <v>#REF!</v>
      </c>
    </row>
    <row r="27" spans="1:9">
      <c r="F27" s="69" t="e">
        <f>SUM(F4:F26)</f>
        <v>#REF!</v>
      </c>
      <c r="G27" t="e">
        <f>SUM(G4:G26)</f>
        <v>#REF!</v>
      </c>
      <c r="I27" s="69"/>
    </row>
  </sheetData>
  <pageMargins left="0.7" right="0.7" top="0.75" bottom="0.75" header="0.3" footer="0.3"/>
  <pageSetup paperSize="9" firstPageNumber="2147483648" orientation="portrait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J27"/>
  <sheetViews>
    <sheetView zoomScale="70" workbookViewId="0">
      <pane xSplit="1" topLeftCell="B1" activePane="topRight" state="frozen"/>
      <selection pane="topRight"/>
    </sheetView>
  </sheetViews>
  <sheetFormatPr defaultRowHeight="14.4"/>
  <cols>
    <col min="1" max="1" width="26.5546875" style="51" customWidth="1"/>
    <col min="2" max="2" width="11.88671875" style="52" customWidth="1"/>
    <col min="3" max="3" width="13" style="53" customWidth="1"/>
    <col min="4" max="6" width="12.88671875" style="69" customWidth="1"/>
    <col min="7" max="7" width="10.109375" bestFit="1" customWidth="1"/>
  </cols>
  <sheetData>
    <row r="1" spans="1:10">
      <c r="A1" s="81"/>
      <c r="B1" s="81"/>
      <c r="C1" s="81"/>
      <c r="D1" s="267"/>
      <c r="E1" s="267"/>
      <c r="F1" s="267"/>
      <c r="G1" s="268"/>
      <c r="H1" s="268"/>
      <c r="I1" s="268"/>
      <c r="J1" s="268"/>
    </row>
    <row r="2" spans="1:10" ht="30" customHeight="1">
      <c r="A2" s="81"/>
      <c r="B2" s="81"/>
      <c r="C2" s="81"/>
      <c r="D2" s="269">
        <v>0.3</v>
      </c>
      <c r="E2" s="269"/>
      <c r="F2" s="269"/>
      <c r="G2" s="270"/>
      <c r="H2" s="270"/>
      <c r="I2" s="270"/>
      <c r="J2" s="270"/>
    </row>
    <row r="3" spans="1:10" s="61" customFormat="1" ht="55.2">
      <c r="A3" s="194" t="s">
        <v>67</v>
      </c>
      <c r="B3" s="271" t="s">
        <v>43</v>
      </c>
      <c r="C3" s="222" t="s">
        <v>297</v>
      </c>
      <c r="D3" s="272" t="s">
        <v>298</v>
      </c>
      <c r="E3" s="272" t="s">
        <v>299</v>
      </c>
      <c r="F3" s="272" t="s">
        <v>300</v>
      </c>
      <c r="G3" s="272" t="s">
        <v>301</v>
      </c>
    </row>
    <row r="4" spans="1:10">
      <c r="A4" s="194" t="s">
        <v>302</v>
      </c>
      <c r="B4" s="271" t="s">
        <v>303</v>
      </c>
      <c r="C4" s="274">
        <f>'объем работ 100% загр'!I4</f>
        <v>5.1386446985284664</v>
      </c>
      <c r="D4" s="170">
        <f>'объем работ 100% загр'!S4</f>
        <v>504</v>
      </c>
      <c r="E4" s="170">
        <f t="shared" ref="E4:E22" si="0">C4*D4</f>
        <v>2589.8769280583469</v>
      </c>
      <c r="F4" s="170">
        <f t="shared" ref="F4:F22" si="1">E4*3</f>
        <v>7769.6307841750404</v>
      </c>
      <c r="G4" s="170">
        <f t="shared" ref="G4:G22" si="2">E4*12</f>
        <v>31078.523136700162</v>
      </c>
    </row>
    <row r="5" spans="1:10" ht="124.2">
      <c r="A5" s="194" t="s">
        <v>304</v>
      </c>
      <c r="B5" s="271" t="s">
        <v>305</v>
      </c>
      <c r="C5" s="274">
        <f>'объем работ 100% загр'!I5</f>
        <v>8.9366704072128024E-3</v>
      </c>
      <c r="D5" s="170">
        <f>'объем работ 100% загр'!S5</f>
        <v>4000000</v>
      </c>
      <c r="E5" s="170">
        <f t="shared" si="0"/>
        <v>35746.681628851213</v>
      </c>
      <c r="F5" s="170">
        <f t="shared" si="1"/>
        <v>107240.04488655363</v>
      </c>
      <c r="G5" s="170">
        <f t="shared" si="2"/>
        <v>428960.17954621452</v>
      </c>
    </row>
    <row r="6" spans="1:10" ht="123.75" customHeight="1">
      <c r="A6" s="194" t="s">
        <v>306</v>
      </c>
      <c r="B6" s="271" t="s">
        <v>305</v>
      </c>
      <c r="C6" s="274">
        <f>'объем работ 100% загр'!I6</f>
        <v>13.192227743980803</v>
      </c>
      <c r="D6" s="170">
        <f>'объем работ 100% загр'!S6</f>
        <v>4344</v>
      </c>
      <c r="E6" s="170">
        <f t="shared" si="0"/>
        <v>57307.037319852607</v>
      </c>
      <c r="F6" s="170">
        <f t="shared" si="1"/>
        <v>171921.11195955781</v>
      </c>
      <c r="G6" s="170">
        <f t="shared" si="2"/>
        <v>687684.44783823122</v>
      </c>
    </row>
    <row r="7" spans="1:10" ht="55.2">
      <c r="A7" s="194" t="s">
        <v>307</v>
      </c>
      <c r="B7" s="271" t="s">
        <v>308</v>
      </c>
      <c r="C7" s="274" t="e">
        <f t="shared" ref="C7:C25" si="3">'объем работ 100% загр'!#REF!</f>
        <v>#REF!</v>
      </c>
      <c r="D7" s="170" t="e">
        <f t="shared" ref="D7:D25" si="4">'объем работ 100% загр'!#REF!</f>
        <v>#REF!</v>
      </c>
      <c r="E7" s="170" t="e">
        <f t="shared" si="0"/>
        <v>#REF!</v>
      </c>
      <c r="F7" s="170" t="e">
        <f t="shared" si="1"/>
        <v>#REF!</v>
      </c>
      <c r="G7" s="170" t="e">
        <f t="shared" si="2"/>
        <v>#REF!</v>
      </c>
    </row>
    <row r="8" spans="1:10" ht="27.6">
      <c r="A8" s="194" t="s">
        <v>309</v>
      </c>
      <c r="B8" s="271" t="s">
        <v>310</v>
      </c>
      <c r="C8" s="274" t="e">
        <f t="shared" si="3"/>
        <v>#REF!</v>
      </c>
      <c r="D8" s="170" t="e">
        <f t="shared" si="4"/>
        <v>#REF!</v>
      </c>
      <c r="E8" s="170" t="e">
        <f t="shared" si="0"/>
        <v>#REF!</v>
      </c>
      <c r="F8" s="170" t="e">
        <f t="shared" si="1"/>
        <v>#REF!</v>
      </c>
      <c r="G8" s="170" t="e">
        <f t="shared" si="2"/>
        <v>#REF!</v>
      </c>
    </row>
    <row r="9" spans="1:10" ht="27.6">
      <c r="A9" s="194" t="s">
        <v>311</v>
      </c>
      <c r="B9" s="271" t="s">
        <v>312</v>
      </c>
      <c r="C9" s="274" t="e">
        <f t="shared" si="3"/>
        <v>#REF!</v>
      </c>
      <c r="D9" s="170" t="e">
        <f t="shared" si="4"/>
        <v>#REF!</v>
      </c>
      <c r="E9" s="170" t="e">
        <f t="shared" si="0"/>
        <v>#REF!</v>
      </c>
      <c r="F9" s="170" t="e">
        <f t="shared" si="1"/>
        <v>#REF!</v>
      </c>
      <c r="G9" s="170" t="e">
        <f t="shared" si="2"/>
        <v>#REF!</v>
      </c>
    </row>
    <row r="10" spans="1:10" ht="69">
      <c r="A10" s="194" t="s">
        <v>313</v>
      </c>
      <c r="B10" s="271" t="s">
        <v>314</v>
      </c>
      <c r="C10" s="274" t="e">
        <f t="shared" si="3"/>
        <v>#REF!</v>
      </c>
      <c r="D10" s="170" t="e">
        <f t="shared" si="4"/>
        <v>#REF!</v>
      </c>
      <c r="E10" s="170" t="e">
        <f t="shared" si="0"/>
        <v>#REF!</v>
      </c>
      <c r="F10" s="170" t="e">
        <f t="shared" si="1"/>
        <v>#REF!</v>
      </c>
      <c r="G10" s="170" t="e">
        <f t="shared" si="2"/>
        <v>#REF!</v>
      </c>
    </row>
    <row r="11" spans="1:10" ht="69">
      <c r="A11" s="194" t="s">
        <v>315</v>
      </c>
      <c r="B11" s="271" t="s">
        <v>316</v>
      </c>
      <c r="C11" s="274" t="e">
        <f t="shared" si="3"/>
        <v>#REF!</v>
      </c>
      <c r="D11" s="170" t="e">
        <f t="shared" si="4"/>
        <v>#REF!</v>
      </c>
      <c r="E11" s="170" t="e">
        <f t="shared" si="0"/>
        <v>#REF!</v>
      </c>
      <c r="F11" s="170" t="e">
        <f t="shared" si="1"/>
        <v>#REF!</v>
      </c>
      <c r="G11" s="170" t="e">
        <f t="shared" si="2"/>
        <v>#REF!</v>
      </c>
    </row>
    <row r="12" spans="1:10" ht="72">
      <c r="A12" s="51" t="s">
        <v>317</v>
      </c>
      <c r="B12" s="271" t="s">
        <v>314</v>
      </c>
      <c r="C12" s="274" t="e">
        <f t="shared" si="3"/>
        <v>#REF!</v>
      </c>
      <c r="D12" s="170" t="e">
        <f t="shared" si="4"/>
        <v>#REF!</v>
      </c>
      <c r="E12" s="170" t="e">
        <f t="shared" si="0"/>
        <v>#REF!</v>
      </c>
      <c r="F12" s="170" t="e">
        <f t="shared" si="1"/>
        <v>#REF!</v>
      </c>
      <c r="G12" s="170" t="e">
        <f t="shared" si="2"/>
        <v>#REF!</v>
      </c>
    </row>
    <row r="13" spans="1:10" ht="72">
      <c r="A13" s="51" t="s">
        <v>318</v>
      </c>
      <c r="B13" s="271" t="s">
        <v>316</v>
      </c>
      <c r="C13" s="274" t="e">
        <f t="shared" si="3"/>
        <v>#REF!</v>
      </c>
      <c r="D13" s="170" t="e">
        <f t="shared" si="4"/>
        <v>#REF!</v>
      </c>
      <c r="E13" s="170" t="e">
        <f t="shared" si="0"/>
        <v>#REF!</v>
      </c>
      <c r="F13" s="170" t="e">
        <f t="shared" si="1"/>
        <v>#REF!</v>
      </c>
      <c r="G13" s="170" t="e">
        <f t="shared" si="2"/>
        <v>#REF!</v>
      </c>
    </row>
    <row r="14" spans="1:10" ht="86.4">
      <c r="A14" s="51" t="s">
        <v>319</v>
      </c>
      <c r="B14" s="271" t="s">
        <v>314</v>
      </c>
      <c r="C14" s="274" t="e">
        <f t="shared" si="3"/>
        <v>#REF!</v>
      </c>
      <c r="D14" s="170" t="e">
        <f t="shared" si="4"/>
        <v>#REF!</v>
      </c>
      <c r="E14" s="170" t="e">
        <f t="shared" si="0"/>
        <v>#REF!</v>
      </c>
      <c r="F14" s="170" t="e">
        <f t="shared" si="1"/>
        <v>#REF!</v>
      </c>
      <c r="G14" s="170" t="e">
        <f t="shared" si="2"/>
        <v>#REF!</v>
      </c>
    </row>
    <row r="15" spans="1:10" ht="86.4">
      <c r="A15" s="51" t="s">
        <v>320</v>
      </c>
      <c r="B15" s="271" t="s">
        <v>316</v>
      </c>
      <c r="C15" s="274" t="e">
        <f t="shared" si="3"/>
        <v>#REF!</v>
      </c>
      <c r="D15" s="170" t="e">
        <f t="shared" si="4"/>
        <v>#REF!</v>
      </c>
      <c r="E15" s="170" t="e">
        <f t="shared" si="0"/>
        <v>#REF!</v>
      </c>
      <c r="F15" s="170" t="e">
        <f t="shared" si="1"/>
        <v>#REF!</v>
      </c>
      <c r="G15" s="170" t="e">
        <f t="shared" si="2"/>
        <v>#REF!</v>
      </c>
    </row>
    <row r="16" spans="1:10" ht="72">
      <c r="A16" s="51" t="s">
        <v>321</v>
      </c>
      <c r="B16" s="271" t="s">
        <v>314</v>
      </c>
      <c r="C16" s="274" t="e">
        <f t="shared" si="3"/>
        <v>#REF!</v>
      </c>
      <c r="D16" s="170" t="e">
        <f t="shared" si="4"/>
        <v>#REF!</v>
      </c>
      <c r="E16" s="170" t="e">
        <f t="shared" si="0"/>
        <v>#REF!</v>
      </c>
      <c r="F16" s="170" t="e">
        <f t="shared" si="1"/>
        <v>#REF!</v>
      </c>
      <c r="G16" s="170" t="e">
        <f t="shared" si="2"/>
        <v>#REF!</v>
      </c>
    </row>
    <row r="17" spans="1:9" ht="72">
      <c r="A17" s="51" t="s">
        <v>322</v>
      </c>
      <c r="B17" s="271" t="s">
        <v>316</v>
      </c>
      <c r="C17" s="274" t="e">
        <f t="shared" si="3"/>
        <v>#REF!</v>
      </c>
      <c r="D17" s="170" t="e">
        <f t="shared" si="4"/>
        <v>#REF!</v>
      </c>
      <c r="E17" s="170" t="e">
        <f t="shared" si="0"/>
        <v>#REF!</v>
      </c>
      <c r="F17" s="170" t="e">
        <f t="shared" si="1"/>
        <v>#REF!</v>
      </c>
      <c r="G17" s="170" t="e">
        <f t="shared" si="2"/>
        <v>#REF!</v>
      </c>
    </row>
    <row r="18" spans="1:9" ht="27.6">
      <c r="A18" s="51" t="s">
        <v>323</v>
      </c>
      <c r="B18" s="271" t="s">
        <v>314</v>
      </c>
      <c r="C18" s="274" t="e">
        <f t="shared" si="3"/>
        <v>#REF!</v>
      </c>
      <c r="D18" s="170" t="e">
        <f t="shared" si="4"/>
        <v>#REF!</v>
      </c>
      <c r="E18" s="170" t="e">
        <f t="shared" si="0"/>
        <v>#REF!</v>
      </c>
      <c r="F18" s="170" t="e">
        <f t="shared" si="1"/>
        <v>#REF!</v>
      </c>
      <c r="G18" s="170" t="e">
        <f t="shared" si="2"/>
        <v>#REF!</v>
      </c>
    </row>
    <row r="19" spans="1:9" ht="72">
      <c r="A19" s="51" t="s">
        <v>324</v>
      </c>
      <c r="B19" s="271" t="s">
        <v>325</v>
      </c>
      <c r="C19" s="274" t="e">
        <f t="shared" si="3"/>
        <v>#REF!</v>
      </c>
      <c r="D19" s="170" t="e">
        <f t="shared" si="4"/>
        <v>#REF!</v>
      </c>
      <c r="E19" s="170" t="e">
        <f t="shared" si="0"/>
        <v>#REF!</v>
      </c>
      <c r="F19" s="170" t="e">
        <f t="shared" si="1"/>
        <v>#REF!</v>
      </c>
      <c r="G19" s="170" t="e">
        <f t="shared" si="2"/>
        <v>#REF!</v>
      </c>
    </row>
    <row r="20" spans="1:9" ht="72">
      <c r="A20" s="51" t="s">
        <v>326</v>
      </c>
      <c r="B20" s="271" t="s">
        <v>325</v>
      </c>
      <c r="C20" s="274" t="e">
        <f t="shared" si="3"/>
        <v>#REF!</v>
      </c>
      <c r="D20" s="170" t="e">
        <f t="shared" si="4"/>
        <v>#REF!</v>
      </c>
      <c r="E20" s="170" t="e">
        <f t="shared" si="0"/>
        <v>#REF!</v>
      </c>
      <c r="F20" s="170" t="e">
        <f t="shared" si="1"/>
        <v>#REF!</v>
      </c>
      <c r="G20" s="170" t="e">
        <f t="shared" si="2"/>
        <v>#REF!</v>
      </c>
    </row>
    <row r="21" spans="1:9">
      <c r="A21" s="51" t="s">
        <v>327</v>
      </c>
      <c r="B21" s="52" t="s">
        <v>325</v>
      </c>
      <c r="C21" s="274" t="e">
        <f t="shared" si="3"/>
        <v>#REF!</v>
      </c>
      <c r="D21" s="170" t="e">
        <f t="shared" si="4"/>
        <v>#REF!</v>
      </c>
      <c r="E21" s="170" t="e">
        <f t="shared" si="0"/>
        <v>#REF!</v>
      </c>
      <c r="F21" s="170" t="e">
        <f t="shared" si="1"/>
        <v>#REF!</v>
      </c>
      <c r="G21" s="170" t="e">
        <f t="shared" si="2"/>
        <v>#REF!</v>
      </c>
    </row>
    <row r="22" spans="1:9" ht="28.8">
      <c r="A22" s="51" t="s">
        <v>328</v>
      </c>
      <c r="B22" s="52" t="s">
        <v>325</v>
      </c>
      <c r="C22" s="274" t="e">
        <f t="shared" si="3"/>
        <v>#REF!</v>
      </c>
      <c r="D22" s="170" t="e">
        <f t="shared" si="4"/>
        <v>#REF!</v>
      </c>
      <c r="E22" s="170" t="e">
        <f t="shared" si="0"/>
        <v>#REF!</v>
      </c>
      <c r="F22" s="170" t="e">
        <f t="shared" si="1"/>
        <v>#REF!</v>
      </c>
      <c r="G22" s="170" t="e">
        <f t="shared" si="2"/>
        <v>#REF!</v>
      </c>
    </row>
    <row r="23" spans="1:9" ht="28.8">
      <c r="A23" s="51" t="s">
        <v>329</v>
      </c>
      <c r="B23" s="52" t="s">
        <v>330</v>
      </c>
      <c r="C23" s="274" t="e">
        <f t="shared" si="3"/>
        <v>#REF!</v>
      </c>
      <c r="D23" s="170" t="e">
        <f t="shared" si="4"/>
        <v>#REF!</v>
      </c>
      <c r="E23" s="170" t="e">
        <f t="shared" ref="E23:E25" si="5">C23*D23</f>
        <v>#REF!</v>
      </c>
      <c r="F23" s="170" t="e">
        <f t="shared" ref="F23:F25" si="6">E23*3</f>
        <v>#REF!</v>
      </c>
      <c r="G23" s="170" t="e">
        <f t="shared" ref="G23:G25" si="7">E23*12</f>
        <v>#REF!</v>
      </c>
    </row>
    <row r="24" spans="1:9" ht="56.25" customHeight="1">
      <c r="A24" s="51" t="s">
        <v>331</v>
      </c>
      <c r="B24" s="51" t="s">
        <v>325</v>
      </c>
      <c r="C24" s="274" t="e">
        <f t="shared" si="3"/>
        <v>#REF!</v>
      </c>
      <c r="D24" s="275" t="e">
        <f t="shared" si="4"/>
        <v>#REF!</v>
      </c>
      <c r="E24" s="275" t="e">
        <f t="shared" si="5"/>
        <v>#REF!</v>
      </c>
      <c r="F24" s="275" t="e">
        <f t="shared" si="6"/>
        <v>#REF!</v>
      </c>
      <c r="G24" s="275" t="e">
        <f t="shared" si="7"/>
        <v>#REF!</v>
      </c>
    </row>
    <row r="25" spans="1:9" ht="56.25" customHeight="1">
      <c r="A25" s="51" t="s">
        <v>332</v>
      </c>
      <c r="B25" s="51" t="s">
        <v>325</v>
      </c>
      <c r="C25" s="274" t="e">
        <f t="shared" si="3"/>
        <v>#REF!</v>
      </c>
      <c r="D25" s="275" t="e">
        <f t="shared" si="4"/>
        <v>#REF!</v>
      </c>
      <c r="E25" s="275" t="e">
        <f t="shared" si="5"/>
        <v>#REF!</v>
      </c>
      <c r="F25" s="275" t="e">
        <f t="shared" si="6"/>
        <v>#REF!</v>
      </c>
      <c r="G25" s="275" t="e">
        <f t="shared" si="7"/>
        <v>#REF!</v>
      </c>
    </row>
    <row r="27" spans="1:9">
      <c r="F27" s="69" t="e">
        <f>SUM(F4:F26)</f>
        <v>#REF!</v>
      </c>
      <c r="G27" t="e">
        <f>SUM(G4:G26)</f>
        <v>#REF!</v>
      </c>
      <c r="I27" s="69"/>
    </row>
  </sheetData>
  <pageMargins left="0.7" right="0.7" top="0.75" bottom="0.75" header="0.3" footer="0.3"/>
  <pageSetup paperSize="9" firstPageNumber="2147483648" orientation="portrait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J27"/>
  <sheetViews>
    <sheetView zoomScale="70" workbookViewId="0">
      <pane xSplit="1" topLeftCell="B1" activePane="topRight" state="frozen"/>
      <selection pane="topRight"/>
    </sheetView>
  </sheetViews>
  <sheetFormatPr defaultRowHeight="14.4"/>
  <cols>
    <col min="1" max="1" width="26.5546875" style="51" customWidth="1"/>
    <col min="2" max="2" width="11.88671875" style="52" customWidth="1"/>
    <col min="3" max="3" width="13" style="53" customWidth="1"/>
    <col min="4" max="6" width="12.88671875" style="69" customWidth="1"/>
    <col min="7" max="7" width="10.109375" bestFit="1" customWidth="1"/>
  </cols>
  <sheetData>
    <row r="1" spans="1:10">
      <c r="A1" s="81"/>
      <c r="B1" s="81"/>
      <c r="C1" s="81"/>
      <c r="D1" s="267"/>
      <c r="E1" s="267"/>
      <c r="F1" s="267"/>
      <c r="G1" s="268"/>
      <c r="H1" s="268"/>
      <c r="I1" s="268"/>
      <c r="J1" s="268"/>
    </row>
    <row r="2" spans="1:10" ht="30" customHeight="1">
      <c r="A2" s="81"/>
      <c r="B2" s="81"/>
      <c r="C2" s="81"/>
      <c r="D2" s="269">
        <v>0.3</v>
      </c>
      <c r="E2" s="269"/>
      <c r="F2" s="269"/>
      <c r="G2" s="270"/>
      <c r="H2" s="270"/>
      <c r="I2" s="270"/>
      <c r="J2" s="270"/>
    </row>
    <row r="3" spans="1:10" s="61" customFormat="1" ht="55.2">
      <c r="A3" s="194" t="s">
        <v>67</v>
      </c>
      <c r="B3" s="271" t="s">
        <v>43</v>
      </c>
      <c r="C3" s="222" t="s">
        <v>297</v>
      </c>
      <c r="D3" s="272" t="s">
        <v>298</v>
      </c>
      <c r="E3" s="272" t="s">
        <v>299</v>
      </c>
      <c r="F3" s="272" t="s">
        <v>300</v>
      </c>
      <c r="G3" s="272" t="s">
        <v>301</v>
      </c>
    </row>
    <row r="4" spans="1:10">
      <c r="A4" s="194" t="s">
        <v>302</v>
      </c>
      <c r="B4" s="271" t="s">
        <v>303</v>
      </c>
      <c r="C4" s="274">
        <f>'объем работ 100% загр'!J4</f>
        <v>5.2157243690063932</v>
      </c>
      <c r="D4" s="170">
        <f>'объем работ 100% загр'!S4</f>
        <v>504</v>
      </c>
      <c r="E4" s="170">
        <f t="shared" ref="E4:E22" si="0">C4*D4</f>
        <v>2628.7250819792221</v>
      </c>
      <c r="F4" s="170">
        <f t="shared" ref="F4:F22" si="1">E4*3</f>
        <v>7886.1752459376657</v>
      </c>
      <c r="G4" s="170">
        <f t="shared" ref="G4:G22" si="2">E4*12</f>
        <v>31544.700983750663</v>
      </c>
    </row>
    <row r="5" spans="1:10" ht="124.2">
      <c r="A5" s="194" t="s">
        <v>304</v>
      </c>
      <c r="B5" s="271" t="s">
        <v>305</v>
      </c>
      <c r="C5" s="274">
        <f>'объем работ 100% загр'!J5</f>
        <v>9.4728706316455705E-3</v>
      </c>
      <c r="D5" s="170">
        <f>'объем работ 100% загр'!S5</f>
        <v>4000000</v>
      </c>
      <c r="E5" s="170">
        <f t="shared" si="0"/>
        <v>37891.48252658228</v>
      </c>
      <c r="F5" s="170">
        <f t="shared" si="1"/>
        <v>113674.44757974683</v>
      </c>
      <c r="G5" s="170">
        <f t="shared" si="2"/>
        <v>454697.79031898733</v>
      </c>
    </row>
    <row r="6" spans="1:10" ht="123.75" customHeight="1">
      <c r="A6" s="194" t="s">
        <v>306</v>
      </c>
      <c r="B6" s="271" t="s">
        <v>305</v>
      </c>
      <c r="C6" s="274">
        <f>'объем работ 100% загр'!J6</f>
        <v>13.983761408619651</v>
      </c>
      <c r="D6" s="170">
        <f>'объем работ 100% загр'!S6</f>
        <v>4344</v>
      </c>
      <c r="E6" s="170">
        <f t="shared" si="0"/>
        <v>60745.459559043768</v>
      </c>
      <c r="F6" s="170">
        <f t="shared" si="1"/>
        <v>182236.37867713132</v>
      </c>
      <c r="G6" s="170">
        <f t="shared" si="2"/>
        <v>728945.51470852527</v>
      </c>
    </row>
    <row r="7" spans="1:10" ht="55.2">
      <c r="A7" s="194" t="s">
        <v>307</v>
      </c>
      <c r="B7" s="271" t="s">
        <v>308</v>
      </c>
      <c r="C7" s="274" t="e">
        <f t="shared" ref="C7:C25" si="3">'объем работ 100% загр'!#REF!</f>
        <v>#REF!</v>
      </c>
      <c r="D7" s="170" t="e">
        <f t="shared" ref="D7:D25" si="4">'объем работ 100% загр'!#REF!</f>
        <v>#REF!</v>
      </c>
      <c r="E7" s="170" t="e">
        <f t="shared" si="0"/>
        <v>#REF!</v>
      </c>
      <c r="F7" s="170" t="e">
        <f t="shared" si="1"/>
        <v>#REF!</v>
      </c>
      <c r="G7" s="170" t="e">
        <f t="shared" si="2"/>
        <v>#REF!</v>
      </c>
    </row>
    <row r="8" spans="1:10" ht="27.6">
      <c r="A8" s="194" t="s">
        <v>309</v>
      </c>
      <c r="B8" s="271" t="s">
        <v>310</v>
      </c>
      <c r="C8" s="274" t="e">
        <f t="shared" si="3"/>
        <v>#REF!</v>
      </c>
      <c r="D8" s="170" t="e">
        <f t="shared" si="4"/>
        <v>#REF!</v>
      </c>
      <c r="E8" s="170" t="e">
        <f t="shared" si="0"/>
        <v>#REF!</v>
      </c>
      <c r="F8" s="170" t="e">
        <f t="shared" si="1"/>
        <v>#REF!</v>
      </c>
      <c r="G8" s="170" t="e">
        <f t="shared" si="2"/>
        <v>#REF!</v>
      </c>
    </row>
    <row r="9" spans="1:10" ht="27.6">
      <c r="A9" s="194" t="s">
        <v>311</v>
      </c>
      <c r="B9" s="271" t="s">
        <v>312</v>
      </c>
      <c r="C9" s="274" t="e">
        <f t="shared" si="3"/>
        <v>#REF!</v>
      </c>
      <c r="D9" s="170" t="e">
        <f t="shared" si="4"/>
        <v>#REF!</v>
      </c>
      <c r="E9" s="170" t="e">
        <f t="shared" si="0"/>
        <v>#REF!</v>
      </c>
      <c r="F9" s="170" t="e">
        <f t="shared" si="1"/>
        <v>#REF!</v>
      </c>
      <c r="G9" s="170" t="e">
        <f t="shared" si="2"/>
        <v>#REF!</v>
      </c>
    </row>
    <row r="10" spans="1:10" ht="69">
      <c r="A10" s="194" t="s">
        <v>313</v>
      </c>
      <c r="B10" s="271" t="s">
        <v>314</v>
      </c>
      <c r="C10" s="274" t="e">
        <f t="shared" si="3"/>
        <v>#REF!</v>
      </c>
      <c r="D10" s="170" t="e">
        <f t="shared" si="4"/>
        <v>#REF!</v>
      </c>
      <c r="E10" s="170" t="e">
        <f t="shared" si="0"/>
        <v>#REF!</v>
      </c>
      <c r="F10" s="170" t="e">
        <f t="shared" si="1"/>
        <v>#REF!</v>
      </c>
      <c r="G10" s="170" t="e">
        <f t="shared" si="2"/>
        <v>#REF!</v>
      </c>
    </row>
    <row r="11" spans="1:10" ht="69">
      <c r="A11" s="194" t="s">
        <v>315</v>
      </c>
      <c r="B11" s="271" t="s">
        <v>316</v>
      </c>
      <c r="C11" s="274" t="e">
        <f t="shared" si="3"/>
        <v>#REF!</v>
      </c>
      <c r="D11" s="170" t="e">
        <f t="shared" si="4"/>
        <v>#REF!</v>
      </c>
      <c r="E11" s="170" t="e">
        <f t="shared" si="0"/>
        <v>#REF!</v>
      </c>
      <c r="F11" s="170" t="e">
        <f t="shared" si="1"/>
        <v>#REF!</v>
      </c>
      <c r="G11" s="170" t="e">
        <f t="shared" si="2"/>
        <v>#REF!</v>
      </c>
    </row>
    <row r="12" spans="1:10" ht="72">
      <c r="A12" s="51" t="s">
        <v>317</v>
      </c>
      <c r="B12" s="271" t="s">
        <v>314</v>
      </c>
      <c r="C12" s="274" t="e">
        <f t="shared" si="3"/>
        <v>#REF!</v>
      </c>
      <c r="D12" s="170" t="e">
        <f t="shared" si="4"/>
        <v>#REF!</v>
      </c>
      <c r="E12" s="170" t="e">
        <f t="shared" si="0"/>
        <v>#REF!</v>
      </c>
      <c r="F12" s="170" t="e">
        <f t="shared" si="1"/>
        <v>#REF!</v>
      </c>
      <c r="G12" s="170" t="e">
        <f t="shared" si="2"/>
        <v>#REF!</v>
      </c>
    </row>
    <row r="13" spans="1:10" ht="72">
      <c r="A13" s="51" t="s">
        <v>318</v>
      </c>
      <c r="B13" s="271" t="s">
        <v>316</v>
      </c>
      <c r="C13" s="274" t="e">
        <f t="shared" si="3"/>
        <v>#REF!</v>
      </c>
      <c r="D13" s="170" t="e">
        <f t="shared" si="4"/>
        <v>#REF!</v>
      </c>
      <c r="E13" s="170" t="e">
        <f t="shared" si="0"/>
        <v>#REF!</v>
      </c>
      <c r="F13" s="170" t="e">
        <f t="shared" si="1"/>
        <v>#REF!</v>
      </c>
      <c r="G13" s="170" t="e">
        <f t="shared" si="2"/>
        <v>#REF!</v>
      </c>
    </row>
    <row r="14" spans="1:10" ht="86.4">
      <c r="A14" s="51" t="s">
        <v>319</v>
      </c>
      <c r="B14" s="271" t="s">
        <v>314</v>
      </c>
      <c r="C14" s="274" t="e">
        <f t="shared" si="3"/>
        <v>#REF!</v>
      </c>
      <c r="D14" s="170" t="e">
        <f t="shared" si="4"/>
        <v>#REF!</v>
      </c>
      <c r="E14" s="170" t="e">
        <f t="shared" si="0"/>
        <v>#REF!</v>
      </c>
      <c r="F14" s="170" t="e">
        <f t="shared" si="1"/>
        <v>#REF!</v>
      </c>
      <c r="G14" s="170" t="e">
        <f t="shared" si="2"/>
        <v>#REF!</v>
      </c>
    </row>
    <row r="15" spans="1:10" ht="86.4">
      <c r="A15" s="51" t="s">
        <v>320</v>
      </c>
      <c r="B15" s="271" t="s">
        <v>316</v>
      </c>
      <c r="C15" s="274" t="e">
        <f t="shared" si="3"/>
        <v>#REF!</v>
      </c>
      <c r="D15" s="170" t="e">
        <f t="shared" si="4"/>
        <v>#REF!</v>
      </c>
      <c r="E15" s="170" t="e">
        <f t="shared" si="0"/>
        <v>#REF!</v>
      </c>
      <c r="F15" s="170" t="e">
        <f t="shared" si="1"/>
        <v>#REF!</v>
      </c>
      <c r="G15" s="170" t="e">
        <f t="shared" si="2"/>
        <v>#REF!</v>
      </c>
    </row>
    <row r="16" spans="1:10" ht="72">
      <c r="A16" s="51" t="s">
        <v>321</v>
      </c>
      <c r="B16" s="271" t="s">
        <v>314</v>
      </c>
      <c r="C16" s="274" t="e">
        <f t="shared" si="3"/>
        <v>#REF!</v>
      </c>
      <c r="D16" s="170" t="e">
        <f t="shared" si="4"/>
        <v>#REF!</v>
      </c>
      <c r="E16" s="170" t="e">
        <f t="shared" si="0"/>
        <v>#REF!</v>
      </c>
      <c r="F16" s="170" t="e">
        <f t="shared" si="1"/>
        <v>#REF!</v>
      </c>
      <c r="G16" s="170" t="e">
        <f t="shared" si="2"/>
        <v>#REF!</v>
      </c>
    </row>
    <row r="17" spans="1:9" ht="72">
      <c r="A17" s="51" t="s">
        <v>322</v>
      </c>
      <c r="B17" s="271" t="s">
        <v>316</v>
      </c>
      <c r="C17" s="274" t="e">
        <f t="shared" si="3"/>
        <v>#REF!</v>
      </c>
      <c r="D17" s="170" t="e">
        <f t="shared" si="4"/>
        <v>#REF!</v>
      </c>
      <c r="E17" s="170" t="e">
        <f t="shared" si="0"/>
        <v>#REF!</v>
      </c>
      <c r="F17" s="170" t="e">
        <f t="shared" si="1"/>
        <v>#REF!</v>
      </c>
      <c r="G17" s="170" t="e">
        <f t="shared" si="2"/>
        <v>#REF!</v>
      </c>
    </row>
    <row r="18" spans="1:9" ht="27.6">
      <c r="A18" s="51" t="s">
        <v>323</v>
      </c>
      <c r="B18" s="271" t="s">
        <v>314</v>
      </c>
      <c r="C18" s="274" t="e">
        <f t="shared" si="3"/>
        <v>#REF!</v>
      </c>
      <c r="D18" s="170" t="e">
        <f t="shared" si="4"/>
        <v>#REF!</v>
      </c>
      <c r="E18" s="170" t="e">
        <f t="shared" si="0"/>
        <v>#REF!</v>
      </c>
      <c r="F18" s="170" t="e">
        <f t="shared" si="1"/>
        <v>#REF!</v>
      </c>
      <c r="G18" s="170" t="e">
        <f t="shared" si="2"/>
        <v>#REF!</v>
      </c>
    </row>
    <row r="19" spans="1:9" ht="72">
      <c r="A19" s="51" t="s">
        <v>324</v>
      </c>
      <c r="B19" s="271" t="s">
        <v>325</v>
      </c>
      <c r="C19" s="274" t="e">
        <f t="shared" si="3"/>
        <v>#REF!</v>
      </c>
      <c r="D19" s="170" t="e">
        <f t="shared" si="4"/>
        <v>#REF!</v>
      </c>
      <c r="E19" s="170" t="e">
        <f t="shared" si="0"/>
        <v>#REF!</v>
      </c>
      <c r="F19" s="170" t="e">
        <f t="shared" si="1"/>
        <v>#REF!</v>
      </c>
      <c r="G19" s="170" t="e">
        <f t="shared" si="2"/>
        <v>#REF!</v>
      </c>
    </row>
    <row r="20" spans="1:9" ht="72">
      <c r="A20" s="51" t="s">
        <v>326</v>
      </c>
      <c r="B20" s="271" t="s">
        <v>325</v>
      </c>
      <c r="C20" s="274" t="e">
        <f t="shared" si="3"/>
        <v>#REF!</v>
      </c>
      <c r="D20" s="170" t="e">
        <f t="shared" si="4"/>
        <v>#REF!</v>
      </c>
      <c r="E20" s="170" t="e">
        <f t="shared" si="0"/>
        <v>#REF!</v>
      </c>
      <c r="F20" s="170" t="e">
        <f t="shared" si="1"/>
        <v>#REF!</v>
      </c>
      <c r="G20" s="170" t="e">
        <f t="shared" si="2"/>
        <v>#REF!</v>
      </c>
    </row>
    <row r="21" spans="1:9">
      <c r="A21" s="51" t="s">
        <v>327</v>
      </c>
      <c r="B21" s="52" t="s">
        <v>325</v>
      </c>
      <c r="C21" s="274" t="e">
        <f t="shared" si="3"/>
        <v>#REF!</v>
      </c>
      <c r="D21" s="170" t="e">
        <f t="shared" si="4"/>
        <v>#REF!</v>
      </c>
      <c r="E21" s="170" t="e">
        <f t="shared" si="0"/>
        <v>#REF!</v>
      </c>
      <c r="F21" s="170" t="e">
        <f t="shared" si="1"/>
        <v>#REF!</v>
      </c>
      <c r="G21" s="170" t="e">
        <f t="shared" si="2"/>
        <v>#REF!</v>
      </c>
    </row>
    <row r="22" spans="1:9" ht="28.8">
      <c r="A22" s="51" t="s">
        <v>328</v>
      </c>
      <c r="B22" s="52" t="s">
        <v>325</v>
      </c>
      <c r="C22" s="274" t="e">
        <f t="shared" si="3"/>
        <v>#REF!</v>
      </c>
      <c r="D22" s="170" t="e">
        <f t="shared" si="4"/>
        <v>#REF!</v>
      </c>
      <c r="E22" s="170" t="e">
        <f t="shared" si="0"/>
        <v>#REF!</v>
      </c>
      <c r="F22" s="170" t="e">
        <f t="shared" si="1"/>
        <v>#REF!</v>
      </c>
      <c r="G22" s="170" t="e">
        <f t="shared" si="2"/>
        <v>#REF!</v>
      </c>
    </row>
    <row r="23" spans="1:9" ht="28.8">
      <c r="A23" s="51" t="s">
        <v>329</v>
      </c>
      <c r="B23" s="52" t="s">
        <v>330</v>
      </c>
      <c r="C23" s="274" t="e">
        <f t="shared" si="3"/>
        <v>#REF!</v>
      </c>
      <c r="D23" s="170" t="e">
        <f t="shared" si="4"/>
        <v>#REF!</v>
      </c>
      <c r="E23" s="170" t="e">
        <f t="shared" ref="E23:E25" si="5">C23*D23</f>
        <v>#REF!</v>
      </c>
      <c r="F23" s="170" t="e">
        <f t="shared" ref="F23:F25" si="6">E23*3</f>
        <v>#REF!</v>
      </c>
      <c r="G23" s="170" t="e">
        <f t="shared" ref="G23:G25" si="7">E23*12</f>
        <v>#REF!</v>
      </c>
    </row>
    <row r="24" spans="1:9" ht="56.25" customHeight="1">
      <c r="A24" s="51" t="s">
        <v>331</v>
      </c>
      <c r="B24" s="51" t="s">
        <v>325</v>
      </c>
      <c r="C24" s="274" t="e">
        <f t="shared" si="3"/>
        <v>#REF!</v>
      </c>
      <c r="D24" s="275" t="e">
        <f t="shared" si="4"/>
        <v>#REF!</v>
      </c>
      <c r="E24" s="275" t="e">
        <f t="shared" si="5"/>
        <v>#REF!</v>
      </c>
      <c r="F24" s="275" t="e">
        <f t="shared" si="6"/>
        <v>#REF!</v>
      </c>
      <c r="G24" s="275" t="e">
        <f t="shared" si="7"/>
        <v>#REF!</v>
      </c>
    </row>
    <row r="25" spans="1:9" ht="56.25" customHeight="1">
      <c r="A25" s="51" t="s">
        <v>332</v>
      </c>
      <c r="B25" s="51" t="s">
        <v>325</v>
      </c>
      <c r="C25" s="274" t="e">
        <f t="shared" si="3"/>
        <v>#REF!</v>
      </c>
      <c r="D25" s="275" t="e">
        <f t="shared" si="4"/>
        <v>#REF!</v>
      </c>
      <c r="E25" s="275" t="e">
        <f t="shared" si="5"/>
        <v>#REF!</v>
      </c>
      <c r="F25" s="275" t="e">
        <f t="shared" si="6"/>
        <v>#REF!</v>
      </c>
      <c r="G25" s="275" t="e">
        <f t="shared" si="7"/>
        <v>#REF!</v>
      </c>
    </row>
    <row r="27" spans="1:9">
      <c r="F27" s="69" t="e">
        <f>SUM(F4:F26)</f>
        <v>#REF!</v>
      </c>
      <c r="G27" t="e">
        <f>SUM(G4:G26)</f>
        <v>#REF!</v>
      </c>
      <c r="I27" s="69"/>
    </row>
  </sheetData>
  <pageMargins left="0.7" right="0.7" top="0.75" bottom="0.75" header="0.3" footer="0.3"/>
  <pageSetup paperSize="9" firstPageNumber="2147483648" orientation="portrait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J27"/>
  <sheetViews>
    <sheetView zoomScale="70" workbookViewId="0">
      <pane xSplit="1" topLeftCell="B1" activePane="topRight" state="frozen"/>
      <selection pane="topRight"/>
    </sheetView>
  </sheetViews>
  <sheetFormatPr defaultRowHeight="14.4"/>
  <cols>
    <col min="1" max="1" width="26.5546875" style="51" customWidth="1"/>
    <col min="2" max="2" width="11.88671875" style="52" customWidth="1"/>
    <col min="3" max="3" width="13" style="53" customWidth="1"/>
    <col min="4" max="6" width="12.88671875" style="69" customWidth="1"/>
    <col min="7" max="7" width="10.109375" bestFit="1" customWidth="1"/>
  </cols>
  <sheetData>
    <row r="1" spans="1:10">
      <c r="A1" s="81"/>
      <c r="B1" s="81"/>
      <c r="C1" s="81"/>
      <c r="D1" s="267"/>
      <c r="E1" s="267"/>
      <c r="F1" s="267"/>
      <c r="G1" s="268"/>
      <c r="H1" s="268"/>
      <c r="I1" s="268"/>
      <c r="J1" s="268"/>
    </row>
    <row r="2" spans="1:10" ht="30" customHeight="1">
      <c r="A2" s="81"/>
      <c r="B2" s="81"/>
      <c r="C2" s="81"/>
      <c r="D2" s="269">
        <v>0.3</v>
      </c>
      <c r="E2" s="269"/>
      <c r="F2" s="269"/>
      <c r="G2" s="270"/>
      <c r="H2" s="270"/>
      <c r="I2" s="270"/>
      <c r="J2" s="270"/>
    </row>
    <row r="3" spans="1:10" s="61" customFormat="1" ht="55.2">
      <c r="A3" s="194" t="s">
        <v>67</v>
      </c>
      <c r="B3" s="271" t="s">
        <v>43</v>
      </c>
      <c r="C3" s="222" t="s">
        <v>297</v>
      </c>
      <c r="D3" s="272" t="s">
        <v>298</v>
      </c>
      <c r="E3" s="272" t="s">
        <v>299</v>
      </c>
      <c r="F3" s="272" t="s">
        <v>300</v>
      </c>
      <c r="G3" s="272" t="s">
        <v>301</v>
      </c>
    </row>
    <row r="4" spans="1:10">
      <c r="A4" s="194" t="s">
        <v>302</v>
      </c>
      <c r="B4" s="271" t="s">
        <v>303</v>
      </c>
      <c r="C4" s="274">
        <f>'объем работ 100% загр'!K4</f>
        <v>5.2939602345414887</v>
      </c>
      <c r="D4" s="170">
        <f>'объем работ 100% загр'!S4</f>
        <v>504</v>
      </c>
      <c r="E4" s="170">
        <f t="shared" ref="E4:E22" si="0">C4*D4</f>
        <v>2668.1559582089103</v>
      </c>
      <c r="F4" s="170">
        <f t="shared" ref="F4:F22" si="1">E4*3</f>
        <v>8004.4678746267309</v>
      </c>
      <c r="G4" s="170">
        <f t="shared" ref="G4:G22" si="2">E4*12</f>
        <v>32017.871498506924</v>
      </c>
    </row>
    <row r="5" spans="1:10" ht="124.2">
      <c r="A5" s="194" t="s">
        <v>304</v>
      </c>
      <c r="B5" s="271" t="s">
        <v>305</v>
      </c>
      <c r="C5" s="274">
        <f>'объем работ 100% загр'!K5</f>
        <v>1.0041242869544305E-2</v>
      </c>
      <c r="D5" s="170">
        <f>'объем работ 100% загр'!S5</f>
        <v>4000000</v>
      </c>
      <c r="E5" s="170">
        <f t="shared" si="0"/>
        <v>40164.97147817722</v>
      </c>
      <c r="F5" s="170">
        <f t="shared" si="1"/>
        <v>120494.91443453166</v>
      </c>
      <c r="G5" s="170">
        <f t="shared" si="2"/>
        <v>481979.65773812664</v>
      </c>
    </row>
    <row r="6" spans="1:10" ht="123.75" customHeight="1">
      <c r="A6" s="194" t="s">
        <v>306</v>
      </c>
      <c r="B6" s="271" t="s">
        <v>305</v>
      </c>
      <c r="C6" s="274">
        <f>'объем работ 100% загр'!K6</f>
        <v>14.822787093136832</v>
      </c>
      <c r="D6" s="170">
        <f>'объем работ 100% загр'!S6</f>
        <v>4344</v>
      </c>
      <c r="E6" s="170">
        <f t="shared" si="0"/>
        <v>64390.187132586398</v>
      </c>
      <c r="F6" s="170">
        <f t="shared" si="1"/>
        <v>193170.56139775919</v>
      </c>
      <c r="G6" s="170">
        <f t="shared" si="2"/>
        <v>772682.24559103674</v>
      </c>
    </row>
    <row r="7" spans="1:10" ht="55.2">
      <c r="A7" s="194" t="s">
        <v>307</v>
      </c>
      <c r="B7" s="271" t="s">
        <v>308</v>
      </c>
      <c r="C7" s="274" t="e">
        <f t="shared" ref="C7:C25" si="3">'объем работ 100% загр'!#REF!</f>
        <v>#REF!</v>
      </c>
      <c r="D7" s="170" t="e">
        <f t="shared" ref="D7:D25" si="4">'объем работ 100% загр'!#REF!</f>
        <v>#REF!</v>
      </c>
      <c r="E7" s="170" t="e">
        <f t="shared" si="0"/>
        <v>#REF!</v>
      </c>
      <c r="F7" s="170" t="e">
        <f t="shared" si="1"/>
        <v>#REF!</v>
      </c>
      <c r="G7" s="170" t="e">
        <f t="shared" si="2"/>
        <v>#REF!</v>
      </c>
    </row>
    <row r="8" spans="1:10" ht="27.6">
      <c r="A8" s="194" t="s">
        <v>309</v>
      </c>
      <c r="B8" s="271" t="s">
        <v>310</v>
      </c>
      <c r="C8" s="274" t="e">
        <f t="shared" si="3"/>
        <v>#REF!</v>
      </c>
      <c r="D8" s="170" t="e">
        <f t="shared" si="4"/>
        <v>#REF!</v>
      </c>
      <c r="E8" s="170" t="e">
        <f t="shared" si="0"/>
        <v>#REF!</v>
      </c>
      <c r="F8" s="170" t="e">
        <f t="shared" si="1"/>
        <v>#REF!</v>
      </c>
      <c r="G8" s="170" t="e">
        <f t="shared" si="2"/>
        <v>#REF!</v>
      </c>
    </row>
    <row r="9" spans="1:10" ht="27.6">
      <c r="A9" s="194" t="s">
        <v>311</v>
      </c>
      <c r="B9" s="271" t="s">
        <v>312</v>
      </c>
      <c r="C9" s="274" t="e">
        <f t="shared" si="3"/>
        <v>#REF!</v>
      </c>
      <c r="D9" s="170" t="e">
        <f t="shared" si="4"/>
        <v>#REF!</v>
      </c>
      <c r="E9" s="170" t="e">
        <f t="shared" si="0"/>
        <v>#REF!</v>
      </c>
      <c r="F9" s="170" t="e">
        <f t="shared" si="1"/>
        <v>#REF!</v>
      </c>
      <c r="G9" s="170" t="e">
        <f t="shared" si="2"/>
        <v>#REF!</v>
      </c>
    </row>
    <row r="10" spans="1:10" ht="69">
      <c r="A10" s="194" t="s">
        <v>313</v>
      </c>
      <c r="B10" s="271" t="s">
        <v>314</v>
      </c>
      <c r="C10" s="274" t="e">
        <f t="shared" si="3"/>
        <v>#REF!</v>
      </c>
      <c r="D10" s="170" t="e">
        <f t="shared" si="4"/>
        <v>#REF!</v>
      </c>
      <c r="E10" s="170" t="e">
        <f t="shared" si="0"/>
        <v>#REF!</v>
      </c>
      <c r="F10" s="170" t="e">
        <f t="shared" si="1"/>
        <v>#REF!</v>
      </c>
      <c r="G10" s="170" t="e">
        <f t="shared" si="2"/>
        <v>#REF!</v>
      </c>
    </row>
    <row r="11" spans="1:10" ht="69">
      <c r="A11" s="194" t="s">
        <v>315</v>
      </c>
      <c r="B11" s="271" t="s">
        <v>316</v>
      </c>
      <c r="C11" s="274" t="e">
        <f t="shared" si="3"/>
        <v>#REF!</v>
      </c>
      <c r="D11" s="170" t="e">
        <f t="shared" si="4"/>
        <v>#REF!</v>
      </c>
      <c r="E11" s="170" t="e">
        <f t="shared" si="0"/>
        <v>#REF!</v>
      </c>
      <c r="F11" s="170" t="e">
        <f t="shared" si="1"/>
        <v>#REF!</v>
      </c>
      <c r="G11" s="170" t="e">
        <f t="shared" si="2"/>
        <v>#REF!</v>
      </c>
    </row>
    <row r="12" spans="1:10" ht="72">
      <c r="A12" s="51" t="s">
        <v>317</v>
      </c>
      <c r="B12" s="271" t="s">
        <v>314</v>
      </c>
      <c r="C12" s="274" t="e">
        <f t="shared" si="3"/>
        <v>#REF!</v>
      </c>
      <c r="D12" s="170" t="e">
        <f t="shared" si="4"/>
        <v>#REF!</v>
      </c>
      <c r="E12" s="170" t="e">
        <f t="shared" si="0"/>
        <v>#REF!</v>
      </c>
      <c r="F12" s="170" t="e">
        <f t="shared" si="1"/>
        <v>#REF!</v>
      </c>
      <c r="G12" s="170" t="e">
        <f t="shared" si="2"/>
        <v>#REF!</v>
      </c>
    </row>
    <row r="13" spans="1:10" ht="72">
      <c r="A13" s="51" t="s">
        <v>318</v>
      </c>
      <c r="B13" s="271" t="s">
        <v>316</v>
      </c>
      <c r="C13" s="274" t="e">
        <f t="shared" si="3"/>
        <v>#REF!</v>
      </c>
      <c r="D13" s="170" t="e">
        <f t="shared" si="4"/>
        <v>#REF!</v>
      </c>
      <c r="E13" s="170" t="e">
        <f t="shared" si="0"/>
        <v>#REF!</v>
      </c>
      <c r="F13" s="170" t="e">
        <f t="shared" si="1"/>
        <v>#REF!</v>
      </c>
      <c r="G13" s="170" t="e">
        <f t="shared" si="2"/>
        <v>#REF!</v>
      </c>
    </row>
    <row r="14" spans="1:10" ht="86.4">
      <c r="A14" s="51" t="s">
        <v>319</v>
      </c>
      <c r="B14" s="271" t="s">
        <v>314</v>
      </c>
      <c r="C14" s="274" t="e">
        <f t="shared" si="3"/>
        <v>#REF!</v>
      </c>
      <c r="D14" s="170" t="e">
        <f t="shared" si="4"/>
        <v>#REF!</v>
      </c>
      <c r="E14" s="170" t="e">
        <f t="shared" si="0"/>
        <v>#REF!</v>
      </c>
      <c r="F14" s="170" t="e">
        <f t="shared" si="1"/>
        <v>#REF!</v>
      </c>
      <c r="G14" s="170" t="e">
        <f t="shared" si="2"/>
        <v>#REF!</v>
      </c>
    </row>
    <row r="15" spans="1:10" ht="86.4">
      <c r="A15" s="51" t="s">
        <v>320</v>
      </c>
      <c r="B15" s="271" t="s">
        <v>316</v>
      </c>
      <c r="C15" s="274" t="e">
        <f t="shared" si="3"/>
        <v>#REF!</v>
      </c>
      <c r="D15" s="170" t="e">
        <f t="shared" si="4"/>
        <v>#REF!</v>
      </c>
      <c r="E15" s="170" t="e">
        <f t="shared" si="0"/>
        <v>#REF!</v>
      </c>
      <c r="F15" s="170" t="e">
        <f t="shared" si="1"/>
        <v>#REF!</v>
      </c>
      <c r="G15" s="170" t="e">
        <f t="shared" si="2"/>
        <v>#REF!</v>
      </c>
    </row>
    <row r="16" spans="1:10" ht="72">
      <c r="A16" s="51" t="s">
        <v>321</v>
      </c>
      <c r="B16" s="271" t="s">
        <v>314</v>
      </c>
      <c r="C16" s="274" t="e">
        <f t="shared" si="3"/>
        <v>#REF!</v>
      </c>
      <c r="D16" s="170" t="e">
        <f t="shared" si="4"/>
        <v>#REF!</v>
      </c>
      <c r="E16" s="170" t="e">
        <f t="shared" si="0"/>
        <v>#REF!</v>
      </c>
      <c r="F16" s="170" t="e">
        <f t="shared" si="1"/>
        <v>#REF!</v>
      </c>
      <c r="G16" s="170" t="e">
        <f t="shared" si="2"/>
        <v>#REF!</v>
      </c>
    </row>
    <row r="17" spans="1:9" ht="72">
      <c r="A17" s="51" t="s">
        <v>322</v>
      </c>
      <c r="B17" s="271" t="s">
        <v>316</v>
      </c>
      <c r="C17" s="274" t="e">
        <f t="shared" si="3"/>
        <v>#REF!</v>
      </c>
      <c r="D17" s="170" t="e">
        <f t="shared" si="4"/>
        <v>#REF!</v>
      </c>
      <c r="E17" s="170" t="e">
        <f t="shared" si="0"/>
        <v>#REF!</v>
      </c>
      <c r="F17" s="170" t="e">
        <f t="shared" si="1"/>
        <v>#REF!</v>
      </c>
      <c r="G17" s="170" t="e">
        <f t="shared" si="2"/>
        <v>#REF!</v>
      </c>
    </row>
    <row r="18" spans="1:9" ht="27.6">
      <c r="A18" s="51" t="s">
        <v>323</v>
      </c>
      <c r="B18" s="271" t="s">
        <v>314</v>
      </c>
      <c r="C18" s="274" t="e">
        <f t="shared" si="3"/>
        <v>#REF!</v>
      </c>
      <c r="D18" s="170" t="e">
        <f t="shared" si="4"/>
        <v>#REF!</v>
      </c>
      <c r="E18" s="170" t="e">
        <f t="shared" si="0"/>
        <v>#REF!</v>
      </c>
      <c r="F18" s="170" t="e">
        <f t="shared" si="1"/>
        <v>#REF!</v>
      </c>
      <c r="G18" s="170" t="e">
        <f t="shared" si="2"/>
        <v>#REF!</v>
      </c>
    </row>
    <row r="19" spans="1:9" ht="72">
      <c r="A19" s="51" t="s">
        <v>324</v>
      </c>
      <c r="B19" s="271" t="s">
        <v>325</v>
      </c>
      <c r="C19" s="274" t="e">
        <f t="shared" si="3"/>
        <v>#REF!</v>
      </c>
      <c r="D19" s="170" t="e">
        <f t="shared" si="4"/>
        <v>#REF!</v>
      </c>
      <c r="E19" s="170" t="e">
        <f t="shared" si="0"/>
        <v>#REF!</v>
      </c>
      <c r="F19" s="170" t="e">
        <f t="shared" si="1"/>
        <v>#REF!</v>
      </c>
      <c r="G19" s="170" t="e">
        <f t="shared" si="2"/>
        <v>#REF!</v>
      </c>
    </row>
    <row r="20" spans="1:9" ht="72">
      <c r="A20" s="51" t="s">
        <v>326</v>
      </c>
      <c r="B20" s="271" t="s">
        <v>325</v>
      </c>
      <c r="C20" s="274" t="e">
        <f t="shared" si="3"/>
        <v>#REF!</v>
      </c>
      <c r="D20" s="170" t="e">
        <f t="shared" si="4"/>
        <v>#REF!</v>
      </c>
      <c r="E20" s="170" t="e">
        <f t="shared" si="0"/>
        <v>#REF!</v>
      </c>
      <c r="F20" s="170" t="e">
        <f t="shared" si="1"/>
        <v>#REF!</v>
      </c>
      <c r="G20" s="170" t="e">
        <f t="shared" si="2"/>
        <v>#REF!</v>
      </c>
    </row>
    <row r="21" spans="1:9">
      <c r="A21" s="51" t="s">
        <v>327</v>
      </c>
      <c r="B21" s="52" t="s">
        <v>325</v>
      </c>
      <c r="C21" s="274" t="e">
        <f t="shared" si="3"/>
        <v>#REF!</v>
      </c>
      <c r="D21" s="170" t="e">
        <f t="shared" si="4"/>
        <v>#REF!</v>
      </c>
      <c r="E21" s="170" t="e">
        <f t="shared" si="0"/>
        <v>#REF!</v>
      </c>
      <c r="F21" s="170" t="e">
        <f t="shared" si="1"/>
        <v>#REF!</v>
      </c>
      <c r="G21" s="170" t="e">
        <f t="shared" si="2"/>
        <v>#REF!</v>
      </c>
    </row>
    <row r="22" spans="1:9" ht="28.8">
      <c r="A22" s="51" t="s">
        <v>328</v>
      </c>
      <c r="B22" s="52" t="s">
        <v>325</v>
      </c>
      <c r="C22" s="274" t="e">
        <f t="shared" si="3"/>
        <v>#REF!</v>
      </c>
      <c r="D22" s="170" t="e">
        <f t="shared" si="4"/>
        <v>#REF!</v>
      </c>
      <c r="E22" s="170" t="e">
        <f t="shared" si="0"/>
        <v>#REF!</v>
      </c>
      <c r="F22" s="170" t="e">
        <f t="shared" si="1"/>
        <v>#REF!</v>
      </c>
      <c r="G22" s="170" t="e">
        <f t="shared" si="2"/>
        <v>#REF!</v>
      </c>
    </row>
    <row r="23" spans="1:9" ht="28.8">
      <c r="A23" s="51" t="s">
        <v>329</v>
      </c>
      <c r="B23" s="52" t="s">
        <v>330</v>
      </c>
      <c r="C23" s="274" t="e">
        <f t="shared" si="3"/>
        <v>#REF!</v>
      </c>
      <c r="D23" s="170" t="e">
        <f t="shared" si="4"/>
        <v>#REF!</v>
      </c>
      <c r="E23" s="170" t="e">
        <f t="shared" ref="E23:E25" si="5">C23*D23</f>
        <v>#REF!</v>
      </c>
      <c r="F23" s="170" t="e">
        <f t="shared" ref="F23:F25" si="6">E23*3</f>
        <v>#REF!</v>
      </c>
      <c r="G23" s="170" t="e">
        <f t="shared" ref="G23:G25" si="7">E23*12</f>
        <v>#REF!</v>
      </c>
    </row>
    <row r="24" spans="1:9" ht="56.25" customHeight="1">
      <c r="A24" s="51" t="s">
        <v>331</v>
      </c>
      <c r="B24" s="51" t="s">
        <v>325</v>
      </c>
      <c r="C24" s="274" t="e">
        <f t="shared" si="3"/>
        <v>#REF!</v>
      </c>
      <c r="D24" s="275" t="e">
        <f t="shared" si="4"/>
        <v>#REF!</v>
      </c>
      <c r="E24" s="275" t="e">
        <f t="shared" si="5"/>
        <v>#REF!</v>
      </c>
      <c r="F24" s="275" t="e">
        <f t="shared" si="6"/>
        <v>#REF!</v>
      </c>
      <c r="G24" s="275" t="e">
        <f t="shared" si="7"/>
        <v>#REF!</v>
      </c>
    </row>
    <row r="25" spans="1:9" ht="56.25" customHeight="1">
      <c r="A25" s="51" t="s">
        <v>332</v>
      </c>
      <c r="B25" s="51" t="s">
        <v>325</v>
      </c>
      <c r="C25" s="274" t="e">
        <f t="shared" si="3"/>
        <v>#REF!</v>
      </c>
      <c r="D25" s="275" t="e">
        <f t="shared" si="4"/>
        <v>#REF!</v>
      </c>
      <c r="E25" s="275" t="e">
        <f t="shared" si="5"/>
        <v>#REF!</v>
      </c>
      <c r="F25" s="275" t="e">
        <f t="shared" si="6"/>
        <v>#REF!</v>
      </c>
      <c r="G25" s="275" t="e">
        <f t="shared" si="7"/>
        <v>#REF!</v>
      </c>
    </row>
    <row r="27" spans="1:9">
      <c r="F27" s="69" t="e">
        <f>SUM(F4:F26)</f>
        <v>#REF!</v>
      </c>
      <c r="G27" t="e">
        <f>SUM(G4:G26)</f>
        <v>#REF!</v>
      </c>
      <c r="I27" s="69"/>
    </row>
  </sheetData>
  <pageMargins left="0.7" right="0.7" top="0.75" bottom="0.75" header="0.3" footer="0.3"/>
  <pageSetup paperSize="9" firstPageNumber="2147483648" orientation="portrait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J27"/>
  <sheetViews>
    <sheetView zoomScale="70" workbookViewId="0">
      <pane xSplit="1" topLeftCell="B1" activePane="topRight" state="frozen"/>
      <selection pane="topRight"/>
    </sheetView>
  </sheetViews>
  <sheetFormatPr defaultRowHeight="14.4"/>
  <cols>
    <col min="1" max="1" width="26.5546875" style="51" customWidth="1"/>
    <col min="2" max="2" width="11.88671875" style="52" customWidth="1"/>
    <col min="3" max="3" width="13" style="53" customWidth="1"/>
    <col min="4" max="6" width="12.88671875" style="69" customWidth="1"/>
    <col min="7" max="7" width="10.109375" bestFit="1" customWidth="1"/>
  </cols>
  <sheetData>
    <row r="1" spans="1:10">
      <c r="A1" s="81"/>
      <c r="B1" s="81"/>
      <c r="C1" s="81"/>
      <c r="D1" s="267"/>
      <c r="E1" s="267"/>
      <c r="F1" s="267"/>
      <c r="G1" s="268"/>
      <c r="H1" s="268"/>
      <c r="I1" s="268"/>
      <c r="J1" s="268"/>
    </row>
    <row r="2" spans="1:10" ht="30" customHeight="1">
      <c r="A2" s="81"/>
      <c r="B2" s="81"/>
      <c r="C2" s="81"/>
      <c r="D2" s="269">
        <v>0.3</v>
      </c>
      <c r="E2" s="269"/>
      <c r="F2" s="269"/>
      <c r="G2" s="270"/>
      <c r="H2" s="270"/>
      <c r="I2" s="270"/>
      <c r="J2" s="270"/>
    </row>
    <row r="3" spans="1:10" s="61" customFormat="1" ht="55.2">
      <c r="A3" s="194" t="s">
        <v>67</v>
      </c>
      <c r="B3" s="271" t="s">
        <v>43</v>
      </c>
      <c r="C3" s="222" t="s">
        <v>297</v>
      </c>
      <c r="D3" s="272" t="s">
        <v>298</v>
      </c>
      <c r="E3" s="272" t="s">
        <v>299</v>
      </c>
      <c r="F3" s="272" t="s">
        <v>300</v>
      </c>
      <c r="G3" s="272" t="s">
        <v>301</v>
      </c>
    </row>
    <row r="4" spans="1:10">
      <c r="A4" s="194" t="s">
        <v>302</v>
      </c>
      <c r="B4" s="271" t="s">
        <v>303</v>
      </c>
      <c r="C4" s="274">
        <f>'объем работ 100% загр'!L4</f>
        <v>5.3733696380596108</v>
      </c>
      <c r="D4" s="170">
        <f>'объем работ 100% загр'!S4</f>
        <v>504</v>
      </c>
      <c r="E4" s="170">
        <f t="shared" ref="E4:E22" si="0">C4*D4</f>
        <v>2708.1782975820438</v>
      </c>
      <c r="F4" s="170">
        <f t="shared" ref="F4:F22" si="1">E4*3</f>
        <v>8124.5348927461309</v>
      </c>
      <c r="G4" s="170">
        <f t="shared" ref="G4:G22" si="2">E4*12</f>
        <v>32498.139570984524</v>
      </c>
    </row>
    <row r="5" spans="1:10" ht="124.2">
      <c r="A5" s="194" t="s">
        <v>304</v>
      </c>
      <c r="B5" s="271" t="s">
        <v>305</v>
      </c>
      <c r="C5" s="274">
        <f>'объем работ 100% загр'!L5</f>
        <v>1.0643717441716964E-2</v>
      </c>
      <c r="D5" s="170">
        <f>'объем работ 100% загр'!S5</f>
        <v>4000000</v>
      </c>
      <c r="E5" s="170">
        <f t="shared" si="0"/>
        <v>42574.869766867858</v>
      </c>
      <c r="F5" s="170">
        <f t="shared" si="1"/>
        <v>127724.60930060357</v>
      </c>
      <c r="G5" s="170">
        <f t="shared" si="2"/>
        <v>510898.43720241426</v>
      </c>
    </row>
    <row r="6" spans="1:10" ht="123.75" customHeight="1">
      <c r="A6" s="194" t="s">
        <v>306</v>
      </c>
      <c r="B6" s="271" t="s">
        <v>305</v>
      </c>
      <c r="C6" s="274">
        <f>'объем работ 100% загр'!L6</f>
        <v>15.712154318725043</v>
      </c>
      <c r="D6" s="170">
        <f>'объем работ 100% загр'!S6</f>
        <v>4344</v>
      </c>
      <c r="E6" s="170">
        <f t="shared" si="0"/>
        <v>68253.598360541582</v>
      </c>
      <c r="F6" s="170">
        <f t="shared" si="1"/>
        <v>204760.79508162476</v>
      </c>
      <c r="G6" s="170">
        <f t="shared" si="2"/>
        <v>819043.18032649904</v>
      </c>
    </row>
    <row r="7" spans="1:10" ht="55.2">
      <c r="A7" s="194" t="s">
        <v>307</v>
      </c>
      <c r="B7" s="271" t="s">
        <v>308</v>
      </c>
      <c r="C7" s="274" t="e">
        <f t="shared" ref="C7:C25" si="3">'объем работ 100% загр'!#REF!</f>
        <v>#REF!</v>
      </c>
      <c r="D7" s="170" t="e">
        <f t="shared" ref="D7:D25" si="4">'объем работ 100% загр'!#REF!</f>
        <v>#REF!</v>
      </c>
      <c r="E7" s="170" t="e">
        <f t="shared" si="0"/>
        <v>#REF!</v>
      </c>
      <c r="F7" s="170" t="e">
        <f t="shared" si="1"/>
        <v>#REF!</v>
      </c>
      <c r="G7" s="170" t="e">
        <f t="shared" si="2"/>
        <v>#REF!</v>
      </c>
    </row>
    <row r="8" spans="1:10" ht="27.6">
      <c r="A8" s="194" t="s">
        <v>309</v>
      </c>
      <c r="B8" s="271" t="s">
        <v>310</v>
      </c>
      <c r="C8" s="274" t="e">
        <f t="shared" si="3"/>
        <v>#REF!</v>
      </c>
      <c r="D8" s="170" t="e">
        <f t="shared" si="4"/>
        <v>#REF!</v>
      </c>
      <c r="E8" s="170" t="e">
        <f t="shared" si="0"/>
        <v>#REF!</v>
      </c>
      <c r="F8" s="170" t="e">
        <f t="shared" si="1"/>
        <v>#REF!</v>
      </c>
      <c r="G8" s="170" t="e">
        <f t="shared" si="2"/>
        <v>#REF!</v>
      </c>
    </row>
    <row r="9" spans="1:10" ht="27.6">
      <c r="A9" s="194" t="s">
        <v>311</v>
      </c>
      <c r="B9" s="271" t="s">
        <v>312</v>
      </c>
      <c r="C9" s="274" t="e">
        <f t="shared" si="3"/>
        <v>#REF!</v>
      </c>
      <c r="D9" s="170" t="e">
        <f t="shared" si="4"/>
        <v>#REF!</v>
      </c>
      <c r="E9" s="170" t="e">
        <f t="shared" si="0"/>
        <v>#REF!</v>
      </c>
      <c r="F9" s="170" t="e">
        <f t="shared" si="1"/>
        <v>#REF!</v>
      </c>
      <c r="G9" s="170" t="e">
        <f t="shared" si="2"/>
        <v>#REF!</v>
      </c>
    </row>
    <row r="10" spans="1:10" ht="69">
      <c r="A10" s="194" t="s">
        <v>313</v>
      </c>
      <c r="B10" s="271" t="s">
        <v>314</v>
      </c>
      <c r="C10" s="274" t="e">
        <f t="shared" si="3"/>
        <v>#REF!</v>
      </c>
      <c r="D10" s="170" t="e">
        <f t="shared" si="4"/>
        <v>#REF!</v>
      </c>
      <c r="E10" s="170" t="e">
        <f t="shared" si="0"/>
        <v>#REF!</v>
      </c>
      <c r="F10" s="170" t="e">
        <f t="shared" si="1"/>
        <v>#REF!</v>
      </c>
      <c r="G10" s="170" t="e">
        <f t="shared" si="2"/>
        <v>#REF!</v>
      </c>
    </row>
    <row r="11" spans="1:10" ht="69">
      <c r="A11" s="194" t="s">
        <v>315</v>
      </c>
      <c r="B11" s="271" t="s">
        <v>316</v>
      </c>
      <c r="C11" s="274" t="e">
        <f t="shared" si="3"/>
        <v>#REF!</v>
      </c>
      <c r="D11" s="170" t="e">
        <f t="shared" si="4"/>
        <v>#REF!</v>
      </c>
      <c r="E11" s="170" t="e">
        <f t="shared" si="0"/>
        <v>#REF!</v>
      </c>
      <c r="F11" s="170" t="e">
        <f t="shared" si="1"/>
        <v>#REF!</v>
      </c>
      <c r="G11" s="170" t="e">
        <f t="shared" si="2"/>
        <v>#REF!</v>
      </c>
    </row>
    <row r="12" spans="1:10" ht="72">
      <c r="A12" s="51" t="s">
        <v>317</v>
      </c>
      <c r="B12" s="271" t="s">
        <v>314</v>
      </c>
      <c r="C12" s="274" t="e">
        <f t="shared" si="3"/>
        <v>#REF!</v>
      </c>
      <c r="D12" s="170" t="e">
        <f t="shared" si="4"/>
        <v>#REF!</v>
      </c>
      <c r="E12" s="170" t="e">
        <f t="shared" si="0"/>
        <v>#REF!</v>
      </c>
      <c r="F12" s="170" t="e">
        <f t="shared" si="1"/>
        <v>#REF!</v>
      </c>
      <c r="G12" s="170" t="e">
        <f t="shared" si="2"/>
        <v>#REF!</v>
      </c>
    </row>
    <row r="13" spans="1:10" ht="72">
      <c r="A13" s="51" t="s">
        <v>318</v>
      </c>
      <c r="B13" s="271" t="s">
        <v>316</v>
      </c>
      <c r="C13" s="274" t="e">
        <f t="shared" si="3"/>
        <v>#REF!</v>
      </c>
      <c r="D13" s="170" t="e">
        <f t="shared" si="4"/>
        <v>#REF!</v>
      </c>
      <c r="E13" s="170" t="e">
        <f t="shared" si="0"/>
        <v>#REF!</v>
      </c>
      <c r="F13" s="170" t="e">
        <f t="shared" si="1"/>
        <v>#REF!</v>
      </c>
      <c r="G13" s="170" t="e">
        <f t="shared" si="2"/>
        <v>#REF!</v>
      </c>
    </row>
    <row r="14" spans="1:10" ht="86.4">
      <c r="A14" s="51" t="s">
        <v>319</v>
      </c>
      <c r="B14" s="271" t="s">
        <v>314</v>
      </c>
      <c r="C14" s="274" t="e">
        <f t="shared" si="3"/>
        <v>#REF!</v>
      </c>
      <c r="D14" s="170" t="e">
        <f t="shared" si="4"/>
        <v>#REF!</v>
      </c>
      <c r="E14" s="170" t="e">
        <f t="shared" si="0"/>
        <v>#REF!</v>
      </c>
      <c r="F14" s="170" t="e">
        <f t="shared" si="1"/>
        <v>#REF!</v>
      </c>
      <c r="G14" s="170" t="e">
        <f t="shared" si="2"/>
        <v>#REF!</v>
      </c>
    </row>
    <row r="15" spans="1:10" ht="86.4">
      <c r="A15" s="51" t="s">
        <v>320</v>
      </c>
      <c r="B15" s="271" t="s">
        <v>316</v>
      </c>
      <c r="C15" s="274" t="e">
        <f t="shared" si="3"/>
        <v>#REF!</v>
      </c>
      <c r="D15" s="170" t="e">
        <f t="shared" si="4"/>
        <v>#REF!</v>
      </c>
      <c r="E15" s="170" t="e">
        <f t="shared" si="0"/>
        <v>#REF!</v>
      </c>
      <c r="F15" s="170" t="e">
        <f t="shared" si="1"/>
        <v>#REF!</v>
      </c>
      <c r="G15" s="170" t="e">
        <f t="shared" si="2"/>
        <v>#REF!</v>
      </c>
    </row>
    <row r="16" spans="1:10" ht="72">
      <c r="A16" s="51" t="s">
        <v>321</v>
      </c>
      <c r="B16" s="271" t="s">
        <v>314</v>
      </c>
      <c r="C16" s="274" t="e">
        <f t="shared" si="3"/>
        <v>#REF!</v>
      </c>
      <c r="D16" s="170" t="e">
        <f t="shared" si="4"/>
        <v>#REF!</v>
      </c>
      <c r="E16" s="170" t="e">
        <f t="shared" si="0"/>
        <v>#REF!</v>
      </c>
      <c r="F16" s="170" t="e">
        <f t="shared" si="1"/>
        <v>#REF!</v>
      </c>
      <c r="G16" s="170" t="e">
        <f t="shared" si="2"/>
        <v>#REF!</v>
      </c>
    </row>
    <row r="17" spans="1:9" ht="72">
      <c r="A17" s="51" t="s">
        <v>322</v>
      </c>
      <c r="B17" s="271" t="s">
        <v>316</v>
      </c>
      <c r="C17" s="274" t="e">
        <f t="shared" si="3"/>
        <v>#REF!</v>
      </c>
      <c r="D17" s="170" t="e">
        <f t="shared" si="4"/>
        <v>#REF!</v>
      </c>
      <c r="E17" s="170" t="e">
        <f t="shared" si="0"/>
        <v>#REF!</v>
      </c>
      <c r="F17" s="170" t="e">
        <f t="shared" si="1"/>
        <v>#REF!</v>
      </c>
      <c r="G17" s="170" t="e">
        <f t="shared" si="2"/>
        <v>#REF!</v>
      </c>
    </row>
    <row r="18" spans="1:9" ht="27.6">
      <c r="A18" s="51" t="s">
        <v>323</v>
      </c>
      <c r="B18" s="271" t="s">
        <v>314</v>
      </c>
      <c r="C18" s="274" t="e">
        <f t="shared" si="3"/>
        <v>#REF!</v>
      </c>
      <c r="D18" s="170" t="e">
        <f t="shared" si="4"/>
        <v>#REF!</v>
      </c>
      <c r="E18" s="170" t="e">
        <f t="shared" si="0"/>
        <v>#REF!</v>
      </c>
      <c r="F18" s="170" t="e">
        <f t="shared" si="1"/>
        <v>#REF!</v>
      </c>
      <c r="G18" s="170" t="e">
        <f t="shared" si="2"/>
        <v>#REF!</v>
      </c>
    </row>
    <row r="19" spans="1:9" ht="72">
      <c r="A19" s="51" t="s">
        <v>324</v>
      </c>
      <c r="B19" s="271" t="s">
        <v>325</v>
      </c>
      <c r="C19" s="274" t="e">
        <f t="shared" si="3"/>
        <v>#REF!</v>
      </c>
      <c r="D19" s="170" t="e">
        <f t="shared" si="4"/>
        <v>#REF!</v>
      </c>
      <c r="E19" s="170" t="e">
        <f t="shared" si="0"/>
        <v>#REF!</v>
      </c>
      <c r="F19" s="170" t="e">
        <f t="shared" si="1"/>
        <v>#REF!</v>
      </c>
      <c r="G19" s="170" t="e">
        <f t="shared" si="2"/>
        <v>#REF!</v>
      </c>
    </row>
    <row r="20" spans="1:9" ht="72">
      <c r="A20" s="51" t="s">
        <v>326</v>
      </c>
      <c r="B20" s="271" t="s">
        <v>325</v>
      </c>
      <c r="C20" s="274" t="e">
        <f t="shared" si="3"/>
        <v>#REF!</v>
      </c>
      <c r="D20" s="170" t="e">
        <f t="shared" si="4"/>
        <v>#REF!</v>
      </c>
      <c r="E20" s="170" t="e">
        <f t="shared" si="0"/>
        <v>#REF!</v>
      </c>
      <c r="F20" s="170" t="e">
        <f t="shared" si="1"/>
        <v>#REF!</v>
      </c>
      <c r="G20" s="170" t="e">
        <f t="shared" si="2"/>
        <v>#REF!</v>
      </c>
    </row>
    <row r="21" spans="1:9">
      <c r="A21" s="51" t="s">
        <v>327</v>
      </c>
      <c r="B21" s="52" t="s">
        <v>325</v>
      </c>
      <c r="C21" s="274" t="e">
        <f t="shared" si="3"/>
        <v>#REF!</v>
      </c>
      <c r="D21" s="170" t="e">
        <f t="shared" si="4"/>
        <v>#REF!</v>
      </c>
      <c r="E21" s="170" t="e">
        <f t="shared" si="0"/>
        <v>#REF!</v>
      </c>
      <c r="F21" s="170" t="e">
        <f t="shared" si="1"/>
        <v>#REF!</v>
      </c>
      <c r="G21" s="170" t="e">
        <f t="shared" si="2"/>
        <v>#REF!</v>
      </c>
    </row>
    <row r="22" spans="1:9" ht="28.8">
      <c r="A22" s="51" t="s">
        <v>328</v>
      </c>
      <c r="B22" s="52" t="s">
        <v>325</v>
      </c>
      <c r="C22" s="274" t="e">
        <f t="shared" si="3"/>
        <v>#REF!</v>
      </c>
      <c r="D22" s="170" t="e">
        <f t="shared" si="4"/>
        <v>#REF!</v>
      </c>
      <c r="E22" s="170" t="e">
        <f t="shared" si="0"/>
        <v>#REF!</v>
      </c>
      <c r="F22" s="170" t="e">
        <f t="shared" si="1"/>
        <v>#REF!</v>
      </c>
      <c r="G22" s="170" t="e">
        <f t="shared" si="2"/>
        <v>#REF!</v>
      </c>
    </row>
    <row r="23" spans="1:9" ht="28.8">
      <c r="A23" s="51" t="s">
        <v>329</v>
      </c>
      <c r="B23" s="52" t="s">
        <v>330</v>
      </c>
      <c r="C23" s="274" t="e">
        <f t="shared" si="3"/>
        <v>#REF!</v>
      </c>
      <c r="D23" s="170" t="e">
        <f t="shared" si="4"/>
        <v>#REF!</v>
      </c>
      <c r="E23" s="170" t="e">
        <f t="shared" ref="E23:E25" si="5">C23*D23</f>
        <v>#REF!</v>
      </c>
      <c r="F23" s="170" t="e">
        <f t="shared" ref="F23:F25" si="6">E23*3</f>
        <v>#REF!</v>
      </c>
      <c r="G23" s="170" t="e">
        <f t="shared" ref="G23:G25" si="7">E23*12</f>
        <v>#REF!</v>
      </c>
    </row>
    <row r="24" spans="1:9" ht="56.25" customHeight="1">
      <c r="A24" s="51" t="s">
        <v>331</v>
      </c>
      <c r="B24" s="51" t="s">
        <v>325</v>
      </c>
      <c r="C24" s="274" t="e">
        <f t="shared" si="3"/>
        <v>#REF!</v>
      </c>
      <c r="D24" s="275" t="e">
        <f t="shared" si="4"/>
        <v>#REF!</v>
      </c>
      <c r="E24" s="275" t="e">
        <f t="shared" si="5"/>
        <v>#REF!</v>
      </c>
      <c r="F24" s="275" t="e">
        <f t="shared" si="6"/>
        <v>#REF!</v>
      </c>
      <c r="G24" s="275" t="e">
        <f t="shared" si="7"/>
        <v>#REF!</v>
      </c>
    </row>
    <row r="25" spans="1:9" ht="56.25" customHeight="1">
      <c r="A25" s="51" t="s">
        <v>332</v>
      </c>
      <c r="B25" s="51" t="s">
        <v>325</v>
      </c>
      <c r="C25" s="274" t="e">
        <f t="shared" si="3"/>
        <v>#REF!</v>
      </c>
      <c r="D25" s="275" t="e">
        <f t="shared" si="4"/>
        <v>#REF!</v>
      </c>
      <c r="E25" s="275" t="e">
        <f t="shared" si="5"/>
        <v>#REF!</v>
      </c>
      <c r="F25" s="275" t="e">
        <f t="shared" si="6"/>
        <v>#REF!</v>
      </c>
      <c r="G25" s="275" t="e">
        <f t="shared" si="7"/>
        <v>#REF!</v>
      </c>
    </row>
    <row r="27" spans="1:9">
      <c r="F27" s="69" t="e">
        <f>SUM(F4:F26)</f>
        <v>#REF!</v>
      </c>
      <c r="G27" t="e">
        <f>SUM(G4:G26)</f>
        <v>#REF!</v>
      </c>
      <c r="I27" s="69"/>
    </row>
  </sheetData>
  <pageMargins left="0.7" right="0.7" top="0.75" bottom="0.75" header="0.3" footer="0.3"/>
  <pageSetup paperSize="9" firstPageNumber="2147483648" orientation="portrait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J27"/>
  <sheetViews>
    <sheetView zoomScale="70" workbookViewId="0">
      <pane xSplit="1" topLeftCell="B1" activePane="topRight" state="frozen"/>
      <selection pane="topRight"/>
    </sheetView>
  </sheetViews>
  <sheetFormatPr defaultRowHeight="14.4"/>
  <cols>
    <col min="1" max="1" width="26.5546875" style="51" customWidth="1"/>
    <col min="2" max="2" width="11.88671875" style="52" customWidth="1"/>
    <col min="3" max="3" width="13" style="53" customWidth="1"/>
    <col min="4" max="6" width="12.88671875" style="69" customWidth="1"/>
    <col min="7" max="7" width="10.109375" bestFit="1" customWidth="1"/>
  </cols>
  <sheetData>
    <row r="1" spans="1:10">
      <c r="A1" s="81"/>
      <c r="B1" s="81"/>
      <c r="C1" s="81"/>
      <c r="D1" s="267"/>
      <c r="E1" s="267"/>
      <c r="F1" s="267"/>
      <c r="G1" s="268"/>
      <c r="H1" s="268"/>
      <c r="I1" s="268"/>
      <c r="J1" s="268"/>
    </row>
    <row r="2" spans="1:10" ht="30" customHeight="1">
      <c r="A2" s="81"/>
      <c r="B2" s="81"/>
      <c r="C2" s="81"/>
      <c r="D2" s="269">
        <v>0.3</v>
      </c>
      <c r="E2" s="269"/>
      <c r="F2" s="269"/>
      <c r="G2" s="270"/>
      <c r="H2" s="270"/>
      <c r="I2" s="270"/>
      <c r="J2" s="270"/>
    </row>
    <row r="3" spans="1:10" s="61" customFormat="1" ht="55.2">
      <c r="A3" s="194" t="s">
        <v>67</v>
      </c>
      <c r="B3" s="271" t="s">
        <v>43</v>
      </c>
      <c r="C3" s="222" t="s">
        <v>297</v>
      </c>
      <c r="D3" s="272" t="s">
        <v>298</v>
      </c>
      <c r="E3" s="272" t="s">
        <v>299</v>
      </c>
      <c r="F3" s="272" t="s">
        <v>300</v>
      </c>
      <c r="G3" s="272" t="s">
        <v>301</v>
      </c>
    </row>
    <row r="4" spans="1:10">
      <c r="A4" s="194" t="s">
        <v>302</v>
      </c>
      <c r="B4" s="271" t="s">
        <v>303</v>
      </c>
      <c r="C4" s="274" t="e">
        <f t="shared" ref="C4:C25" si="0">'объем работ 100% загр'!#REF!</f>
        <v>#REF!</v>
      </c>
      <c r="D4" s="170">
        <f>'объем работ 100% загр'!S4</f>
        <v>504</v>
      </c>
      <c r="E4" s="170" t="e">
        <f t="shared" ref="E4:E22" si="1">C4*D4</f>
        <v>#REF!</v>
      </c>
      <c r="F4" s="170" t="e">
        <f t="shared" ref="F4:F22" si="2">E4*3</f>
        <v>#REF!</v>
      </c>
      <c r="G4" s="170" t="e">
        <f t="shared" ref="G4:G22" si="3">E4*12</f>
        <v>#REF!</v>
      </c>
    </row>
    <row r="5" spans="1:10" ht="124.2">
      <c r="A5" s="194" t="s">
        <v>304</v>
      </c>
      <c r="B5" s="271" t="s">
        <v>305</v>
      </c>
      <c r="C5" s="274" t="e">
        <f t="shared" si="0"/>
        <v>#REF!</v>
      </c>
      <c r="D5" s="170">
        <f>'объем работ 100% загр'!S5</f>
        <v>4000000</v>
      </c>
      <c r="E5" s="170" t="e">
        <f t="shared" si="1"/>
        <v>#REF!</v>
      </c>
      <c r="F5" s="170" t="e">
        <f t="shared" si="2"/>
        <v>#REF!</v>
      </c>
      <c r="G5" s="170" t="e">
        <f t="shared" si="3"/>
        <v>#REF!</v>
      </c>
    </row>
    <row r="6" spans="1:10" ht="123.75" customHeight="1">
      <c r="A6" s="194" t="s">
        <v>306</v>
      </c>
      <c r="B6" s="271" t="s">
        <v>305</v>
      </c>
      <c r="C6" s="274" t="e">
        <f t="shared" si="0"/>
        <v>#REF!</v>
      </c>
      <c r="D6" s="170">
        <f>'объем работ 100% загр'!S6</f>
        <v>4344</v>
      </c>
      <c r="E6" s="170" t="e">
        <f t="shared" si="1"/>
        <v>#REF!</v>
      </c>
      <c r="F6" s="170" t="e">
        <f t="shared" si="2"/>
        <v>#REF!</v>
      </c>
      <c r="G6" s="170" t="e">
        <f t="shared" si="3"/>
        <v>#REF!</v>
      </c>
    </row>
    <row r="7" spans="1:10" ht="55.2">
      <c r="A7" s="194" t="s">
        <v>307</v>
      </c>
      <c r="B7" s="271" t="s">
        <v>308</v>
      </c>
      <c r="C7" s="274" t="e">
        <f t="shared" si="0"/>
        <v>#REF!</v>
      </c>
      <c r="D7" s="170" t="e">
        <f t="shared" ref="D7:D25" si="4">'объем работ 100% загр'!#REF!</f>
        <v>#REF!</v>
      </c>
      <c r="E7" s="170" t="e">
        <f t="shared" si="1"/>
        <v>#REF!</v>
      </c>
      <c r="F7" s="170" t="e">
        <f t="shared" si="2"/>
        <v>#REF!</v>
      </c>
      <c r="G7" s="170" t="e">
        <f t="shared" si="3"/>
        <v>#REF!</v>
      </c>
    </row>
    <row r="8" spans="1:10" ht="27.6">
      <c r="A8" s="194" t="s">
        <v>309</v>
      </c>
      <c r="B8" s="271" t="s">
        <v>310</v>
      </c>
      <c r="C8" s="274" t="e">
        <f t="shared" si="0"/>
        <v>#REF!</v>
      </c>
      <c r="D8" s="170" t="e">
        <f t="shared" si="4"/>
        <v>#REF!</v>
      </c>
      <c r="E8" s="170" t="e">
        <f t="shared" si="1"/>
        <v>#REF!</v>
      </c>
      <c r="F8" s="170" t="e">
        <f t="shared" si="2"/>
        <v>#REF!</v>
      </c>
      <c r="G8" s="170" t="e">
        <f t="shared" si="3"/>
        <v>#REF!</v>
      </c>
    </row>
    <row r="9" spans="1:10" ht="27.6">
      <c r="A9" s="194" t="s">
        <v>311</v>
      </c>
      <c r="B9" s="271" t="s">
        <v>312</v>
      </c>
      <c r="C9" s="274" t="e">
        <f t="shared" si="0"/>
        <v>#REF!</v>
      </c>
      <c r="D9" s="170" t="e">
        <f t="shared" si="4"/>
        <v>#REF!</v>
      </c>
      <c r="E9" s="170" t="e">
        <f t="shared" si="1"/>
        <v>#REF!</v>
      </c>
      <c r="F9" s="170" t="e">
        <f t="shared" si="2"/>
        <v>#REF!</v>
      </c>
      <c r="G9" s="170" t="e">
        <f t="shared" si="3"/>
        <v>#REF!</v>
      </c>
    </row>
    <row r="10" spans="1:10" ht="69">
      <c r="A10" s="194" t="s">
        <v>313</v>
      </c>
      <c r="B10" s="271" t="s">
        <v>314</v>
      </c>
      <c r="C10" s="274" t="e">
        <f t="shared" si="0"/>
        <v>#REF!</v>
      </c>
      <c r="D10" s="170" t="e">
        <f t="shared" si="4"/>
        <v>#REF!</v>
      </c>
      <c r="E10" s="170" t="e">
        <f t="shared" si="1"/>
        <v>#REF!</v>
      </c>
      <c r="F10" s="170" t="e">
        <f t="shared" si="2"/>
        <v>#REF!</v>
      </c>
      <c r="G10" s="170" t="e">
        <f t="shared" si="3"/>
        <v>#REF!</v>
      </c>
    </row>
    <row r="11" spans="1:10" ht="69">
      <c r="A11" s="194" t="s">
        <v>315</v>
      </c>
      <c r="B11" s="271" t="s">
        <v>316</v>
      </c>
      <c r="C11" s="274" t="e">
        <f t="shared" si="0"/>
        <v>#REF!</v>
      </c>
      <c r="D11" s="170" t="e">
        <f t="shared" si="4"/>
        <v>#REF!</v>
      </c>
      <c r="E11" s="170" t="e">
        <f t="shared" si="1"/>
        <v>#REF!</v>
      </c>
      <c r="F11" s="170" t="e">
        <f t="shared" si="2"/>
        <v>#REF!</v>
      </c>
      <c r="G11" s="170" t="e">
        <f t="shared" si="3"/>
        <v>#REF!</v>
      </c>
    </row>
    <row r="12" spans="1:10" ht="72">
      <c r="A12" s="51" t="s">
        <v>317</v>
      </c>
      <c r="B12" s="271" t="s">
        <v>314</v>
      </c>
      <c r="C12" s="274" t="e">
        <f t="shared" si="0"/>
        <v>#REF!</v>
      </c>
      <c r="D12" s="170" t="e">
        <f t="shared" si="4"/>
        <v>#REF!</v>
      </c>
      <c r="E12" s="170" t="e">
        <f t="shared" si="1"/>
        <v>#REF!</v>
      </c>
      <c r="F12" s="170" t="e">
        <f t="shared" si="2"/>
        <v>#REF!</v>
      </c>
      <c r="G12" s="170" t="e">
        <f t="shared" si="3"/>
        <v>#REF!</v>
      </c>
    </row>
    <row r="13" spans="1:10" ht="72">
      <c r="A13" s="51" t="s">
        <v>318</v>
      </c>
      <c r="B13" s="271" t="s">
        <v>316</v>
      </c>
      <c r="C13" s="274" t="e">
        <f t="shared" si="0"/>
        <v>#REF!</v>
      </c>
      <c r="D13" s="170" t="e">
        <f t="shared" si="4"/>
        <v>#REF!</v>
      </c>
      <c r="E13" s="170" t="e">
        <f t="shared" si="1"/>
        <v>#REF!</v>
      </c>
      <c r="F13" s="170" t="e">
        <f t="shared" si="2"/>
        <v>#REF!</v>
      </c>
      <c r="G13" s="170" t="e">
        <f t="shared" si="3"/>
        <v>#REF!</v>
      </c>
    </row>
    <row r="14" spans="1:10" ht="86.4">
      <c r="A14" s="51" t="s">
        <v>319</v>
      </c>
      <c r="B14" s="271" t="s">
        <v>314</v>
      </c>
      <c r="C14" s="274" t="e">
        <f t="shared" si="0"/>
        <v>#REF!</v>
      </c>
      <c r="D14" s="170" t="e">
        <f t="shared" si="4"/>
        <v>#REF!</v>
      </c>
      <c r="E14" s="170" t="e">
        <f t="shared" si="1"/>
        <v>#REF!</v>
      </c>
      <c r="F14" s="170" t="e">
        <f t="shared" si="2"/>
        <v>#REF!</v>
      </c>
      <c r="G14" s="170" t="e">
        <f t="shared" si="3"/>
        <v>#REF!</v>
      </c>
    </row>
    <row r="15" spans="1:10" ht="86.4">
      <c r="A15" s="51" t="s">
        <v>320</v>
      </c>
      <c r="B15" s="271" t="s">
        <v>316</v>
      </c>
      <c r="C15" s="274" t="e">
        <f t="shared" si="0"/>
        <v>#REF!</v>
      </c>
      <c r="D15" s="170" t="e">
        <f t="shared" si="4"/>
        <v>#REF!</v>
      </c>
      <c r="E15" s="170" t="e">
        <f t="shared" si="1"/>
        <v>#REF!</v>
      </c>
      <c r="F15" s="170" t="e">
        <f t="shared" si="2"/>
        <v>#REF!</v>
      </c>
      <c r="G15" s="170" t="e">
        <f t="shared" si="3"/>
        <v>#REF!</v>
      </c>
    </row>
    <row r="16" spans="1:10" ht="72">
      <c r="A16" s="51" t="s">
        <v>321</v>
      </c>
      <c r="B16" s="271" t="s">
        <v>314</v>
      </c>
      <c r="C16" s="274" t="e">
        <f t="shared" si="0"/>
        <v>#REF!</v>
      </c>
      <c r="D16" s="170" t="e">
        <f t="shared" si="4"/>
        <v>#REF!</v>
      </c>
      <c r="E16" s="170" t="e">
        <f t="shared" si="1"/>
        <v>#REF!</v>
      </c>
      <c r="F16" s="170" t="e">
        <f t="shared" si="2"/>
        <v>#REF!</v>
      </c>
      <c r="G16" s="170" t="e">
        <f t="shared" si="3"/>
        <v>#REF!</v>
      </c>
    </row>
    <row r="17" spans="1:9" ht="72">
      <c r="A17" s="51" t="s">
        <v>322</v>
      </c>
      <c r="B17" s="271" t="s">
        <v>316</v>
      </c>
      <c r="C17" s="274" t="e">
        <f t="shared" si="0"/>
        <v>#REF!</v>
      </c>
      <c r="D17" s="170" t="e">
        <f t="shared" si="4"/>
        <v>#REF!</v>
      </c>
      <c r="E17" s="170" t="e">
        <f t="shared" si="1"/>
        <v>#REF!</v>
      </c>
      <c r="F17" s="170" t="e">
        <f t="shared" si="2"/>
        <v>#REF!</v>
      </c>
      <c r="G17" s="170" t="e">
        <f t="shared" si="3"/>
        <v>#REF!</v>
      </c>
    </row>
    <row r="18" spans="1:9" ht="27.6">
      <c r="A18" s="51" t="s">
        <v>323</v>
      </c>
      <c r="B18" s="271" t="s">
        <v>314</v>
      </c>
      <c r="C18" s="274" t="e">
        <f t="shared" si="0"/>
        <v>#REF!</v>
      </c>
      <c r="D18" s="170" t="e">
        <f t="shared" si="4"/>
        <v>#REF!</v>
      </c>
      <c r="E18" s="170" t="e">
        <f t="shared" si="1"/>
        <v>#REF!</v>
      </c>
      <c r="F18" s="170" t="e">
        <f t="shared" si="2"/>
        <v>#REF!</v>
      </c>
      <c r="G18" s="170" t="e">
        <f t="shared" si="3"/>
        <v>#REF!</v>
      </c>
    </row>
    <row r="19" spans="1:9" ht="72">
      <c r="A19" s="51" t="s">
        <v>324</v>
      </c>
      <c r="B19" s="271" t="s">
        <v>325</v>
      </c>
      <c r="C19" s="274" t="e">
        <f t="shared" si="0"/>
        <v>#REF!</v>
      </c>
      <c r="D19" s="170" t="e">
        <f t="shared" si="4"/>
        <v>#REF!</v>
      </c>
      <c r="E19" s="170" t="e">
        <f t="shared" si="1"/>
        <v>#REF!</v>
      </c>
      <c r="F19" s="170" t="e">
        <f t="shared" si="2"/>
        <v>#REF!</v>
      </c>
      <c r="G19" s="170" t="e">
        <f t="shared" si="3"/>
        <v>#REF!</v>
      </c>
    </row>
    <row r="20" spans="1:9" ht="72">
      <c r="A20" s="51" t="s">
        <v>326</v>
      </c>
      <c r="B20" s="271" t="s">
        <v>325</v>
      </c>
      <c r="C20" s="274" t="e">
        <f t="shared" si="0"/>
        <v>#REF!</v>
      </c>
      <c r="D20" s="170" t="e">
        <f t="shared" si="4"/>
        <v>#REF!</v>
      </c>
      <c r="E20" s="170" t="e">
        <f t="shared" si="1"/>
        <v>#REF!</v>
      </c>
      <c r="F20" s="170" t="e">
        <f t="shared" si="2"/>
        <v>#REF!</v>
      </c>
      <c r="G20" s="170" t="e">
        <f t="shared" si="3"/>
        <v>#REF!</v>
      </c>
    </row>
    <row r="21" spans="1:9">
      <c r="A21" s="51" t="s">
        <v>327</v>
      </c>
      <c r="B21" s="52" t="s">
        <v>325</v>
      </c>
      <c r="C21" s="274" t="e">
        <f t="shared" si="0"/>
        <v>#REF!</v>
      </c>
      <c r="D21" s="170" t="e">
        <f t="shared" si="4"/>
        <v>#REF!</v>
      </c>
      <c r="E21" s="170" t="e">
        <f t="shared" si="1"/>
        <v>#REF!</v>
      </c>
      <c r="F21" s="170" t="e">
        <f t="shared" si="2"/>
        <v>#REF!</v>
      </c>
      <c r="G21" s="170" t="e">
        <f t="shared" si="3"/>
        <v>#REF!</v>
      </c>
    </row>
    <row r="22" spans="1:9" ht="28.8">
      <c r="A22" s="51" t="s">
        <v>328</v>
      </c>
      <c r="B22" s="52" t="s">
        <v>325</v>
      </c>
      <c r="C22" s="274" t="e">
        <f t="shared" si="0"/>
        <v>#REF!</v>
      </c>
      <c r="D22" s="170" t="e">
        <f t="shared" si="4"/>
        <v>#REF!</v>
      </c>
      <c r="E22" s="170" t="e">
        <f t="shared" si="1"/>
        <v>#REF!</v>
      </c>
      <c r="F22" s="170" t="e">
        <f t="shared" si="2"/>
        <v>#REF!</v>
      </c>
      <c r="G22" s="170" t="e">
        <f t="shared" si="3"/>
        <v>#REF!</v>
      </c>
    </row>
    <row r="23" spans="1:9" ht="28.8">
      <c r="A23" s="51" t="s">
        <v>329</v>
      </c>
      <c r="B23" s="52" t="s">
        <v>330</v>
      </c>
      <c r="C23" s="274" t="e">
        <f t="shared" si="0"/>
        <v>#REF!</v>
      </c>
      <c r="D23" s="170" t="e">
        <f t="shared" si="4"/>
        <v>#REF!</v>
      </c>
      <c r="E23" s="170" t="e">
        <f t="shared" ref="E23:E25" si="5">C23*D23</f>
        <v>#REF!</v>
      </c>
      <c r="F23" s="170" t="e">
        <f t="shared" ref="F23:F25" si="6">E23*3</f>
        <v>#REF!</v>
      </c>
      <c r="G23" s="170" t="e">
        <f t="shared" ref="G23:G25" si="7">E23*12</f>
        <v>#REF!</v>
      </c>
    </row>
    <row r="24" spans="1:9" ht="56.25" customHeight="1">
      <c r="A24" s="51" t="s">
        <v>331</v>
      </c>
      <c r="B24" s="51" t="s">
        <v>325</v>
      </c>
      <c r="C24" s="274" t="e">
        <f t="shared" si="0"/>
        <v>#REF!</v>
      </c>
      <c r="D24" s="275" t="e">
        <f t="shared" si="4"/>
        <v>#REF!</v>
      </c>
      <c r="E24" s="275" t="e">
        <f t="shared" si="5"/>
        <v>#REF!</v>
      </c>
      <c r="F24" s="275" t="e">
        <f t="shared" si="6"/>
        <v>#REF!</v>
      </c>
      <c r="G24" s="275" t="e">
        <f t="shared" si="7"/>
        <v>#REF!</v>
      </c>
    </row>
    <row r="25" spans="1:9" ht="56.25" customHeight="1">
      <c r="A25" s="51" t="s">
        <v>332</v>
      </c>
      <c r="B25" s="51" t="s">
        <v>325</v>
      </c>
      <c r="C25" s="274" t="e">
        <f t="shared" si="0"/>
        <v>#REF!</v>
      </c>
      <c r="D25" s="275" t="e">
        <f t="shared" si="4"/>
        <v>#REF!</v>
      </c>
      <c r="E25" s="275" t="e">
        <f t="shared" si="5"/>
        <v>#REF!</v>
      </c>
      <c r="F25" s="275" t="e">
        <f t="shared" si="6"/>
        <v>#REF!</v>
      </c>
      <c r="G25" s="275" t="e">
        <f t="shared" si="7"/>
        <v>#REF!</v>
      </c>
    </row>
    <row r="27" spans="1:9">
      <c r="F27" s="69" t="e">
        <f>SUM(F4:F26)</f>
        <v>#REF!</v>
      </c>
      <c r="G27" t="e">
        <f>SUM(G4:G26)</f>
        <v>#REF!</v>
      </c>
      <c r="I27" s="69"/>
    </row>
  </sheetData>
  <pageMargins left="0.7" right="0.7" top="0.75" bottom="0.75" header="0.3" footer="0.3"/>
  <pageSetup paperSize="9" firstPageNumber="2147483648" orientation="portrait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B1:AY237"/>
  <sheetViews>
    <sheetView zoomScale="20" zoomScaleNormal="20" workbookViewId="0">
      <selection activeCell="CB14" sqref="CB14"/>
    </sheetView>
  </sheetViews>
  <sheetFormatPr defaultRowHeight="14.4"/>
  <cols>
    <col min="1" max="1" width="5" customWidth="1"/>
    <col min="2" max="2" width="37.5546875" customWidth="1"/>
    <col min="3" max="3" width="12.88671875" customWidth="1"/>
    <col min="4" max="4" width="18" customWidth="1"/>
    <col min="5" max="6" width="16.33203125" customWidth="1"/>
    <col min="7" max="7" width="13.6640625" customWidth="1"/>
    <col min="8" max="8" width="14.33203125" customWidth="1"/>
    <col min="12" max="12" width="4" customWidth="1"/>
    <col min="13" max="13" width="41.44140625" customWidth="1"/>
    <col min="16" max="17" width="12.5546875" customWidth="1"/>
  </cols>
  <sheetData>
    <row r="1" spans="2:10">
      <c r="B1" s="643" t="s">
        <v>377</v>
      </c>
      <c r="J1" s="353" t="s">
        <v>502</v>
      </c>
    </row>
    <row r="3" spans="2:10" ht="47.25" customHeight="1">
      <c r="B3" s="644" t="s">
        <v>466</v>
      </c>
    </row>
    <row r="4" spans="2:10">
      <c r="B4" s="645" t="s">
        <v>467</v>
      </c>
    </row>
    <row r="7" spans="2:10">
      <c r="B7" t="s">
        <v>468</v>
      </c>
    </row>
    <row r="8" spans="2:10" ht="31.5" customHeight="1">
      <c r="B8" t="s">
        <v>469</v>
      </c>
    </row>
    <row r="9" spans="2:10">
      <c r="B9" t="s">
        <v>470</v>
      </c>
    </row>
    <row r="10" spans="2:10">
      <c r="B10" t="s">
        <v>471</v>
      </c>
    </row>
    <row r="13" spans="2:10" ht="31.5" customHeight="1"/>
    <row r="14" spans="2:10" ht="31.5" customHeight="1"/>
    <row r="15" spans="2:10" ht="57" customHeight="1"/>
    <row r="16" spans="2:10" ht="15" customHeight="1"/>
    <row r="17" spans="2:13" ht="14.4" customHeight="1"/>
    <row r="18" spans="2:13" ht="14.4" customHeight="1">
      <c r="B18" s="644" t="s">
        <v>472</v>
      </c>
    </row>
    <row r="19" spans="2:13" ht="31.5" customHeight="1">
      <c r="B19" s="644" t="s">
        <v>473</v>
      </c>
    </row>
    <row r="20" spans="2:13" ht="31.5" customHeight="1">
      <c r="B20" t="s">
        <v>474</v>
      </c>
    </row>
    <row r="21" spans="2:13" ht="31.5" customHeight="1">
      <c r="B21" t="s">
        <v>475</v>
      </c>
    </row>
    <row r="22" spans="2:13">
      <c r="B22" s="353"/>
    </row>
    <row r="23" spans="2:13">
      <c r="B23" t="s">
        <v>476</v>
      </c>
    </row>
    <row r="24" spans="2:13">
      <c r="B24" s="711"/>
      <c r="C24" s="711"/>
      <c r="D24" s="711"/>
      <c r="E24" s="711"/>
      <c r="F24" s="711"/>
      <c r="G24" s="711"/>
      <c r="H24" s="711"/>
      <c r="I24" s="711"/>
      <c r="J24" s="711"/>
      <c r="K24" s="711"/>
      <c r="L24" s="711"/>
      <c r="M24" s="711"/>
    </row>
    <row r="26" spans="2:13">
      <c r="B26" s="646" t="s">
        <v>477</v>
      </c>
    </row>
    <row r="28" spans="2:13">
      <c r="B28" s="647" t="s">
        <v>478</v>
      </c>
    </row>
    <row r="29" spans="2:13">
      <c r="B29" s="647" t="s">
        <v>479</v>
      </c>
    </row>
    <row r="60" spans="2:2">
      <c r="B60" s="643" t="s">
        <v>378</v>
      </c>
    </row>
    <row r="61" spans="2:2">
      <c r="B61" t="s">
        <v>379</v>
      </c>
    </row>
    <row r="62" spans="2:2">
      <c r="B62" t="s">
        <v>380</v>
      </c>
    </row>
    <row r="63" spans="2:2">
      <c r="B63" t="s">
        <v>381</v>
      </c>
    </row>
    <row r="64" spans="2:2">
      <c r="B64" t="s">
        <v>382</v>
      </c>
    </row>
    <row r="65" spans="2:2">
      <c r="B65" t="s">
        <v>383</v>
      </c>
    </row>
    <row r="66" spans="2:2">
      <c r="B66" t="s">
        <v>384</v>
      </c>
    </row>
    <row r="67" spans="2:2">
      <c r="B67" t="s">
        <v>400</v>
      </c>
    </row>
    <row r="68" spans="2:2">
      <c r="B68" t="s">
        <v>407</v>
      </c>
    </row>
    <row r="145" spans="2:2">
      <c r="B145" s="644" t="s">
        <v>401</v>
      </c>
    </row>
    <row r="146" spans="2:2">
      <c r="B146" t="s">
        <v>402</v>
      </c>
    </row>
    <row r="237" spans="51:51">
      <c r="AY237" s="353"/>
    </row>
  </sheetData>
  <mergeCells count="1">
    <mergeCell ref="B24:M24"/>
  </mergeCells>
  <hyperlinks>
    <hyperlink ref="J1" r:id="rId1" display="https://pstu.ru/files/file/adm/fakultety/katalog_tehnicheskih_i_tehnologicheskih_resheniy_dlya_proektirovaniya_musoropererabatyvayuschih_predpriyatiy(1).pdf?ysclid=lg9dxufte0955821520" xr:uid="{6C5C6C14-6573-4B7A-BBA4-C0844196BB2C}"/>
  </hyperlinks>
  <pageMargins left="0.7" right="0.7" top="0.75" bottom="0.75" header="0.3" footer="0.3"/>
  <pageSetup paperSize="9" firstPageNumber="2147483648" orientation="portrait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D45"/>
  <sheetViews>
    <sheetView tabSelected="1" zoomScale="40" zoomScaleNormal="40" workbookViewId="0">
      <selection activeCell="A9" sqref="A9"/>
    </sheetView>
  </sheetViews>
  <sheetFormatPr defaultRowHeight="14.4"/>
  <cols>
    <col min="1" max="1" width="48.33203125" customWidth="1"/>
    <col min="2" max="2" width="16.6640625" customWidth="1"/>
    <col min="20" max="20" width="10.33203125" customWidth="1"/>
  </cols>
  <sheetData>
    <row r="1" spans="1:4">
      <c r="A1" t="s">
        <v>7</v>
      </c>
    </row>
    <row r="2" spans="1:4" ht="45.75" customHeight="1">
      <c r="A2" s="5" t="s">
        <v>453</v>
      </c>
      <c r="B2" s="7">
        <f>'объем работ 100% загр'!N10</f>
        <v>4737.6000000000013</v>
      </c>
    </row>
    <row r="3" spans="1:4">
      <c r="A3" t="str">
        <f>'объем работ 100% загр'!A22</f>
        <v>Выручка, тыс.руб</v>
      </c>
      <c r="B3" s="7">
        <f>'объем работ 100% загр'!L26</f>
        <v>1532744.7267373852</v>
      </c>
    </row>
    <row r="4" spans="1:4">
      <c r="A4" t="s">
        <v>8</v>
      </c>
      <c r="B4" s="6">
        <f>'объем работ 100% загр'!N4</f>
        <v>5.0098012175367206</v>
      </c>
      <c r="C4" s="8"/>
      <c r="D4" s="6"/>
    </row>
    <row r="5" spans="1:4">
      <c r="A5" t="s">
        <v>9</v>
      </c>
      <c r="B5">
        <f>'Расходы на ЗП ОТ'!B66</f>
        <v>77</v>
      </c>
    </row>
    <row r="6" spans="1:4">
      <c r="A6" t="s">
        <v>10</v>
      </c>
      <c r="B6" s="6">
        <f>'Расходы на ЗП ОТ'!C66</f>
        <v>39.883116883116884</v>
      </c>
    </row>
    <row r="7" spans="1:4">
      <c r="A7" s="9" t="s">
        <v>11</v>
      </c>
      <c r="B7" s="6">
        <f>'Расходы на ЗП ТОР'!BF54/1000</f>
        <v>67.989125050502011</v>
      </c>
    </row>
    <row r="8" spans="1:4">
      <c r="A8" s="9"/>
      <c r="B8" s="10"/>
    </row>
    <row r="9" spans="1:4">
      <c r="A9" s="526" t="s">
        <v>413</v>
      </c>
      <c r="B9" s="170">
        <f>Себестоимость!M47</f>
        <v>0.11860156087602351</v>
      </c>
    </row>
    <row r="10" spans="1:4">
      <c r="A10" t="s">
        <v>12</v>
      </c>
      <c r="B10" s="10">
        <f>'Расходы на П, строит-во, ввод'!AA14</f>
        <v>814400.35987769347</v>
      </c>
    </row>
    <row r="11" spans="1:4">
      <c r="A11" t="str">
        <f>'Расходы ТОР'!A51</f>
        <v>Разница в ЧП с ТОСЭР и без, тыс.руб.</v>
      </c>
      <c r="B11" s="10">
        <f>'Расходы ТОР'!L53</f>
        <v>272800.74360372557</v>
      </c>
    </row>
    <row r="12" spans="1:4">
      <c r="A12" t="s">
        <v>13</v>
      </c>
      <c r="B12" s="10">
        <f>'NPV, IRR, DPI ТОР'!N7</f>
        <v>326414.61388692795</v>
      </c>
    </row>
    <row r="14" spans="1:4">
      <c r="B14" s="11"/>
    </row>
    <row r="15" spans="1:4">
      <c r="A15" t="str">
        <f>'NPV, IRR, DPI ТОР'!A21</f>
        <v>Чистая приведенная стоимость  (ЧПС) Способ 1</v>
      </c>
      <c r="B15" s="10">
        <f>'NPV, IRR, DPI ТОР'!B21</f>
        <v>620564.62679414684</v>
      </c>
    </row>
    <row r="16" spans="1:4">
      <c r="A16" t="str">
        <f>'NPV, IRR, DPI ТОР'!A23</f>
        <v>Рентабельность продаж, %</v>
      </c>
      <c r="B16" s="11">
        <f>'NPV, IRR, DPI ТОР'!B23</f>
        <v>0.48728494707460795</v>
      </c>
    </row>
    <row r="17" spans="1:2">
      <c r="A17" t="str">
        <f>'NPV, IRR, DPI ТОР'!A24</f>
        <v>Рентабельность продукции, %</v>
      </c>
      <c r="B17" s="11">
        <f>'NPV, IRR, DPI ТОР'!B24</f>
        <v>1.1149194237854505</v>
      </c>
    </row>
    <row r="18" spans="1:2">
      <c r="A18" t="str">
        <f>'NPV, IRR, DPI ТОР'!A25</f>
        <v>Индекс доходности (PI)</v>
      </c>
      <c r="B18" s="10">
        <f>'NPV, IRR, DPI ТОР'!B25</f>
        <v>1.0152345313739408</v>
      </c>
    </row>
    <row r="19" spans="1:2">
      <c r="A19" t="str">
        <f>'NPV, IRR, DPI ТОР'!A26</f>
        <v>Внутренняя норма доходности (IRR), %</v>
      </c>
      <c r="B19" s="11">
        <f>'NPV, IRR, DPI ТОР'!B26</f>
        <v>0.28514823876094519</v>
      </c>
    </row>
    <row r="20" spans="1:2" ht="28.8">
      <c r="A20" s="61" t="str">
        <f>'NPV, IRR, DPI ТОР'!A27</f>
        <v>Срок окупаемости первоначальных инвестиций (РB), лет</v>
      </c>
      <c r="B20" s="10">
        <f>'NPV, IRR, DPI ТОР'!B27</f>
        <v>9.3957260696388119</v>
      </c>
    </row>
    <row r="21" spans="1:2">
      <c r="B21" s="10"/>
    </row>
    <row r="22" spans="1:2">
      <c r="A22" t="str">
        <f>'NPV, IRR, DPI ТОР'!A29</f>
        <v>Финансовый результат (+/- прибыль/убыток)</v>
      </c>
      <c r="B22" s="10">
        <f>'NPV, IRR, DPI ТОР'!B29</f>
        <v>2406563.4720343743</v>
      </c>
    </row>
    <row r="23" spans="1:2">
      <c r="A23" t="str">
        <f>'NPV, IRR, DPI ТОР'!A30</f>
        <v> Средняя норма рентабельности - ARR, % </v>
      </c>
      <c r="B23" s="11">
        <f>'NPV, IRR, DPI ТОР'!B30</f>
        <v>0.4174099921827723</v>
      </c>
    </row>
    <row r="24" spans="1:2">
      <c r="A24" t="str">
        <f>'NPV, IRR, DPI ТОР'!A31</f>
        <v>Рентабельность инвестиций, ROI, %</v>
      </c>
      <c r="B24" s="11">
        <f>'NPV, IRR, DPI ТОР'!B31</f>
        <v>4.591509914010496</v>
      </c>
    </row>
    <row r="25" spans="1:2">
      <c r="B25" s="11"/>
    </row>
    <row r="26" spans="1:2">
      <c r="B26" s="11"/>
    </row>
    <row r="27" spans="1:2">
      <c r="B27" s="11"/>
    </row>
    <row r="28" spans="1:2">
      <c r="A28" t="s">
        <v>14</v>
      </c>
      <c r="B28" s="10">
        <f>'Налоги ТОР'!AA24/1000</f>
        <v>354.92761309149506</v>
      </c>
    </row>
    <row r="45" spans="3:3">
      <c r="C45" t="s">
        <v>15</v>
      </c>
    </row>
  </sheetData>
  <pageMargins left="0.7" right="0.7" top="0.75" bottom="0.75" header="0.3" footer="0.3"/>
  <pageSetup paperSize="9" firstPageNumber="2147483648" orientation="portrait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Лист1">
    <tabColor theme="0"/>
    <pageSetUpPr fitToPage="1"/>
  </sheetPr>
  <dimension ref="A1:AJ60"/>
  <sheetViews>
    <sheetView zoomScale="60" zoomScaleNormal="60" workbookViewId="0">
      <pane xSplit="1" topLeftCell="B1" activePane="topRight" state="frozen"/>
      <selection activeCell="B28" sqref="B28"/>
      <selection pane="topRight" activeCell="O22" sqref="O22"/>
    </sheetView>
  </sheetViews>
  <sheetFormatPr defaultColWidth="9.109375" defaultRowHeight="14.4"/>
  <cols>
    <col min="1" max="1" width="26.5546875" style="51" customWidth="1"/>
    <col min="2" max="2" width="13.88671875" style="52" customWidth="1"/>
    <col min="3" max="3" width="13" style="53" customWidth="1"/>
    <col min="4" max="4" width="17.109375" style="53" customWidth="1"/>
    <col min="5" max="11" width="13" style="53" customWidth="1"/>
    <col min="12" max="12" width="17.44140625" style="53" customWidth="1"/>
    <col min="13" max="15" width="12.88671875" customWidth="1"/>
    <col min="16" max="16" width="10" bestFit="1" customWidth="1"/>
    <col min="17" max="17" width="12.44140625" bestFit="1" customWidth="1"/>
    <col min="18" max="19" width="12.44140625" customWidth="1"/>
    <col min="20" max="20" width="13" customWidth="1"/>
    <col min="21" max="21" width="12.88671875" customWidth="1"/>
    <col min="22" max="22" width="13.44140625" customWidth="1"/>
    <col min="23" max="24" width="15.33203125" customWidth="1"/>
    <col min="25" max="25" width="18.33203125" customWidth="1"/>
    <col min="26" max="26" width="14" customWidth="1"/>
    <col min="27" max="27" width="15.5546875" customWidth="1"/>
    <col min="28" max="30" width="10.5546875" bestFit="1" customWidth="1"/>
    <col min="31" max="31" width="11.44140625" customWidth="1"/>
    <col min="32" max="32" width="11.88671875" style="53" customWidth="1"/>
    <col min="33" max="36" width="13" style="53" customWidth="1"/>
  </cols>
  <sheetData>
    <row r="1" spans="1:32" ht="25.8">
      <c r="A1" s="54"/>
      <c r="C1" s="55"/>
      <c r="D1" s="55"/>
      <c r="E1" s="55"/>
      <c r="F1" s="55"/>
      <c r="G1" s="55"/>
      <c r="H1" s="55"/>
      <c r="I1" s="55"/>
      <c r="J1" s="55"/>
      <c r="K1" s="55"/>
      <c r="L1" s="55"/>
      <c r="N1" s="56"/>
      <c r="P1" s="366" t="str">
        <f t="shared" ref="P1:Z1" si="0">C3</f>
        <v>1 год</v>
      </c>
      <c r="Q1" s="366" t="str">
        <f t="shared" si="0"/>
        <v>2 год</v>
      </c>
      <c r="R1" s="366" t="str">
        <f t="shared" si="0"/>
        <v>3 год</v>
      </c>
      <c r="S1" s="366" t="str">
        <f t="shared" si="0"/>
        <v>4 год</v>
      </c>
      <c r="T1" s="366" t="str">
        <f t="shared" si="0"/>
        <v>5 год</v>
      </c>
      <c r="U1" s="366" t="str">
        <f t="shared" si="0"/>
        <v>6 год</v>
      </c>
      <c r="V1" s="366" t="str">
        <f t="shared" si="0"/>
        <v>7 год</v>
      </c>
      <c r="W1" s="366" t="str">
        <f t="shared" si="0"/>
        <v>8 год</v>
      </c>
      <c r="X1" s="366" t="str">
        <f t="shared" si="0"/>
        <v>9 год</v>
      </c>
      <c r="Y1" s="366" t="str">
        <f t="shared" si="0"/>
        <v>10 год</v>
      </c>
      <c r="Z1" s="366" t="str">
        <f t="shared" si="0"/>
        <v>11 год</v>
      </c>
      <c r="AA1" s="57"/>
      <c r="AB1" s="57"/>
      <c r="AC1" s="57"/>
      <c r="AD1" s="57"/>
    </row>
    <row r="2" spans="1:32" ht="18" customHeight="1">
      <c r="A2" s="366"/>
      <c r="B2" s="366"/>
      <c r="C2" s="679" t="s">
        <v>40</v>
      </c>
      <c r="D2" s="679"/>
      <c r="E2" s="679"/>
      <c r="F2" s="679"/>
      <c r="G2" s="679"/>
      <c r="H2" s="679"/>
      <c r="I2" s="679"/>
      <c r="J2" s="679"/>
      <c r="K2" s="679"/>
      <c r="L2" s="679"/>
      <c r="M2" s="679"/>
      <c r="N2" s="59"/>
      <c r="O2" s="60"/>
      <c r="P2" s="680" t="s">
        <v>41</v>
      </c>
      <c r="Q2" s="681"/>
      <c r="R2" s="681"/>
      <c r="S2" s="681"/>
      <c r="T2" s="681"/>
      <c r="U2" s="681"/>
      <c r="V2" s="681"/>
      <c r="W2" s="681"/>
      <c r="X2" s="681"/>
      <c r="Y2" s="681"/>
      <c r="Z2" s="681"/>
      <c r="AE2" s="61"/>
      <c r="AF2" s="61"/>
    </row>
    <row r="3" spans="1:32" s="61" customFormat="1">
      <c r="A3" s="368" t="s">
        <v>42</v>
      </c>
      <c r="B3" s="369" t="s">
        <v>43</v>
      </c>
      <c r="C3" s="366" t="s">
        <v>44</v>
      </c>
      <c r="D3" s="366" t="s">
        <v>45</v>
      </c>
      <c r="E3" s="366" t="s">
        <v>46</v>
      </c>
      <c r="F3" s="366" t="s">
        <v>47</v>
      </c>
      <c r="G3" s="366" t="s">
        <v>48</v>
      </c>
      <c r="H3" s="367" t="s">
        <v>49</v>
      </c>
      <c r="I3" s="367" t="s">
        <v>50</v>
      </c>
      <c r="J3" s="367" t="s">
        <v>51</v>
      </c>
      <c r="K3" s="367" t="s">
        <v>52</v>
      </c>
      <c r="L3" s="367" t="s">
        <v>53</v>
      </c>
      <c r="M3" s="367" t="s">
        <v>54</v>
      </c>
      <c r="N3" s="371" t="s">
        <v>55</v>
      </c>
      <c r="O3" s="64"/>
      <c r="P3" s="65">
        <v>0</v>
      </c>
      <c r="Q3" s="65">
        <v>0.7</v>
      </c>
      <c r="R3" s="65">
        <f>Q3+5%</f>
        <v>0.75</v>
      </c>
      <c r="S3" s="65">
        <f t="shared" ref="S3:W3" si="1">R3+5%</f>
        <v>0.8</v>
      </c>
      <c r="T3" s="65">
        <f t="shared" si="1"/>
        <v>0.85000000000000009</v>
      </c>
      <c r="U3" s="65">
        <f t="shared" si="1"/>
        <v>0.90000000000000013</v>
      </c>
      <c r="V3" s="65">
        <f t="shared" si="1"/>
        <v>0.95000000000000018</v>
      </c>
      <c r="W3" s="65">
        <f t="shared" si="1"/>
        <v>1.0000000000000002</v>
      </c>
      <c r="X3" s="65">
        <f>W3</f>
        <v>1.0000000000000002</v>
      </c>
      <c r="Y3" s="65">
        <v>1</v>
      </c>
      <c r="Z3" s="65">
        <v>1</v>
      </c>
      <c r="AA3" s="371" t="s">
        <v>56</v>
      </c>
      <c r="AB3" s="371" t="s">
        <v>425</v>
      </c>
    </row>
    <row r="4" spans="1:32" ht="28.8">
      <c r="A4" s="554" t="s">
        <v>415</v>
      </c>
      <c r="B4" s="556" t="s">
        <v>419</v>
      </c>
      <c r="C4" s="558">
        <v>4.5</v>
      </c>
      <c r="D4" s="562">
        <f>C4*(1+допущения!$C$37)</f>
        <v>4.7700000000000005</v>
      </c>
      <c r="E4" s="562">
        <f>D4*(1+допущения!$C$37/4)</f>
        <v>4.8415499999999998</v>
      </c>
      <c r="F4" s="562">
        <f>E4*(1+допущения!$C$37/4)</f>
        <v>4.9141732499999993</v>
      </c>
      <c r="G4" s="562">
        <f>F4*(1+допущения!$C$37/4)</f>
        <v>4.9878858487499986</v>
      </c>
      <c r="H4" s="562">
        <f>G4*(1+допущения!$C$37/4)</f>
        <v>5.0627041364812477</v>
      </c>
      <c r="I4" s="562">
        <f>H4*(1+допущения!$C$37/4)</f>
        <v>5.1386446985284664</v>
      </c>
      <c r="J4" s="562">
        <f>I4*(1+допущения!$C$37/4)</f>
        <v>5.2157243690063932</v>
      </c>
      <c r="K4" s="562">
        <f>J4*(1+допущения!$C$37/4)</f>
        <v>5.2939602345414887</v>
      </c>
      <c r="L4" s="562">
        <f>K4*(1+допущения!$C$37/4)</f>
        <v>5.3733696380596108</v>
      </c>
      <c r="M4" s="562">
        <f>L4*(1+допущения!$C$37/4)</f>
        <v>5.4539701826305045</v>
      </c>
      <c r="N4" s="66">
        <f>AVERAGE(C4:L4)</f>
        <v>5.0098012175367206</v>
      </c>
      <c r="O4" s="180" t="s">
        <v>404</v>
      </c>
      <c r="P4" s="67">
        <f>P3*Y4</f>
        <v>0</v>
      </c>
      <c r="Q4" s="67">
        <f>Y4*$Q$3</f>
        <v>441</v>
      </c>
      <c r="R4" s="67">
        <f t="shared" ref="R4:R6" si="2">Y4*$R$3</f>
        <v>472.5</v>
      </c>
      <c r="S4" s="67">
        <f t="shared" ref="S4:S6" si="3">Y4*$S$3</f>
        <v>504</v>
      </c>
      <c r="T4" s="67">
        <f t="shared" ref="T4:T6" si="4">Y4*$T$3</f>
        <v>535.5</v>
      </c>
      <c r="U4" s="67">
        <f t="shared" ref="U4:U6" si="5">Y4*$U$3</f>
        <v>567.00000000000011</v>
      </c>
      <c r="V4" s="67">
        <f t="shared" ref="V4:V6" si="6">Y4*$V$3</f>
        <v>598.50000000000011</v>
      </c>
      <c r="W4" s="67">
        <f t="shared" ref="W4:W6" si="7">Y4*$W$3</f>
        <v>630.00000000000011</v>
      </c>
      <c r="X4" s="67">
        <f t="shared" ref="X4:X6" si="8">Y4*$X$3</f>
        <v>630.00000000000011</v>
      </c>
      <c r="Y4" s="566">
        <v>630</v>
      </c>
      <c r="Z4" s="67">
        <f>Y4</f>
        <v>630</v>
      </c>
      <c r="AA4" s="67">
        <f>Y4/22</f>
        <v>28.636363636363637</v>
      </c>
      <c r="AB4" s="67">
        <f>AA4/46</f>
        <v>0.62252964426877466</v>
      </c>
      <c r="AE4" s="61"/>
      <c r="AF4" s="61"/>
    </row>
    <row r="5" spans="1:32" ht="33" customHeight="1">
      <c r="A5" s="554" t="s">
        <v>416</v>
      </c>
      <c r="B5" s="556" t="s">
        <v>420</v>
      </c>
      <c r="C5" s="559">
        <v>6.3E-3</v>
      </c>
      <c r="D5" s="562">
        <f>C5*(1+допущения!$C$37)</f>
        <v>6.6780000000000008E-3</v>
      </c>
      <c r="E5" s="562">
        <f>D5*(1+допущения!$C$37)</f>
        <v>7.0786800000000013E-3</v>
      </c>
      <c r="F5" s="562">
        <f>E5*(1+допущения!$C$37)</f>
        <v>7.5034008000000015E-3</v>
      </c>
      <c r="G5" s="562">
        <f>F5*(1+допущения!$C$37)</f>
        <v>7.9536048480000014E-3</v>
      </c>
      <c r="H5" s="562">
        <f>G5*(1+допущения!$C$37)</f>
        <v>8.4308211388800011E-3</v>
      </c>
      <c r="I5" s="562">
        <f>H5*(1+допущения!$C$37)</f>
        <v>8.9366704072128024E-3</v>
      </c>
      <c r="J5" s="562">
        <f>I5*(1+допущения!$C$37)</f>
        <v>9.4728706316455705E-3</v>
      </c>
      <c r="K5" s="562">
        <f>J5*(1+допущения!$C$37)</f>
        <v>1.0041242869544305E-2</v>
      </c>
      <c r="L5" s="562">
        <f>K5*(1+допущения!$C$37)</f>
        <v>1.0643717441716964E-2</v>
      </c>
      <c r="M5" s="562">
        <f>L5*(1+допущения!$C$37)</f>
        <v>1.1282340488219982E-2</v>
      </c>
      <c r="N5" s="66">
        <f>AVERAGE(C5:L5)</f>
        <v>8.3039008136999663E-3</v>
      </c>
      <c r="O5" s="180" t="s">
        <v>422</v>
      </c>
      <c r="P5" s="67">
        <f t="shared" ref="P5:P6" si="9">P4*Y5</f>
        <v>0</v>
      </c>
      <c r="Q5" s="67">
        <f t="shared" ref="Q5:Q6" si="10">Y5*$Q$3</f>
        <v>3500000</v>
      </c>
      <c r="R5" s="67">
        <f t="shared" si="2"/>
        <v>3750000</v>
      </c>
      <c r="S5" s="67">
        <f t="shared" si="3"/>
        <v>4000000</v>
      </c>
      <c r="T5" s="67">
        <f t="shared" si="4"/>
        <v>4250000</v>
      </c>
      <c r="U5" s="67">
        <f t="shared" si="5"/>
        <v>4500000.0000000009</v>
      </c>
      <c r="V5" s="67">
        <f t="shared" si="6"/>
        <v>4750000.0000000009</v>
      </c>
      <c r="W5" s="67">
        <f t="shared" si="7"/>
        <v>5000000.0000000009</v>
      </c>
      <c r="X5" s="67">
        <f t="shared" si="8"/>
        <v>5000000.0000000009</v>
      </c>
      <c r="Y5" s="566">
        <v>5000000</v>
      </c>
      <c r="Z5" s="67">
        <f t="shared" ref="Z5:Z6" si="11">Y5</f>
        <v>5000000</v>
      </c>
      <c r="AA5" s="67">
        <f t="shared" ref="AA5:AA6" si="12">Y5/22</f>
        <v>227272.72727272726</v>
      </c>
      <c r="AB5" s="67">
        <f>AA5/48</f>
        <v>4734.848484848485</v>
      </c>
    </row>
    <row r="6" spans="1:32" ht="35.25" customHeight="1">
      <c r="A6" s="554" t="s">
        <v>417</v>
      </c>
      <c r="B6" s="557" t="s">
        <v>421</v>
      </c>
      <c r="C6" s="560">
        <v>9.3000000000000007</v>
      </c>
      <c r="D6" s="562">
        <f>C6*(1+допущения!$C$37)</f>
        <v>9.8580000000000005</v>
      </c>
      <c r="E6" s="562">
        <f>D6*(1+допущения!$C$37)</f>
        <v>10.449480000000001</v>
      </c>
      <c r="F6" s="562">
        <f>E6*(1+допущения!$C$37)</f>
        <v>11.076448800000001</v>
      </c>
      <c r="G6" s="562">
        <f>F6*(1+допущения!$C$37)</f>
        <v>11.741035728000002</v>
      </c>
      <c r="H6" s="562">
        <f>G6*(1+допущения!$C$37)</f>
        <v>12.445497871680002</v>
      </c>
      <c r="I6" s="562">
        <f>H6*(1+допущения!$C$37)</f>
        <v>13.192227743980803</v>
      </c>
      <c r="J6" s="562">
        <f>I6*(1+допущения!$C$37)</f>
        <v>13.983761408619651</v>
      </c>
      <c r="K6" s="562">
        <f>J6*(1+допущения!$C$37)</f>
        <v>14.822787093136832</v>
      </c>
      <c r="L6" s="562">
        <f>K6*(1+допущения!$C$37)</f>
        <v>15.712154318725043</v>
      </c>
      <c r="M6" s="562">
        <f>L6*(1+допущения!$C$37)</f>
        <v>16.654883577848548</v>
      </c>
      <c r="N6" s="66">
        <f>AVERAGE(C6:L6)</f>
        <v>12.258139296414235</v>
      </c>
      <c r="O6" s="180" t="s">
        <v>404</v>
      </c>
      <c r="P6" s="67">
        <f t="shared" si="9"/>
        <v>0</v>
      </c>
      <c r="Q6" s="67">
        <f t="shared" si="10"/>
        <v>3800.9999999999995</v>
      </c>
      <c r="R6" s="67">
        <f t="shared" si="2"/>
        <v>4072.5</v>
      </c>
      <c r="S6" s="67">
        <f t="shared" si="3"/>
        <v>4344</v>
      </c>
      <c r="T6" s="67">
        <f t="shared" si="4"/>
        <v>4615.5000000000009</v>
      </c>
      <c r="U6" s="67">
        <f t="shared" si="5"/>
        <v>4887.0000000000009</v>
      </c>
      <c r="V6" s="67">
        <f t="shared" si="6"/>
        <v>5158.5000000000009</v>
      </c>
      <c r="W6" s="67">
        <f t="shared" si="7"/>
        <v>5430.0000000000009</v>
      </c>
      <c r="X6" s="67">
        <f t="shared" si="8"/>
        <v>5430.0000000000009</v>
      </c>
      <c r="Y6" s="566">
        <v>5430</v>
      </c>
      <c r="Z6" s="67">
        <f t="shared" si="11"/>
        <v>5430</v>
      </c>
      <c r="AA6" s="67">
        <f t="shared" si="12"/>
        <v>246.81818181818181</v>
      </c>
      <c r="AB6" s="67">
        <f>AA6/48</f>
        <v>5.1420454545454541</v>
      </c>
    </row>
    <row r="7" spans="1:32" ht="18" customHeight="1">
      <c r="B7" s="70"/>
      <c r="C7" s="71"/>
      <c r="M7" s="69"/>
      <c r="N7" s="68"/>
      <c r="O7" s="60"/>
      <c r="P7" s="69"/>
      <c r="Q7" s="69"/>
      <c r="R7" s="69"/>
      <c r="S7" s="69"/>
      <c r="U7" s="72"/>
      <c r="V7" s="72"/>
      <c r="W7" s="72"/>
      <c r="X7" s="72"/>
      <c r="Y7" s="72"/>
      <c r="Z7" s="72"/>
      <c r="AA7" s="72"/>
      <c r="AB7" s="72"/>
      <c r="AC7" s="72"/>
      <c r="AD7" s="72"/>
    </row>
    <row r="8" spans="1:32" ht="18" customHeight="1">
      <c r="A8" s="370"/>
      <c r="B8" s="348"/>
      <c r="C8" s="682" t="s">
        <v>58</v>
      </c>
      <c r="D8" s="683"/>
      <c r="E8" s="683"/>
      <c r="F8" s="683"/>
      <c r="G8" s="683"/>
      <c r="H8" s="683"/>
      <c r="I8" s="683"/>
      <c r="J8" s="683"/>
      <c r="K8" s="683"/>
      <c r="L8" s="683"/>
      <c r="M8" s="683"/>
      <c r="N8" s="372" t="s">
        <v>59</v>
      </c>
      <c r="O8" s="60"/>
      <c r="P8" s="679" t="s">
        <v>60</v>
      </c>
      <c r="Q8" s="679"/>
      <c r="R8" s="679"/>
      <c r="S8" s="679"/>
      <c r="T8" s="679"/>
      <c r="U8" s="679"/>
      <c r="V8" s="679"/>
      <c r="W8" s="679"/>
      <c r="X8" s="679"/>
      <c r="Y8" s="679"/>
      <c r="Z8" s="679"/>
      <c r="AA8" s="72"/>
      <c r="AB8" s="72"/>
      <c r="AC8" s="72"/>
      <c r="AD8" s="72"/>
    </row>
    <row r="9" spans="1:32" ht="18" customHeight="1">
      <c r="A9" s="368"/>
      <c r="B9" s="369"/>
      <c r="C9" s="366" t="str">
        <f>C3</f>
        <v>1 год</v>
      </c>
      <c r="D9" s="366" t="str">
        <f>D3</f>
        <v>2 год</v>
      </c>
      <c r="E9" s="366" t="str">
        <f>E3</f>
        <v>3 год</v>
      </c>
      <c r="F9" s="366" t="str">
        <f>F3</f>
        <v>4 год</v>
      </c>
      <c r="G9" s="366" t="str">
        <f t="shared" ref="G9:M9" si="13">G3</f>
        <v>5 год</v>
      </c>
      <c r="H9" s="366" t="str">
        <f t="shared" si="13"/>
        <v>6 год</v>
      </c>
      <c r="I9" s="366" t="str">
        <f t="shared" si="13"/>
        <v>7 год</v>
      </c>
      <c r="J9" s="366" t="str">
        <f t="shared" si="13"/>
        <v>8 год</v>
      </c>
      <c r="K9" s="366" t="str">
        <f t="shared" si="13"/>
        <v>9 год</v>
      </c>
      <c r="L9" s="366" t="str">
        <f t="shared" si="13"/>
        <v>10 год</v>
      </c>
      <c r="M9" s="366" t="str">
        <f t="shared" si="13"/>
        <v>11 год</v>
      </c>
      <c r="N9" s="60"/>
      <c r="O9" s="60"/>
      <c r="P9" s="366" t="str">
        <f>C9</f>
        <v>1 год</v>
      </c>
      <c r="Q9" s="366" t="str">
        <f t="shared" ref="Q9:Z9" si="14">D9</f>
        <v>2 год</v>
      </c>
      <c r="R9" s="366" t="str">
        <f t="shared" si="14"/>
        <v>3 год</v>
      </c>
      <c r="S9" s="366" t="str">
        <f t="shared" si="14"/>
        <v>4 год</v>
      </c>
      <c r="T9" s="366" t="str">
        <f t="shared" si="14"/>
        <v>5 год</v>
      </c>
      <c r="U9" s="366" t="str">
        <f t="shared" si="14"/>
        <v>6 год</v>
      </c>
      <c r="V9" s="366" t="str">
        <f t="shared" si="14"/>
        <v>7 год</v>
      </c>
      <c r="W9" s="366" t="str">
        <f t="shared" si="14"/>
        <v>8 год</v>
      </c>
      <c r="X9" s="366" t="str">
        <f t="shared" si="14"/>
        <v>9 год</v>
      </c>
      <c r="Y9" s="366" t="str">
        <f t="shared" si="14"/>
        <v>10 год</v>
      </c>
      <c r="Z9" s="366" t="str">
        <f t="shared" si="14"/>
        <v>11 год</v>
      </c>
      <c r="AA9" s="72"/>
      <c r="AB9" s="72"/>
      <c r="AC9" s="72"/>
      <c r="AD9" s="72"/>
    </row>
    <row r="10" spans="1:32" ht="41.25" customHeight="1">
      <c r="A10" s="62" t="str">
        <f>A4</f>
        <v>Утилизация мусора, опасных отходов</v>
      </c>
      <c r="B10" s="563" t="s">
        <v>404</v>
      </c>
      <c r="C10" s="67">
        <v>0</v>
      </c>
      <c r="D10" s="67">
        <f t="shared" ref="D10:L12" si="15">Q4*Q10*D16</f>
        <v>0</v>
      </c>
      <c r="E10" s="67">
        <f t="shared" si="15"/>
        <v>0</v>
      </c>
      <c r="F10" s="67">
        <f t="shared" si="15"/>
        <v>0</v>
      </c>
      <c r="G10" s="67">
        <f t="shared" si="15"/>
        <v>2570.4</v>
      </c>
      <c r="H10" s="67">
        <f t="shared" si="15"/>
        <v>3402.0000000000009</v>
      </c>
      <c r="I10" s="67">
        <f t="shared" si="15"/>
        <v>4309.2000000000007</v>
      </c>
      <c r="J10" s="67">
        <f t="shared" si="15"/>
        <v>5292.0000000000009</v>
      </c>
      <c r="K10" s="67">
        <f t="shared" si="15"/>
        <v>6048.0000000000018</v>
      </c>
      <c r="L10" s="67">
        <f t="shared" si="15"/>
        <v>6804</v>
      </c>
      <c r="M10" s="67">
        <f>Z4*Z10*M16</f>
        <v>6804</v>
      </c>
      <c r="N10" s="73">
        <f>AVERAGE(G10:L10)</f>
        <v>4737.6000000000013</v>
      </c>
      <c r="O10" s="60"/>
      <c r="P10" s="561">
        <v>0</v>
      </c>
      <c r="Q10" s="567">
        <v>12</v>
      </c>
      <c r="R10" s="567">
        <v>12</v>
      </c>
      <c r="S10" s="567">
        <v>12</v>
      </c>
      <c r="T10" s="567">
        <v>12</v>
      </c>
      <c r="U10" s="567">
        <v>12</v>
      </c>
      <c r="V10" s="567">
        <v>12</v>
      </c>
      <c r="W10" s="567">
        <v>12</v>
      </c>
      <c r="X10" s="567">
        <v>12</v>
      </c>
      <c r="Y10" s="567">
        <v>12</v>
      </c>
      <c r="Z10" s="567">
        <v>12</v>
      </c>
      <c r="AA10" s="72"/>
      <c r="AB10" s="72"/>
      <c r="AC10" s="72"/>
      <c r="AD10" s="72"/>
    </row>
    <row r="11" spans="1:32">
      <c r="A11" s="62" t="str">
        <f t="shared" ref="A11:A12" si="16">A5</f>
        <v>Генерация электроэнергии</v>
      </c>
      <c r="B11" s="563" t="s">
        <v>422</v>
      </c>
      <c r="C11" s="67">
        <v>0</v>
      </c>
      <c r="D11" s="67">
        <f t="shared" si="15"/>
        <v>0</v>
      </c>
      <c r="E11" s="67">
        <f t="shared" si="15"/>
        <v>0</v>
      </c>
      <c r="F11" s="67">
        <f t="shared" si="15"/>
        <v>0</v>
      </c>
      <c r="G11" s="67">
        <f t="shared" si="15"/>
        <v>20400000</v>
      </c>
      <c r="H11" s="67">
        <f t="shared" si="15"/>
        <v>27000000.000000007</v>
      </c>
      <c r="I11" s="67">
        <f t="shared" si="15"/>
        <v>34200000.000000007</v>
      </c>
      <c r="J11" s="67">
        <f t="shared" si="15"/>
        <v>42000000.000000007</v>
      </c>
      <c r="K11" s="67">
        <f t="shared" si="15"/>
        <v>48000000.000000015</v>
      </c>
      <c r="L11" s="67">
        <f t="shared" si="15"/>
        <v>54000000</v>
      </c>
      <c r="M11" s="67">
        <f t="shared" ref="M11:M12" si="17">Z5*Z11*M17</f>
        <v>54000000</v>
      </c>
      <c r="N11" s="73">
        <f>AVERAGE(G11:L11)/1000</f>
        <v>37600.000000000007</v>
      </c>
      <c r="O11" s="69" t="s">
        <v>423</v>
      </c>
      <c r="P11" s="561">
        <v>0</v>
      </c>
      <c r="Q11" s="567">
        <v>12</v>
      </c>
      <c r="R11" s="567">
        <v>12</v>
      </c>
      <c r="S11" s="567">
        <v>12</v>
      </c>
      <c r="T11" s="567">
        <v>12</v>
      </c>
      <c r="U11" s="567">
        <v>12</v>
      </c>
      <c r="V11" s="567">
        <v>12</v>
      </c>
      <c r="W11" s="567">
        <v>12</v>
      </c>
      <c r="X11" s="567">
        <v>12</v>
      </c>
      <c r="Y11" s="567">
        <v>12</v>
      </c>
      <c r="Z11" s="567">
        <v>12</v>
      </c>
      <c r="AA11" s="71"/>
      <c r="AB11" s="72"/>
      <c r="AC11" s="72"/>
      <c r="AD11" s="72"/>
    </row>
    <row r="12" spans="1:32" ht="36" customHeight="1">
      <c r="A12" s="62" t="str">
        <f t="shared" si="16"/>
        <v>Реализация вторичного сырья, продукции</v>
      </c>
      <c r="B12" s="555" t="s">
        <v>418</v>
      </c>
      <c r="C12" s="67">
        <v>0</v>
      </c>
      <c r="D12" s="67">
        <f t="shared" si="15"/>
        <v>0</v>
      </c>
      <c r="E12" s="67">
        <f t="shared" si="15"/>
        <v>0</v>
      </c>
      <c r="F12" s="67">
        <f t="shared" si="15"/>
        <v>0</v>
      </c>
      <c r="G12" s="67">
        <f t="shared" si="15"/>
        <v>22154.400000000009</v>
      </c>
      <c r="H12" s="67">
        <f t="shared" si="15"/>
        <v>29322.000000000007</v>
      </c>
      <c r="I12" s="67">
        <f t="shared" si="15"/>
        <v>37141.200000000004</v>
      </c>
      <c r="J12" s="67">
        <f t="shared" si="15"/>
        <v>45612.000000000007</v>
      </c>
      <c r="K12" s="67">
        <f t="shared" si="15"/>
        <v>52128.000000000015</v>
      </c>
      <c r="L12" s="67">
        <f t="shared" si="15"/>
        <v>58644</v>
      </c>
      <c r="M12" s="67">
        <f t="shared" si="17"/>
        <v>58644</v>
      </c>
      <c r="N12" s="73">
        <f>AVERAGE(G12:L12)</f>
        <v>40833.600000000006</v>
      </c>
      <c r="O12" s="69"/>
      <c r="P12" s="561">
        <v>0</v>
      </c>
      <c r="Q12" s="567">
        <v>12</v>
      </c>
      <c r="R12" s="567">
        <v>12</v>
      </c>
      <c r="S12" s="567">
        <v>12</v>
      </c>
      <c r="T12" s="567">
        <v>12</v>
      </c>
      <c r="U12" s="567">
        <v>12</v>
      </c>
      <c r="V12" s="567">
        <v>12</v>
      </c>
      <c r="W12" s="567">
        <v>12</v>
      </c>
      <c r="X12" s="567">
        <v>12</v>
      </c>
      <c r="Y12" s="567">
        <v>12</v>
      </c>
      <c r="Z12" s="567">
        <v>12</v>
      </c>
      <c r="AA12" s="71"/>
      <c r="AB12" s="72"/>
      <c r="AC12" s="72"/>
      <c r="AD12" s="72"/>
    </row>
    <row r="13" spans="1:32" ht="14.25" customHeight="1">
      <c r="A13" s="69"/>
      <c r="B13" s="69"/>
      <c r="C13" s="69"/>
      <c r="D13" s="69"/>
      <c r="E13" s="69"/>
      <c r="F13" s="69"/>
      <c r="G13" s="69"/>
      <c r="H13" s="69"/>
      <c r="I13" s="69"/>
      <c r="J13" s="69"/>
      <c r="K13" s="69"/>
      <c r="L13" s="69"/>
      <c r="M13" s="69"/>
      <c r="N13" s="69"/>
      <c r="O13" s="69"/>
      <c r="P13" s="74"/>
      <c r="Q13" s="74"/>
      <c r="R13" s="74"/>
      <c r="S13" s="74"/>
      <c r="T13" s="74"/>
      <c r="U13" s="74"/>
      <c r="V13" s="74"/>
      <c r="W13" s="74"/>
      <c r="X13" s="74"/>
      <c r="Y13" s="74"/>
      <c r="Z13" s="72"/>
      <c r="AA13" s="72"/>
      <c r="AB13" s="72"/>
      <c r="AC13" s="72"/>
      <c r="AD13" s="72"/>
    </row>
    <row r="14" spans="1:32" ht="15" customHeight="1">
      <c r="A14" s="370"/>
      <c r="B14" s="373"/>
      <c r="C14" s="684" t="s">
        <v>61</v>
      </c>
      <c r="D14" s="684"/>
      <c r="E14" s="684"/>
      <c r="F14" s="684"/>
      <c r="G14" s="684"/>
      <c r="H14" s="684"/>
      <c r="I14" s="684"/>
      <c r="J14" s="684"/>
      <c r="K14" s="684"/>
      <c r="L14" s="684"/>
      <c r="M14" s="372"/>
      <c r="N14" s="69"/>
      <c r="O14" s="69"/>
      <c r="P14" s="685" t="s">
        <v>426</v>
      </c>
      <c r="Q14" s="686"/>
      <c r="R14" s="686"/>
      <c r="S14" s="686"/>
      <c r="T14" s="686"/>
      <c r="U14" s="686"/>
      <c r="V14" s="686"/>
      <c r="W14" s="686"/>
      <c r="X14" s="686"/>
      <c r="Y14" s="686"/>
      <c r="Z14" s="686"/>
      <c r="AA14" s="72"/>
      <c r="AB14" s="72"/>
      <c r="AC14" s="72"/>
      <c r="AD14" s="72"/>
    </row>
    <row r="15" spans="1:32" ht="25.5" customHeight="1">
      <c r="A15" s="368"/>
      <c r="B15" s="374"/>
      <c r="C15" s="375" t="str">
        <f>C9</f>
        <v>1 год</v>
      </c>
      <c r="D15" s="375" t="str">
        <f t="shared" ref="D15:M15" si="18">D9</f>
        <v>2 год</v>
      </c>
      <c r="E15" s="375" t="str">
        <f t="shared" si="18"/>
        <v>3 год</v>
      </c>
      <c r="F15" s="375" t="str">
        <f t="shared" si="18"/>
        <v>4 год</v>
      </c>
      <c r="G15" s="375" t="str">
        <f t="shared" si="18"/>
        <v>5 год</v>
      </c>
      <c r="H15" s="375" t="str">
        <f t="shared" si="18"/>
        <v>6 год</v>
      </c>
      <c r="I15" s="375" t="str">
        <f t="shared" si="18"/>
        <v>7 год</v>
      </c>
      <c r="J15" s="375" t="str">
        <f t="shared" si="18"/>
        <v>8 год</v>
      </c>
      <c r="K15" s="375" t="str">
        <f t="shared" si="18"/>
        <v>9 год</v>
      </c>
      <c r="L15" s="375" t="str">
        <f t="shared" si="18"/>
        <v>10 год</v>
      </c>
      <c r="M15" s="375" t="str">
        <f t="shared" si="18"/>
        <v>11 год</v>
      </c>
      <c r="P15" s="276" t="s">
        <v>427</v>
      </c>
      <c r="Q15" s="185"/>
      <c r="R15" s="67">
        <f>R5/1440</f>
        <v>2604.1666666666665</v>
      </c>
      <c r="S15" s="67">
        <f t="shared" ref="S15:Z15" si="19">S5/1440</f>
        <v>2777.7777777777778</v>
      </c>
      <c r="T15" s="67">
        <f t="shared" si="19"/>
        <v>2951.3888888888887</v>
      </c>
      <c r="U15" s="67">
        <f t="shared" si="19"/>
        <v>3125.0000000000005</v>
      </c>
      <c r="V15" s="67">
        <f t="shared" si="19"/>
        <v>3298.6111111111118</v>
      </c>
      <c r="W15" s="67">
        <f t="shared" si="19"/>
        <v>3472.2222222222231</v>
      </c>
      <c r="X15" s="67">
        <f t="shared" si="19"/>
        <v>3472.2222222222231</v>
      </c>
      <c r="Y15" s="67">
        <f t="shared" si="19"/>
        <v>3472.2222222222222</v>
      </c>
      <c r="Z15" s="67">
        <f t="shared" si="19"/>
        <v>3472.2222222222222</v>
      </c>
    </row>
    <row r="16" spans="1:32" ht="28.8">
      <c r="A16" s="62" t="str">
        <f>A4</f>
        <v>Утилизация мусора, опасных отходов</v>
      </c>
      <c r="B16" s="63" t="s">
        <v>62</v>
      </c>
      <c r="C16" s="564">
        <v>0</v>
      </c>
      <c r="D16" s="565">
        <v>0</v>
      </c>
      <c r="E16" s="565">
        <f>D16</f>
        <v>0</v>
      </c>
      <c r="F16" s="565">
        <v>0</v>
      </c>
      <c r="G16" s="565">
        <v>0.4</v>
      </c>
      <c r="H16" s="565">
        <v>0.5</v>
      </c>
      <c r="I16" s="565">
        <v>0.6</v>
      </c>
      <c r="J16" s="565">
        <v>0.7</v>
      </c>
      <c r="K16" s="565">
        <v>0.8</v>
      </c>
      <c r="L16" s="565">
        <v>0.9</v>
      </c>
      <c r="M16" s="565">
        <v>0.9</v>
      </c>
      <c r="P16" s="276" t="s">
        <v>428</v>
      </c>
      <c r="Q16" s="185"/>
      <c r="R16" s="67">
        <f>R15*R11*E16</f>
        <v>0</v>
      </c>
      <c r="S16" s="67">
        <f t="shared" ref="S16:Z16" si="20">S15*S11*F16</f>
        <v>0</v>
      </c>
      <c r="T16" s="67">
        <f t="shared" si="20"/>
        <v>14166.666666666666</v>
      </c>
      <c r="U16" s="67">
        <f t="shared" si="20"/>
        <v>18750.000000000004</v>
      </c>
      <c r="V16" s="67">
        <f t="shared" si="20"/>
        <v>23750.000000000004</v>
      </c>
      <c r="W16" s="67">
        <f t="shared" si="20"/>
        <v>29166.666666666672</v>
      </c>
      <c r="X16" s="67">
        <f t="shared" si="20"/>
        <v>33333.333333333343</v>
      </c>
      <c r="Y16" s="67">
        <f t="shared" si="20"/>
        <v>37500</v>
      </c>
      <c r="Z16" s="67">
        <f t="shared" si="20"/>
        <v>37500</v>
      </c>
      <c r="AA16" s="60">
        <f>AVERAGE(T16:Z16)</f>
        <v>27738.09523809524</v>
      </c>
    </row>
    <row r="17" spans="1:31" ht="41.25" customHeight="1">
      <c r="A17" s="62" t="str">
        <f t="shared" ref="A17:A18" si="21">A5</f>
        <v>Генерация электроэнергии</v>
      </c>
      <c r="B17" s="63" t="s">
        <v>62</v>
      </c>
      <c r="C17" s="564">
        <v>0</v>
      </c>
      <c r="D17" s="564">
        <v>0</v>
      </c>
      <c r="E17" s="564">
        <v>0</v>
      </c>
      <c r="F17" s="564">
        <v>0</v>
      </c>
      <c r="G17" s="565">
        <v>0.4</v>
      </c>
      <c r="H17" s="565">
        <v>0.5</v>
      </c>
      <c r="I17" s="565">
        <v>0.6</v>
      </c>
      <c r="J17" s="565">
        <v>0.7</v>
      </c>
      <c r="K17" s="565">
        <v>0.8</v>
      </c>
      <c r="L17" s="565">
        <v>0.9</v>
      </c>
      <c r="M17" s="565">
        <f t="shared" ref="M17:M18" si="22">L17</f>
        <v>0.9</v>
      </c>
    </row>
    <row r="18" spans="1:31" ht="34.5" customHeight="1">
      <c r="A18" s="62" t="str">
        <f t="shared" si="21"/>
        <v>Реализация вторичного сырья, продукции</v>
      </c>
      <c r="B18" s="63" t="s">
        <v>62</v>
      </c>
      <c r="C18" s="564">
        <v>0</v>
      </c>
      <c r="D18" s="564">
        <v>0</v>
      </c>
      <c r="E18" s="564">
        <v>0</v>
      </c>
      <c r="F18" s="564">
        <v>0</v>
      </c>
      <c r="G18" s="565">
        <v>0.4</v>
      </c>
      <c r="H18" s="565">
        <v>0.5</v>
      </c>
      <c r="I18" s="565">
        <v>0.6</v>
      </c>
      <c r="J18" s="565">
        <v>0.7</v>
      </c>
      <c r="K18" s="565">
        <v>0.8</v>
      </c>
      <c r="L18" s="565">
        <v>0.9</v>
      </c>
      <c r="M18" s="565">
        <f t="shared" si="22"/>
        <v>0.9</v>
      </c>
    </row>
    <row r="19" spans="1:31" ht="14.25" customHeight="1">
      <c r="A19" s="52"/>
      <c r="C19" s="52"/>
      <c r="D19" s="52"/>
      <c r="E19" s="52"/>
      <c r="F19" s="52"/>
      <c r="G19" s="52"/>
      <c r="H19" s="52"/>
      <c r="I19" s="52"/>
      <c r="J19" s="52"/>
      <c r="K19" s="52"/>
      <c r="L19" s="52"/>
      <c r="M19" s="52"/>
      <c r="Q19" s="7"/>
      <c r="W19" s="10"/>
    </row>
    <row r="20" spans="1:31" ht="14.25" customHeight="1">
      <c r="E20" s="3"/>
      <c r="F20" s="3"/>
      <c r="G20" s="3"/>
      <c r="H20" s="3"/>
      <c r="I20" s="3"/>
      <c r="J20" s="3"/>
      <c r="K20" s="3"/>
      <c r="L20" s="3"/>
      <c r="M20" s="3"/>
      <c r="W20" s="10"/>
    </row>
    <row r="21" spans="1:31">
      <c r="M21" s="53"/>
      <c r="W21" s="10"/>
    </row>
    <row r="22" spans="1:31" ht="15" customHeight="1">
      <c r="A22" s="368" t="s">
        <v>63</v>
      </c>
      <c r="B22" s="367"/>
      <c r="C22" s="367" t="str">
        <f t="shared" ref="C22:M22" si="23">C3</f>
        <v>1 год</v>
      </c>
      <c r="D22" s="367" t="str">
        <f t="shared" si="23"/>
        <v>2 год</v>
      </c>
      <c r="E22" s="367" t="str">
        <f t="shared" si="23"/>
        <v>3 год</v>
      </c>
      <c r="F22" s="367" t="str">
        <f t="shared" si="23"/>
        <v>4 год</v>
      </c>
      <c r="G22" s="367" t="str">
        <f t="shared" si="23"/>
        <v>5 год</v>
      </c>
      <c r="H22" s="367" t="str">
        <f t="shared" si="23"/>
        <v>6 год</v>
      </c>
      <c r="I22" s="367" t="str">
        <f t="shared" si="23"/>
        <v>7 год</v>
      </c>
      <c r="J22" s="367" t="str">
        <f t="shared" si="23"/>
        <v>8 год</v>
      </c>
      <c r="K22" s="367" t="str">
        <f t="shared" si="23"/>
        <v>9 год</v>
      </c>
      <c r="L22" s="367" t="str">
        <f t="shared" si="23"/>
        <v>10 год</v>
      </c>
      <c r="M22" s="367" t="str">
        <f t="shared" si="23"/>
        <v>11 год</v>
      </c>
      <c r="R22" s="690" t="s">
        <v>430</v>
      </c>
      <c r="S22" s="691"/>
      <c r="T22" s="691"/>
      <c r="U22" s="691"/>
      <c r="V22" s="692"/>
      <c r="W22" s="10"/>
    </row>
    <row r="23" spans="1:31" ht="38.25" customHeight="1">
      <c r="A23" s="62" t="str">
        <f>A16</f>
        <v>Утилизация мусора, опасных отходов</v>
      </c>
      <c r="B23" s="58" t="str">
        <f t="shared" ref="B23:E23" si="24">B16</f>
        <v>%</v>
      </c>
      <c r="C23" s="62">
        <f t="shared" si="24"/>
        <v>0</v>
      </c>
      <c r="D23" s="62">
        <f t="shared" si="24"/>
        <v>0</v>
      </c>
      <c r="E23" s="62">
        <f t="shared" si="24"/>
        <v>0</v>
      </c>
      <c r="F23" s="67">
        <f t="shared" ref="F23" si="25">F10*F4*1000</f>
        <v>0</v>
      </c>
      <c r="G23" s="67">
        <f>G10*G4</f>
        <v>12820.861785626998</v>
      </c>
      <c r="H23" s="67">
        <f t="shared" ref="H23:M23" si="26">H10*H4</f>
        <v>17223.319472309209</v>
      </c>
      <c r="I23" s="67">
        <f t="shared" si="26"/>
        <v>22143.447734898869</v>
      </c>
      <c r="J23" s="67">
        <f t="shared" si="26"/>
        <v>27601.613360781837</v>
      </c>
      <c r="K23" s="67">
        <f t="shared" si="26"/>
        <v>32017.871498506935</v>
      </c>
      <c r="L23" s="67">
        <f t="shared" si="26"/>
        <v>36560.407017357589</v>
      </c>
      <c r="M23" s="67">
        <f t="shared" si="26"/>
        <v>37108.813122617954</v>
      </c>
      <c r="Q23" s="10"/>
      <c r="R23" s="693"/>
      <c r="S23" s="693"/>
      <c r="T23" s="572" t="s">
        <v>404</v>
      </c>
      <c r="U23" s="572" t="s">
        <v>62</v>
      </c>
      <c r="W23" s="10"/>
    </row>
    <row r="24" spans="1:31" ht="34.5" customHeight="1">
      <c r="A24" s="62" t="str">
        <f t="shared" ref="A24:E25" si="27">A17</f>
        <v>Генерация электроэнергии</v>
      </c>
      <c r="B24" s="58" t="str">
        <f t="shared" si="27"/>
        <v>%</v>
      </c>
      <c r="C24" s="62">
        <f t="shared" si="27"/>
        <v>0</v>
      </c>
      <c r="D24" s="62">
        <f t="shared" si="27"/>
        <v>0</v>
      </c>
      <c r="E24" s="62">
        <f t="shared" si="27"/>
        <v>0</v>
      </c>
      <c r="F24" s="67">
        <f t="shared" ref="F24" si="28">F11*F5*1000</f>
        <v>0</v>
      </c>
      <c r="G24" s="67">
        <f t="shared" ref="G24:M25" si="29">G11*G5</f>
        <v>162253.53889920004</v>
      </c>
      <c r="H24" s="67">
        <f t="shared" si="29"/>
        <v>227632.17074976009</v>
      </c>
      <c r="I24" s="67">
        <f t="shared" si="29"/>
        <v>305634.12792667793</v>
      </c>
      <c r="J24" s="67">
        <f t="shared" si="29"/>
        <v>397860.56652911403</v>
      </c>
      <c r="K24" s="67">
        <f t="shared" si="29"/>
        <v>481979.65773812681</v>
      </c>
      <c r="L24" s="67">
        <f t="shared" si="29"/>
        <v>574760.74185271608</v>
      </c>
      <c r="M24" s="67">
        <f t="shared" si="29"/>
        <v>609246.38636387908</v>
      </c>
      <c r="R24" s="689" t="s">
        <v>431</v>
      </c>
      <c r="S24" s="689"/>
      <c r="T24" s="570">
        <f>N10</f>
        <v>4737.6000000000013</v>
      </c>
      <c r="U24" s="571">
        <f>T24/$T$27</f>
        <v>6.1215111245698631E-2</v>
      </c>
    </row>
    <row r="25" spans="1:31" ht="34.5" customHeight="1">
      <c r="A25" s="62" t="str">
        <f t="shared" si="27"/>
        <v>Реализация вторичного сырья, продукции</v>
      </c>
      <c r="B25" s="58" t="str">
        <f t="shared" si="27"/>
        <v>%</v>
      </c>
      <c r="C25" s="62">
        <f t="shared" si="27"/>
        <v>0</v>
      </c>
      <c r="D25" s="62">
        <f t="shared" si="27"/>
        <v>0</v>
      </c>
      <c r="E25" s="62">
        <f t="shared" si="27"/>
        <v>0</v>
      </c>
      <c r="F25" s="67">
        <f t="shared" ref="F25" si="30">F12*F6*1000</f>
        <v>0</v>
      </c>
      <c r="G25" s="67">
        <f t="shared" si="29"/>
        <v>260115.60193240334</v>
      </c>
      <c r="H25" s="67">
        <f t="shared" si="29"/>
        <v>364926.88859340112</v>
      </c>
      <c r="I25" s="67">
        <f t="shared" si="29"/>
        <v>489975.16908473987</v>
      </c>
      <c r="J25" s="67">
        <f t="shared" si="29"/>
        <v>637827.32536995958</v>
      </c>
      <c r="K25" s="67">
        <f t="shared" si="29"/>
        <v>772682.24559103698</v>
      </c>
      <c r="L25" s="67">
        <f t="shared" si="29"/>
        <v>921423.57786731143</v>
      </c>
      <c r="M25" s="67">
        <f t="shared" si="29"/>
        <v>976708.99253935018</v>
      </c>
      <c r="R25" s="689" t="s">
        <v>432</v>
      </c>
      <c r="S25" s="689"/>
      <c r="T25" s="570">
        <f>AA16</f>
        <v>27738.09523809524</v>
      </c>
      <c r="U25" s="571">
        <f t="shared" ref="U25:U26" si="31">T25/$T$27</f>
        <v>0.35840733403913017</v>
      </c>
    </row>
    <row r="26" spans="1:31" ht="45" customHeight="1">
      <c r="A26" s="62" t="s">
        <v>17</v>
      </c>
      <c r="B26" s="58"/>
      <c r="C26" s="67">
        <f>SUM(C23:C25)</f>
        <v>0</v>
      </c>
      <c r="D26" s="67">
        <f t="shared" ref="D26:M26" si="32">SUM(D23:D25)</f>
        <v>0</v>
      </c>
      <c r="E26" s="67">
        <f t="shared" si="32"/>
        <v>0</v>
      </c>
      <c r="F26" s="67">
        <f t="shared" si="32"/>
        <v>0</v>
      </c>
      <c r="G26" s="67">
        <f t="shared" si="32"/>
        <v>435190.00261723041</v>
      </c>
      <c r="H26" s="67">
        <f>SUM(H23:H25)</f>
        <v>609782.37881547038</v>
      </c>
      <c r="I26" s="67">
        <f t="shared" si="32"/>
        <v>817752.74474631669</v>
      </c>
      <c r="J26" s="67">
        <f t="shared" si="32"/>
        <v>1063289.5052598554</v>
      </c>
      <c r="K26" s="67">
        <f t="shared" si="32"/>
        <v>1286679.7748276708</v>
      </c>
      <c r="L26" s="76">
        <f>SUM(L23:L25)</f>
        <v>1532744.7267373852</v>
      </c>
      <c r="M26" s="67">
        <f t="shared" si="32"/>
        <v>1623064.1920258473</v>
      </c>
      <c r="O26" s="60"/>
      <c r="R26" s="689" t="s">
        <v>433</v>
      </c>
      <c r="S26" s="689"/>
      <c r="T26" s="570">
        <f>N12*1.1</f>
        <v>44916.960000000006</v>
      </c>
      <c r="U26" s="571">
        <f t="shared" si="31"/>
        <v>0.58037755471517116</v>
      </c>
    </row>
    <row r="27" spans="1:31">
      <c r="O27" s="60"/>
      <c r="R27" s="687" t="s">
        <v>17</v>
      </c>
      <c r="S27" s="688"/>
      <c r="T27" s="573">
        <f>SUM(T24:T26)</f>
        <v>77392.655238095249</v>
      </c>
      <c r="U27" s="276"/>
      <c r="AE27" s="53"/>
    </row>
    <row r="29" spans="1:31">
      <c r="C29" s="673" t="s">
        <v>424</v>
      </c>
      <c r="D29" s="674"/>
      <c r="E29" s="674"/>
      <c r="F29" s="674"/>
      <c r="G29" s="674"/>
      <c r="H29" s="674"/>
      <c r="I29" s="674"/>
      <c r="J29" s="674"/>
      <c r="K29" s="674"/>
      <c r="L29" s="674"/>
      <c r="M29" s="675"/>
    </row>
    <row r="30" spans="1:31">
      <c r="C30" s="77" t="s">
        <v>44</v>
      </c>
      <c r="D30" s="77" t="s">
        <v>45</v>
      </c>
      <c r="E30" s="77" t="s">
        <v>46</v>
      </c>
      <c r="F30" s="77" t="s">
        <v>47</v>
      </c>
      <c r="G30" s="77" t="s">
        <v>48</v>
      </c>
      <c r="H30" s="77" t="s">
        <v>64</v>
      </c>
      <c r="I30" s="77" t="s">
        <v>50</v>
      </c>
      <c r="J30" s="77" t="s">
        <v>51</v>
      </c>
      <c r="K30" s="77" t="s">
        <v>52</v>
      </c>
      <c r="L30" s="77" t="s">
        <v>53</v>
      </c>
      <c r="M30" s="537" t="s">
        <v>54</v>
      </c>
    </row>
    <row r="31" spans="1:31">
      <c r="C31" s="78">
        <f>C26/1000</f>
        <v>0</v>
      </c>
      <c r="D31" s="78">
        <f t="shared" ref="D31:M31" si="33">D26/1000</f>
        <v>0</v>
      </c>
      <c r="E31" s="78">
        <f t="shared" si="33"/>
        <v>0</v>
      </c>
      <c r="F31" s="78">
        <f t="shared" si="33"/>
        <v>0</v>
      </c>
      <c r="G31" s="78">
        <f t="shared" si="33"/>
        <v>435.19000261723039</v>
      </c>
      <c r="H31" s="78">
        <f t="shared" si="33"/>
        <v>609.78237881547034</v>
      </c>
      <c r="I31" s="78">
        <f t="shared" si="33"/>
        <v>817.75274474631669</v>
      </c>
      <c r="J31" s="78">
        <f t="shared" si="33"/>
        <v>1063.2895052598553</v>
      </c>
      <c r="K31" s="78">
        <f t="shared" si="33"/>
        <v>1286.6797748276708</v>
      </c>
      <c r="L31" s="78">
        <f t="shared" si="33"/>
        <v>1532.7447267373852</v>
      </c>
      <c r="M31" s="78">
        <f t="shared" si="33"/>
        <v>1623.0641920258472</v>
      </c>
    </row>
    <row r="32" spans="1:31">
      <c r="C32" s="72"/>
      <c r="D32" s="72"/>
      <c r="E32" s="72"/>
      <c r="F32" s="72"/>
      <c r="G32" s="72"/>
      <c r="H32" s="72"/>
    </row>
    <row r="33" spans="1:14" ht="18" customHeight="1">
      <c r="C33" s="676" t="s">
        <v>65</v>
      </c>
      <c r="D33" s="677"/>
      <c r="E33" s="677"/>
      <c r="F33" s="677"/>
      <c r="G33" s="677"/>
      <c r="H33" s="677"/>
      <c r="I33" s="677"/>
      <c r="J33" s="677"/>
      <c r="K33" s="677"/>
      <c r="L33" s="677"/>
      <c r="M33" s="678"/>
    </row>
    <row r="34" spans="1:14">
      <c r="C34" s="77" t="str">
        <f>C30</f>
        <v>1 год</v>
      </c>
      <c r="D34" s="77" t="str">
        <f t="shared" ref="D34:M34" si="34">D30</f>
        <v>2 год</v>
      </c>
      <c r="E34" s="77" t="str">
        <f t="shared" si="34"/>
        <v>3 год</v>
      </c>
      <c r="F34" s="77" t="str">
        <f t="shared" si="34"/>
        <v>4 год</v>
      </c>
      <c r="G34" s="77" t="str">
        <f t="shared" si="34"/>
        <v>5 год</v>
      </c>
      <c r="H34" s="77" t="str">
        <f t="shared" si="34"/>
        <v xml:space="preserve">6 год </v>
      </c>
      <c r="I34" s="77" t="str">
        <f t="shared" si="34"/>
        <v>7 год</v>
      </c>
      <c r="J34" s="77" t="str">
        <f t="shared" si="34"/>
        <v>8 год</v>
      </c>
      <c r="K34" s="77" t="str">
        <f t="shared" si="34"/>
        <v>9 год</v>
      </c>
      <c r="L34" s="77" t="str">
        <f t="shared" si="34"/>
        <v>10 год</v>
      </c>
      <c r="M34" s="77" t="str">
        <f t="shared" si="34"/>
        <v>11 год</v>
      </c>
    </row>
    <row r="35" spans="1:14">
      <c r="C35" s="79">
        <f>C16</f>
        <v>0</v>
      </c>
      <c r="D35" s="79">
        <f>D16</f>
        <v>0</v>
      </c>
      <c r="E35" s="79">
        <f t="shared" ref="E35:M35" si="35">E16</f>
        <v>0</v>
      </c>
      <c r="F35" s="79">
        <f t="shared" si="35"/>
        <v>0</v>
      </c>
      <c r="G35" s="79">
        <f t="shared" si="35"/>
        <v>0.4</v>
      </c>
      <c r="H35" s="79">
        <f t="shared" si="35"/>
        <v>0.5</v>
      </c>
      <c r="I35" s="79">
        <f t="shared" si="35"/>
        <v>0.6</v>
      </c>
      <c r="J35" s="79">
        <f t="shared" si="35"/>
        <v>0.7</v>
      </c>
      <c r="K35" s="79">
        <f t="shared" si="35"/>
        <v>0.8</v>
      </c>
      <c r="L35" s="79">
        <f t="shared" si="35"/>
        <v>0.9</v>
      </c>
      <c r="M35" s="79">
        <f t="shared" si="35"/>
        <v>0.9</v>
      </c>
    </row>
    <row r="36" spans="1:14">
      <c r="N36" s="80"/>
    </row>
    <row r="37" spans="1:14">
      <c r="A37"/>
      <c r="B37"/>
      <c r="C37"/>
      <c r="D37"/>
      <c r="E37"/>
      <c r="F37"/>
      <c r="G37"/>
      <c r="H37"/>
      <c r="I37"/>
      <c r="J37"/>
      <c r="K37"/>
      <c r="L37"/>
    </row>
    <row r="38" spans="1:14">
      <c r="A38"/>
      <c r="B38"/>
      <c r="C38"/>
      <c r="D38"/>
      <c r="E38"/>
      <c r="F38"/>
      <c r="G38"/>
      <c r="H38"/>
      <c r="I38"/>
      <c r="J38"/>
      <c r="K38"/>
      <c r="L38"/>
    </row>
    <row r="39" spans="1:14">
      <c r="A39"/>
      <c r="B39"/>
      <c r="C39"/>
      <c r="D39"/>
      <c r="E39"/>
      <c r="F39"/>
      <c r="G39"/>
      <c r="H39"/>
      <c r="I39"/>
      <c r="J39"/>
      <c r="K39"/>
      <c r="L39"/>
    </row>
    <row r="40" spans="1:14">
      <c r="A40"/>
      <c r="B40"/>
      <c r="C40"/>
      <c r="D40"/>
      <c r="E40"/>
      <c r="F40"/>
      <c r="G40"/>
      <c r="H40"/>
      <c r="I40"/>
      <c r="J40"/>
      <c r="K40"/>
      <c r="L40"/>
    </row>
    <row r="41" spans="1:14">
      <c r="A41" s="652" t="s">
        <v>480</v>
      </c>
      <c r="B41"/>
      <c r="C41"/>
      <c r="D41"/>
      <c r="E41" s="669" t="s">
        <v>481</v>
      </c>
      <c r="F41" s="669"/>
      <c r="G41" s="669"/>
      <c r="H41"/>
      <c r="I41"/>
      <c r="J41"/>
      <c r="K41"/>
      <c r="L41"/>
    </row>
    <row r="42" spans="1:14" ht="57.6">
      <c r="A42"/>
      <c r="B42" s="657" t="s">
        <v>482</v>
      </c>
      <c r="C42" s="657" t="s">
        <v>483</v>
      </c>
      <c r="D42" s="657" t="s">
        <v>484</v>
      </c>
      <c r="E42" s="657" t="s">
        <v>56</v>
      </c>
      <c r="F42" s="657" t="s">
        <v>485</v>
      </c>
      <c r="G42" s="657" t="s">
        <v>486</v>
      </c>
      <c r="H42"/>
      <c r="I42"/>
      <c r="J42"/>
      <c r="K42"/>
      <c r="L42"/>
    </row>
    <row r="43" spans="1:14" ht="43.2">
      <c r="A43" s="653" t="s">
        <v>487</v>
      </c>
      <c r="B43" s="52">
        <v>2</v>
      </c>
      <c r="C43" s="53">
        <v>26.7</v>
      </c>
      <c r="D43" s="53">
        <v>1</v>
      </c>
      <c r="E43" s="53">
        <f t="shared" ref="E43:E55" si="36">D43*C43*14*B43</f>
        <v>747.6</v>
      </c>
      <c r="F43" s="53">
        <f t="shared" ref="F43:F55" si="37">E43*30</f>
        <v>22428</v>
      </c>
      <c r="G43" s="53">
        <f t="shared" ref="G43:G55" si="38">F43*12</f>
        <v>269136</v>
      </c>
    </row>
    <row r="44" spans="1:14" ht="28.8">
      <c r="A44" s="51" t="s">
        <v>488</v>
      </c>
      <c r="B44" s="52">
        <v>6</v>
      </c>
      <c r="C44" s="53">
        <v>12.3</v>
      </c>
      <c r="D44" s="53">
        <v>1</v>
      </c>
      <c r="E44" s="53">
        <f t="shared" si="36"/>
        <v>1033.2</v>
      </c>
      <c r="F44" s="53">
        <f t="shared" si="37"/>
        <v>30996</v>
      </c>
      <c r="G44" s="53">
        <f t="shared" si="38"/>
        <v>371952</v>
      </c>
    </row>
    <row r="45" spans="1:14" ht="43.2">
      <c r="A45" s="61" t="s">
        <v>489</v>
      </c>
      <c r="B45" s="52">
        <v>2</v>
      </c>
      <c r="C45" s="53">
        <v>12</v>
      </c>
      <c r="D45" s="53">
        <v>1</v>
      </c>
      <c r="E45" s="53">
        <f t="shared" si="36"/>
        <v>336</v>
      </c>
      <c r="F45" s="53">
        <f t="shared" si="37"/>
        <v>10080</v>
      </c>
      <c r="G45" s="53">
        <f t="shared" si="38"/>
        <v>120960</v>
      </c>
    </row>
    <row r="46" spans="1:14" ht="28.8">
      <c r="A46" s="51" t="s">
        <v>490</v>
      </c>
      <c r="B46" s="52">
        <v>6</v>
      </c>
      <c r="C46" s="53">
        <v>26</v>
      </c>
      <c r="D46" s="53">
        <v>1</v>
      </c>
      <c r="E46" s="53">
        <f t="shared" si="36"/>
        <v>2184</v>
      </c>
      <c r="F46" s="53">
        <f t="shared" si="37"/>
        <v>65520</v>
      </c>
      <c r="G46" s="53">
        <f t="shared" si="38"/>
        <v>786240</v>
      </c>
    </row>
    <row r="47" spans="1:14" ht="28.8">
      <c r="A47" s="61" t="s">
        <v>491</v>
      </c>
      <c r="B47" s="52">
        <v>4</v>
      </c>
      <c r="C47" s="53">
        <v>120</v>
      </c>
      <c r="D47" s="53">
        <v>1</v>
      </c>
      <c r="E47" s="53">
        <f t="shared" si="36"/>
        <v>6720</v>
      </c>
      <c r="F47" s="53">
        <f t="shared" si="37"/>
        <v>201600</v>
      </c>
      <c r="G47" s="53">
        <f t="shared" si="38"/>
        <v>2419200</v>
      </c>
    </row>
    <row r="48" spans="1:14" ht="28.8">
      <c r="A48" s="61" t="s">
        <v>492</v>
      </c>
      <c r="B48" s="52">
        <v>2</v>
      </c>
      <c r="C48" s="53">
        <v>13</v>
      </c>
      <c r="D48" s="53">
        <v>1</v>
      </c>
      <c r="E48" s="53">
        <f t="shared" si="36"/>
        <v>364</v>
      </c>
      <c r="F48" s="53">
        <f t="shared" si="37"/>
        <v>10920</v>
      </c>
      <c r="G48" s="53">
        <f t="shared" si="38"/>
        <v>131040</v>
      </c>
    </row>
    <row r="49" spans="1:7">
      <c r="A49" t="s">
        <v>493</v>
      </c>
      <c r="B49" s="52">
        <v>1</v>
      </c>
      <c r="C49" s="53">
        <v>2.2000000000000002</v>
      </c>
      <c r="D49" s="53">
        <v>1</v>
      </c>
      <c r="E49" s="53">
        <f t="shared" si="36"/>
        <v>30.800000000000004</v>
      </c>
      <c r="F49" s="53">
        <f t="shared" si="37"/>
        <v>924.00000000000011</v>
      </c>
      <c r="G49" s="53">
        <f t="shared" si="38"/>
        <v>11088.000000000002</v>
      </c>
    </row>
    <row r="50" spans="1:7">
      <c r="A50" s="654" t="s">
        <v>494</v>
      </c>
      <c r="B50" s="52">
        <v>10</v>
      </c>
      <c r="C50" s="53">
        <v>2.2000000000000002</v>
      </c>
      <c r="D50" s="53">
        <v>1</v>
      </c>
      <c r="E50" s="53">
        <f t="shared" si="36"/>
        <v>308.00000000000006</v>
      </c>
      <c r="F50" s="53">
        <f t="shared" si="37"/>
        <v>9240.0000000000018</v>
      </c>
      <c r="G50" s="53">
        <f t="shared" si="38"/>
        <v>110880.00000000003</v>
      </c>
    </row>
    <row r="51" spans="1:7">
      <c r="A51" s="654" t="s">
        <v>495</v>
      </c>
      <c r="B51" s="52">
        <v>6</v>
      </c>
      <c r="C51" s="53">
        <v>16.5</v>
      </c>
      <c r="D51" s="53">
        <v>1</v>
      </c>
      <c r="E51" s="53">
        <f t="shared" si="36"/>
        <v>1386</v>
      </c>
      <c r="F51" s="53">
        <f t="shared" si="37"/>
        <v>41580</v>
      </c>
      <c r="G51" s="53">
        <f t="shared" si="38"/>
        <v>498960</v>
      </c>
    </row>
    <row r="52" spans="1:7">
      <c r="A52" s="654" t="s">
        <v>496</v>
      </c>
      <c r="B52" s="52">
        <v>4</v>
      </c>
      <c r="C52" s="53">
        <v>7.5</v>
      </c>
      <c r="D52" s="53">
        <v>1</v>
      </c>
      <c r="E52" s="53">
        <f t="shared" si="36"/>
        <v>420</v>
      </c>
      <c r="F52" s="53">
        <f t="shared" si="37"/>
        <v>12600</v>
      </c>
      <c r="G52" s="53">
        <f t="shared" si="38"/>
        <v>151200</v>
      </c>
    </row>
    <row r="53" spans="1:7">
      <c r="A53" s="654" t="s">
        <v>497</v>
      </c>
      <c r="B53" s="52">
        <v>60</v>
      </c>
      <c r="C53" s="53">
        <v>1.2</v>
      </c>
      <c r="D53" s="53">
        <v>1</v>
      </c>
      <c r="E53" s="53">
        <f t="shared" si="36"/>
        <v>1008</v>
      </c>
      <c r="F53" s="53">
        <f t="shared" si="37"/>
        <v>30240</v>
      </c>
      <c r="G53" s="53">
        <f t="shared" si="38"/>
        <v>362880</v>
      </c>
    </row>
    <row r="54" spans="1:7">
      <c r="A54" s="51" t="s">
        <v>498</v>
      </c>
      <c r="B54" s="52">
        <v>60</v>
      </c>
      <c r="C54" s="53">
        <f>250/1000</f>
        <v>0.25</v>
      </c>
      <c r="D54" s="53">
        <v>0.3</v>
      </c>
      <c r="E54" s="53">
        <f t="shared" si="36"/>
        <v>63</v>
      </c>
      <c r="F54" s="53">
        <f t="shared" si="37"/>
        <v>1890</v>
      </c>
      <c r="G54" s="53">
        <f t="shared" si="38"/>
        <v>22680</v>
      </c>
    </row>
    <row r="55" spans="1:7">
      <c r="A55" s="51" t="s">
        <v>499</v>
      </c>
      <c r="B55" s="52">
        <v>10</v>
      </c>
      <c r="C55" s="53">
        <f>250/1000</f>
        <v>0.25</v>
      </c>
      <c r="D55" s="53">
        <v>0.3</v>
      </c>
      <c r="E55" s="53">
        <f t="shared" si="36"/>
        <v>10.5</v>
      </c>
      <c r="F55" s="53">
        <f t="shared" si="37"/>
        <v>315</v>
      </c>
      <c r="G55" s="53">
        <f t="shared" si="38"/>
        <v>3780</v>
      </c>
    </row>
    <row r="57" spans="1:7">
      <c r="A57" s="51" t="s">
        <v>21</v>
      </c>
      <c r="E57" s="655">
        <f>SUM(E43:E56)</f>
        <v>14611.099999999999</v>
      </c>
      <c r="F57" s="655">
        <f t="shared" ref="F57:G57" si="39">SUM(F43:F56)</f>
        <v>438333</v>
      </c>
      <c r="G57" s="655">
        <f t="shared" si="39"/>
        <v>5259996</v>
      </c>
    </row>
    <row r="59" spans="1:7" ht="15" thickBot="1"/>
    <row r="60" spans="1:7" ht="54.6" customHeight="1" thickBot="1">
      <c r="A60" s="670" t="s">
        <v>503</v>
      </c>
      <c r="B60" s="671"/>
      <c r="C60" s="671"/>
      <c r="D60" s="671"/>
      <c r="E60" s="671"/>
      <c r="F60" s="671"/>
      <c r="G60" s="672"/>
    </row>
  </sheetData>
  <mergeCells count="16">
    <mergeCell ref="R27:S27"/>
    <mergeCell ref="R24:S24"/>
    <mergeCell ref="R25:S25"/>
    <mergeCell ref="R22:V22"/>
    <mergeCell ref="R26:S26"/>
    <mergeCell ref="R23:S23"/>
    <mergeCell ref="P2:Z2"/>
    <mergeCell ref="C8:M8"/>
    <mergeCell ref="P8:Z8"/>
    <mergeCell ref="C14:L14"/>
    <mergeCell ref="P14:Z14"/>
    <mergeCell ref="E41:G41"/>
    <mergeCell ref="A60:G60"/>
    <mergeCell ref="C29:M29"/>
    <mergeCell ref="C33:M33"/>
    <mergeCell ref="C2:M2"/>
  </mergeCells>
  <pageMargins left="0.7" right="0.7" top="0.75" bottom="0.75" header="0.3" footer="0.3"/>
  <pageSetup paperSize="8" scale="62" firstPageNumber="2147483648" orientation="portrait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Лист7">
    <tabColor theme="0"/>
    <pageSetUpPr fitToPage="1"/>
  </sheetPr>
  <dimension ref="A1:AU20"/>
  <sheetViews>
    <sheetView zoomScale="50" zoomScaleNormal="50" workbookViewId="0">
      <pane xSplit="2" ySplit="1" topLeftCell="C2" activePane="bottomRight" state="frozen"/>
      <selection activeCell="C20" sqref="C20"/>
      <selection pane="topRight"/>
      <selection pane="bottomLeft"/>
      <selection pane="bottomRight" activeCell="J20" sqref="J20"/>
    </sheetView>
  </sheetViews>
  <sheetFormatPr defaultColWidth="9.109375" defaultRowHeight="14.4"/>
  <cols>
    <col min="1" max="1" width="7.33203125" style="81" customWidth="1"/>
    <col min="2" max="2" width="26.5546875" style="51" customWidth="1"/>
    <col min="3" max="3" width="12.109375" style="82" customWidth="1"/>
    <col min="4" max="4" width="13.44140625" style="82" customWidth="1"/>
    <col min="5" max="5" width="14" style="82" customWidth="1"/>
    <col min="6" max="6" width="15.109375" style="82" customWidth="1"/>
    <col min="7" max="7" width="15.33203125" style="82" customWidth="1"/>
    <col min="8" max="8" width="15.44140625" style="82" customWidth="1"/>
    <col min="9" max="9" width="14" style="82" customWidth="1"/>
    <col min="10" max="10" width="15.33203125" style="82" customWidth="1"/>
    <col min="11" max="11" width="16.109375" style="82" customWidth="1"/>
    <col min="12" max="12" width="16.33203125" style="82" customWidth="1"/>
    <col min="13" max="13" width="16.44140625" style="82" customWidth="1"/>
    <col min="14" max="14" width="13.44140625" style="82" customWidth="1"/>
    <col min="15" max="15" width="17.109375" style="82" customWidth="1"/>
    <col min="16" max="16" width="13.6640625" style="82" customWidth="1"/>
    <col min="17" max="17" width="13.5546875" style="82" customWidth="1"/>
    <col min="18" max="18" width="13.88671875" style="82" customWidth="1"/>
    <col min="19" max="19" width="18.44140625" style="82" customWidth="1"/>
    <col min="20" max="20" width="14.88671875" style="82" customWidth="1"/>
    <col min="21" max="21" width="14.44140625" style="82" customWidth="1"/>
    <col min="22" max="22" width="14.33203125" style="82" customWidth="1"/>
    <col min="23" max="23" width="15.33203125" style="82" customWidth="1"/>
    <col min="24" max="24" width="14.44140625" customWidth="1"/>
    <col min="25" max="25" width="13.5546875" customWidth="1"/>
    <col min="26" max="26" width="14.44140625" customWidth="1"/>
    <col min="27" max="27" width="15.88671875" customWidth="1"/>
    <col min="28" max="28" width="17.5546875" customWidth="1"/>
    <col min="29" max="29" width="15.44140625" customWidth="1"/>
    <col min="30" max="30" width="19.5546875" customWidth="1"/>
    <col min="31" max="31" width="16.109375" customWidth="1"/>
    <col min="32" max="32" width="13" customWidth="1"/>
    <col min="33" max="33" width="14.109375" customWidth="1"/>
    <col min="34" max="34" width="11.6640625" customWidth="1"/>
    <col min="35" max="35" width="14.109375" customWidth="1"/>
    <col min="36" max="36" width="16.6640625" customWidth="1"/>
    <col min="37" max="37" width="13.6640625" customWidth="1"/>
    <col min="38" max="38" width="13" customWidth="1"/>
    <col min="39" max="39" width="12.44140625" customWidth="1"/>
    <col min="40" max="40" width="14.109375" customWidth="1"/>
    <col min="41" max="41" width="12.6640625" customWidth="1"/>
    <col min="42" max="42" width="13" customWidth="1"/>
    <col min="43" max="43" width="12.33203125" customWidth="1"/>
    <col min="44" max="44" width="13" customWidth="1"/>
    <col min="45" max="45" width="11.6640625" customWidth="1"/>
    <col min="46" max="46" width="12.44140625" customWidth="1"/>
    <col min="47" max="47" width="13.44140625" customWidth="1"/>
  </cols>
  <sheetData>
    <row r="1" spans="1:47" s="61" customFormat="1">
      <c r="A1" s="369" t="s">
        <v>66</v>
      </c>
      <c r="B1" s="368" t="s">
        <v>67</v>
      </c>
      <c r="C1" s="367"/>
      <c r="D1" s="367" t="s">
        <v>68</v>
      </c>
      <c r="E1" s="367" t="s">
        <v>69</v>
      </c>
      <c r="F1" s="367" t="s">
        <v>70</v>
      </c>
      <c r="G1" s="367" t="s">
        <v>71</v>
      </c>
      <c r="H1" s="367" t="s">
        <v>72</v>
      </c>
      <c r="I1" s="367" t="s">
        <v>73</v>
      </c>
      <c r="J1" s="367" t="s">
        <v>74</v>
      </c>
      <c r="K1" s="367" t="s">
        <v>75</v>
      </c>
      <c r="L1" s="367" t="s">
        <v>76</v>
      </c>
      <c r="M1" s="367" t="s">
        <v>77</v>
      </c>
      <c r="N1" s="367" t="s">
        <v>78</v>
      </c>
      <c r="O1" s="367" t="s">
        <v>79</v>
      </c>
      <c r="P1" s="367" t="s">
        <v>80</v>
      </c>
      <c r="Q1" s="367" t="s">
        <v>81</v>
      </c>
      <c r="R1" s="367" t="s">
        <v>82</v>
      </c>
      <c r="S1" s="367" t="s">
        <v>83</v>
      </c>
      <c r="T1" s="367" t="s">
        <v>84</v>
      </c>
      <c r="U1" s="367" t="s">
        <v>85</v>
      </c>
      <c r="V1" s="367" t="s">
        <v>86</v>
      </c>
      <c r="W1" s="367" t="s">
        <v>87</v>
      </c>
      <c r="X1" s="367" t="s">
        <v>88</v>
      </c>
      <c r="Y1" s="367" t="s">
        <v>89</v>
      </c>
      <c r="Z1" s="367" t="s">
        <v>90</v>
      </c>
      <c r="AA1" s="367" t="s">
        <v>91</v>
      </c>
      <c r="AB1" s="367" t="s">
        <v>94</v>
      </c>
      <c r="AC1" s="367" t="s">
        <v>95</v>
      </c>
      <c r="AD1" s="367" t="s">
        <v>96</v>
      </c>
      <c r="AE1" s="367" t="s">
        <v>97</v>
      </c>
      <c r="AF1" s="367" t="s">
        <v>98</v>
      </c>
      <c r="AG1" s="367" t="s">
        <v>99</v>
      </c>
      <c r="AH1" s="367" t="s">
        <v>100</v>
      </c>
      <c r="AI1" s="367" t="s">
        <v>101</v>
      </c>
      <c r="AJ1" s="367" t="s">
        <v>102</v>
      </c>
      <c r="AK1" s="367" t="s">
        <v>103</v>
      </c>
      <c r="AL1" s="367" t="s">
        <v>104</v>
      </c>
      <c r="AM1" s="367" t="s">
        <v>105</v>
      </c>
      <c r="AN1" s="367" t="s">
        <v>106</v>
      </c>
      <c r="AO1" s="367" t="s">
        <v>107</v>
      </c>
      <c r="AP1" s="367" t="s">
        <v>108</v>
      </c>
      <c r="AQ1" s="367" t="s">
        <v>109</v>
      </c>
      <c r="AR1" s="367" t="s">
        <v>110</v>
      </c>
      <c r="AS1" s="367" t="s">
        <v>111</v>
      </c>
      <c r="AT1" s="367" t="s">
        <v>112</v>
      </c>
      <c r="AU1" s="367" t="s">
        <v>113</v>
      </c>
    </row>
    <row r="2" spans="1:47" ht="28.8">
      <c r="A2" s="63">
        <v>1</v>
      </c>
      <c r="B2" s="62" t="str">
        <f>'объем работ 100% загр'!A4</f>
        <v>Утилизация мусора, опасных отходов</v>
      </c>
      <c r="C2" s="84" t="s">
        <v>92</v>
      </c>
      <c r="E2" s="67"/>
      <c r="F2" s="377">
        <f>'объем работ 100% загр'!C23/2</f>
        <v>0</v>
      </c>
      <c r="G2" s="377">
        <f>F2</f>
        <v>0</v>
      </c>
      <c r="H2" s="377">
        <f>'объем работ 100% загр'!D23/4</f>
        <v>0</v>
      </c>
      <c r="I2" s="377">
        <f t="shared" ref="I2:I4" si="0">H2</f>
        <v>0</v>
      </c>
      <c r="J2" s="377">
        <f t="shared" ref="J2:K4" si="1">I2</f>
        <v>0</v>
      </c>
      <c r="K2" s="377">
        <f t="shared" si="1"/>
        <v>0</v>
      </c>
      <c r="L2" s="377">
        <f>'объем работ 100% загр'!E23/4</f>
        <v>0</v>
      </c>
      <c r="M2" s="377">
        <f t="shared" ref="M2:O4" si="2">L2</f>
        <v>0</v>
      </c>
      <c r="N2" s="377">
        <f t="shared" ref="N2:O2" si="3">M2</f>
        <v>0</v>
      </c>
      <c r="O2" s="377">
        <f t="shared" si="3"/>
        <v>0</v>
      </c>
      <c r="P2" s="377">
        <f>'объем работ 100% загр'!F23/4</f>
        <v>0</v>
      </c>
      <c r="Q2" s="377">
        <f t="shared" ref="Q2:S4" si="4">P2</f>
        <v>0</v>
      </c>
      <c r="R2" s="377">
        <f>Q2</f>
        <v>0</v>
      </c>
      <c r="S2" s="377">
        <f>R2</f>
        <v>0</v>
      </c>
      <c r="T2" s="377">
        <f>'объем работ 100% загр'!G23/4</f>
        <v>3205.2154464067494</v>
      </c>
      <c r="U2" s="377">
        <f t="shared" ref="U2:AA4" si="5">T2</f>
        <v>3205.2154464067494</v>
      </c>
      <c r="V2" s="377">
        <f t="shared" ref="V2:AA2" si="6">U2</f>
        <v>3205.2154464067494</v>
      </c>
      <c r="W2" s="377">
        <f t="shared" si="6"/>
        <v>3205.2154464067494</v>
      </c>
      <c r="X2" s="377">
        <f>'объем работ 100% загр'!H23/4</f>
        <v>4305.8298680773023</v>
      </c>
      <c r="Y2" s="377">
        <f t="shared" si="6"/>
        <v>4305.8298680773023</v>
      </c>
      <c r="Z2" s="377">
        <f t="shared" si="6"/>
        <v>4305.8298680773023</v>
      </c>
      <c r="AA2" s="377">
        <f t="shared" si="6"/>
        <v>4305.8298680773023</v>
      </c>
      <c r="AB2" s="377">
        <f>'объем работ 100% загр'!I23/4</f>
        <v>5535.8619337247173</v>
      </c>
      <c r="AC2" s="377">
        <f>AB2</f>
        <v>5535.8619337247173</v>
      </c>
      <c r="AD2" s="377">
        <f t="shared" ref="AD2:AE4" si="7">AC2</f>
        <v>5535.8619337247173</v>
      </c>
      <c r="AE2" s="377">
        <f t="shared" si="7"/>
        <v>5535.8619337247173</v>
      </c>
      <c r="AF2" s="377">
        <f>'объем работ 100% загр'!J23/4</f>
        <v>6900.4033401954594</v>
      </c>
      <c r="AG2" s="377">
        <f>AF2</f>
        <v>6900.4033401954594</v>
      </c>
      <c r="AH2" s="377">
        <f t="shared" ref="AH2:AI4" si="8">AG2</f>
        <v>6900.4033401954594</v>
      </c>
      <c r="AI2" s="377">
        <f t="shared" si="8"/>
        <v>6900.4033401954594</v>
      </c>
      <c r="AJ2" s="377">
        <f>'объем работ 100% загр'!K23/4</f>
        <v>8004.4678746267336</v>
      </c>
      <c r="AK2" s="377">
        <f>AJ2</f>
        <v>8004.4678746267336</v>
      </c>
      <c r="AL2" s="377">
        <f t="shared" ref="AL2:AM4" si="9">AK2</f>
        <v>8004.4678746267336</v>
      </c>
      <c r="AM2" s="377">
        <f t="shared" si="9"/>
        <v>8004.4678746267336</v>
      </c>
      <c r="AN2" s="377">
        <f>'объем работ 100% загр'!L23/4</f>
        <v>9140.1017543393973</v>
      </c>
      <c r="AO2" s="377">
        <f>AN2</f>
        <v>9140.1017543393973</v>
      </c>
      <c r="AP2" s="377">
        <f>AO2</f>
        <v>9140.1017543393973</v>
      </c>
      <c r="AQ2" s="377">
        <f t="shared" ref="AQ2:AQ4" si="10">AP2</f>
        <v>9140.1017543393973</v>
      </c>
      <c r="AR2" s="377">
        <f>'объем работ 100% загр'!M23/4</f>
        <v>9277.2032806544885</v>
      </c>
      <c r="AS2" s="377">
        <f t="shared" ref="AS2:AU4" si="11">AR2</f>
        <v>9277.2032806544885</v>
      </c>
      <c r="AT2" s="377">
        <f t="shared" si="11"/>
        <v>9277.2032806544885</v>
      </c>
      <c r="AU2" s="377">
        <f t="shared" si="11"/>
        <v>9277.2032806544885</v>
      </c>
    </row>
    <row r="3" spans="1:47" ht="27" customHeight="1">
      <c r="A3" s="63">
        <v>2</v>
      </c>
      <c r="B3" s="62" t="str">
        <f>'объем работ 100% загр'!A5</f>
        <v>Генерация электроэнергии</v>
      </c>
      <c r="C3" s="85"/>
      <c r="D3" s="67">
        <f>'объем работ 100% загр'!C24/4</f>
        <v>0</v>
      </c>
      <c r="E3" s="67">
        <f t="shared" ref="E3:E4" si="12">D3</f>
        <v>0</v>
      </c>
      <c r="F3" s="67">
        <f t="shared" ref="F3:G4" si="13">E3</f>
        <v>0</v>
      </c>
      <c r="G3" s="67">
        <f t="shared" si="13"/>
        <v>0</v>
      </c>
      <c r="H3" s="67">
        <f>'объем работ 100% загр'!D24/4</f>
        <v>0</v>
      </c>
      <c r="I3" s="67">
        <f t="shared" si="0"/>
        <v>0</v>
      </c>
      <c r="J3" s="67">
        <f t="shared" si="1"/>
        <v>0</v>
      </c>
      <c r="K3" s="67">
        <f>'объем работ 100% загр'!D5*'объем работ 100% загр'!D11</f>
        <v>0</v>
      </c>
      <c r="L3" s="67">
        <f>'объем работ 100% загр'!E24/4</f>
        <v>0</v>
      </c>
      <c r="M3" s="67">
        <f t="shared" si="2"/>
        <v>0</v>
      </c>
      <c r="N3" s="67">
        <f t="shared" si="2"/>
        <v>0</v>
      </c>
      <c r="O3" s="67">
        <f t="shared" si="2"/>
        <v>0</v>
      </c>
      <c r="P3" s="67">
        <f>'объем работ 100% загр'!F24/4</f>
        <v>0</v>
      </c>
      <c r="Q3" s="67">
        <f t="shared" si="4"/>
        <v>0</v>
      </c>
      <c r="R3" s="67">
        <f t="shared" si="4"/>
        <v>0</v>
      </c>
      <c r="S3" s="67">
        <f t="shared" si="4"/>
        <v>0</v>
      </c>
      <c r="T3" s="67">
        <f>'объем работ 100% загр'!G24/4</f>
        <v>40563.384724800009</v>
      </c>
      <c r="U3" s="67">
        <f t="shared" si="5"/>
        <v>40563.384724800009</v>
      </c>
      <c r="V3" s="67">
        <f t="shared" si="5"/>
        <v>40563.384724800009</v>
      </c>
      <c r="W3" s="67">
        <f t="shared" si="5"/>
        <v>40563.384724800009</v>
      </c>
      <c r="X3" s="67">
        <f>'объем работ 100% загр'!H24/4</f>
        <v>56908.042687440022</v>
      </c>
      <c r="Y3" s="67">
        <f t="shared" si="5"/>
        <v>56908.042687440022</v>
      </c>
      <c r="Z3" s="67">
        <f t="shared" si="5"/>
        <v>56908.042687440022</v>
      </c>
      <c r="AA3" s="67">
        <f t="shared" si="5"/>
        <v>56908.042687440022</v>
      </c>
      <c r="AB3" s="377">
        <f>'объем работ 100% загр'!I24/4</f>
        <v>76408.531981669483</v>
      </c>
      <c r="AC3" s="377">
        <f t="shared" ref="AC3:AC4" si="14">AB3</f>
        <v>76408.531981669483</v>
      </c>
      <c r="AD3" s="377">
        <f t="shared" si="7"/>
        <v>76408.531981669483</v>
      </c>
      <c r="AE3" s="377">
        <f t="shared" si="7"/>
        <v>76408.531981669483</v>
      </c>
      <c r="AF3" s="377">
        <f>'объем работ 100% загр'!J24/4</f>
        <v>99465.141632278508</v>
      </c>
      <c r="AG3" s="377">
        <f t="shared" ref="AG3:AG4" si="15">AF3</f>
        <v>99465.141632278508</v>
      </c>
      <c r="AH3" s="377">
        <f t="shared" si="8"/>
        <v>99465.141632278508</v>
      </c>
      <c r="AI3" s="377">
        <f t="shared" si="8"/>
        <v>99465.141632278508</v>
      </c>
      <c r="AJ3" s="377">
        <f>'объем работ 100% загр'!K24/4</f>
        <v>120494.9144345317</v>
      </c>
      <c r="AK3" s="377">
        <f t="shared" ref="AK3:AK4" si="16">AJ3</f>
        <v>120494.9144345317</v>
      </c>
      <c r="AL3" s="377">
        <f t="shared" si="9"/>
        <v>120494.9144345317</v>
      </c>
      <c r="AM3" s="377">
        <f t="shared" si="9"/>
        <v>120494.9144345317</v>
      </c>
      <c r="AN3" s="377">
        <f>'объем работ 100% загр'!L24/4</f>
        <v>143690.18546317902</v>
      </c>
      <c r="AO3" s="377">
        <f t="shared" ref="AO3:AP4" si="17">AN3</f>
        <v>143690.18546317902</v>
      </c>
      <c r="AP3" s="377">
        <f t="shared" si="17"/>
        <v>143690.18546317902</v>
      </c>
      <c r="AQ3" s="377">
        <f t="shared" si="10"/>
        <v>143690.18546317902</v>
      </c>
      <c r="AR3" s="377">
        <f>'объем работ 100% загр'!M24/4</f>
        <v>152311.59659096977</v>
      </c>
      <c r="AS3" s="377">
        <f t="shared" si="11"/>
        <v>152311.59659096977</v>
      </c>
      <c r="AT3" s="377">
        <f t="shared" si="11"/>
        <v>152311.59659096977</v>
      </c>
      <c r="AU3" s="377">
        <f t="shared" si="11"/>
        <v>152311.59659096977</v>
      </c>
    </row>
    <row r="4" spans="1:47" ht="29.25" customHeight="1">
      <c r="A4" s="63">
        <v>3</v>
      </c>
      <c r="B4" s="62" t="str">
        <f>'объем работ 100% загр'!A6</f>
        <v>Реализация вторичного сырья, продукции</v>
      </c>
      <c r="C4" s="85"/>
      <c r="D4" s="67">
        <f>'объем работ 100% загр'!C25/4</f>
        <v>0</v>
      </c>
      <c r="E4" s="67">
        <f t="shared" si="12"/>
        <v>0</v>
      </c>
      <c r="F4" s="67">
        <f t="shared" si="13"/>
        <v>0</v>
      </c>
      <c r="G4" s="67">
        <f t="shared" si="13"/>
        <v>0</v>
      </c>
      <c r="H4" s="67">
        <f>'объем работ 100% загр'!D25/4</f>
        <v>0</v>
      </c>
      <c r="I4" s="67">
        <f t="shared" si="0"/>
        <v>0</v>
      </c>
      <c r="J4" s="67">
        <f t="shared" si="1"/>
        <v>0</v>
      </c>
      <c r="K4" s="67">
        <f t="shared" si="1"/>
        <v>0</v>
      </c>
      <c r="L4" s="67">
        <f>'объем работ 100% загр'!E25/4</f>
        <v>0</v>
      </c>
      <c r="M4" s="67">
        <f t="shared" si="2"/>
        <v>0</v>
      </c>
      <c r="N4" s="67">
        <f t="shared" si="2"/>
        <v>0</v>
      </c>
      <c r="O4" s="67">
        <f t="shared" si="2"/>
        <v>0</v>
      </c>
      <c r="P4" s="67">
        <f>'объем работ 100% загр'!F25/4</f>
        <v>0</v>
      </c>
      <c r="Q4" s="67">
        <f t="shared" si="4"/>
        <v>0</v>
      </c>
      <c r="R4" s="67">
        <f t="shared" si="4"/>
        <v>0</v>
      </c>
      <c r="S4" s="67">
        <f t="shared" si="4"/>
        <v>0</v>
      </c>
      <c r="T4" s="67">
        <f>'объем работ 100% загр'!G25/4</f>
        <v>65028.900483100835</v>
      </c>
      <c r="U4" s="67">
        <f t="shared" si="5"/>
        <v>65028.900483100835</v>
      </c>
      <c r="V4" s="67">
        <f t="shared" si="5"/>
        <v>65028.900483100835</v>
      </c>
      <c r="W4" s="67">
        <f t="shared" si="5"/>
        <v>65028.900483100835</v>
      </c>
      <c r="X4" s="67">
        <f>'объем работ 100% загр'!H25/4</f>
        <v>91231.72214835028</v>
      </c>
      <c r="Y4" s="67">
        <f>X4</f>
        <v>91231.72214835028</v>
      </c>
      <c r="Z4" s="67">
        <f t="shared" si="5"/>
        <v>91231.72214835028</v>
      </c>
      <c r="AA4" s="67">
        <f t="shared" si="5"/>
        <v>91231.72214835028</v>
      </c>
      <c r="AB4" s="377">
        <f>'объем работ 100% загр'!I25/4</f>
        <v>122493.79227118497</v>
      </c>
      <c r="AC4" s="377">
        <f t="shared" si="14"/>
        <v>122493.79227118497</v>
      </c>
      <c r="AD4" s="377">
        <f t="shared" si="7"/>
        <v>122493.79227118497</v>
      </c>
      <c r="AE4" s="377">
        <f t="shared" si="7"/>
        <v>122493.79227118497</v>
      </c>
      <c r="AF4" s="377">
        <f>'объем работ 100% загр'!J25/4</f>
        <v>159456.8313424899</v>
      </c>
      <c r="AG4" s="377">
        <f t="shared" si="15"/>
        <v>159456.8313424899</v>
      </c>
      <c r="AH4" s="377">
        <f t="shared" si="8"/>
        <v>159456.8313424899</v>
      </c>
      <c r="AI4" s="377">
        <f t="shared" si="8"/>
        <v>159456.8313424899</v>
      </c>
      <c r="AJ4" s="377">
        <f>'объем работ 100% загр'!K25/4</f>
        <v>193170.56139775924</v>
      </c>
      <c r="AK4" s="377">
        <f t="shared" si="16"/>
        <v>193170.56139775924</v>
      </c>
      <c r="AL4" s="377">
        <f t="shared" si="9"/>
        <v>193170.56139775924</v>
      </c>
      <c r="AM4" s="377">
        <f t="shared" si="9"/>
        <v>193170.56139775924</v>
      </c>
      <c r="AN4" s="377">
        <f>'объем работ 100% загр'!L25/4</f>
        <v>230355.89446682786</v>
      </c>
      <c r="AO4" s="377">
        <f t="shared" si="17"/>
        <v>230355.89446682786</v>
      </c>
      <c r="AP4" s="377">
        <f t="shared" si="17"/>
        <v>230355.89446682786</v>
      </c>
      <c r="AQ4" s="377">
        <f t="shared" si="10"/>
        <v>230355.89446682786</v>
      </c>
      <c r="AR4" s="377">
        <f>'объем работ 100% загр'!M25/4</f>
        <v>244177.24813483754</v>
      </c>
      <c r="AS4" s="377">
        <f t="shared" si="11"/>
        <v>244177.24813483754</v>
      </c>
      <c r="AT4" s="377">
        <f t="shared" si="11"/>
        <v>244177.24813483754</v>
      </c>
      <c r="AU4" s="377">
        <f t="shared" si="11"/>
        <v>244177.24813483754</v>
      </c>
    </row>
    <row r="5" spans="1:47" s="9" customFormat="1">
      <c r="A5" s="86"/>
      <c r="B5" s="87" t="s">
        <v>21</v>
      </c>
      <c r="C5" s="88"/>
      <c r="D5" s="89">
        <f>SUM(D2:D4)</f>
        <v>0</v>
      </c>
      <c r="E5" s="89">
        <f t="shared" ref="E5:L5" si="18">SUM(E2:E4)</f>
        <v>0</v>
      </c>
      <c r="F5" s="89">
        <f>SUM(F2:F4)</f>
        <v>0</v>
      </c>
      <c r="G5" s="89">
        <f t="shared" si="18"/>
        <v>0</v>
      </c>
      <c r="H5" s="89">
        <f t="shared" si="18"/>
        <v>0</v>
      </c>
      <c r="I5" s="89">
        <f t="shared" si="18"/>
        <v>0</v>
      </c>
      <c r="J5" s="89">
        <f t="shared" si="18"/>
        <v>0</v>
      </c>
      <c r="K5" s="89">
        <f t="shared" si="18"/>
        <v>0</v>
      </c>
      <c r="L5" s="89">
        <f t="shared" si="18"/>
        <v>0</v>
      </c>
      <c r="M5" s="89">
        <f t="shared" ref="M5:AA5" si="19">SUM(M2:M4)</f>
        <v>0</v>
      </c>
      <c r="N5" s="89">
        <f t="shared" si="19"/>
        <v>0</v>
      </c>
      <c r="O5" s="89">
        <f t="shared" si="19"/>
        <v>0</v>
      </c>
      <c r="P5" s="89">
        <f t="shared" si="19"/>
        <v>0</v>
      </c>
      <c r="Q5" s="89">
        <f t="shared" si="19"/>
        <v>0</v>
      </c>
      <c r="R5" s="89">
        <f t="shared" si="19"/>
        <v>0</v>
      </c>
      <c r="S5" s="89">
        <f t="shared" si="19"/>
        <v>0</v>
      </c>
      <c r="T5" s="89">
        <f t="shared" si="19"/>
        <v>108797.5006543076</v>
      </c>
      <c r="U5" s="89">
        <f t="shared" si="19"/>
        <v>108797.5006543076</v>
      </c>
      <c r="V5" s="89">
        <f t="shared" si="19"/>
        <v>108797.5006543076</v>
      </c>
      <c r="W5" s="89">
        <f t="shared" si="19"/>
        <v>108797.5006543076</v>
      </c>
      <c r="X5" s="89">
        <f>SUM(X2:X4)</f>
        <v>152445.59470386759</v>
      </c>
      <c r="Y5" s="89">
        <f t="shared" si="19"/>
        <v>152445.59470386759</v>
      </c>
      <c r="Z5" s="89">
        <f t="shared" si="19"/>
        <v>152445.59470386759</v>
      </c>
      <c r="AA5" s="89">
        <f t="shared" si="19"/>
        <v>152445.59470386759</v>
      </c>
      <c r="AB5" s="89">
        <f>SUM(AB2:AB4)</f>
        <v>204438.18618657917</v>
      </c>
      <c r="AC5" s="89">
        <f t="shared" ref="AC5:AQ5" si="20">SUM(AC2:AC4)</f>
        <v>204438.18618657917</v>
      </c>
      <c r="AD5" s="89">
        <f t="shared" si="20"/>
        <v>204438.18618657917</v>
      </c>
      <c r="AE5" s="89">
        <f t="shared" si="20"/>
        <v>204438.18618657917</v>
      </c>
      <c r="AF5" s="89">
        <f t="shared" si="20"/>
        <v>265822.37631496385</v>
      </c>
      <c r="AG5" s="89">
        <f t="shared" si="20"/>
        <v>265822.37631496385</v>
      </c>
      <c r="AH5" s="89">
        <f t="shared" si="20"/>
        <v>265822.37631496385</v>
      </c>
      <c r="AI5" s="89">
        <f t="shared" si="20"/>
        <v>265822.37631496385</v>
      </c>
      <c r="AJ5" s="89">
        <f t="shared" si="20"/>
        <v>321669.94370691769</v>
      </c>
      <c r="AK5" s="89">
        <f t="shared" si="20"/>
        <v>321669.94370691769</v>
      </c>
      <c r="AL5" s="89">
        <f t="shared" si="20"/>
        <v>321669.94370691769</v>
      </c>
      <c r="AM5" s="89">
        <f t="shared" si="20"/>
        <v>321669.94370691769</v>
      </c>
      <c r="AN5" s="89">
        <f t="shared" si="20"/>
        <v>383186.18168434629</v>
      </c>
      <c r="AO5" s="89">
        <f t="shared" si="20"/>
        <v>383186.18168434629</v>
      </c>
      <c r="AP5" s="89">
        <f t="shared" si="20"/>
        <v>383186.18168434629</v>
      </c>
      <c r="AQ5" s="89">
        <f t="shared" si="20"/>
        <v>383186.18168434629</v>
      </c>
      <c r="AR5" s="89">
        <f t="shared" ref="AR5:AU5" si="21">SUM(AR2:AR4)</f>
        <v>405766.04800646182</v>
      </c>
      <c r="AS5" s="89">
        <f t="shared" si="21"/>
        <v>405766.04800646182</v>
      </c>
      <c r="AT5" s="89">
        <f t="shared" si="21"/>
        <v>405766.04800646182</v>
      </c>
      <c r="AU5" s="89">
        <f t="shared" si="21"/>
        <v>405766.04800646182</v>
      </c>
    </row>
    <row r="6" spans="1:47" s="9" customFormat="1">
      <c r="A6" s="378"/>
      <c r="B6" s="379" t="s">
        <v>93</v>
      </c>
      <c r="C6" s="380"/>
      <c r="D6" s="380"/>
      <c r="E6" s="380"/>
      <c r="F6" s="380"/>
      <c r="G6" s="381">
        <f>SUM(D5:G5)</f>
        <v>0</v>
      </c>
      <c r="H6" s="380"/>
      <c r="I6" s="380"/>
      <c r="J6" s="380"/>
      <c r="K6" s="381">
        <f>SUM(H5:K5)</f>
        <v>0</v>
      </c>
      <c r="L6" s="380"/>
      <c r="M6" s="381"/>
      <c r="N6" s="381"/>
      <c r="O6" s="381">
        <f>SUM(L5:O5)</f>
        <v>0</v>
      </c>
      <c r="P6" s="381"/>
      <c r="Q6" s="381"/>
      <c r="R6" s="381"/>
      <c r="S6" s="381">
        <f>P5+Q5+R5+S5</f>
        <v>0</v>
      </c>
      <c r="T6" s="381"/>
      <c r="U6" s="381"/>
      <c r="V6" s="381"/>
      <c r="W6" s="381">
        <f>T5+U5+V5+W5</f>
        <v>435190.00261723041</v>
      </c>
      <c r="X6" s="381"/>
      <c r="Y6" s="381"/>
      <c r="Z6" s="381"/>
      <c r="AA6" s="381">
        <f>X5+Y5+Z5+AA5</f>
        <v>609782.37881547038</v>
      </c>
      <c r="AB6" s="382"/>
      <c r="AC6" s="382"/>
      <c r="AD6" s="382"/>
      <c r="AE6" s="381">
        <f>SUM(AB5:AE5)</f>
        <v>817752.74474631669</v>
      </c>
      <c r="AF6" s="382"/>
      <c r="AG6" s="382"/>
      <c r="AH6" s="382"/>
      <c r="AI6" s="381">
        <f>SUM(AF5:AI5)</f>
        <v>1063289.5052598554</v>
      </c>
      <c r="AJ6" s="382"/>
      <c r="AK6" s="382"/>
      <c r="AL6" s="382"/>
      <c r="AM6" s="381">
        <f>SUM(AJ5:AM5)</f>
        <v>1286679.7748276708</v>
      </c>
      <c r="AN6" s="382"/>
      <c r="AO6" s="382"/>
      <c r="AP6" s="382"/>
      <c r="AQ6" s="381">
        <f>SUM(AN5:AQ5)</f>
        <v>1532744.7267373852</v>
      </c>
      <c r="AR6" s="382"/>
      <c r="AS6" s="382"/>
      <c r="AT6" s="382"/>
      <c r="AU6" s="381">
        <f>SUM(AR5:AU5)</f>
        <v>1623064.1920258473</v>
      </c>
    </row>
    <row r="7" spans="1:47">
      <c r="A7" s="70"/>
    </row>
    <row r="8" spans="1:47">
      <c r="A8" s="70"/>
      <c r="AA8" s="61"/>
    </row>
    <row r="9" spans="1:47">
      <c r="A9" s="70"/>
    </row>
    <row r="12" spans="1:47" ht="3" customHeight="1"/>
    <row r="13" spans="1:47" hidden="1"/>
    <row r="15" spans="1:47">
      <c r="A15" s="369" t="s">
        <v>66</v>
      </c>
      <c r="B15" s="368" t="s">
        <v>67</v>
      </c>
      <c r="C15" s="367"/>
      <c r="D15" s="376" t="str">
        <f>'объем работ 100% загр'!C3</f>
        <v>1 год</v>
      </c>
      <c r="E15" s="376" t="str">
        <f>'объем работ 100% загр'!D3</f>
        <v>2 год</v>
      </c>
      <c r="F15" s="376" t="str">
        <f>'объем работ 100% загр'!E3</f>
        <v>3 год</v>
      </c>
      <c r="G15" s="376" t="str">
        <f>'объем работ 100% загр'!F3</f>
        <v>4 год</v>
      </c>
      <c r="H15" s="376" t="str">
        <f>'объем работ 100% загр'!G3</f>
        <v>5 год</v>
      </c>
      <c r="I15" s="376" t="str">
        <f>'объем работ 100% загр'!H3</f>
        <v>6 год</v>
      </c>
      <c r="J15" s="376" t="str">
        <f>'объем работ 100% загр'!I22</f>
        <v>7 год</v>
      </c>
      <c r="K15" s="376" t="str">
        <f>'объем работ 100% загр'!J22</f>
        <v>8 год</v>
      </c>
      <c r="L15" s="376" t="str">
        <f>'объем работ 100% загр'!K22</f>
        <v>9 год</v>
      </c>
      <c r="M15" s="376" t="str">
        <f>'объем работ 100% загр'!L22</f>
        <v>10 год</v>
      </c>
      <c r="N15" s="376" t="str">
        <f>'объем работ 100% загр'!M22</f>
        <v>11 год</v>
      </c>
    </row>
    <row r="16" spans="1:47" ht="28.8">
      <c r="A16" s="63">
        <v>1</v>
      </c>
      <c r="B16" s="62" t="str">
        <f>B2</f>
        <v>Утилизация мусора, опасных отходов</v>
      </c>
      <c r="C16" s="84" t="s">
        <v>92</v>
      </c>
      <c r="D16" s="377">
        <f>SUM(E2:G2)</f>
        <v>0</v>
      </c>
      <c r="E16" s="377">
        <f>SUM(H2:K2)</f>
        <v>0</v>
      </c>
      <c r="F16" s="377">
        <f>SUM(L2:O2)</f>
        <v>0</v>
      </c>
      <c r="G16" s="377">
        <f>SUM(P2:S2)</f>
        <v>0</v>
      </c>
      <c r="H16" s="377">
        <f>SUM(T2:W2)</f>
        <v>12820.861785626998</v>
      </c>
      <c r="I16" s="377">
        <f>SUM(X2:AA2)</f>
        <v>17223.319472309209</v>
      </c>
      <c r="J16" s="377">
        <f>SUM(AB2:AE2)</f>
        <v>22143.447734898869</v>
      </c>
      <c r="K16" s="377">
        <f>SUM(AF2:AI2)</f>
        <v>27601.613360781837</v>
      </c>
      <c r="L16" s="377">
        <f>SUM(AJ2:AM2)</f>
        <v>32017.871498506935</v>
      </c>
      <c r="M16" s="377">
        <f>SUM(AN2:AQ2)</f>
        <v>36560.407017357589</v>
      </c>
      <c r="N16" s="377">
        <f>SUM(AR2:AU2)</f>
        <v>37108.813122617954</v>
      </c>
    </row>
    <row r="17" spans="1:27">
      <c r="A17" s="63">
        <v>2</v>
      </c>
      <c r="B17" s="62" t="str">
        <f t="shared" ref="B17:B18" si="22">B3</f>
        <v>Генерация электроэнергии</v>
      </c>
      <c r="C17" s="85"/>
      <c r="D17" s="67">
        <f>SUM(D3:G3)</f>
        <v>0</v>
      </c>
      <c r="E17" s="67">
        <f>SUM(H3:K3)</f>
        <v>0</v>
      </c>
      <c r="F17" s="67">
        <f>SUM(L3:O3)</f>
        <v>0</v>
      </c>
      <c r="G17" s="67">
        <f>SUM(P3:S3)</f>
        <v>0</v>
      </c>
      <c r="H17" s="67">
        <f>SUM(T3:W3)</f>
        <v>162253.53889920004</v>
      </c>
      <c r="I17" s="67">
        <f>SUM(X3:AA3)</f>
        <v>227632.17074976009</v>
      </c>
      <c r="J17" s="92">
        <f>SUM(AB3:AE3)</f>
        <v>305634.12792667793</v>
      </c>
      <c r="K17" s="92">
        <f>SUM(AF3:AI3)</f>
        <v>397860.56652911403</v>
      </c>
      <c r="L17" s="92">
        <f>SUM(AJ3:AM3)</f>
        <v>481979.65773812681</v>
      </c>
      <c r="M17" s="92">
        <f>SUM(AN3:AQ3)</f>
        <v>574760.74185271608</v>
      </c>
      <c r="N17" s="92">
        <f>SUM(AR3:AU3)</f>
        <v>609246.38636387908</v>
      </c>
      <c r="AA17" s="61"/>
    </row>
    <row r="18" spans="1:27" ht="28.8">
      <c r="A18" s="63">
        <v>3</v>
      </c>
      <c r="B18" s="62" t="str">
        <f t="shared" si="22"/>
        <v>Реализация вторичного сырья, продукции</v>
      </c>
      <c r="C18" s="85"/>
      <c r="D18" s="67">
        <f>SUM(D4:G4)</f>
        <v>0</v>
      </c>
      <c r="E18" s="67">
        <f>SUM(H4:K4)</f>
        <v>0</v>
      </c>
      <c r="F18" s="67">
        <f>SUM(L4:O4)</f>
        <v>0</v>
      </c>
      <c r="G18" s="67">
        <f>SUM(P4:S4)</f>
        <v>0</v>
      </c>
      <c r="H18" s="67">
        <f>SUM(T4:W4)</f>
        <v>260115.60193240334</v>
      </c>
      <c r="I18" s="67">
        <f>SUM(X4:AA4)</f>
        <v>364926.88859340112</v>
      </c>
      <c r="J18" s="92">
        <f>SUM(AB4:AE4)</f>
        <v>489975.16908473987</v>
      </c>
      <c r="K18" s="92">
        <f>SUM(AF4:AI4)</f>
        <v>637827.32536995958</v>
      </c>
      <c r="L18" s="92">
        <f>SUM(AJ4:AM4)</f>
        <v>772682.24559103698</v>
      </c>
      <c r="M18" s="92">
        <f>SUM(AN4:AQ4)</f>
        <v>921423.57786731143</v>
      </c>
      <c r="N18" s="92">
        <f>SUM(AR4:AU4)</f>
        <v>976708.99253935018</v>
      </c>
    </row>
    <row r="19" spans="1:27">
      <c r="A19" s="86"/>
      <c r="B19" s="87" t="s">
        <v>21</v>
      </c>
      <c r="C19" s="88"/>
      <c r="D19" s="89"/>
      <c r="E19" s="89"/>
      <c r="F19" s="89"/>
      <c r="G19" s="89"/>
      <c r="H19" s="89"/>
      <c r="I19" s="90"/>
      <c r="J19" s="89"/>
      <c r="K19" s="89"/>
      <c r="L19" s="89"/>
      <c r="M19" s="89"/>
      <c r="N19" s="89"/>
    </row>
    <row r="20" spans="1:27">
      <c r="A20" s="378"/>
      <c r="B20" s="379" t="s">
        <v>93</v>
      </c>
      <c r="C20" s="380"/>
      <c r="D20" s="381">
        <f t="shared" ref="D20:I20" si="23">SUM(D16:D18)</f>
        <v>0</v>
      </c>
      <c r="E20" s="381">
        <f t="shared" si="23"/>
        <v>0</v>
      </c>
      <c r="F20" s="381">
        <f t="shared" si="23"/>
        <v>0</v>
      </c>
      <c r="G20" s="381">
        <f t="shared" si="23"/>
        <v>0</v>
      </c>
      <c r="H20" s="381">
        <f t="shared" si="23"/>
        <v>435190.00261723041</v>
      </c>
      <c r="I20" s="381">
        <f t="shared" si="23"/>
        <v>609782.37881547038</v>
      </c>
      <c r="J20" s="381">
        <f t="shared" ref="J20:N20" si="24">SUM(J16:J18)</f>
        <v>817752.74474631669</v>
      </c>
      <c r="K20" s="381">
        <f t="shared" si="24"/>
        <v>1063289.5052598554</v>
      </c>
      <c r="L20" s="381">
        <f t="shared" si="24"/>
        <v>1286679.7748276708</v>
      </c>
      <c r="M20" s="381">
        <f t="shared" si="24"/>
        <v>1532744.7267373852</v>
      </c>
      <c r="N20" s="381">
        <f t="shared" si="24"/>
        <v>1623064.1920258473</v>
      </c>
    </row>
  </sheetData>
  <pageMargins left="0.7" right="0.7" top="0.75" bottom="0.75" header="0.3" footer="0.3"/>
  <pageSetup paperSize="8" scale="50" firstPageNumber="2147483648" orientation="landscape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Лист12">
    <tabColor theme="0"/>
    <pageSetUpPr fitToPage="1"/>
  </sheetPr>
  <dimension ref="A1:AS53"/>
  <sheetViews>
    <sheetView view="pageBreakPreview" zoomScale="40" zoomScaleNormal="80" zoomScaleSheetLayoutView="40" workbookViewId="0">
      <pane xSplit="1" topLeftCell="B1" activePane="topRight" state="frozen"/>
      <selection activeCell="Y13" sqref="Y13"/>
      <selection pane="topRight" activeCell="Q5" sqref="Q5"/>
    </sheetView>
  </sheetViews>
  <sheetFormatPr defaultColWidth="9.109375" defaultRowHeight="15.6"/>
  <cols>
    <col min="1" max="1" width="24.6640625" style="13" customWidth="1"/>
    <col min="2" max="2" width="20.44140625" style="13" customWidth="1"/>
    <col min="3" max="3" width="18" style="13" customWidth="1"/>
    <col min="4" max="4" width="17.109375" style="13" customWidth="1"/>
    <col min="5" max="5" width="15.109375" style="13" customWidth="1"/>
    <col min="6" max="6" width="14.6640625" style="12" customWidth="1"/>
    <col min="7" max="7" width="14.88671875" style="12" customWidth="1"/>
    <col min="8" max="8" width="15.6640625" style="12" customWidth="1"/>
    <col min="9" max="9" width="14.6640625" style="12" customWidth="1"/>
    <col min="10" max="10" width="14.44140625" style="12" customWidth="1"/>
    <col min="11" max="11" width="15.6640625" style="12" customWidth="1"/>
    <col min="12" max="12" width="14.88671875" style="12" customWidth="1"/>
    <col min="13" max="13" width="16" style="12" customWidth="1"/>
    <col min="14" max="14" width="15.6640625" style="12" customWidth="1"/>
    <col min="15" max="15" width="14.5546875" style="12" customWidth="1"/>
    <col min="16" max="16" width="16.5546875" style="12" customWidth="1"/>
    <col min="17" max="17" width="15.5546875" style="12" customWidth="1"/>
    <col min="18" max="19" width="15.88671875" style="12" customWidth="1"/>
    <col min="20" max="21" width="16" style="12" customWidth="1"/>
    <col min="22" max="22" width="29.33203125" style="12" customWidth="1"/>
    <col min="23" max="23" width="16" style="12" customWidth="1"/>
    <col min="24" max="24" width="16.6640625" style="12" customWidth="1"/>
    <col min="25" max="25" width="19" style="12" customWidth="1"/>
    <col min="26" max="26" width="27" style="14" customWidth="1"/>
    <col min="27" max="27" width="15.109375" style="12" customWidth="1"/>
    <col min="28" max="35" width="18.88671875" style="12" customWidth="1"/>
    <col min="36" max="36" width="18.6640625" style="12" customWidth="1"/>
    <col min="37" max="53" width="23.88671875" style="12" customWidth="1"/>
    <col min="54" max="54" width="12" style="12" customWidth="1"/>
    <col min="55" max="55" width="11.33203125" style="12" customWidth="1"/>
    <col min="56" max="56" width="12" style="12" customWidth="1"/>
    <col min="57" max="57" width="12.109375" style="12" customWidth="1"/>
    <col min="58" max="58" width="12.6640625" style="12" customWidth="1"/>
    <col min="59" max="59" width="12.33203125" style="12" customWidth="1"/>
    <col min="60" max="60" width="13.44140625" style="12" customWidth="1"/>
    <col min="61" max="16384" width="9.109375" style="12"/>
  </cols>
  <sheetData>
    <row r="1" spans="1:34" ht="30.75" customHeight="1">
      <c r="A1" s="354" t="s">
        <v>16</v>
      </c>
      <c r="B1" s="355" t="str">
        <f>'выручка по кв и годам'!D1</f>
        <v>I кв. 1 г.</v>
      </c>
      <c r="C1" s="355" t="str">
        <f>'выручка по кв и годам'!E1</f>
        <v>II кв. 1 г.</v>
      </c>
      <c r="D1" s="355" t="str">
        <f>'выручка по кв и годам'!F1</f>
        <v>III кв. 1 г.</v>
      </c>
      <c r="E1" s="355" t="str">
        <f>'выручка по кв и годам'!G1</f>
        <v>IV кв. 1 г.</v>
      </c>
      <c r="F1" s="355" t="str">
        <f>'выручка по кв и годам'!H1</f>
        <v>I кв. 2 г.</v>
      </c>
      <c r="G1" s="355" t="str">
        <f>'выручка по кв и годам'!I1</f>
        <v>II кв. 2 г.</v>
      </c>
      <c r="H1" s="355" t="str">
        <f>'выручка по кв и годам'!J1</f>
        <v>III кв. 2 г.</v>
      </c>
      <c r="I1" s="355" t="str">
        <f>'выручка по кв и годам'!K1</f>
        <v>IV кв. 2 г.</v>
      </c>
      <c r="J1" s="355" t="str">
        <f>'выручка по кв и годам'!L1</f>
        <v>I кв. 3 г.</v>
      </c>
      <c r="K1" s="355" t="str">
        <f>'выручка по кв и годам'!M1</f>
        <v>II кв. 3 г.</v>
      </c>
      <c r="L1" s="355" t="str">
        <f>'выручка по кв и годам'!N1</f>
        <v>III кв. 3 г.</v>
      </c>
      <c r="M1" s="355" t="str">
        <f>'выручка по кв и годам'!O1</f>
        <v>IV кв. 3 г.</v>
      </c>
      <c r="N1" s="355" t="str">
        <f>'выручка по кв и годам'!P1</f>
        <v>I кв. 4 г.</v>
      </c>
      <c r="O1" s="355" t="str">
        <f>'выручка по кв и годам'!Q1</f>
        <v>II кв. 4 г.</v>
      </c>
      <c r="P1" s="355" t="str">
        <f>'выручка по кв и годам'!R1</f>
        <v>III кв. 4 г.</v>
      </c>
      <c r="Q1" s="355" t="str">
        <f>'выручка по кв и годам'!S1</f>
        <v>IV кв. 4 г.</v>
      </c>
      <c r="R1" s="356" t="s">
        <v>17</v>
      </c>
      <c r="U1" s="17"/>
      <c r="V1" s="354" t="s">
        <v>16</v>
      </c>
      <c r="W1" s="511" t="str">
        <f>'объем работ 100% загр'!C3</f>
        <v>1 год</v>
      </c>
      <c r="X1" s="511" t="str">
        <f>'объем работ 100% загр'!D3</f>
        <v>2 год</v>
      </c>
      <c r="Y1" s="511" t="str">
        <f>'объем работ 100% загр'!E3</f>
        <v>3 год</v>
      </c>
      <c r="Z1" s="511" t="str">
        <f>'объем работ 100% загр'!F3</f>
        <v>4 год</v>
      </c>
      <c r="AA1" s="512" t="s">
        <v>18</v>
      </c>
      <c r="AB1" s="513" t="s">
        <v>19</v>
      </c>
    </row>
    <row r="2" spans="1:34" ht="66.75" customHeight="1">
      <c r="A2" s="575" t="s">
        <v>434</v>
      </c>
      <c r="B2" s="18"/>
      <c r="C2" s="19"/>
      <c r="D2" s="19">
        <f>допущения!C77/2</f>
        <v>2000</v>
      </c>
      <c r="E2" s="19"/>
      <c r="F2" s="19">
        <f>допущения!C77/2</f>
        <v>2000</v>
      </c>
      <c r="G2" s="19"/>
      <c r="H2" s="19"/>
      <c r="I2" s="19"/>
      <c r="J2" s="19"/>
      <c r="K2" s="19"/>
      <c r="L2" s="19"/>
      <c r="M2" s="19"/>
      <c r="N2" s="19"/>
      <c r="O2" s="19"/>
      <c r="P2" s="19"/>
      <c r="Q2" s="18"/>
      <c r="R2" s="20">
        <f t="shared" ref="R2:R11" si="0">SUM(B2:Q2)</f>
        <v>4000</v>
      </c>
      <c r="V2" s="21" t="str">
        <f>A2</f>
        <v>Предпроектная стадия (изыскания, разрешительная документация)</v>
      </c>
      <c r="W2" s="22">
        <f t="shared" ref="W2:W7" si="1">SUM(B2:E2)</f>
        <v>2000</v>
      </c>
      <c r="X2" s="22">
        <f t="shared" ref="X2:X11" si="2">SUM(F2:I2)</f>
        <v>2000</v>
      </c>
      <c r="Y2" s="22">
        <f>SUM(J2:M2)</f>
        <v>0</v>
      </c>
      <c r="Z2" s="22">
        <f t="shared" ref="Z2:Z7" si="3">SUM(N2:Q2)</f>
        <v>0</v>
      </c>
      <c r="AA2" s="22">
        <f t="shared" ref="AA2:AA11" si="4">SUM(W2:Z2)</f>
        <v>4000</v>
      </c>
      <c r="AB2" s="23">
        <f t="shared" ref="AB2:AB11" si="5">AA2/$AA$14</f>
        <v>4.911589185202128E-3</v>
      </c>
    </row>
    <row r="3" spans="1:34" ht="84.75" customHeight="1">
      <c r="A3" s="574" t="s">
        <v>435</v>
      </c>
      <c r="B3" s="25"/>
      <c r="C3" s="25"/>
      <c r="D3" s="26"/>
      <c r="E3" s="25"/>
      <c r="F3" s="25"/>
      <c r="G3" s="25"/>
      <c r="H3" s="25"/>
      <c r="I3" s="25"/>
      <c r="J3" s="27"/>
      <c r="K3" s="25">
        <f>допущения!C78*0.452554745</f>
        <v>124000.00013</v>
      </c>
      <c r="L3" s="25">
        <f>допущения!C78*0.547445255</f>
        <v>149999.99987</v>
      </c>
      <c r="M3" s="25"/>
      <c r="N3" s="19"/>
      <c r="O3" s="19"/>
      <c r="P3" s="19"/>
      <c r="Q3" s="18"/>
      <c r="R3" s="20">
        <f t="shared" si="0"/>
        <v>274000</v>
      </c>
      <c r="V3" s="21" t="str">
        <f>A3</f>
        <v>Строительство производственно-бытовых помещений, подготовка площадки, инфраструктуры</v>
      </c>
      <c r="W3" s="22">
        <f t="shared" si="1"/>
        <v>0</v>
      </c>
      <c r="X3" s="22">
        <f t="shared" si="2"/>
        <v>0</v>
      </c>
      <c r="Y3" s="22">
        <f>SUM(K3:M3)</f>
        <v>274000</v>
      </c>
      <c r="Z3" s="22">
        <f t="shared" si="3"/>
        <v>0</v>
      </c>
      <c r="AA3" s="22">
        <f t="shared" si="4"/>
        <v>274000</v>
      </c>
      <c r="AB3" s="23">
        <f t="shared" si="5"/>
        <v>0.33644385918634573</v>
      </c>
    </row>
    <row r="4" spans="1:34" ht="56.25" customHeight="1">
      <c r="A4" s="574" t="s">
        <v>436</v>
      </c>
      <c r="B4" s="25"/>
      <c r="C4" s="25"/>
      <c r="D4" s="26"/>
      <c r="E4" s="25"/>
      <c r="F4" s="25"/>
      <c r="G4" s="19"/>
      <c r="H4" s="27"/>
      <c r="I4" s="19"/>
      <c r="J4" s="19"/>
      <c r="K4" s="19"/>
      <c r="L4" s="19"/>
      <c r="M4" s="19"/>
      <c r="N4" s="19"/>
      <c r="O4" s="19"/>
      <c r="P4" s="19">
        <f>допущения!C79*0.37745098</f>
        <v>76999.999920000002</v>
      </c>
      <c r="Q4" s="19">
        <f>допущения!C79*0.62254902</f>
        <v>127000.00008</v>
      </c>
      <c r="R4" s="20">
        <f t="shared" si="0"/>
        <v>204000</v>
      </c>
      <c r="V4" s="21" t="str">
        <f>A4</f>
        <v>Приобретение производственной линии, спецтехники</v>
      </c>
      <c r="W4" s="22">
        <f t="shared" si="1"/>
        <v>0</v>
      </c>
      <c r="X4" s="22">
        <f t="shared" si="2"/>
        <v>0</v>
      </c>
      <c r="Y4" s="22">
        <f t="shared" ref="Y4:Y7" si="6">SUM(J4:M4)</f>
        <v>0</v>
      </c>
      <c r="Z4" s="22">
        <f t="shared" si="3"/>
        <v>204000</v>
      </c>
      <c r="AA4" s="22">
        <f t="shared" si="4"/>
        <v>204000</v>
      </c>
      <c r="AB4" s="23">
        <f t="shared" si="5"/>
        <v>0.25049104844530851</v>
      </c>
    </row>
    <row r="5" spans="1:34" ht="27.75" customHeight="1">
      <c r="A5" s="574" t="s">
        <v>437</v>
      </c>
      <c r="B5" s="25"/>
      <c r="C5" s="25"/>
      <c r="D5" s="26"/>
      <c r="E5" s="25"/>
      <c r="F5" s="25"/>
      <c r="G5" s="19"/>
      <c r="H5" s="19"/>
      <c r="I5" s="19"/>
      <c r="J5" s="19"/>
      <c r="K5" s="19"/>
      <c r="L5" s="19"/>
      <c r="M5" s="19"/>
      <c r="N5" s="19"/>
      <c r="O5" s="19"/>
      <c r="P5" s="19"/>
      <c r="Q5" s="19">
        <f>допущения!C80</f>
        <v>160000</v>
      </c>
      <c r="R5" s="20">
        <f t="shared" si="0"/>
        <v>160000</v>
      </c>
      <c r="V5" s="21" t="str">
        <f>A5</f>
        <v>Мусоросжигающий завод</v>
      </c>
      <c r="W5" s="22">
        <f t="shared" si="1"/>
        <v>0</v>
      </c>
      <c r="X5" s="22">
        <f t="shared" si="2"/>
        <v>0</v>
      </c>
      <c r="Y5" s="22">
        <f t="shared" si="6"/>
        <v>0</v>
      </c>
      <c r="Z5" s="22">
        <f t="shared" si="3"/>
        <v>160000</v>
      </c>
      <c r="AA5" s="22">
        <f t="shared" si="4"/>
        <v>160000</v>
      </c>
      <c r="AB5" s="23">
        <f t="shared" si="5"/>
        <v>0.1964635674080851</v>
      </c>
    </row>
    <row r="6" spans="1:34" ht="39.75" customHeight="1">
      <c r="A6" s="574" t="s">
        <v>439</v>
      </c>
      <c r="B6" s="25"/>
      <c r="C6" s="25"/>
      <c r="D6" s="25"/>
      <c r="E6" s="25"/>
      <c r="F6" s="25"/>
      <c r="G6" s="25"/>
      <c r="H6" s="25"/>
      <c r="I6" s="25"/>
      <c r="J6" s="25"/>
      <c r="K6" s="25"/>
      <c r="L6" s="25"/>
      <c r="M6" s="25"/>
      <c r="N6" s="25"/>
      <c r="O6" s="25"/>
      <c r="P6" s="25"/>
      <c r="Q6" s="25">
        <f>допущения!C81</f>
        <v>40000</v>
      </c>
      <c r="R6" s="20">
        <f t="shared" si="0"/>
        <v>40000</v>
      </c>
      <c r="V6" s="21" t="str">
        <f t="shared" ref="V6:V7" si="7">A6</f>
        <v>Электроподстанция</v>
      </c>
      <c r="W6" s="22">
        <f t="shared" si="1"/>
        <v>0</v>
      </c>
      <c r="X6" s="22">
        <f t="shared" si="2"/>
        <v>0</v>
      </c>
      <c r="Y6" s="22">
        <f t="shared" si="6"/>
        <v>0</v>
      </c>
      <c r="Z6" s="22">
        <f t="shared" si="3"/>
        <v>40000</v>
      </c>
      <c r="AA6" s="22">
        <f t="shared" si="4"/>
        <v>40000</v>
      </c>
      <c r="AB6" s="23">
        <f t="shared" si="5"/>
        <v>4.9115891852021275E-2</v>
      </c>
    </row>
    <row r="7" spans="1:34" ht="15.75" customHeight="1">
      <c r="A7" s="574" t="s">
        <v>438</v>
      </c>
      <c r="B7" s="25"/>
      <c r="C7" s="25"/>
      <c r="D7" s="25"/>
      <c r="E7" s="25"/>
      <c r="F7" s="25"/>
      <c r="G7" s="25"/>
      <c r="H7" s="25"/>
      <c r="I7" s="25"/>
      <c r="J7" s="25"/>
      <c r="K7" s="25"/>
      <c r="L7" s="25"/>
      <c r="M7" s="25"/>
      <c r="N7" s="25"/>
      <c r="O7" s="25"/>
      <c r="P7" s="25"/>
      <c r="Q7" s="25">
        <f>допущения!C82</f>
        <v>100000</v>
      </c>
      <c r="R7" s="20">
        <f t="shared" si="0"/>
        <v>100000</v>
      </c>
      <c r="V7" s="21" t="str">
        <f t="shared" si="7"/>
        <v>Рекультивация</v>
      </c>
      <c r="W7" s="22">
        <f t="shared" si="1"/>
        <v>0</v>
      </c>
      <c r="X7" s="22">
        <f t="shared" si="2"/>
        <v>0</v>
      </c>
      <c r="Y7" s="22">
        <f t="shared" si="6"/>
        <v>0</v>
      </c>
      <c r="Z7" s="22">
        <f t="shared" si="3"/>
        <v>100000</v>
      </c>
      <c r="AA7" s="22">
        <f t="shared" si="4"/>
        <v>100000</v>
      </c>
      <c r="AB7" s="23">
        <f t="shared" si="5"/>
        <v>0.12278972963005319</v>
      </c>
    </row>
    <row r="8" spans="1:34" ht="3.75" customHeight="1">
      <c r="A8" s="24"/>
      <c r="B8" s="28"/>
      <c r="C8" s="28"/>
      <c r="D8" s="28"/>
      <c r="E8" s="28"/>
      <c r="F8" s="28"/>
      <c r="G8" s="29"/>
      <c r="H8" s="29"/>
      <c r="I8" s="29"/>
      <c r="J8" s="29"/>
      <c r="K8" s="29"/>
      <c r="L8" s="29"/>
      <c r="M8" s="29"/>
      <c r="N8" s="29"/>
      <c r="O8" s="29"/>
      <c r="P8" s="29"/>
      <c r="Q8" s="30"/>
      <c r="R8" s="20">
        <f t="shared" si="0"/>
        <v>0</v>
      </c>
      <c r="V8" s="21"/>
      <c r="W8" s="22"/>
      <c r="X8" s="22">
        <f t="shared" si="2"/>
        <v>0</v>
      </c>
      <c r="Y8" s="22"/>
      <c r="Z8" s="22"/>
      <c r="AA8" s="22">
        <f t="shared" si="4"/>
        <v>0</v>
      </c>
      <c r="AB8" s="23">
        <f t="shared" si="5"/>
        <v>0</v>
      </c>
    </row>
    <row r="9" spans="1:34" ht="19.5" hidden="1" customHeight="1">
      <c r="A9" s="24"/>
      <c r="B9" s="28"/>
      <c r="C9" s="28"/>
      <c r="D9" s="28"/>
      <c r="E9" s="28"/>
      <c r="F9" s="28"/>
      <c r="G9" s="29"/>
      <c r="H9" s="29"/>
      <c r="I9" s="29"/>
      <c r="J9" s="29"/>
      <c r="K9" s="29"/>
      <c r="L9" s="29"/>
      <c r="M9" s="29"/>
      <c r="N9" s="29"/>
      <c r="O9" s="29"/>
      <c r="P9" s="29"/>
      <c r="Q9" s="30"/>
      <c r="R9" s="20">
        <f t="shared" si="0"/>
        <v>0</v>
      </c>
      <c r="V9" s="21"/>
      <c r="W9" s="22"/>
      <c r="X9" s="22">
        <f t="shared" si="2"/>
        <v>0</v>
      </c>
      <c r="Y9" s="22"/>
      <c r="Z9" s="22"/>
      <c r="AA9" s="22">
        <f t="shared" si="4"/>
        <v>0</v>
      </c>
      <c r="AB9" s="23">
        <f t="shared" si="5"/>
        <v>0</v>
      </c>
      <c r="AD9" s="31"/>
    </row>
    <row r="10" spans="1:34" ht="14.25" hidden="1" customHeight="1">
      <c r="A10" s="24"/>
      <c r="B10" s="30"/>
      <c r="C10" s="29"/>
      <c r="D10" s="29"/>
      <c r="E10" s="29"/>
      <c r="F10" s="29"/>
      <c r="G10" s="29"/>
      <c r="H10" s="29"/>
      <c r="I10" s="29"/>
      <c r="J10" s="29"/>
      <c r="L10" s="32"/>
      <c r="M10" s="29"/>
      <c r="O10" s="29"/>
      <c r="P10" s="29"/>
      <c r="Q10" s="30"/>
      <c r="R10" s="20">
        <f t="shared" si="0"/>
        <v>0</v>
      </c>
      <c r="U10" s="33"/>
      <c r="V10" s="21"/>
      <c r="W10" s="22"/>
      <c r="X10" s="22">
        <f t="shared" si="2"/>
        <v>0</v>
      </c>
      <c r="Y10" s="22"/>
      <c r="Z10" s="22"/>
      <c r="AA10" s="22">
        <f t="shared" si="4"/>
        <v>0</v>
      </c>
      <c r="AB10" s="23">
        <f t="shared" si="5"/>
        <v>0</v>
      </c>
      <c r="AC10" s="34"/>
      <c r="AD10" s="34"/>
    </row>
    <row r="11" spans="1:34" ht="21.75" hidden="1" customHeight="1">
      <c r="A11" s="24"/>
      <c r="B11" s="30"/>
      <c r="C11" s="29"/>
      <c r="D11" s="29"/>
      <c r="E11" s="29"/>
      <c r="F11" s="29"/>
      <c r="G11" s="29"/>
      <c r="H11" s="29"/>
      <c r="I11" s="29"/>
      <c r="J11" s="29"/>
      <c r="K11" s="29"/>
      <c r="L11" s="29"/>
      <c r="M11" s="29"/>
      <c r="N11" s="29"/>
      <c r="O11" s="29"/>
      <c r="P11" s="29"/>
      <c r="Q11" s="29"/>
      <c r="R11" s="20">
        <f t="shared" si="0"/>
        <v>0</v>
      </c>
      <c r="V11" s="21"/>
      <c r="W11" s="22"/>
      <c r="X11" s="22">
        <f t="shared" si="2"/>
        <v>0</v>
      </c>
      <c r="Y11" s="22"/>
      <c r="Z11" s="22"/>
      <c r="AA11" s="22">
        <f t="shared" si="4"/>
        <v>0</v>
      </c>
      <c r="AB11" s="23">
        <f t="shared" si="5"/>
        <v>0</v>
      </c>
      <c r="AC11" s="33"/>
    </row>
    <row r="12" spans="1:34">
      <c r="A12" s="15" t="s">
        <v>20</v>
      </c>
      <c r="B12" s="20"/>
      <c r="C12" s="20"/>
      <c r="D12" s="20">
        <f>SUM(D2:D11)</f>
        <v>2000</v>
      </c>
      <c r="E12" s="20">
        <f t="shared" ref="E12:P12" si="8">SUM(E2:E11)</f>
        <v>0</v>
      </c>
      <c r="F12" s="20">
        <f>SUM(F2:F11)</f>
        <v>2000</v>
      </c>
      <c r="G12" s="20">
        <f t="shared" si="8"/>
        <v>0</v>
      </c>
      <c r="H12" s="20">
        <f t="shared" si="8"/>
        <v>0</v>
      </c>
      <c r="I12" s="20">
        <f t="shared" si="8"/>
        <v>0</v>
      </c>
      <c r="J12" s="20">
        <f t="shared" si="8"/>
        <v>0</v>
      </c>
      <c r="K12" s="20">
        <f t="shared" si="8"/>
        <v>124000.00013</v>
      </c>
      <c r="L12" s="20">
        <f t="shared" si="8"/>
        <v>149999.99987</v>
      </c>
      <c r="M12" s="20">
        <f t="shared" si="8"/>
        <v>0</v>
      </c>
      <c r="N12" s="20">
        <f t="shared" si="8"/>
        <v>0</v>
      </c>
      <c r="O12" s="20">
        <f t="shared" si="8"/>
        <v>0</v>
      </c>
      <c r="P12" s="20">
        <f t="shared" si="8"/>
        <v>76999.999920000002</v>
      </c>
      <c r="Q12" s="20">
        <f>SUM(Q2:Q11)</f>
        <v>427000.00008000003</v>
      </c>
      <c r="R12" s="20">
        <f>SUM(R2:R11)</f>
        <v>782000</v>
      </c>
      <c r="U12" s="33"/>
      <c r="V12" s="15" t="s">
        <v>21</v>
      </c>
      <c r="W12" s="35">
        <f>SUM(W2:W10)</f>
        <v>2000</v>
      </c>
      <c r="X12" s="35">
        <f t="shared" ref="X12:Z12" si="9">SUM(X2:X10)</f>
        <v>2000</v>
      </c>
      <c r="Y12" s="35">
        <f t="shared" si="9"/>
        <v>274000</v>
      </c>
      <c r="Z12" s="35">
        <f t="shared" si="9"/>
        <v>504000</v>
      </c>
      <c r="AA12" s="35">
        <f>SUM(AA2:AA11)</f>
        <v>782000</v>
      </c>
      <c r="AB12" s="23"/>
      <c r="AC12" s="33"/>
      <c r="AD12" s="33"/>
    </row>
    <row r="13" spans="1:34">
      <c r="A13" s="36"/>
      <c r="B13" s="37" t="s">
        <v>18</v>
      </c>
      <c r="C13" s="36"/>
      <c r="D13" s="38"/>
      <c r="E13" s="38"/>
      <c r="F13" s="38"/>
      <c r="G13" s="38"/>
      <c r="K13" s="33"/>
      <c r="V13" s="21" t="s">
        <v>22</v>
      </c>
      <c r="W13" s="22">
        <f>'Расходы по займу'!D6+'Расходы по займу'!E6+'Расходы ТОР'!E19</f>
        <v>2.7192781665000001</v>
      </c>
      <c r="X13" s="22">
        <f>'Расходы ТОР'!I19+'Расходы по займу'!F6+'Расходы по займу'!G6+'Расходы по займу'!H6+'Расходы по займу'!I6</f>
        <v>5.4385563330000002</v>
      </c>
      <c r="Y13" s="22">
        <f>'Расходы ТОР'!M19+'Расходы по займу'!J6+'Расходы по займу'!K6+'Расходы по займу'!L6+'Расходы по займу'!M6</f>
        <v>5.4385563330000002</v>
      </c>
      <c r="Z13" s="39">
        <f>'Расходы ТОР'!Q19+'Расходы по займу'!N6+'Расходы по займу'!O6+'Расходы по займу'!P6+'Расходы по займу'!Q6</f>
        <v>32386.763486861004</v>
      </c>
      <c r="AA13" s="39">
        <f>SUM(W13:Z13)</f>
        <v>32400.359877693503</v>
      </c>
      <c r="AB13" s="23">
        <f>AA13/$AA$14</f>
        <v>3.9784314292984083E-2</v>
      </c>
    </row>
    <row r="14" spans="1:34">
      <c r="A14" s="30" t="s">
        <v>23</v>
      </c>
      <c r="B14" s="20">
        <f>SUM(R3:R6)</f>
        <v>678000</v>
      </c>
      <c r="C14" s="12"/>
      <c r="D14" s="12"/>
      <c r="E14" s="12"/>
      <c r="V14" s="21" t="s">
        <v>24</v>
      </c>
      <c r="W14" s="22">
        <f>W12+W13</f>
        <v>2002.7192781665001</v>
      </c>
      <c r="X14" s="22">
        <f>X12+X13</f>
        <v>2005.438556333</v>
      </c>
      <c r="Y14" s="22">
        <f t="shared" ref="Y14:Z14" si="10">Y12+Y13</f>
        <v>274005.43855633301</v>
      </c>
      <c r="Z14" s="22">
        <f t="shared" si="10"/>
        <v>536386.76348686102</v>
      </c>
      <c r="AA14" s="35">
        <f>SUM(W14:Z14)</f>
        <v>814400.35987769347</v>
      </c>
      <c r="AB14" s="40"/>
      <c r="AH14" s="33"/>
    </row>
    <row r="15" spans="1:34">
      <c r="A15" s="21" t="s">
        <v>25</v>
      </c>
      <c r="B15" s="20">
        <f>B14/1.2*0.2</f>
        <v>113000</v>
      </c>
      <c r="C15" s="20"/>
      <c r="D15" s="20"/>
      <c r="E15" s="20"/>
      <c r="F15" s="20"/>
      <c r="G15" s="20"/>
      <c r="H15" s="20"/>
      <c r="I15" s="20"/>
      <c r="J15" s="20"/>
      <c r="K15" s="20">
        <f>K12/1.2*0.2</f>
        <v>20666.666688333338</v>
      </c>
      <c r="L15" s="20">
        <f t="shared" ref="L15:O15" si="11">L12/1.2*0.2</f>
        <v>24999.999978333333</v>
      </c>
      <c r="M15" s="20">
        <f t="shared" si="11"/>
        <v>0</v>
      </c>
      <c r="N15" s="20">
        <f t="shared" si="11"/>
        <v>0</v>
      </c>
      <c r="O15" s="20">
        <f t="shared" si="11"/>
        <v>0</v>
      </c>
      <c r="P15" s="20">
        <f>P12/1.2*0.2</f>
        <v>12833.333320000002</v>
      </c>
      <c r="Q15" s="20">
        <f>(Q4+Q5+Q6)/1.2*0.2</f>
        <v>54500.000013333338</v>
      </c>
      <c r="R15" s="33"/>
      <c r="Z15" s="12"/>
    </row>
    <row r="16" spans="1:34" ht="31.5" customHeight="1">
      <c r="A16" s="21" t="s">
        <v>26</v>
      </c>
      <c r="B16" s="20">
        <f>B14-B15</f>
        <v>565000</v>
      </c>
      <c r="C16" s="36"/>
      <c r="D16" s="36"/>
      <c r="E16" s="38"/>
      <c r="F16" s="38"/>
      <c r="G16" s="38"/>
      <c r="S16" s="33"/>
      <c r="V16" s="21" t="s">
        <v>27</v>
      </c>
      <c r="W16" s="22">
        <f>W14-W17</f>
        <v>2002.7192781665001</v>
      </c>
      <c r="X16" s="22">
        <f t="shared" ref="X16:Z16" si="12">X14-X17</f>
        <v>2005.438556333</v>
      </c>
      <c r="Y16" s="22">
        <f t="shared" si="12"/>
        <v>274005.43855633301</v>
      </c>
      <c r="Z16" s="22">
        <f t="shared" si="12"/>
        <v>132386.76348686102</v>
      </c>
      <c r="AA16" s="22">
        <f>SUM(W16:Z16)</f>
        <v>410400.35987769353</v>
      </c>
      <c r="AB16" s="23">
        <f>AA16/$AA$14</f>
        <v>0.50392949229458517</v>
      </c>
      <c r="AC16" s="33"/>
      <c r="AF16" s="33"/>
    </row>
    <row r="17" spans="1:45">
      <c r="A17" s="36"/>
      <c r="B17" s="36"/>
      <c r="C17" s="36"/>
      <c r="D17" s="38"/>
      <c r="E17" s="38"/>
      <c r="F17" s="38"/>
      <c r="G17" s="38"/>
      <c r="V17" s="21" t="s">
        <v>28</v>
      </c>
      <c r="W17" s="22"/>
      <c r="X17" s="22"/>
      <c r="Y17" s="22"/>
      <c r="Z17" s="22">
        <v>404000</v>
      </c>
      <c r="AA17" s="22">
        <f>SUM(W17:Z17)</f>
        <v>404000</v>
      </c>
      <c r="AB17" s="23">
        <f>AA17/$AA$14</f>
        <v>0.49607050770541489</v>
      </c>
      <c r="AD17" s="33"/>
      <c r="AG17" s="33"/>
    </row>
    <row r="18" spans="1:45" ht="18.75" customHeight="1">
      <c r="A18" s="36"/>
      <c r="B18" s="36"/>
      <c r="C18" s="36"/>
      <c r="D18" s="38"/>
      <c r="E18" s="38"/>
      <c r="F18" s="38"/>
      <c r="G18" s="38"/>
      <c r="K18" s="656"/>
      <c r="L18" s="656"/>
      <c r="V18" s="16" t="s">
        <v>29</v>
      </c>
      <c r="W18" s="22"/>
      <c r="X18" s="22"/>
      <c r="Y18" s="22"/>
      <c r="Z18" s="22"/>
      <c r="AA18" s="22"/>
      <c r="AB18" s="33"/>
      <c r="AC18" s="33"/>
      <c r="AD18" s="33"/>
      <c r="AE18" s="33"/>
      <c r="AF18" s="33"/>
      <c r="AG18" s="33"/>
      <c r="AI18" s="40"/>
      <c r="AJ18" s="41"/>
    </row>
    <row r="19" spans="1:45" ht="54" customHeight="1">
      <c r="A19" s="38"/>
      <c r="B19" s="38"/>
      <c r="C19" s="38"/>
      <c r="D19" s="38"/>
      <c r="E19" s="38"/>
      <c r="F19" s="38"/>
      <c r="G19" s="38"/>
      <c r="X19" s="33"/>
      <c r="AA19" s="33"/>
      <c r="AB19" s="33"/>
      <c r="AC19" s="33"/>
      <c r="AD19" s="33"/>
      <c r="AE19" s="33"/>
      <c r="AF19" s="33"/>
      <c r="AG19" s="33"/>
      <c r="AI19" s="40"/>
      <c r="AJ19" s="41"/>
    </row>
    <row r="20" spans="1:45" ht="36" customHeight="1">
      <c r="V20" s="16" t="s">
        <v>30</v>
      </c>
      <c r="W20" s="42">
        <f>W14/-1000</f>
        <v>-2.0027192781665</v>
      </c>
      <c r="X20" s="42">
        <f>X14/-1000</f>
        <v>-2.0054385563329999</v>
      </c>
      <c r="Y20" s="42">
        <f>Y14/-1000</f>
        <v>-274.00543855633299</v>
      </c>
      <c r="Z20" s="42">
        <f>Z14/-1000</f>
        <v>-536.38676348686101</v>
      </c>
      <c r="AA20" s="33"/>
      <c r="AI20" s="40"/>
    </row>
    <row r="21" spans="1:45">
      <c r="A21" s="38"/>
      <c r="B21" s="38"/>
      <c r="C21" s="38"/>
      <c r="D21" s="38"/>
      <c r="E21" s="38"/>
      <c r="F21" s="43"/>
      <c r="X21" s="33"/>
      <c r="Z21" s="12"/>
      <c r="AH21" s="40"/>
    </row>
    <row r="22" spans="1:45">
      <c r="Z22" s="12"/>
      <c r="AH22" s="40"/>
    </row>
    <row r="23" spans="1:45">
      <c r="B23" s="357" t="str">
        <f>B1</f>
        <v>I кв. 1 г.</v>
      </c>
      <c r="C23" s="357" t="str">
        <f t="shared" ref="C23:Q23" si="13">C1</f>
        <v>II кв. 1 г.</v>
      </c>
      <c r="D23" s="357" t="str">
        <f t="shared" si="13"/>
        <v>III кв. 1 г.</v>
      </c>
      <c r="E23" s="357" t="str">
        <f t="shared" si="13"/>
        <v>IV кв. 1 г.</v>
      </c>
      <c r="F23" s="357" t="str">
        <f t="shared" si="13"/>
        <v>I кв. 2 г.</v>
      </c>
      <c r="G23" s="357" t="str">
        <f t="shared" si="13"/>
        <v>II кв. 2 г.</v>
      </c>
      <c r="H23" s="357" t="str">
        <f t="shared" si="13"/>
        <v>III кв. 2 г.</v>
      </c>
      <c r="I23" s="357" t="str">
        <f t="shared" si="13"/>
        <v>IV кв. 2 г.</v>
      </c>
      <c r="J23" s="357" t="str">
        <f t="shared" si="13"/>
        <v>I кв. 3 г.</v>
      </c>
      <c r="K23" s="357" t="str">
        <f t="shared" si="13"/>
        <v>II кв. 3 г.</v>
      </c>
      <c r="L23" s="357" t="str">
        <f t="shared" si="13"/>
        <v>III кв. 3 г.</v>
      </c>
      <c r="M23" s="357" t="str">
        <f t="shared" si="13"/>
        <v>IV кв. 3 г.</v>
      </c>
      <c r="N23" s="357" t="str">
        <f t="shared" si="13"/>
        <v>I кв. 4 г.</v>
      </c>
      <c r="O23" s="357" t="str">
        <f t="shared" si="13"/>
        <v>II кв. 4 г.</v>
      </c>
      <c r="P23" s="357" t="str">
        <f t="shared" si="13"/>
        <v>III кв. 4 г.</v>
      </c>
      <c r="Q23" s="357" t="str">
        <f t="shared" si="13"/>
        <v>IV кв. 4 г.</v>
      </c>
      <c r="R23" s="627" t="str">
        <f>R25</f>
        <v>I кв. 5 г.</v>
      </c>
      <c r="V23" s="14"/>
      <c r="Z23" s="12"/>
      <c r="AD23" s="40"/>
    </row>
    <row r="24" spans="1:45">
      <c r="A24" s="15" t="s">
        <v>31</v>
      </c>
      <c r="B24" s="29">
        <f>SUM(B4:B11)</f>
        <v>0</v>
      </c>
      <c r="C24" s="29">
        <f>SUM(C4:C11)</f>
        <v>0</v>
      </c>
      <c r="D24" s="29">
        <f>SUM(D3:D11)</f>
        <v>0</v>
      </c>
      <c r="E24" s="29">
        <f>SUM(E4:E6)</f>
        <v>0</v>
      </c>
      <c r="F24" s="29">
        <f t="shared" ref="F24:Q24" si="14">SUM(F9:F11)</f>
        <v>0</v>
      </c>
      <c r="G24" s="29">
        <f t="shared" si="14"/>
        <v>0</v>
      </c>
      <c r="H24" s="29">
        <f t="shared" si="14"/>
        <v>0</v>
      </c>
      <c r="I24" s="29">
        <f t="shared" si="14"/>
        <v>0</v>
      </c>
      <c r="J24" s="29">
        <f t="shared" si="14"/>
        <v>0</v>
      </c>
      <c r="K24" s="29">
        <f t="shared" si="14"/>
        <v>0</v>
      </c>
      <c r="L24" s="29">
        <f t="shared" si="14"/>
        <v>0</v>
      </c>
      <c r="M24" s="29">
        <f t="shared" si="14"/>
        <v>0</v>
      </c>
      <c r="N24" s="295">
        <f>SUM(R3:R6)</f>
        <v>678000</v>
      </c>
      <c r="O24" s="29">
        <f t="shared" si="14"/>
        <v>0</v>
      </c>
      <c r="P24" s="29">
        <f t="shared" si="14"/>
        <v>0</v>
      </c>
      <c r="Q24" s="29">
        <f t="shared" si="14"/>
        <v>0</v>
      </c>
      <c r="R24" s="628">
        <f>SUM(R3:R6)</f>
        <v>678000</v>
      </c>
      <c r="X24" s="33"/>
      <c r="Y24" s="33"/>
      <c r="Z24" s="33"/>
      <c r="AA24" s="33"/>
      <c r="AB24" s="33"/>
    </row>
    <row r="25" spans="1:45">
      <c r="A25" s="15"/>
      <c r="B25" s="296" t="str">
        <f t="shared" ref="B25:Q25" si="15">B1</f>
        <v>I кв. 1 г.</v>
      </c>
      <c r="C25" s="296" t="str">
        <f t="shared" si="15"/>
        <v>II кв. 1 г.</v>
      </c>
      <c r="D25" s="296" t="str">
        <f t="shared" si="15"/>
        <v>III кв. 1 г.</v>
      </c>
      <c r="E25" s="296" t="str">
        <f t="shared" si="15"/>
        <v>IV кв. 1 г.</v>
      </c>
      <c r="F25" s="296" t="str">
        <f t="shared" si="15"/>
        <v>I кв. 2 г.</v>
      </c>
      <c r="G25" s="296" t="str">
        <f t="shared" si="15"/>
        <v>II кв. 2 г.</v>
      </c>
      <c r="H25" s="296" t="str">
        <f t="shared" si="15"/>
        <v>III кв. 2 г.</v>
      </c>
      <c r="I25" s="296" t="str">
        <f t="shared" si="15"/>
        <v>IV кв. 2 г.</v>
      </c>
      <c r="J25" s="296" t="str">
        <f t="shared" si="15"/>
        <v>I кв. 3 г.</v>
      </c>
      <c r="K25" s="296" t="str">
        <f t="shared" si="15"/>
        <v>II кв. 3 г.</v>
      </c>
      <c r="L25" s="296" t="str">
        <f t="shared" si="15"/>
        <v>III кв. 3 г.</v>
      </c>
      <c r="M25" s="296" t="str">
        <f t="shared" si="15"/>
        <v>IV кв. 3 г.</v>
      </c>
      <c r="N25" s="296" t="str">
        <f t="shared" si="15"/>
        <v>I кв. 4 г.</v>
      </c>
      <c r="O25" s="296" t="str">
        <f t="shared" si="15"/>
        <v>II кв. 4 г.</v>
      </c>
      <c r="P25" s="296" t="str">
        <f t="shared" si="15"/>
        <v>III кв. 4 г.</v>
      </c>
      <c r="Q25" s="296" t="str">
        <f t="shared" si="15"/>
        <v>IV кв. 4 г.</v>
      </c>
      <c r="R25" s="296" t="str">
        <f>'выручка по кв и годам'!T1</f>
        <v>I кв. 5 г.</v>
      </c>
      <c r="S25" s="296" t="str">
        <f>'выручка по кв и годам'!U1</f>
        <v>II кв. 5 г.</v>
      </c>
      <c r="T25" s="296" t="str">
        <f>'выручка по кв и годам'!V1</f>
        <v>III кв. 5 г.</v>
      </c>
      <c r="U25" s="296" t="str">
        <f>'выручка по кв и годам'!W1</f>
        <v>IV кв. 5 г.</v>
      </c>
      <c r="V25" s="296" t="str">
        <f>'выручка по кв и годам'!X1</f>
        <v>I кв. 6 г.</v>
      </c>
      <c r="W25" s="296" t="str">
        <f>'выручка по кв и годам'!Y1</f>
        <v>II кв. 6 г.</v>
      </c>
      <c r="X25" s="296" t="str">
        <f>'выручка по кв и годам'!Z1</f>
        <v>III кв. 6 г.</v>
      </c>
      <c r="Y25" s="296" t="str">
        <f>'выручка по кв и годам'!AA1</f>
        <v>IV кв. 6 г.</v>
      </c>
      <c r="Z25" s="358" t="str">
        <f>'выручка по кв и годам'!AB1</f>
        <v>I кв. 7 г.</v>
      </c>
      <c r="AA25" s="358" t="str">
        <f>'выручка по кв и годам'!AC1</f>
        <v>II кв. 7 г.</v>
      </c>
      <c r="AB25" s="358" t="str">
        <f>'выручка по кв и годам'!AD1</f>
        <v>III кв. 7 г.</v>
      </c>
      <c r="AC25" s="358" t="str">
        <f>'выручка по кв и годам'!AE1</f>
        <v>IV кв. 7 г.</v>
      </c>
      <c r="AD25" s="358" t="str">
        <f>'выручка по кв и годам'!AF1</f>
        <v>I кв. 8 г.</v>
      </c>
      <c r="AE25" s="358" t="str">
        <f>'выручка по кв и годам'!AG1</f>
        <v>II кв. 8 г.</v>
      </c>
      <c r="AF25" s="358" t="str">
        <f>'выручка по кв и годам'!AH1</f>
        <v>III кв. 8 г.</v>
      </c>
      <c r="AG25" s="358" t="str">
        <f>'выручка по кв и годам'!AI1</f>
        <v>IV кв. 8 г.</v>
      </c>
      <c r="AH25" s="358" t="str">
        <f>'выручка по кв и годам'!AJ1</f>
        <v>I кв. 9 г.</v>
      </c>
      <c r="AI25" s="358" t="str">
        <f>'выручка по кв и годам'!AK1</f>
        <v>II кв. 9 г.</v>
      </c>
      <c r="AJ25" s="358" t="str">
        <f>'выручка по кв и годам'!AL1</f>
        <v>III кв. 9 г.</v>
      </c>
      <c r="AK25" s="358" t="str">
        <f>'выручка по кв и годам'!AM1</f>
        <v>IV кв. 9 г.</v>
      </c>
      <c r="AL25" s="358" t="str">
        <f>'выручка по кв и годам'!AN1</f>
        <v>I кв. 10 г.</v>
      </c>
      <c r="AM25" s="358" t="str">
        <f>'выручка по кв и годам'!AO1</f>
        <v>II кв. 10 г.</v>
      </c>
      <c r="AN25" s="358" t="str">
        <f>'выручка по кв и годам'!AP1</f>
        <v>III кв. 10 г.</v>
      </c>
      <c r="AO25" s="358" t="str">
        <f>'выручка по кв и годам'!AQ1</f>
        <v>IV кв. 10 г.</v>
      </c>
      <c r="AP25" s="359" t="str">
        <f>'выручка по кв и годам'!AR1</f>
        <v>I кв. 11 г.</v>
      </c>
      <c r="AQ25" s="359" t="str">
        <f>'выручка по кв и годам'!AS1</f>
        <v>II кв. 11 г.</v>
      </c>
      <c r="AR25" s="359" t="str">
        <f>'выручка по кв и годам'!AT1</f>
        <v>III кв. 11 г.</v>
      </c>
      <c r="AS25" s="359" t="str">
        <f>'выручка по кв и годам'!AU1</f>
        <v>IV кв. 11 г.</v>
      </c>
    </row>
    <row r="26" spans="1:45" s="507" customFormat="1" ht="47.25" customHeight="1">
      <c r="A26" s="508" t="s">
        <v>32</v>
      </c>
      <c r="B26" s="509">
        <f>SUM(B27:B29)</f>
        <v>0</v>
      </c>
      <c r="C26" s="509">
        <f t="shared" ref="C26:AS26" si="16">SUM(C27:C29)</f>
        <v>0</v>
      </c>
      <c r="D26" s="509">
        <f t="shared" si="16"/>
        <v>0</v>
      </c>
      <c r="E26" s="509">
        <f t="shared" si="16"/>
        <v>0</v>
      </c>
      <c r="F26" s="509">
        <f t="shared" si="16"/>
        <v>0</v>
      </c>
      <c r="G26" s="509">
        <f t="shared" si="16"/>
        <v>0</v>
      </c>
      <c r="H26" s="509">
        <f t="shared" si="16"/>
        <v>0</v>
      </c>
      <c r="I26" s="509">
        <f t="shared" si="16"/>
        <v>0</v>
      </c>
      <c r="J26" s="509">
        <f t="shared" si="16"/>
        <v>0</v>
      </c>
      <c r="K26" s="509">
        <f t="shared" si="16"/>
        <v>0</v>
      </c>
      <c r="L26" s="509">
        <f t="shared" si="16"/>
        <v>0</v>
      </c>
      <c r="M26" s="509">
        <f t="shared" si="16"/>
        <v>0</v>
      </c>
      <c r="N26" s="509">
        <f t="shared" si="16"/>
        <v>0</v>
      </c>
      <c r="O26" s="509">
        <f t="shared" si="16"/>
        <v>0</v>
      </c>
      <c r="P26" s="509">
        <f t="shared" si="16"/>
        <v>0</v>
      </c>
      <c r="Q26" s="509">
        <f t="shared" si="16"/>
        <v>0</v>
      </c>
      <c r="R26" s="509">
        <f t="shared" si="16"/>
        <v>7016.666666666667</v>
      </c>
      <c r="S26" s="509">
        <f t="shared" si="16"/>
        <v>7016.666666666667</v>
      </c>
      <c r="T26" s="509">
        <f t="shared" si="16"/>
        <v>7016.666666666667</v>
      </c>
      <c r="U26" s="509">
        <f t="shared" si="16"/>
        <v>7016.666666666667</v>
      </c>
      <c r="V26" s="509">
        <f t="shared" si="16"/>
        <v>7016.666666666667</v>
      </c>
      <c r="W26" s="509">
        <f t="shared" si="16"/>
        <v>7016.666666666667</v>
      </c>
      <c r="X26" s="509">
        <f t="shared" si="16"/>
        <v>7016.666666666667</v>
      </c>
      <c r="Y26" s="509">
        <f t="shared" si="16"/>
        <v>7016.666666666667</v>
      </c>
      <c r="Z26" s="509">
        <f t="shared" si="16"/>
        <v>7016.666666666667</v>
      </c>
      <c r="AA26" s="509">
        <f t="shared" si="16"/>
        <v>7016.666666666667</v>
      </c>
      <c r="AB26" s="509">
        <f t="shared" si="16"/>
        <v>7016.666666666667</v>
      </c>
      <c r="AC26" s="509">
        <f t="shared" si="16"/>
        <v>7016.666666666667</v>
      </c>
      <c r="AD26" s="509">
        <f t="shared" si="16"/>
        <v>7016.666666666667</v>
      </c>
      <c r="AE26" s="509">
        <f t="shared" si="16"/>
        <v>7016.666666666667</v>
      </c>
      <c r="AF26" s="509">
        <f t="shared" si="16"/>
        <v>7016.666666666667</v>
      </c>
      <c r="AG26" s="509">
        <f t="shared" si="16"/>
        <v>7016.666666666667</v>
      </c>
      <c r="AH26" s="509">
        <f t="shared" si="16"/>
        <v>7016.666666666667</v>
      </c>
      <c r="AI26" s="509">
        <f t="shared" si="16"/>
        <v>7016.666666666667</v>
      </c>
      <c r="AJ26" s="509">
        <f t="shared" si="16"/>
        <v>7016.666666666667</v>
      </c>
      <c r="AK26" s="509">
        <f t="shared" si="16"/>
        <v>7016.666666666667</v>
      </c>
      <c r="AL26" s="509">
        <f t="shared" si="16"/>
        <v>7016.666666666667</v>
      </c>
      <c r="AM26" s="509">
        <f t="shared" si="16"/>
        <v>7016.666666666667</v>
      </c>
      <c r="AN26" s="509">
        <f t="shared" si="16"/>
        <v>7016.666666666667</v>
      </c>
      <c r="AO26" s="509">
        <f t="shared" si="16"/>
        <v>7016.666666666667</v>
      </c>
      <c r="AP26" s="509">
        <f t="shared" si="16"/>
        <v>7016.666666666667</v>
      </c>
      <c r="AQ26" s="509">
        <f t="shared" si="16"/>
        <v>7016.666666666667</v>
      </c>
      <c r="AR26" s="509">
        <f t="shared" si="16"/>
        <v>7016.666666666667</v>
      </c>
      <c r="AS26" s="509">
        <f t="shared" si="16"/>
        <v>7016.666666666667</v>
      </c>
    </row>
    <row r="27" spans="1:45" s="507" customFormat="1" ht="87.75" customHeight="1">
      <c r="A27" s="505" t="str">
        <f>A3</f>
        <v>Строительство производственно-бытовых помещений, подготовка площадки, инфраструктуры</v>
      </c>
      <c r="B27" s="504"/>
      <c r="C27" s="504"/>
      <c r="D27" s="510"/>
      <c r="E27" s="506"/>
      <c r="F27" s="506"/>
      <c r="G27" s="506"/>
      <c r="H27" s="506"/>
      <c r="I27" s="506"/>
      <c r="J27" s="506"/>
      <c r="K27" s="506"/>
      <c r="L27" s="506"/>
      <c r="M27" s="506"/>
      <c r="N27" s="577"/>
      <c r="O27" s="506"/>
      <c r="P27" s="506"/>
      <c r="Q27" s="506"/>
      <c r="R27" s="577">
        <f>допущения!C78/(допущения!C17*4)</f>
        <v>2283.3333333333335</v>
      </c>
      <c r="S27" s="506">
        <f t="shared" ref="S27:AS30" si="17">R27</f>
        <v>2283.3333333333335</v>
      </c>
      <c r="T27" s="506">
        <f t="shared" si="17"/>
        <v>2283.3333333333335</v>
      </c>
      <c r="U27" s="506">
        <f t="shared" si="17"/>
        <v>2283.3333333333335</v>
      </c>
      <c r="V27" s="506">
        <f t="shared" si="17"/>
        <v>2283.3333333333335</v>
      </c>
      <c r="W27" s="506">
        <f t="shared" si="17"/>
        <v>2283.3333333333335</v>
      </c>
      <c r="X27" s="506">
        <f t="shared" si="17"/>
        <v>2283.3333333333335</v>
      </c>
      <c r="Y27" s="506">
        <f t="shared" si="17"/>
        <v>2283.3333333333335</v>
      </c>
      <c r="Z27" s="506">
        <f t="shared" si="17"/>
        <v>2283.3333333333335</v>
      </c>
      <c r="AA27" s="506">
        <f t="shared" si="17"/>
        <v>2283.3333333333335</v>
      </c>
      <c r="AB27" s="506">
        <f t="shared" si="17"/>
        <v>2283.3333333333335</v>
      </c>
      <c r="AC27" s="506">
        <f t="shared" si="17"/>
        <v>2283.3333333333335</v>
      </c>
      <c r="AD27" s="506">
        <f t="shared" si="17"/>
        <v>2283.3333333333335</v>
      </c>
      <c r="AE27" s="506">
        <f t="shared" si="17"/>
        <v>2283.3333333333335</v>
      </c>
      <c r="AF27" s="506">
        <f t="shared" si="17"/>
        <v>2283.3333333333335</v>
      </c>
      <c r="AG27" s="506">
        <f t="shared" si="17"/>
        <v>2283.3333333333335</v>
      </c>
      <c r="AH27" s="506">
        <f t="shared" si="17"/>
        <v>2283.3333333333335</v>
      </c>
      <c r="AI27" s="506">
        <f t="shared" si="17"/>
        <v>2283.3333333333335</v>
      </c>
      <c r="AJ27" s="506">
        <f t="shared" si="17"/>
        <v>2283.3333333333335</v>
      </c>
      <c r="AK27" s="506">
        <f t="shared" si="17"/>
        <v>2283.3333333333335</v>
      </c>
      <c r="AL27" s="506">
        <f t="shared" si="17"/>
        <v>2283.3333333333335</v>
      </c>
      <c r="AM27" s="506">
        <f t="shared" si="17"/>
        <v>2283.3333333333335</v>
      </c>
      <c r="AN27" s="506">
        <f t="shared" si="17"/>
        <v>2283.3333333333335</v>
      </c>
      <c r="AO27" s="506">
        <f t="shared" si="17"/>
        <v>2283.3333333333335</v>
      </c>
      <c r="AP27" s="506">
        <f t="shared" si="17"/>
        <v>2283.3333333333335</v>
      </c>
      <c r="AQ27" s="506">
        <f t="shared" si="17"/>
        <v>2283.3333333333335</v>
      </c>
      <c r="AR27" s="506">
        <f t="shared" si="17"/>
        <v>2283.3333333333335</v>
      </c>
      <c r="AS27" s="506">
        <f t="shared" si="17"/>
        <v>2283.3333333333335</v>
      </c>
    </row>
    <row r="28" spans="1:45" s="507" customFormat="1" ht="54.75" customHeight="1">
      <c r="A28" s="505" t="str">
        <f t="shared" ref="A28:A30" si="18">A4</f>
        <v>Приобретение производственной линии, спецтехники</v>
      </c>
      <c r="B28" s="504"/>
      <c r="C28" s="504"/>
      <c r="D28" s="504"/>
      <c r="E28" s="506"/>
      <c r="F28" s="506"/>
      <c r="G28" s="506"/>
      <c r="H28" s="506"/>
      <c r="I28" s="506"/>
      <c r="J28" s="506"/>
      <c r="K28" s="506"/>
      <c r="L28" s="506"/>
      <c r="M28" s="506"/>
      <c r="N28" s="577"/>
      <c r="O28" s="506"/>
      <c r="P28" s="506"/>
      <c r="Q28" s="506"/>
      <c r="R28" s="577">
        <f>допущения!C79/(допущения!C16*4)</f>
        <v>3400</v>
      </c>
      <c r="S28" s="506">
        <f t="shared" si="17"/>
        <v>3400</v>
      </c>
      <c r="T28" s="506">
        <f t="shared" si="17"/>
        <v>3400</v>
      </c>
      <c r="U28" s="506">
        <f t="shared" si="17"/>
        <v>3400</v>
      </c>
      <c r="V28" s="506">
        <f t="shared" si="17"/>
        <v>3400</v>
      </c>
      <c r="W28" s="506">
        <f t="shared" si="17"/>
        <v>3400</v>
      </c>
      <c r="X28" s="506">
        <f t="shared" si="17"/>
        <v>3400</v>
      </c>
      <c r="Y28" s="506">
        <f t="shared" si="17"/>
        <v>3400</v>
      </c>
      <c r="Z28" s="506">
        <f t="shared" si="17"/>
        <v>3400</v>
      </c>
      <c r="AA28" s="506">
        <f t="shared" si="17"/>
        <v>3400</v>
      </c>
      <c r="AB28" s="506">
        <f t="shared" si="17"/>
        <v>3400</v>
      </c>
      <c r="AC28" s="506">
        <f t="shared" si="17"/>
        <v>3400</v>
      </c>
      <c r="AD28" s="506">
        <f t="shared" si="17"/>
        <v>3400</v>
      </c>
      <c r="AE28" s="506">
        <f t="shared" si="17"/>
        <v>3400</v>
      </c>
      <c r="AF28" s="506">
        <f t="shared" si="17"/>
        <v>3400</v>
      </c>
      <c r="AG28" s="506">
        <f t="shared" si="17"/>
        <v>3400</v>
      </c>
      <c r="AH28" s="506">
        <f t="shared" si="17"/>
        <v>3400</v>
      </c>
      <c r="AI28" s="506">
        <f t="shared" si="17"/>
        <v>3400</v>
      </c>
      <c r="AJ28" s="506">
        <f t="shared" si="17"/>
        <v>3400</v>
      </c>
      <c r="AK28" s="506">
        <f t="shared" si="17"/>
        <v>3400</v>
      </c>
      <c r="AL28" s="506">
        <f t="shared" si="17"/>
        <v>3400</v>
      </c>
      <c r="AM28" s="506">
        <f t="shared" si="17"/>
        <v>3400</v>
      </c>
      <c r="AN28" s="506">
        <f t="shared" si="17"/>
        <v>3400</v>
      </c>
      <c r="AO28" s="506">
        <f t="shared" si="17"/>
        <v>3400</v>
      </c>
      <c r="AP28" s="506">
        <f t="shared" si="17"/>
        <v>3400</v>
      </c>
      <c r="AQ28" s="506">
        <f t="shared" si="17"/>
        <v>3400</v>
      </c>
      <c r="AR28" s="506">
        <f t="shared" si="17"/>
        <v>3400</v>
      </c>
      <c r="AS28" s="506">
        <f t="shared" si="17"/>
        <v>3400</v>
      </c>
    </row>
    <row r="29" spans="1:45" s="507" customFormat="1" ht="31.2">
      <c r="A29" s="505" t="str">
        <f t="shared" si="18"/>
        <v>Мусоросжигающий завод</v>
      </c>
      <c r="B29" s="504"/>
      <c r="C29" s="504"/>
      <c r="D29" s="504"/>
      <c r="E29" s="506"/>
      <c r="F29" s="506"/>
      <c r="G29" s="506"/>
      <c r="H29" s="506"/>
      <c r="I29" s="506"/>
      <c r="J29" s="506"/>
      <c r="K29" s="506"/>
      <c r="L29" s="506"/>
      <c r="M29" s="506"/>
      <c r="N29" s="577"/>
      <c r="O29" s="506"/>
      <c r="P29" s="506"/>
      <c r="Q29" s="506"/>
      <c r="R29" s="577">
        <f>допущения!C80/(допущения!C17*4)</f>
        <v>1333.3333333333333</v>
      </c>
      <c r="S29" s="506">
        <f t="shared" si="17"/>
        <v>1333.3333333333333</v>
      </c>
      <c r="T29" s="506">
        <f t="shared" si="17"/>
        <v>1333.3333333333333</v>
      </c>
      <c r="U29" s="506">
        <f t="shared" si="17"/>
        <v>1333.3333333333333</v>
      </c>
      <c r="V29" s="506">
        <f t="shared" si="17"/>
        <v>1333.3333333333333</v>
      </c>
      <c r="W29" s="506">
        <f t="shared" si="17"/>
        <v>1333.3333333333333</v>
      </c>
      <c r="X29" s="506">
        <f t="shared" si="17"/>
        <v>1333.3333333333333</v>
      </c>
      <c r="Y29" s="506">
        <f t="shared" si="17"/>
        <v>1333.3333333333333</v>
      </c>
      <c r="Z29" s="506">
        <f t="shared" si="17"/>
        <v>1333.3333333333333</v>
      </c>
      <c r="AA29" s="506">
        <f t="shared" si="17"/>
        <v>1333.3333333333333</v>
      </c>
      <c r="AB29" s="506">
        <f t="shared" si="17"/>
        <v>1333.3333333333333</v>
      </c>
      <c r="AC29" s="506">
        <f t="shared" si="17"/>
        <v>1333.3333333333333</v>
      </c>
      <c r="AD29" s="506">
        <f t="shared" si="17"/>
        <v>1333.3333333333333</v>
      </c>
      <c r="AE29" s="506">
        <f t="shared" si="17"/>
        <v>1333.3333333333333</v>
      </c>
      <c r="AF29" s="506">
        <f t="shared" si="17"/>
        <v>1333.3333333333333</v>
      </c>
      <c r="AG29" s="506">
        <f t="shared" si="17"/>
        <v>1333.3333333333333</v>
      </c>
      <c r="AH29" s="506">
        <f t="shared" si="17"/>
        <v>1333.3333333333333</v>
      </c>
      <c r="AI29" s="506">
        <f t="shared" si="17"/>
        <v>1333.3333333333333</v>
      </c>
      <c r="AJ29" s="506">
        <f t="shared" si="17"/>
        <v>1333.3333333333333</v>
      </c>
      <c r="AK29" s="506">
        <f t="shared" si="17"/>
        <v>1333.3333333333333</v>
      </c>
      <c r="AL29" s="506">
        <f t="shared" si="17"/>
        <v>1333.3333333333333</v>
      </c>
      <c r="AM29" s="506">
        <f t="shared" si="17"/>
        <v>1333.3333333333333</v>
      </c>
      <c r="AN29" s="506">
        <f t="shared" si="17"/>
        <v>1333.3333333333333</v>
      </c>
      <c r="AO29" s="506">
        <f t="shared" si="17"/>
        <v>1333.3333333333333</v>
      </c>
      <c r="AP29" s="506">
        <f t="shared" si="17"/>
        <v>1333.3333333333333</v>
      </c>
      <c r="AQ29" s="506">
        <f t="shared" si="17"/>
        <v>1333.3333333333333</v>
      </c>
      <c r="AR29" s="506">
        <f t="shared" si="17"/>
        <v>1333.3333333333333</v>
      </c>
      <c r="AS29" s="506">
        <f t="shared" si="17"/>
        <v>1333.3333333333333</v>
      </c>
    </row>
    <row r="30" spans="1:45">
      <c r="A30" s="505" t="str">
        <f t="shared" si="18"/>
        <v>Электроподстанция</v>
      </c>
      <c r="B30" s="506"/>
      <c r="C30" s="506"/>
      <c r="D30" s="506"/>
      <c r="E30" s="506"/>
      <c r="F30" s="506"/>
      <c r="G30" s="506"/>
      <c r="H30" s="506"/>
      <c r="I30" s="506"/>
      <c r="J30" s="506"/>
      <c r="K30" s="506"/>
      <c r="L30" s="506"/>
      <c r="M30" s="506"/>
      <c r="N30" s="577"/>
      <c r="O30" s="506"/>
      <c r="P30" s="506"/>
      <c r="Q30" s="506"/>
      <c r="R30" s="577">
        <f>допущения!C81/(допущения!C17*4)</f>
        <v>333.33333333333331</v>
      </c>
      <c r="S30" s="506">
        <f t="shared" si="17"/>
        <v>333.33333333333331</v>
      </c>
      <c r="T30" s="506">
        <f t="shared" si="17"/>
        <v>333.33333333333331</v>
      </c>
      <c r="U30" s="506">
        <f t="shared" si="17"/>
        <v>333.33333333333331</v>
      </c>
      <c r="V30" s="506">
        <f t="shared" si="17"/>
        <v>333.33333333333331</v>
      </c>
      <c r="W30" s="506">
        <f t="shared" si="17"/>
        <v>333.33333333333331</v>
      </c>
      <c r="X30" s="506">
        <f t="shared" si="17"/>
        <v>333.33333333333331</v>
      </c>
      <c r="Y30" s="506">
        <f t="shared" si="17"/>
        <v>333.33333333333331</v>
      </c>
      <c r="Z30" s="506">
        <f t="shared" si="17"/>
        <v>333.33333333333331</v>
      </c>
      <c r="AA30" s="506">
        <f t="shared" si="17"/>
        <v>333.33333333333331</v>
      </c>
      <c r="AB30" s="506">
        <f t="shared" si="17"/>
        <v>333.33333333333331</v>
      </c>
      <c r="AC30" s="506">
        <f t="shared" si="17"/>
        <v>333.33333333333331</v>
      </c>
      <c r="AD30" s="506">
        <f t="shared" si="17"/>
        <v>333.33333333333331</v>
      </c>
      <c r="AE30" s="506">
        <f t="shared" si="17"/>
        <v>333.33333333333331</v>
      </c>
      <c r="AF30" s="506">
        <f t="shared" si="17"/>
        <v>333.33333333333331</v>
      </c>
      <c r="AG30" s="506">
        <f t="shared" si="17"/>
        <v>333.33333333333331</v>
      </c>
      <c r="AH30" s="506">
        <f t="shared" si="17"/>
        <v>333.33333333333331</v>
      </c>
      <c r="AI30" s="506">
        <f t="shared" si="17"/>
        <v>333.33333333333331</v>
      </c>
      <c r="AJ30" s="506">
        <f t="shared" si="17"/>
        <v>333.33333333333331</v>
      </c>
      <c r="AK30" s="506">
        <f t="shared" si="17"/>
        <v>333.33333333333331</v>
      </c>
      <c r="AL30" s="506">
        <f t="shared" si="17"/>
        <v>333.33333333333331</v>
      </c>
      <c r="AM30" s="506">
        <f t="shared" si="17"/>
        <v>333.33333333333331</v>
      </c>
      <c r="AN30" s="506">
        <f t="shared" si="17"/>
        <v>333.33333333333331</v>
      </c>
      <c r="AO30" s="506">
        <f t="shared" si="17"/>
        <v>333.33333333333331</v>
      </c>
      <c r="AP30" s="506">
        <f t="shared" si="17"/>
        <v>333.33333333333331</v>
      </c>
      <c r="AQ30" s="506">
        <f t="shared" si="17"/>
        <v>333.33333333333331</v>
      </c>
      <c r="AR30" s="506">
        <f t="shared" si="17"/>
        <v>333.33333333333331</v>
      </c>
      <c r="AS30" s="506">
        <f t="shared" si="17"/>
        <v>333.33333333333331</v>
      </c>
    </row>
    <row r="31" spans="1:45">
      <c r="B31" s="360" t="str">
        <f t="shared" ref="B31:AS31" si="19">B25</f>
        <v>I кв. 1 г.</v>
      </c>
      <c r="C31" s="360" t="str">
        <f t="shared" si="19"/>
        <v>II кв. 1 г.</v>
      </c>
      <c r="D31" s="360" t="str">
        <f t="shared" si="19"/>
        <v>III кв. 1 г.</v>
      </c>
      <c r="E31" s="360" t="str">
        <f t="shared" si="19"/>
        <v>IV кв. 1 г.</v>
      </c>
      <c r="F31" s="360" t="str">
        <f t="shared" si="19"/>
        <v>I кв. 2 г.</v>
      </c>
      <c r="G31" s="360" t="str">
        <f t="shared" si="19"/>
        <v>II кв. 2 г.</v>
      </c>
      <c r="H31" s="360" t="str">
        <f t="shared" si="19"/>
        <v>III кв. 2 г.</v>
      </c>
      <c r="I31" s="360" t="str">
        <f t="shared" si="19"/>
        <v>IV кв. 2 г.</v>
      </c>
      <c r="J31" s="360" t="str">
        <f t="shared" si="19"/>
        <v>I кв. 3 г.</v>
      </c>
      <c r="K31" s="360" t="str">
        <f t="shared" si="19"/>
        <v>II кв. 3 г.</v>
      </c>
      <c r="L31" s="360" t="str">
        <f t="shared" si="19"/>
        <v>III кв. 3 г.</v>
      </c>
      <c r="M31" s="360" t="str">
        <f t="shared" si="19"/>
        <v>IV кв. 3 г.</v>
      </c>
      <c r="N31" s="360" t="str">
        <f t="shared" si="19"/>
        <v>I кв. 4 г.</v>
      </c>
      <c r="O31" s="360" t="str">
        <f t="shared" si="19"/>
        <v>II кв. 4 г.</v>
      </c>
      <c r="P31" s="360" t="str">
        <f t="shared" si="19"/>
        <v>III кв. 4 г.</v>
      </c>
      <c r="Q31" s="360" t="str">
        <f t="shared" si="19"/>
        <v>IV кв. 4 г.</v>
      </c>
      <c r="R31" s="296" t="str">
        <f t="shared" si="19"/>
        <v>I кв. 5 г.</v>
      </c>
      <c r="S31" s="360" t="str">
        <f t="shared" si="19"/>
        <v>II кв. 5 г.</v>
      </c>
      <c r="T31" s="360" t="str">
        <f t="shared" si="19"/>
        <v>III кв. 5 г.</v>
      </c>
      <c r="U31" s="360" t="str">
        <f t="shared" si="19"/>
        <v>IV кв. 5 г.</v>
      </c>
      <c r="V31" s="360" t="str">
        <f t="shared" si="19"/>
        <v>I кв. 6 г.</v>
      </c>
      <c r="W31" s="360" t="str">
        <f t="shared" si="19"/>
        <v>II кв. 6 г.</v>
      </c>
      <c r="X31" s="360" t="str">
        <f t="shared" si="19"/>
        <v>III кв. 6 г.</v>
      </c>
      <c r="Y31" s="360" t="str">
        <f t="shared" si="19"/>
        <v>IV кв. 6 г.</v>
      </c>
      <c r="Z31" s="360" t="str">
        <f t="shared" si="19"/>
        <v>I кв. 7 г.</v>
      </c>
      <c r="AA31" s="360" t="str">
        <f t="shared" si="19"/>
        <v>II кв. 7 г.</v>
      </c>
      <c r="AB31" s="360" t="str">
        <f t="shared" si="19"/>
        <v>III кв. 7 г.</v>
      </c>
      <c r="AC31" s="360" t="str">
        <f t="shared" si="19"/>
        <v>IV кв. 7 г.</v>
      </c>
      <c r="AD31" s="360" t="str">
        <f t="shared" si="19"/>
        <v>I кв. 8 г.</v>
      </c>
      <c r="AE31" s="360" t="str">
        <f t="shared" si="19"/>
        <v>II кв. 8 г.</v>
      </c>
      <c r="AF31" s="360" t="str">
        <f t="shared" si="19"/>
        <v>III кв. 8 г.</v>
      </c>
      <c r="AG31" s="360" t="str">
        <f t="shared" si="19"/>
        <v>IV кв. 8 г.</v>
      </c>
      <c r="AH31" s="360" t="str">
        <f t="shared" si="19"/>
        <v>I кв. 9 г.</v>
      </c>
      <c r="AI31" s="360" t="str">
        <f t="shared" si="19"/>
        <v>II кв. 9 г.</v>
      </c>
      <c r="AJ31" s="360" t="str">
        <f t="shared" si="19"/>
        <v>III кв. 9 г.</v>
      </c>
      <c r="AK31" s="360" t="str">
        <f t="shared" si="19"/>
        <v>IV кв. 9 г.</v>
      </c>
      <c r="AL31" s="360" t="str">
        <f t="shared" si="19"/>
        <v>I кв. 10 г.</v>
      </c>
      <c r="AM31" s="360" t="str">
        <f t="shared" si="19"/>
        <v>II кв. 10 г.</v>
      </c>
      <c r="AN31" s="360" t="str">
        <f t="shared" si="19"/>
        <v>III кв. 10 г.</v>
      </c>
      <c r="AO31" s="360" t="str">
        <f t="shared" si="19"/>
        <v>IV кв. 10 г.</v>
      </c>
      <c r="AP31" s="359" t="str">
        <f t="shared" si="19"/>
        <v>I кв. 11 г.</v>
      </c>
      <c r="AQ31" s="359" t="str">
        <f t="shared" si="19"/>
        <v>II кв. 11 г.</v>
      </c>
      <c r="AR31" s="359" t="str">
        <f t="shared" si="19"/>
        <v>III кв. 11 г.</v>
      </c>
      <c r="AS31" s="361" t="str">
        <f t="shared" si="19"/>
        <v>IV кв. 11 г.</v>
      </c>
    </row>
    <row r="32" spans="1:45">
      <c r="A32" s="29" t="s">
        <v>33</v>
      </c>
      <c r="B32" s="29"/>
      <c r="C32" s="29"/>
      <c r="D32" s="504"/>
      <c r="E32" s="29"/>
      <c r="F32" s="29"/>
      <c r="G32" s="29"/>
      <c r="H32" s="29"/>
      <c r="I32" s="29"/>
      <c r="J32" s="29"/>
      <c r="K32" s="29"/>
      <c r="L32" s="29"/>
      <c r="M32" s="29"/>
      <c r="N32" s="295">
        <f>R3</f>
        <v>274000</v>
      </c>
      <c r="O32" s="29"/>
      <c r="P32" s="29"/>
      <c r="Q32" s="29"/>
      <c r="R32" s="46"/>
      <c r="S32" s="29"/>
      <c r="T32" s="29"/>
      <c r="U32" s="29"/>
      <c r="V32" s="29"/>
      <c r="W32" s="29"/>
      <c r="X32" s="29"/>
      <c r="Y32" s="29"/>
      <c r="Z32" s="29"/>
      <c r="AA32" s="29"/>
      <c r="AB32" s="29"/>
      <c r="AC32" s="29"/>
      <c r="AD32" s="29"/>
      <c r="AE32" s="29"/>
      <c r="AF32" s="29"/>
      <c r="AG32" s="29"/>
      <c r="AH32" s="29"/>
      <c r="AI32" s="29"/>
      <c r="AJ32" s="29"/>
      <c r="AK32" s="29"/>
      <c r="AL32" s="29"/>
      <c r="AM32" s="29"/>
      <c r="AN32" s="29"/>
      <c r="AO32" s="29"/>
      <c r="AP32" s="44"/>
      <c r="AQ32" s="44"/>
      <c r="AR32" s="44"/>
      <c r="AS32" s="45"/>
    </row>
    <row r="33" spans="1:45" s="507" customFormat="1" ht="31.2">
      <c r="A33" s="505" t="s">
        <v>34</v>
      </c>
      <c r="B33" s="504"/>
      <c r="C33" s="504"/>
      <c r="D33" s="504"/>
      <c r="E33" s="504"/>
      <c r="F33" s="504"/>
      <c r="G33" s="504"/>
      <c r="H33" s="504"/>
      <c r="I33" s="504"/>
      <c r="J33" s="504"/>
      <c r="K33" s="506"/>
      <c r="L33" s="506"/>
      <c r="M33" s="506"/>
      <c r="N33" s="506">
        <f>N32</f>
        <v>274000</v>
      </c>
      <c r="O33" s="506">
        <f t="shared" ref="O33:AS33" si="20">N34</f>
        <v>274000</v>
      </c>
      <c r="P33" s="506">
        <f t="shared" si="20"/>
        <v>274000</v>
      </c>
      <c r="Q33" s="506">
        <f t="shared" si="20"/>
        <v>274000</v>
      </c>
      <c r="R33" s="506">
        <f t="shared" si="20"/>
        <v>274000</v>
      </c>
      <c r="S33" s="506">
        <f t="shared" si="20"/>
        <v>273666.66666666669</v>
      </c>
      <c r="T33" s="506">
        <f t="shared" si="20"/>
        <v>273333.33333333337</v>
      </c>
      <c r="U33" s="506">
        <f t="shared" si="20"/>
        <v>273000.00000000006</v>
      </c>
      <c r="V33" s="506">
        <f t="shared" si="20"/>
        <v>272666.66666666674</v>
      </c>
      <c r="W33" s="506">
        <f t="shared" si="20"/>
        <v>272333.33333333343</v>
      </c>
      <c r="X33" s="506">
        <f t="shared" si="20"/>
        <v>272000.00000000012</v>
      </c>
      <c r="Y33" s="506">
        <f t="shared" si="20"/>
        <v>271666.6666666668</v>
      </c>
      <c r="Z33" s="506">
        <f t="shared" si="20"/>
        <v>271333.33333333349</v>
      </c>
      <c r="AA33" s="506">
        <f t="shared" si="20"/>
        <v>271000.00000000017</v>
      </c>
      <c r="AB33" s="506">
        <f t="shared" si="20"/>
        <v>270666.66666666686</v>
      </c>
      <c r="AC33" s="506">
        <f t="shared" si="20"/>
        <v>270333.33333333355</v>
      </c>
      <c r="AD33" s="506">
        <f t="shared" si="20"/>
        <v>270000.00000000023</v>
      </c>
      <c r="AE33" s="506">
        <f t="shared" si="20"/>
        <v>269666.66666666692</v>
      </c>
      <c r="AF33" s="506">
        <f t="shared" si="20"/>
        <v>269333.3333333336</v>
      </c>
      <c r="AG33" s="506">
        <f t="shared" si="20"/>
        <v>269000.00000000029</v>
      </c>
      <c r="AH33" s="506">
        <f t="shared" si="20"/>
        <v>268666.66666666698</v>
      </c>
      <c r="AI33" s="506">
        <f t="shared" si="20"/>
        <v>268333.33333333366</v>
      </c>
      <c r="AJ33" s="506">
        <f t="shared" si="20"/>
        <v>268000.00000000035</v>
      </c>
      <c r="AK33" s="506">
        <f t="shared" si="20"/>
        <v>267666.66666666704</v>
      </c>
      <c r="AL33" s="506">
        <f t="shared" si="20"/>
        <v>267333.33333333372</v>
      </c>
      <c r="AM33" s="506">
        <f t="shared" si="20"/>
        <v>267000.00000000041</v>
      </c>
      <c r="AN33" s="506">
        <f t="shared" si="20"/>
        <v>266666.66666666709</v>
      </c>
      <c r="AO33" s="506">
        <f t="shared" si="20"/>
        <v>266333.33333333378</v>
      </c>
      <c r="AP33" s="506">
        <f t="shared" si="20"/>
        <v>266000.00000000047</v>
      </c>
      <c r="AQ33" s="506">
        <f t="shared" si="20"/>
        <v>265666.66666666715</v>
      </c>
      <c r="AR33" s="506">
        <f t="shared" si="20"/>
        <v>265333.33333333384</v>
      </c>
      <c r="AS33" s="506">
        <f t="shared" si="20"/>
        <v>265000.00000000052</v>
      </c>
    </row>
    <row r="34" spans="1:45" s="507" customFormat="1" ht="32.25" customHeight="1">
      <c r="A34" s="505" t="s">
        <v>35</v>
      </c>
      <c r="B34" s="504"/>
      <c r="C34" s="504"/>
      <c r="D34" s="504"/>
      <c r="E34" s="504"/>
      <c r="F34" s="504"/>
      <c r="G34" s="504"/>
      <c r="H34" s="504"/>
      <c r="I34" s="504"/>
      <c r="J34" s="504"/>
      <c r="K34" s="504"/>
      <c r="L34" s="504"/>
      <c r="M34" s="504"/>
      <c r="N34" s="504">
        <f t="shared" ref="N34:AS34" si="21">N33-N30</f>
        <v>274000</v>
      </c>
      <c r="O34" s="504">
        <f t="shared" si="21"/>
        <v>274000</v>
      </c>
      <c r="P34" s="504">
        <f t="shared" si="21"/>
        <v>274000</v>
      </c>
      <c r="Q34" s="504">
        <f t="shared" si="21"/>
        <v>274000</v>
      </c>
      <c r="R34" s="504">
        <f t="shared" si="21"/>
        <v>273666.66666666669</v>
      </c>
      <c r="S34" s="504">
        <f t="shared" si="21"/>
        <v>273333.33333333337</v>
      </c>
      <c r="T34" s="504">
        <f t="shared" si="21"/>
        <v>273000.00000000006</v>
      </c>
      <c r="U34" s="504">
        <f t="shared" si="21"/>
        <v>272666.66666666674</v>
      </c>
      <c r="V34" s="504">
        <f t="shared" si="21"/>
        <v>272333.33333333343</v>
      </c>
      <c r="W34" s="504">
        <f t="shared" si="21"/>
        <v>272000.00000000012</v>
      </c>
      <c r="X34" s="504">
        <f t="shared" si="21"/>
        <v>271666.6666666668</v>
      </c>
      <c r="Y34" s="504">
        <f t="shared" si="21"/>
        <v>271333.33333333349</v>
      </c>
      <c r="Z34" s="504">
        <f t="shared" si="21"/>
        <v>271000.00000000017</v>
      </c>
      <c r="AA34" s="504">
        <f t="shared" si="21"/>
        <v>270666.66666666686</v>
      </c>
      <c r="AB34" s="504">
        <f t="shared" si="21"/>
        <v>270333.33333333355</v>
      </c>
      <c r="AC34" s="504">
        <f t="shared" si="21"/>
        <v>270000.00000000023</v>
      </c>
      <c r="AD34" s="504">
        <f t="shared" si="21"/>
        <v>269666.66666666692</v>
      </c>
      <c r="AE34" s="504">
        <f t="shared" si="21"/>
        <v>269333.3333333336</v>
      </c>
      <c r="AF34" s="504">
        <f t="shared" si="21"/>
        <v>269000.00000000029</v>
      </c>
      <c r="AG34" s="504">
        <f t="shared" si="21"/>
        <v>268666.66666666698</v>
      </c>
      <c r="AH34" s="504">
        <f t="shared" si="21"/>
        <v>268333.33333333366</v>
      </c>
      <c r="AI34" s="504">
        <f t="shared" si="21"/>
        <v>268000.00000000035</v>
      </c>
      <c r="AJ34" s="504">
        <f t="shared" si="21"/>
        <v>267666.66666666704</v>
      </c>
      <c r="AK34" s="504">
        <f t="shared" si="21"/>
        <v>267333.33333333372</v>
      </c>
      <c r="AL34" s="504">
        <f t="shared" si="21"/>
        <v>267000.00000000041</v>
      </c>
      <c r="AM34" s="504">
        <f t="shared" si="21"/>
        <v>266666.66666666709</v>
      </c>
      <c r="AN34" s="504">
        <f t="shared" si="21"/>
        <v>266333.33333333378</v>
      </c>
      <c r="AO34" s="504">
        <f t="shared" si="21"/>
        <v>266000.00000000047</v>
      </c>
      <c r="AP34" s="504">
        <f t="shared" si="21"/>
        <v>265666.66666666715</v>
      </c>
      <c r="AQ34" s="504">
        <f t="shared" si="21"/>
        <v>265333.33333333384</v>
      </c>
      <c r="AR34" s="504">
        <f t="shared" si="21"/>
        <v>265000.00000000052</v>
      </c>
      <c r="AS34" s="504">
        <f t="shared" si="21"/>
        <v>264666.66666666721</v>
      </c>
    </row>
    <row r="35" spans="1:45" s="507" customFormat="1" ht="31.2">
      <c r="A35" s="505" t="s">
        <v>36</v>
      </c>
      <c r="B35" s="504"/>
      <c r="C35" s="504"/>
      <c r="D35" s="504"/>
      <c r="E35" s="578">
        <f>D34*0</f>
        <v>0</v>
      </c>
      <c r="F35" s="578">
        <f t="shared" ref="F35:X35" si="22">E34*0</f>
        <v>0</v>
      </c>
      <c r="G35" s="578">
        <f t="shared" si="22"/>
        <v>0</v>
      </c>
      <c r="H35" s="578">
        <f t="shared" si="22"/>
        <v>0</v>
      </c>
      <c r="I35" s="578">
        <f t="shared" si="22"/>
        <v>0</v>
      </c>
      <c r="J35" s="578">
        <f t="shared" si="22"/>
        <v>0</v>
      </c>
      <c r="K35" s="579">
        <f t="shared" si="22"/>
        <v>0</v>
      </c>
      <c r="L35" s="579">
        <f t="shared" si="22"/>
        <v>0</v>
      </c>
      <c r="M35" s="579">
        <f t="shared" si="22"/>
        <v>0</v>
      </c>
      <c r="N35" s="579">
        <f t="shared" si="22"/>
        <v>0</v>
      </c>
      <c r="O35" s="579">
        <f t="shared" si="22"/>
        <v>0</v>
      </c>
      <c r="P35" s="579">
        <f t="shared" si="22"/>
        <v>0</v>
      </c>
      <c r="Q35" s="579">
        <f t="shared" si="22"/>
        <v>0</v>
      </c>
      <c r="R35" s="579">
        <f t="shared" si="22"/>
        <v>0</v>
      </c>
      <c r="S35" s="579">
        <f t="shared" si="22"/>
        <v>0</v>
      </c>
      <c r="T35" s="579">
        <f t="shared" si="22"/>
        <v>0</v>
      </c>
      <c r="U35" s="579">
        <f t="shared" si="22"/>
        <v>0</v>
      </c>
      <c r="V35" s="579">
        <f t="shared" si="22"/>
        <v>0</v>
      </c>
      <c r="W35" s="579">
        <f t="shared" si="22"/>
        <v>0</v>
      </c>
      <c r="X35" s="579">
        <f t="shared" si="22"/>
        <v>0</v>
      </c>
      <c r="Y35" s="536">
        <f>Y36</f>
        <v>1494.1666666666674</v>
      </c>
      <c r="Z35" s="583">
        <f>Z36</f>
        <v>1492.3333333333342</v>
      </c>
      <c r="AA35" s="583">
        <f t="shared" ref="AA35:AS35" si="23">AA36</f>
        <v>1490.5000000000009</v>
      </c>
      <c r="AB35" s="583">
        <f t="shared" si="23"/>
        <v>1488.6666666666677</v>
      </c>
      <c r="AC35" s="583">
        <f t="shared" si="23"/>
        <v>1486.8333333333344</v>
      </c>
      <c r="AD35" s="583">
        <f t="shared" si="23"/>
        <v>1485.0000000000011</v>
      </c>
      <c r="AE35" s="583">
        <f t="shared" si="23"/>
        <v>1483.1666666666679</v>
      </c>
      <c r="AF35" s="583">
        <f t="shared" si="23"/>
        <v>1481.3333333333348</v>
      </c>
      <c r="AG35" s="583">
        <f t="shared" si="23"/>
        <v>1479.5000000000016</v>
      </c>
      <c r="AH35" s="583">
        <f t="shared" si="23"/>
        <v>1477.6666666666683</v>
      </c>
      <c r="AI35" s="583">
        <f t="shared" si="23"/>
        <v>1475.8333333333351</v>
      </c>
      <c r="AJ35" s="583">
        <f t="shared" si="23"/>
        <v>1474.0000000000018</v>
      </c>
      <c r="AK35" s="583">
        <f t="shared" si="23"/>
        <v>1472.1666666666686</v>
      </c>
      <c r="AL35" s="583">
        <f t="shared" si="23"/>
        <v>1470.3333333333353</v>
      </c>
      <c r="AM35" s="583">
        <f t="shared" si="23"/>
        <v>1468.500000000002</v>
      </c>
      <c r="AN35" s="583">
        <f t="shared" si="23"/>
        <v>1466.666666666669</v>
      </c>
      <c r="AO35" s="583">
        <f t="shared" si="23"/>
        <v>1464.8333333333358</v>
      </c>
      <c r="AP35" s="583">
        <f t="shared" si="23"/>
        <v>1463.0000000000025</v>
      </c>
      <c r="AQ35" s="583">
        <f t="shared" si="23"/>
        <v>1461.1666666666692</v>
      </c>
      <c r="AR35" s="583">
        <f t="shared" si="23"/>
        <v>1459.333333333336</v>
      </c>
      <c r="AS35" s="583">
        <f t="shared" si="23"/>
        <v>1457.5000000000027</v>
      </c>
    </row>
    <row r="36" spans="1:45" s="582" customFormat="1" ht="31.2">
      <c r="A36" s="580" t="s">
        <v>37</v>
      </c>
      <c r="B36" s="581"/>
      <c r="C36" s="581"/>
      <c r="D36" s="581"/>
      <c r="E36" s="581">
        <f>D34*допущения!$C$20/4</f>
        <v>0</v>
      </c>
      <c r="F36" s="581">
        <f>E34*допущения!$C$20/4</f>
        <v>0</v>
      </c>
      <c r="G36" s="581">
        <f>F34*допущения!$C$20/4</f>
        <v>0</v>
      </c>
      <c r="H36" s="581">
        <f>G34*допущения!$C$20/4</f>
        <v>0</v>
      </c>
      <c r="I36" s="581">
        <f>H34*допущения!$C$20/4</f>
        <v>0</v>
      </c>
      <c r="J36" s="581">
        <f>I34*допущения!$C$20/4</f>
        <v>0</v>
      </c>
      <c r="K36" s="581">
        <f>J34*допущения!$C$20/4</f>
        <v>0</v>
      </c>
      <c r="L36" s="581">
        <f>K34*допущения!$C$20/4</f>
        <v>0</v>
      </c>
      <c r="M36" s="581">
        <f>L34*допущения!$C$20/4</f>
        <v>0</v>
      </c>
      <c r="N36" s="581">
        <f>M34*допущения!$C$20/4</f>
        <v>0</v>
      </c>
      <c r="O36" s="581">
        <f>N34*допущения!$C$20/4</f>
        <v>1507</v>
      </c>
      <c r="P36" s="581">
        <f>O34*допущения!$C$20/4</f>
        <v>1507</v>
      </c>
      <c r="Q36" s="581">
        <f>P34*допущения!$C$20/4</f>
        <v>1507</v>
      </c>
      <c r="R36" s="581">
        <f>Q34*допущения!$C$20/4</f>
        <v>1507</v>
      </c>
      <c r="S36" s="581">
        <f>R34*допущения!$C$20/4</f>
        <v>1505.1666666666667</v>
      </c>
      <c r="T36" s="581">
        <f>S34*допущения!$C$20/4</f>
        <v>1503.3333333333335</v>
      </c>
      <c r="U36" s="581">
        <f>T34*допущения!$C$20/4</f>
        <v>1501.5000000000002</v>
      </c>
      <c r="V36" s="581">
        <f>U34*допущения!$C$20/4</f>
        <v>1499.666666666667</v>
      </c>
      <c r="W36" s="581">
        <f>V34*допущения!$C$20/4</f>
        <v>1497.8333333333337</v>
      </c>
      <c r="X36" s="581">
        <f>W34*допущения!$C$20/4</f>
        <v>1496.0000000000005</v>
      </c>
      <c r="Y36" s="581">
        <f>X34*допущения!$C$20/4</f>
        <v>1494.1666666666674</v>
      </c>
      <c r="Z36" s="581">
        <f>Y34*допущения!$C$20/4</f>
        <v>1492.3333333333342</v>
      </c>
      <c r="AA36" s="581">
        <f>Z34*допущения!$C$20/4</f>
        <v>1490.5000000000009</v>
      </c>
      <c r="AB36" s="581">
        <f>AA34*допущения!$C$20/4</f>
        <v>1488.6666666666677</v>
      </c>
      <c r="AC36" s="581">
        <f>AB34*допущения!$C$20/4</f>
        <v>1486.8333333333344</v>
      </c>
      <c r="AD36" s="581">
        <f>AC34*допущения!$C$20/4</f>
        <v>1485.0000000000011</v>
      </c>
      <c r="AE36" s="581">
        <f>AD34*допущения!$C$20/4</f>
        <v>1483.1666666666679</v>
      </c>
      <c r="AF36" s="581">
        <f>AE34*допущения!$C$20/4</f>
        <v>1481.3333333333348</v>
      </c>
      <c r="AG36" s="581">
        <f>AF34*допущения!$C$20/4</f>
        <v>1479.5000000000016</v>
      </c>
      <c r="AH36" s="581">
        <f>AG34*допущения!$C$20/4</f>
        <v>1477.6666666666683</v>
      </c>
      <c r="AI36" s="581">
        <f>AH34*допущения!$C$20/4</f>
        <v>1475.8333333333351</v>
      </c>
      <c r="AJ36" s="581">
        <f>AI34*допущения!$C$20/4</f>
        <v>1474.0000000000018</v>
      </c>
      <c r="AK36" s="581">
        <f>AJ34*допущения!$C$20/4</f>
        <v>1472.1666666666686</v>
      </c>
      <c r="AL36" s="581">
        <f>AK34*допущения!$C$20/4</f>
        <v>1470.3333333333353</v>
      </c>
      <c r="AM36" s="581">
        <f>AL34*допущения!$C$20/4</f>
        <v>1468.500000000002</v>
      </c>
      <c r="AN36" s="581">
        <f>AM34*допущения!$C$20/4</f>
        <v>1466.666666666669</v>
      </c>
      <c r="AO36" s="581">
        <f>AN34*допущения!$C$20/4</f>
        <v>1464.8333333333358</v>
      </c>
      <c r="AP36" s="581">
        <f>AO34*допущения!$C$20/4</f>
        <v>1463.0000000000025</v>
      </c>
      <c r="AQ36" s="581">
        <f>AP34*допущения!$C$20/4</f>
        <v>1461.1666666666692</v>
      </c>
      <c r="AR36" s="581">
        <f>AQ34*допущения!$C$20/4</f>
        <v>1459.333333333336</v>
      </c>
      <c r="AS36" s="581">
        <f>AR34*допущения!$C$20/4</f>
        <v>1457.5000000000027</v>
      </c>
    </row>
    <row r="37" spans="1:45">
      <c r="A37" s="12"/>
      <c r="B37" s="12"/>
      <c r="C37" s="12"/>
      <c r="D37" s="12"/>
      <c r="E37" s="12"/>
      <c r="Z37" s="12"/>
    </row>
    <row r="38" spans="1:45" ht="46.5" customHeight="1">
      <c r="A38" s="354"/>
      <c r="B38" s="362" t="str">
        <f>W1</f>
        <v>1 год</v>
      </c>
      <c r="C38" s="362" t="str">
        <f>X1</f>
        <v>2 год</v>
      </c>
      <c r="D38" s="362" t="str">
        <f>Y1</f>
        <v>3 год</v>
      </c>
      <c r="E38" s="362" t="str">
        <f>Z1</f>
        <v>4 год</v>
      </c>
      <c r="F38" s="362" t="str">
        <f>'выручка по кв и годам'!H15</f>
        <v>5 год</v>
      </c>
      <c r="G38" s="362" t="str">
        <f>'выручка по кв и годам'!I15</f>
        <v>6 год</v>
      </c>
      <c r="H38" s="362" t="str">
        <f>'выручка по кв и годам'!J15</f>
        <v>7 год</v>
      </c>
      <c r="I38" s="362" t="str">
        <f>'выручка по кв и годам'!K15</f>
        <v>8 год</v>
      </c>
      <c r="J38" s="362" t="str">
        <f>'выручка по кв и годам'!L15</f>
        <v>9 год</v>
      </c>
      <c r="K38" s="362" t="str">
        <f>'выручка по кв и годам'!M15</f>
        <v>10 год</v>
      </c>
      <c r="L38" s="362" t="str">
        <f>'выручка по кв и годам'!N15</f>
        <v>11 год</v>
      </c>
      <c r="W38" s="14"/>
      <c r="Z38" s="12"/>
    </row>
    <row r="39" spans="1:45" ht="31.2">
      <c r="A39" s="15" t="str">
        <f t="shared" ref="A39:A40" si="24">A35</f>
        <v>Налог на имущество ТОР</v>
      </c>
      <c r="B39" s="506">
        <f>SUM(B35:E35)</f>
        <v>0</v>
      </c>
      <c r="C39" s="506">
        <f>SUM(F35:I35)</f>
        <v>0</v>
      </c>
      <c r="D39" s="506">
        <f t="shared" ref="D39:D40" si="25">SUM(J35:M35)</f>
        <v>0</v>
      </c>
      <c r="E39" s="506">
        <f t="shared" ref="E39:E40" si="26">SUM(N35:Q35)</f>
        <v>0</v>
      </c>
      <c r="F39" s="506">
        <f t="shared" ref="F39:F40" si="27">SUM(R35:U35)</f>
        <v>0</v>
      </c>
      <c r="G39" s="506">
        <f t="shared" ref="G39:G40" si="28">SUM(V35:Y35)</f>
        <v>1494.1666666666674</v>
      </c>
      <c r="H39" s="506">
        <f t="shared" ref="H39:H40" si="29">SUM(Z35:AC35)</f>
        <v>5958.3333333333376</v>
      </c>
      <c r="I39" s="506">
        <f t="shared" ref="I39:I40" si="30">SUM(AD35:AG35)</f>
        <v>5929.0000000000055</v>
      </c>
      <c r="J39" s="506">
        <f t="shared" ref="J39:J40" si="31">SUM(AH35:AK35)</f>
        <v>5899.6666666666742</v>
      </c>
      <c r="K39" s="506">
        <f t="shared" ref="K39:K40" si="32">SUM(AL35:AO35)</f>
        <v>5870.3333333333421</v>
      </c>
      <c r="L39" s="506">
        <f t="shared" ref="L39:L40" si="33">SUM(AP35:AS35)</f>
        <v>5841.00000000001</v>
      </c>
      <c r="V39" s="14"/>
      <c r="Z39" s="12"/>
    </row>
    <row r="40" spans="1:45" ht="31.2">
      <c r="A40" s="15" t="str">
        <f t="shared" si="24"/>
        <v>Налог на имущество без ТОР</v>
      </c>
      <c r="B40" s="20">
        <f>SUM(B36:E36)</f>
        <v>0</v>
      </c>
      <c r="C40" s="20">
        <f t="shared" ref="C40" si="34">SUM(F36:I36)</f>
        <v>0</v>
      </c>
      <c r="D40" s="20">
        <f t="shared" si="25"/>
        <v>0</v>
      </c>
      <c r="E40" s="20">
        <f t="shared" si="26"/>
        <v>4521</v>
      </c>
      <c r="F40" s="20">
        <f t="shared" si="27"/>
        <v>6017</v>
      </c>
      <c r="G40" s="20">
        <f t="shared" si="28"/>
        <v>5987.6666666666697</v>
      </c>
      <c r="H40" s="20">
        <f t="shared" si="29"/>
        <v>5958.3333333333376</v>
      </c>
      <c r="I40" s="20">
        <f t="shared" si="30"/>
        <v>5929.0000000000055</v>
      </c>
      <c r="J40" s="20">
        <f t="shared" si="31"/>
        <v>5899.6666666666742</v>
      </c>
      <c r="K40" s="20">
        <f t="shared" si="32"/>
        <v>5870.3333333333421</v>
      </c>
      <c r="L40" s="20">
        <f t="shared" si="33"/>
        <v>5841.00000000001</v>
      </c>
      <c r="V40" s="14"/>
      <c r="Z40" s="12"/>
    </row>
    <row r="41" spans="1:45">
      <c r="B41" s="12"/>
      <c r="C41" s="12"/>
      <c r="D41" s="12"/>
      <c r="E41" s="12"/>
      <c r="V41" s="14"/>
      <c r="Z41" s="12"/>
    </row>
    <row r="42" spans="1:45">
      <c r="B42" s="12"/>
      <c r="C42" s="12"/>
      <c r="D42" s="12"/>
      <c r="E42" s="12"/>
    </row>
    <row r="43" spans="1:45">
      <c r="B43" s="12"/>
      <c r="C43" s="12"/>
      <c r="D43" s="12"/>
      <c r="E43" s="12"/>
    </row>
    <row r="44" spans="1:45">
      <c r="A44" s="12"/>
      <c r="B44" s="12"/>
      <c r="C44" s="12"/>
      <c r="D44" s="12"/>
      <c r="E44" s="12"/>
    </row>
    <row r="45" spans="1:45">
      <c r="A45" s="12"/>
      <c r="B45" s="12"/>
      <c r="C45" s="12"/>
      <c r="D45" s="12"/>
      <c r="E45" s="12"/>
    </row>
    <row r="46" spans="1:45">
      <c r="A46" s="358"/>
      <c r="B46" s="363" t="str">
        <f>B38</f>
        <v>1 год</v>
      </c>
      <c r="C46" s="363" t="str">
        <f t="shared" ref="C46:L46" si="35">C38</f>
        <v>2 год</v>
      </c>
      <c r="D46" s="363" t="str">
        <f t="shared" si="35"/>
        <v>3 год</v>
      </c>
      <c r="E46" s="363" t="str">
        <f t="shared" si="35"/>
        <v>4 год</v>
      </c>
      <c r="F46" s="363" t="str">
        <f t="shared" si="35"/>
        <v>5 год</v>
      </c>
      <c r="G46" s="363" t="str">
        <f t="shared" si="35"/>
        <v>6 год</v>
      </c>
      <c r="H46" s="363" t="str">
        <f t="shared" si="35"/>
        <v>7 год</v>
      </c>
      <c r="I46" s="363" t="str">
        <f t="shared" si="35"/>
        <v>8 год</v>
      </c>
      <c r="J46" s="363" t="str">
        <f t="shared" si="35"/>
        <v>9 год</v>
      </c>
      <c r="K46" s="363" t="str">
        <f t="shared" si="35"/>
        <v>10 год</v>
      </c>
      <c r="L46" s="363" t="str">
        <f t="shared" si="35"/>
        <v>11 год</v>
      </c>
      <c r="V46" s="14"/>
      <c r="Z46" s="12"/>
    </row>
    <row r="47" spans="1:45">
      <c r="A47" s="15" t="s">
        <v>38</v>
      </c>
      <c r="B47" s="30">
        <f>0*$F$42</f>
        <v>0</v>
      </c>
      <c r="C47" s="30">
        <f>0*$F$42</f>
        <v>0</v>
      </c>
      <c r="D47" s="30">
        <f>0*$F$42</f>
        <v>0</v>
      </c>
      <c r="E47" s="30">
        <f>0*$F$42</f>
        <v>0</v>
      </c>
      <c r="F47" s="30">
        <f>0*$F$42</f>
        <v>0</v>
      </c>
      <c r="G47" s="30">
        <f>SUM(V49:Y49)</f>
        <v>0</v>
      </c>
      <c r="H47" s="30">
        <f>G47</f>
        <v>0</v>
      </c>
      <c r="I47" s="30">
        <f>H47</f>
        <v>0</v>
      </c>
      <c r="J47" s="30">
        <f>I47</f>
        <v>0</v>
      </c>
      <c r="K47" s="30">
        <f>J47</f>
        <v>0</v>
      </c>
      <c r="L47" s="30">
        <f>K47</f>
        <v>0</v>
      </c>
      <c r="V47" s="14"/>
      <c r="Z47" s="12"/>
    </row>
    <row r="48" spans="1:45">
      <c r="A48" s="354"/>
      <c r="B48" s="296" t="str">
        <f t="shared" ref="B48:AO48" si="36">B25</f>
        <v>I кв. 1 г.</v>
      </c>
      <c r="C48" s="296" t="str">
        <f t="shared" si="36"/>
        <v>II кв. 1 г.</v>
      </c>
      <c r="D48" s="296" t="str">
        <f t="shared" si="36"/>
        <v>III кв. 1 г.</v>
      </c>
      <c r="E48" s="296" t="str">
        <f t="shared" si="36"/>
        <v>IV кв. 1 г.</v>
      </c>
      <c r="F48" s="296" t="str">
        <f t="shared" si="36"/>
        <v>I кв. 2 г.</v>
      </c>
      <c r="G48" s="296" t="str">
        <f t="shared" si="36"/>
        <v>II кв. 2 г.</v>
      </c>
      <c r="H48" s="296" t="str">
        <f t="shared" si="36"/>
        <v>III кв. 2 г.</v>
      </c>
      <c r="I48" s="296" t="str">
        <f t="shared" si="36"/>
        <v>IV кв. 2 г.</v>
      </c>
      <c r="J48" s="296" t="str">
        <f t="shared" si="36"/>
        <v>I кв. 3 г.</v>
      </c>
      <c r="K48" s="296" t="str">
        <f t="shared" si="36"/>
        <v>II кв. 3 г.</v>
      </c>
      <c r="L48" s="296" t="str">
        <f t="shared" si="36"/>
        <v>III кв. 3 г.</v>
      </c>
      <c r="M48" s="296" t="str">
        <f t="shared" si="36"/>
        <v>IV кв. 3 г.</v>
      </c>
      <c r="N48" s="296" t="str">
        <f t="shared" si="36"/>
        <v>I кв. 4 г.</v>
      </c>
      <c r="O48" s="296" t="str">
        <f t="shared" si="36"/>
        <v>II кв. 4 г.</v>
      </c>
      <c r="P48" s="296" t="str">
        <f t="shared" si="36"/>
        <v>III кв. 4 г.</v>
      </c>
      <c r="Q48" s="296" t="str">
        <f t="shared" si="36"/>
        <v>IV кв. 4 г.</v>
      </c>
      <c r="R48" s="296" t="str">
        <f t="shared" si="36"/>
        <v>I кв. 5 г.</v>
      </c>
      <c r="S48" s="296" t="str">
        <f t="shared" si="36"/>
        <v>II кв. 5 г.</v>
      </c>
      <c r="T48" s="296" t="str">
        <f t="shared" si="36"/>
        <v>III кв. 5 г.</v>
      </c>
      <c r="U48" s="296" t="str">
        <f t="shared" si="36"/>
        <v>IV кв. 5 г.</v>
      </c>
      <c r="V48" s="296" t="str">
        <f t="shared" si="36"/>
        <v>I кв. 6 г.</v>
      </c>
      <c r="W48" s="296" t="str">
        <f t="shared" si="36"/>
        <v>II кв. 6 г.</v>
      </c>
      <c r="X48" s="296" t="str">
        <f t="shared" si="36"/>
        <v>III кв. 6 г.</v>
      </c>
      <c r="Y48" s="296" t="str">
        <f t="shared" si="36"/>
        <v>IV кв. 6 г.</v>
      </c>
      <c r="Z48" s="296" t="str">
        <f t="shared" si="36"/>
        <v>I кв. 7 г.</v>
      </c>
      <c r="AA48" s="296" t="str">
        <f t="shared" si="36"/>
        <v>II кв. 7 г.</v>
      </c>
      <c r="AB48" s="296" t="str">
        <f t="shared" si="36"/>
        <v>III кв. 7 г.</v>
      </c>
      <c r="AC48" s="296" t="str">
        <f t="shared" si="36"/>
        <v>IV кв. 7 г.</v>
      </c>
      <c r="AD48" s="296" t="str">
        <f t="shared" si="36"/>
        <v>I кв. 8 г.</v>
      </c>
      <c r="AE48" s="296" t="str">
        <f t="shared" si="36"/>
        <v>II кв. 8 г.</v>
      </c>
      <c r="AF48" s="296" t="str">
        <f t="shared" si="36"/>
        <v>III кв. 8 г.</v>
      </c>
      <c r="AG48" s="296" t="str">
        <f t="shared" si="36"/>
        <v>IV кв. 8 г.</v>
      </c>
      <c r="AH48" s="296" t="str">
        <f t="shared" si="36"/>
        <v>I кв. 9 г.</v>
      </c>
      <c r="AI48" s="296" t="str">
        <f t="shared" si="36"/>
        <v>II кв. 9 г.</v>
      </c>
      <c r="AJ48" s="296" t="str">
        <f t="shared" si="36"/>
        <v>III кв. 9 г.</v>
      </c>
      <c r="AK48" s="296" t="str">
        <f t="shared" si="36"/>
        <v>IV кв. 9 г.</v>
      </c>
      <c r="AL48" s="296" t="str">
        <f t="shared" si="36"/>
        <v>I кв. 10 г.</v>
      </c>
      <c r="AM48" s="296" t="str">
        <f t="shared" si="36"/>
        <v>II кв. 10 г.</v>
      </c>
      <c r="AN48" s="296" t="str">
        <f t="shared" si="36"/>
        <v>III кв. 10 г.</v>
      </c>
      <c r="AO48" s="364" t="str">
        <f t="shared" si="36"/>
        <v>IV кв. 10 г.</v>
      </c>
      <c r="AP48" s="364" t="str">
        <f t="shared" ref="AP48:AS48" si="37">AP25</f>
        <v>I кв. 11 г.</v>
      </c>
      <c r="AQ48" s="364" t="str">
        <f t="shared" si="37"/>
        <v>II кв. 11 г.</v>
      </c>
      <c r="AR48" s="364" t="str">
        <f t="shared" si="37"/>
        <v>III кв. 11 г.</v>
      </c>
      <c r="AS48" s="296" t="str">
        <f t="shared" si="37"/>
        <v>IV кв. 11 г.</v>
      </c>
    </row>
    <row r="49" spans="1:45">
      <c r="A49" s="15" t="str">
        <f>A47</f>
        <v>Земельный налог ТОР</v>
      </c>
      <c r="B49" s="294">
        <f>допущения!$F$26*0</f>
        <v>0</v>
      </c>
      <c r="C49" s="294">
        <f>допущения!$F$26*0</f>
        <v>0</v>
      </c>
      <c r="D49" s="294">
        <f>допущения!$F$26*0</f>
        <v>0</v>
      </c>
      <c r="E49" s="294">
        <f>допущения!$F$26*0</f>
        <v>0</v>
      </c>
      <c r="F49" s="294">
        <f>допущения!$F$26*0</f>
        <v>0</v>
      </c>
      <c r="G49" s="294">
        <f>допущения!$F$26*0</f>
        <v>0</v>
      </c>
      <c r="H49" s="294">
        <f>допущения!$F$26*0</f>
        <v>0</v>
      </c>
      <c r="I49" s="294">
        <f>допущения!$F$26*0</f>
        <v>0</v>
      </c>
      <c r="J49" s="294">
        <f>допущения!$F$26*0</f>
        <v>0</v>
      </c>
      <c r="K49" s="294">
        <f>допущения!$F$26*0</f>
        <v>0</v>
      </c>
      <c r="L49" s="294">
        <f>допущения!$F$26*0</f>
        <v>0</v>
      </c>
      <c r="M49" s="294">
        <f>допущения!$F$26*0</f>
        <v>0</v>
      </c>
      <c r="N49" s="294">
        <f>допущения!$F$26*0</f>
        <v>0</v>
      </c>
      <c r="O49" s="294">
        <f>допущения!$F$26*0</f>
        <v>0</v>
      </c>
      <c r="P49" s="294">
        <f>допущения!$F$26*0</f>
        <v>0</v>
      </c>
      <c r="Q49" s="294">
        <f>допущения!$F$26*0</f>
        <v>0</v>
      </c>
      <c r="R49" s="294">
        <f>допущения!$F$26*0</f>
        <v>0</v>
      </c>
      <c r="S49" s="294">
        <f>допущения!$F$26*0</f>
        <v>0</v>
      </c>
      <c r="T49" s="294">
        <f>допущения!$F$26*0</f>
        <v>0</v>
      </c>
      <c r="U49" s="294">
        <f>допущения!$F$26*0</f>
        <v>0</v>
      </c>
      <c r="V49" s="47">
        <f>допущения!$C$20/4*допущения!C31</f>
        <v>0</v>
      </c>
      <c r="W49" s="48">
        <f>допущения!$F$26*0.015/4</f>
        <v>0</v>
      </c>
      <c r="X49" s="48">
        <f>допущения!$F$26*0.015/4</f>
        <v>0</v>
      </c>
      <c r="Y49" s="48">
        <f>допущения!$F$26*0.015/4</f>
        <v>0</v>
      </c>
      <c r="Z49" s="48">
        <f>допущения!$F$26*0.015/4</f>
        <v>0</v>
      </c>
      <c r="AA49" s="48">
        <f>допущения!$F$26*0.015/4</f>
        <v>0</v>
      </c>
      <c r="AB49" s="48">
        <f>допущения!$F$26*0.015/4</f>
        <v>0</v>
      </c>
      <c r="AC49" s="48">
        <f>допущения!$F$26*0.015/4</f>
        <v>0</v>
      </c>
      <c r="AD49" s="48">
        <f>допущения!$F$26*0.015/4</f>
        <v>0</v>
      </c>
      <c r="AE49" s="48">
        <f>допущения!$F$26*0.015/4</f>
        <v>0</v>
      </c>
      <c r="AF49" s="48">
        <f>допущения!$F$26*0.015/4</f>
        <v>0</v>
      </c>
      <c r="AG49" s="48">
        <f>допущения!$F$26*0.015/4</f>
        <v>0</v>
      </c>
      <c r="AH49" s="48">
        <f>допущения!$F$26*0.015/4</f>
        <v>0</v>
      </c>
      <c r="AI49" s="48">
        <f>допущения!$F$26*0.015/4</f>
        <v>0</v>
      </c>
      <c r="AJ49" s="48">
        <f>допущения!$F$26*0.015/4</f>
        <v>0</v>
      </c>
      <c r="AK49" s="48">
        <f>допущения!$F$26*0.015/4</f>
        <v>0</v>
      </c>
      <c r="AL49" s="48">
        <f>допущения!$F$26*0.015/4</f>
        <v>0</v>
      </c>
      <c r="AM49" s="48">
        <f>допущения!$F$26*0.015/4</f>
        <v>0</v>
      </c>
      <c r="AN49" s="48">
        <f>допущения!$F$26*0.015/4</f>
        <v>0</v>
      </c>
      <c r="AO49" s="48">
        <f>допущения!$F$26*0.015/4</f>
        <v>0</v>
      </c>
      <c r="AP49" s="48">
        <f>допущения!$F$26*0.015/4</f>
        <v>0</v>
      </c>
      <c r="AQ49" s="48">
        <f>допущения!$F$26*0.015/4</f>
        <v>0</v>
      </c>
      <c r="AR49" s="49">
        <f>допущения!$F$26*0.015/4</f>
        <v>0</v>
      </c>
      <c r="AS49" s="48">
        <f>допущения!$F$26*0.015/4</f>
        <v>0</v>
      </c>
    </row>
    <row r="50" spans="1:45">
      <c r="A50" s="360"/>
      <c r="B50" s="365" t="str">
        <f t="shared" ref="B50:AQ50" si="38">B48</f>
        <v>I кв. 1 г.</v>
      </c>
      <c r="C50" s="365" t="str">
        <f t="shared" si="38"/>
        <v>II кв. 1 г.</v>
      </c>
      <c r="D50" s="365" t="str">
        <f t="shared" si="38"/>
        <v>III кв. 1 г.</v>
      </c>
      <c r="E50" s="365" t="str">
        <f t="shared" si="38"/>
        <v>IV кв. 1 г.</v>
      </c>
      <c r="F50" s="365" t="str">
        <f t="shared" si="38"/>
        <v>I кв. 2 г.</v>
      </c>
      <c r="G50" s="365" t="str">
        <f t="shared" si="38"/>
        <v>II кв. 2 г.</v>
      </c>
      <c r="H50" s="365" t="str">
        <f t="shared" si="38"/>
        <v>III кв. 2 г.</v>
      </c>
      <c r="I50" s="365" t="str">
        <f t="shared" si="38"/>
        <v>IV кв. 2 г.</v>
      </c>
      <c r="J50" s="365" t="str">
        <f t="shared" si="38"/>
        <v>I кв. 3 г.</v>
      </c>
      <c r="K50" s="365" t="str">
        <f t="shared" si="38"/>
        <v>II кв. 3 г.</v>
      </c>
      <c r="L50" s="365" t="str">
        <f t="shared" si="38"/>
        <v>III кв. 3 г.</v>
      </c>
      <c r="M50" s="365" t="str">
        <f t="shared" si="38"/>
        <v>IV кв. 3 г.</v>
      </c>
      <c r="N50" s="365" t="str">
        <f t="shared" si="38"/>
        <v>I кв. 4 г.</v>
      </c>
      <c r="O50" s="365" t="str">
        <f t="shared" si="38"/>
        <v>II кв. 4 г.</v>
      </c>
      <c r="P50" s="365" t="str">
        <f t="shared" si="38"/>
        <v>III кв. 4 г.</v>
      </c>
      <c r="Q50" s="365" t="str">
        <f t="shared" si="38"/>
        <v>IV кв. 4 г.</v>
      </c>
      <c r="R50" s="365" t="str">
        <f t="shared" si="38"/>
        <v>I кв. 5 г.</v>
      </c>
      <c r="S50" s="365" t="str">
        <f t="shared" si="38"/>
        <v>II кв. 5 г.</v>
      </c>
      <c r="T50" s="365" t="str">
        <f t="shared" si="38"/>
        <v>III кв. 5 г.</v>
      </c>
      <c r="U50" s="365" t="str">
        <f t="shared" si="38"/>
        <v>IV кв. 5 г.</v>
      </c>
      <c r="V50" s="365" t="str">
        <f t="shared" si="38"/>
        <v>I кв. 6 г.</v>
      </c>
      <c r="W50" s="365" t="str">
        <f t="shared" si="38"/>
        <v>II кв. 6 г.</v>
      </c>
      <c r="X50" s="365" t="str">
        <f t="shared" si="38"/>
        <v>III кв. 6 г.</v>
      </c>
      <c r="Y50" s="365" t="str">
        <f t="shared" si="38"/>
        <v>IV кв. 6 г.</v>
      </c>
      <c r="Z50" s="365" t="str">
        <f t="shared" si="38"/>
        <v>I кв. 7 г.</v>
      </c>
      <c r="AA50" s="365" t="str">
        <f t="shared" si="38"/>
        <v>II кв. 7 г.</v>
      </c>
      <c r="AB50" s="365" t="str">
        <f t="shared" si="38"/>
        <v>III кв. 7 г.</v>
      </c>
      <c r="AC50" s="365" t="str">
        <f t="shared" si="38"/>
        <v>IV кв. 7 г.</v>
      </c>
      <c r="AD50" s="365" t="str">
        <f t="shared" si="38"/>
        <v>I кв. 8 г.</v>
      </c>
      <c r="AE50" s="365" t="str">
        <f t="shared" si="38"/>
        <v>II кв. 8 г.</v>
      </c>
      <c r="AF50" s="365" t="str">
        <f t="shared" si="38"/>
        <v>III кв. 8 г.</v>
      </c>
      <c r="AG50" s="365" t="str">
        <f t="shared" si="38"/>
        <v>IV кв. 8 г.</v>
      </c>
      <c r="AH50" s="365" t="str">
        <f t="shared" si="38"/>
        <v>I кв. 9 г.</v>
      </c>
      <c r="AI50" s="365" t="str">
        <f t="shared" si="38"/>
        <v>II кв. 9 г.</v>
      </c>
      <c r="AJ50" s="365" t="str">
        <f t="shared" si="38"/>
        <v>III кв. 9 г.</v>
      </c>
      <c r="AK50" s="365" t="str">
        <f t="shared" si="38"/>
        <v>IV кв. 9 г.</v>
      </c>
      <c r="AL50" s="365" t="str">
        <f t="shared" si="38"/>
        <v>I кв. 10 г.</v>
      </c>
      <c r="AM50" s="365" t="str">
        <f t="shared" si="38"/>
        <v>II кв. 10 г.</v>
      </c>
      <c r="AN50" s="365" t="str">
        <f t="shared" si="38"/>
        <v>III кв. 10 г.</v>
      </c>
      <c r="AO50" s="365" t="str">
        <f t="shared" si="38"/>
        <v>IV кв. 10 г.</v>
      </c>
      <c r="AP50" s="365" t="str">
        <f t="shared" si="38"/>
        <v>I кв. 11 г.</v>
      </c>
      <c r="AQ50" s="365" t="str">
        <f t="shared" si="38"/>
        <v>II кв. 11 г.</v>
      </c>
      <c r="AR50" s="365" t="str">
        <f t="shared" ref="AR50:AS50" si="39">AR48</f>
        <v>III кв. 11 г.</v>
      </c>
      <c r="AS50" s="296" t="str">
        <f t="shared" si="39"/>
        <v>IV кв. 11 г.</v>
      </c>
    </row>
    <row r="51" spans="1:45" ht="31.2">
      <c r="A51" s="15" t="s">
        <v>39</v>
      </c>
      <c r="B51" s="50">
        <f>допущения!$F$26*0.015/4</f>
        <v>0</v>
      </c>
      <c r="C51" s="50">
        <f>B51</f>
        <v>0</v>
      </c>
      <c r="D51" s="50">
        <f t="shared" ref="D51:E51" si="40">C51</f>
        <v>0</v>
      </c>
      <c r="E51" s="50">
        <f t="shared" si="40"/>
        <v>0</v>
      </c>
      <c r="F51" s="50">
        <f t="shared" ref="F51:AQ51" si="41">$F$42*0.015/4</f>
        <v>0</v>
      </c>
      <c r="G51" s="50">
        <f t="shared" si="41"/>
        <v>0</v>
      </c>
      <c r="H51" s="50">
        <f t="shared" si="41"/>
        <v>0</v>
      </c>
      <c r="I51" s="50">
        <f t="shared" si="41"/>
        <v>0</v>
      </c>
      <c r="J51" s="50">
        <f t="shared" si="41"/>
        <v>0</v>
      </c>
      <c r="K51" s="50">
        <f t="shared" si="41"/>
        <v>0</v>
      </c>
      <c r="L51" s="50">
        <f t="shared" si="41"/>
        <v>0</v>
      </c>
      <c r="M51" s="48">
        <f t="shared" si="41"/>
        <v>0</v>
      </c>
      <c r="N51" s="48">
        <f t="shared" si="41"/>
        <v>0</v>
      </c>
      <c r="O51" s="48">
        <f t="shared" si="41"/>
        <v>0</v>
      </c>
      <c r="P51" s="48">
        <f t="shared" si="41"/>
        <v>0</v>
      </c>
      <c r="Q51" s="48">
        <f t="shared" si="41"/>
        <v>0</v>
      </c>
      <c r="R51" s="48">
        <f t="shared" si="41"/>
        <v>0</v>
      </c>
      <c r="S51" s="48">
        <f t="shared" si="41"/>
        <v>0</v>
      </c>
      <c r="T51" s="48">
        <f t="shared" si="41"/>
        <v>0</v>
      </c>
      <c r="U51" s="48">
        <f t="shared" si="41"/>
        <v>0</v>
      </c>
      <c r="V51" s="48">
        <f t="shared" si="41"/>
        <v>0</v>
      </c>
      <c r="W51" s="48">
        <f t="shared" si="41"/>
        <v>0</v>
      </c>
      <c r="X51" s="48">
        <f t="shared" si="41"/>
        <v>0</v>
      </c>
      <c r="Y51" s="48">
        <f t="shared" si="41"/>
        <v>0</v>
      </c>
      <c r="Z51" s="48">
        <f t="shared" si="41"/>
        <v>0</v>
      </c>
      <c r="AA51" s="48">
        <f t="shared" si="41"/>
        <v>0</v>
      </c>
      <c r="AB51" s="48">
        <f t="shared" si="41"/>
        <v>0</v>
      </c>
      <c r="AC51" s="48">
        <f t="shared" si="41"/>
        <v>0</v>
      </c>
      <c r="AD51" s="48">
        <f t="shared" si="41"/>
        <v>0</v>
      </c>
      <c r="AE51" s="48">
        <f t="shared" si="41"/>
        <v>0</v>
      </c>
      <c r="AF51" s="48">
        <f t="shared" si="41"/>
        <v>0</v>
      </c>
      <c r="AG51" s="48">
        <f t="shared" si="41"/>
        <v>0</v>
      </c>
      <c r="AH51" s="48">
        <f t="shared" si="41"/>
        <v>0</v>
      </c>
      <c r="AI51" s="48">
        <f t="shared" si="41"/>
        <v>0</v>
      </c>
      <c r="AJ51" s="48">
        <f t="shared" si="41"/>
        <v>0</v>
      </c>
      <c r="AK51" s="48">
        <f t="shared" si="41"/>
        <v>0</v>
      </c>
      <c r="AL51" s="48">
        <f t="shared" si="41"/>
        <v>0</v>
      </c>
      <c r="AM51" s="48">
        <f t="shared" si="41"/>
        <v>0</v>
      </c>
      <c r="AN51" s="48">
        <f t="shared" si="41"/>
        <v>0</v>
      </c>
      <c r="AO51" s="48">
        <f t="shared" si="41"/>
        <v>0</v>
      </c>
      <c r="AP51" s="48">
        <f t="shared" si="41"/>
        <v>0</v>
      </c>
      <c r="AQ51" s="49">
        <f t="shared" si="41"/>
        <v>0</v>
      </c>
      <c r="AR51" s="49">
        <f t="shared" ref="AR51:AS51" si="42">$F$42*0.015/4</f>
        <v>0</v>
      </c>
      <c r="AS51" s="48">
        <f t="shared" si="42"/>
        <v>0</v>
      </c>
    </row>
    <row r="52" spans="1:45">
      <c r="A52" s="360"/>
      <c r="B52" s="363" t="str">
        <f t="shared" ref="B52:L52" si="43">B38</f>
        <v>1 год</v>
      </c>
      <c r="C52" s="363" t="str">
        <f t="shared" si="43"/>
        <v>2 год</v>
      </c>
      <c r="D52" s="363" t="str">
        <f t="shared" si="43"/>
        <v>3 год</v>
      </c>
      <c r="E52" s="363" t="str">
        <f t="shared" si="43"/>
        <v>4 год</v>
      </c>
      <c r="F52" s="363" t="str">
        <f t="shared" si="43"/>
        <v>5 год</v>
      </c>
      <c r="G52" s="363" t="str">
        <f t="shared" si="43"/>
        <v>6 год</v>
      </c>
      <c r="H52" s="363" t="str">
        <f t="shared" si="43"/>
        <v>7 год</v>
      </c>
      <c r="I52" s="363" t="str">
        <f t="shared" si="43"/>
        <v>8 год</v>
      </c>
      <c r="J52" s="363" t="str">
        <f t="shared" si="43"/>
        <v>9 год</v>
      </c>
      <c r="K52" s="363" t="str">
        <f t="shared" si="43"/>
        <v>10 год</v>
      </c>
      <c r="L52" s="363" t="str">
        <f t="shared" si="43"/>
        <v>11 год</v>
      </c>
      <c r="V52" s="14"/>
      <c r="Z52" s="12"/>
    </row>
    <row r="53" spans="1:45" ht="33.75" customHeight="1">
      <c r="A53" s="15" t="str">
        <f>A51</f>
        <v>Земельный налог без ТОР</v>
      </c>
      <c r="B53" s="48">
        <f>SUM(B51:E51)</f>
        <v>0</v>
      </c>
      <c r="C53" s="48">
        <f>B53</f>
        <v>0</v>
      </c>
      <c r="D53" s="48">
        <f t="shared" ref="D53:L53" si="44">C53</f>
        <v>0</v>
      </c>
      <c r="E53" s="48">
        <f t="shared" si="44"/>
        <v>0</v>
      </c>
      <c r="F53" s="48">
        <f t="shared" si="44"/>
        <v>0</v>
      </c>
      <c r="G53" s="48">
        <f t="shared" si="44"/>
        <v>0</v>
      </c>
      <c r="H53" s="48">
        <f t="shared" si="44"/>
        <v>0</v>
      </c>
      <c r="I53" s="48">
        <f t="shared" si="44"/>
        <v>0</v>
      </c>
      <c r="J53" s="48">
        <f t="shared" si="44"/>
        <v>0</v>
      </c>
      <c r="K53" s="48">
        <f t="shared" si="44"/>
        <v>0</v>
      </c>
      <c r="L53" s="48">
        <f t="shared" si="44"/>
        <v>0</v>
      </c>
      <c r="V53" s="14"/>
      <c r="Z53" s="12"/>
    </row>
  </sheetData>
  <pageMargins left="0.7" right="0.7" top="0.75" bottom="0.75" header="0.3" footer="0.3"/>
  <pageSetup paperSize="9" scale="15" firstPageNumber="2147483648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0"/>
  </sheetPr>
  <dimension ref="A1:AS12"/>
  <sheetViews>
    <sheetView zoomScale="60" workbookViewId="0">
      <selection activeCell="AK26" sqref="AK26"/>
    </sheetView>
  </sheetViews>
  <sheetFormatPr defaultColWidth="9.109375" defaultRowHeight="13.8"/>
  <cols>
    <col min="1" max="1" width="18.33203125" style="194" customWidth="1"/>
    <col min="2" max="2" width="12.88671875" style="193" customWidth="1"/>
    <col min="3" max="3" width="12.44140625" style="193" customWidth="1"/>
    <col min="4" max="4" width="13.88671875" style="193" customWidth="1"/>
    <col min="5" max="5" width="13.5546875" style="193" customWidth="1"/>
    <col min="6" max="6" width="13.33203125" style="193" customWidth="1"/>
    <col min="7" max="7" width="13.109375" style="193" customWidth="1"/>
    <col min="8" max="8" width="14" style="193" customWidth="1"/>
    <col min="9" max="9" width="13.88671875" style="193" customWidth="1"/>
    <col min="10" max="10" width="13.44140625" style="193" customWidth="1"/>
    <col min="11" max="11" width="15.6640625" style="193" customWidth="1"/>
    <col min="12" max="12" width="14.6640625" style="193" customWidth="1"/>
    <col min="13" max="13" width="13.88671875" style="193" customWidth="1"/>
    <col min="14" max="14" width="13.5546875" style="193" customWidth="1"/>
    <col min="15" max="15" width="13.33203125" style="193" customWidth="1"/>
    <col min="16" max="16" width="13.44140625" style="193" customWidth="1"/>
    <col min="17" max="17" width="12.5546875" style="193" customWidth="1"/>
    <col min="18" max="18" width="12.6640625" style="193" customWidth="1"/>
    <col min="19" max="19" width="13.109375" style="193" customWidth="1"/>
    <col min="20" max="20" width="16.44140625" style="193" customWidth="1"/>
    <col min="21" max="21" width="13.5546875" style="193" customWidth="1"/>
    <col min="22" max="22" width="14.6640625" style="193" customWidth="1"/>
    <col min="23" max="23" width="13.33203125" style="193" customWidth="1"/>
    <col min="24" max="24" width="12.88671875" style="193" customWidth="1"/>
    <col min="25" max="25" width="13.109375" style="193" customWidth="1"/>
    <col min="26" max="26" width="14.33203125" style="193" customWidth="1"/>
    <col min="27" max="27" width="13.5546875" style="193" customWidth="1"/>
    <col min="28" max="29" width="14.109375" style="193" customWidth="1"/>
    <col min="30" max="30" width="14.33203125" style="193" customWidth="1"/>
    <col min="31" max="31" width="15.44140625" style="193" customWidth="1"/>
    <col min="32" max="32" width="14.5546875" style="193" customWidth="1"/>
    <col min="33" max="33" width="13.5546875" style="193" customWidth="1"/>
    <col min="34" max="34" width="15.109375" style="193" customWidth="1"/>
    <col min="35" max="35" width="15.6640625" style="193" customWidth="1"/>
    <col min="36" max="36" width="13.88671875" style="193" customWidth="1"/>
    <col min="37" max="37" width="14.5546875" style="193" customWidth="1"/>
    <col min="38" max="38" width="12.5546875" style="193" customWidth="1"/>
    <col min="39" max="39" width="14.109375" style="193" customWidth="1"/>
    <col min="40" max="40" width="13" style="193" customWidth="1"/>
    <col min="41" max="41" width="13.88671875" style="193" customWidth="1"/>
    <col min="42" max="42" width="13.109375" style="193" customWidth="1"/>
    <col min="43" max="43" width="13.88671875" style="193" customWidth="1"/>
    <col min="44" max="45" width="15.33203125" style="193" customWidth="1"/>
    <col min="46" max="16384" width="9.109375" style="193"/>
  </cols>
  <sheetData>
    <row r="1" spans="1:45" s="469" customFormat="1">
      <c r="A1" s="345" t="s">
        <v>217</v>
      </c>
      <c r="B1" s="344" t="str">
        <f>'выручка по кв и годам'!D1</f>
        <v>I кв. 1 г.</v>
      </c>
      <c r="C1" s="344" t="str">
        <f>'выручка по кв и годам'!E1</f>
        <v>II кв. 1 г.</v>
      </c>
      <c r="D1" s="344" t="str">
        <f>'выручка по кв и годам'!F1</f>
        <v>III кв. 1 г.</v>
      </c>
      <c r="E1" s="344" t="str">
        <f>'выручка по кв и годам'!G1</f>
        <v>IV кв. 1 г.</v>
      </c>
      <c r="F1" s="344" t="str">
        <f>'выручка по кв и годам'!H1</f>
        <v>I кв. 2 г.</v>
      </c>
      <c r="G1" s="344" t="str">
        <f>'выручка по кв и годам'!I1</f>
        <v>II кв. 2 г.</v>
      </c>
      <c r="H1" s="344" t="str">
        <f>'выручка по кв и годам'!J1</f>
        <v>III кв. 2 г.</v>
      </c>
      <c r="I1" s="344" t="str">
        <f>'выручка по кв и годам'!K1</f>
        <v>IV кв. 2 г.</v>
      </c>
      <c r="J1" s="344" t="str">
        <f>'выручка по кв и годам'!L1</f>
        <v>I кв. 3 г.</v>
      </c>
      <c r="K1" s="344" t="str">
        <f>'выручка по кв и годам'!M1</f>
        <v>II кв. 3 г.</v>
      </c>
      <c r="L1" s="344" t="str">
        <f>'выручка по кв и годам'!N1</f>
        <v>III кв. 3 г.</v>
      </c>
      <c r="M1" s="344" t="str">
        <f>'выручка по кв и годам'!O1</f>
        <v>IV кв. 3 г.</v>
      </c>
      <c r="N1" s="344" t="str">
        <f>'выручка по кв и годам'!P1</f>
        <v>I кв. 4 г.</v>
      </c>
      <c r="O1" s="344" t="str">
        <f>'выручка по кв и годам'!Q1</f>
        <v>II кв. 4 г.</v>
      </c>
      <c r="P1" s="344" t="str">
        <f>'выручка по кв и годам'!R1</f>
        <v>III кв. 4 г.</v>
      </c>
      <c r="Q1" s="344" t="str">
        <f>'выручка по кв и годам'!S1</f>
        <v>IV кв. 4 г.</v>
      </c>
      <c r="R1" s="344" t="str">
        <f>'выручка по кв и годам'!T1</f>
        <v>I кв. 5 г.</v>
      </c>
      <c r="S1" s="344" t="str">
        <f>'выручка по кв и годам'!U1</f>
        <v>II кв. 5 г.</v>
      </c>
      <c r="T1" s="344" t="str">
        <f>'выручка по кв и годам'!V1</f>
        <v>III кв. 5 г.</v>
      </c>
      <c r="U1" s="344" t="str">
        <f>'выручка по кв и годам'!W1</f>
        <v>IV кв. 5 г.</v>
      </c>
      <c r="V1" s="344" t="str">
        <f>'выручка по кв и годам'!X1</f>
        <v>I кв. 6 г.</v>
      </c>
      <c r="W1" s="344" t="str">
        <f>'выручка по кв и годам'!Y1</f>
        <v>II кв. 6 г.</v>
      </c>
      <c r="X1" s="344" t="str">
        <f>'выручка по кв и годам'!Z1</f>
        <v>III кв. 6 г.</v>
      </c>
      <c r="Y1" s="344" t="str">
        <f>'выручка по кв и годам'!AA1</f>
        <v>IV кв. 6 г.</v>
      </c>
      <c r="Z1" s="344" t="str">
        <f>'выручка по кв и годам'!AB1</f>
        <v>I кв. 7 г.</v>
      </c>
      <c r="AA1" s="344" t="str">
        <f>'выручка по кв и годам'!AC1</f>
        <v>II кв. 7 г.</v>
      </c>
      <c r="AB1" s="344" t="str">
        <f>'выручка по кв и годам'!AD1</f>
        <v>III кв. 7 г.</v>
      </c>
      <c r="AC1" s="344" t="str">
        <f>'выручка по кв и годам'!AE1</f>
        <v>IV кв. 7 г.</v>
      </c>
      <c r="AD1" s="344" t="str">
        <f>'выручка по кв и годам'!AF1</f>
        <v>I кв. 8 г.</v>
      </c>
      <c r="AE1" s="344" t="str">
        <f>'выручка по кв и годам'!AG1</f>
        <v>II кв. 8 г.</v>
      </c>
      <c r="AF1" s="344" t="str">
        <f>'выручка по кв и годам'!AH1</f>
        <v>III кв. 8 г.</v>
      </c>
      <c r="AG1" s="344" t="str">
        <f>'выручка по кв и годам'!AI1</f>
        <v>IV кв. 8 г.</v>
      </c>
      <c r="AH1" s="344" t="str">
        <f>'выручка по кв и годам'!AJ1</f>
        <v>I кв. 9 г.</v>
      </c>
      <c r="AI1" s="344" t="str">
        <f>'выручка по кв и годам'!AK1</f>
        <v>II кв. 9 г.</v>
      </c>
      <c r="AJ1" s="344" t="str">
        <f>'выручка по кв и годам'!AL1</f>
        <v>III кв. 9 г.</v>
      </c>
      <c r="AK1" s="344" t="str">
        <f>'выручка по кв и годам'!AM1</f>
        <v>IV кв. 9 г.</v>
      </c>
      <c r="AL1" s="344" t="str">
        <f>'выручка по кв и годам'!AN1</f>
        <v>I кв. 10 г.</v>
      </c>
      <c r="AM1" s="344" t="str">
        <f>'выручка по кв и годам'!AO1</f>
        <v>II кв. 10 г.</v>
      </c>
      <c r="AN1" s="344" t="str">
        <f>'выручка по кв и годам'!AP1</f>
        <v>III кв. 10 г.</v>
      </c>
      <c r="AO1" s="344" t="str">
        <f>'выручка по кв и годам'!AQ1</f>
        <v>IV кв. 10 г.</v>
      </c>
      <c r="AP1" s="344" t="str">
        <f>'выручка по кв и годам'!AR1</f>
        <v>I кв. 11 г.</v>
      </c>
      <c r="AQ1" s="344" t="str">
        <f>'выручка по кв и годам'!AS1</f>
        <v>II кв. 11 г.</v>
      </c>
      <c r="AR1" s="344" t="str">
        <f>'выручка по кв и годам'!AT1</f>
        <v>III кв. 11 г.</v>
      </c>
      <c r="AS1" s="344" t="str">
        <f>'выручка по кв и годам'!AU1</f>
        <v>IV кв. 11 г.</v>
      </c>
    </row>
    <row r="2" spans="1:45" ht="45.75" customHeight="1">
      <c r="A2" s="195" t="s">
        <v>225</v>
      </c>
      <c r="B2" s="196"/>
      <c r="C2" s="196"/>
      <c r="D2" s="197"/>
      <c r="E2" s="196"/>
      <c r="F2" s="196"/>
      <c r="G2" s="196"/>
      <c r="H2" s="196"/>
      <c r="I2" s="196"/>
      <c r="J2" s="196"/>
      <c r="K2" s="196"/>
      <c r="L2" s="196"/>
      <c r="M2" s="196"/>
      <c r="N2" s="196"/>
      <c r="O2" s="196"/>
      <c r="P2" s="592">
        <f>займ!B2</f>
        <v>404000</v>
      </c>
      <c r="Q2" s="196"/>
      <c r="R2" s="196"/>
      <c r="S2" s="196"/>
      <c r="T2" s="196"/>
      <c r="U2" s="196"/>
      <c r="V2" s="196"/>
      <c r="W2" s="196"/>
      <c r="X2" s="196"/>
      <c r="Y2" s="196"/>
      <c r="Z2" s="196"/>
      <c r="AA2" s="196"/>
      <c r="AB2" s="196"/>
      <c r="AC2" s="196"/>
      <c r="AD2" s="196"/>
      <c r="AE2" s="196"/>
      <c r="AF2" s="196"/>
      <c r="AG2" s="196"/>
      <c r="AH2" s="196"/>
      <c r="AI2" s="196"/>
      <c r="AJ2" s="196"/>
      <c r="AK2" s="196"/>
      <c r="AL2" s="196"/>
      <c r="AM2" s="196"/>
      <c r="AN2" s="196"/>
      <c r="AO2" s="196"/>
      <c r="AP2" s="196"/>
      <c r="AQ2" s="196"/>
      <c r="AR2" s="196"/>
      <c r="AS2" s="196"/>
    </row>
    <row r="3" spans="1:45" ht="21" customHeight="1">
      <c r="A3" s="195" t="s">
        <v>226</v>
      </c>
      <c r="B3" s="199"/>
      <c r="C3" s="199"/>
      <c r="D3" s="199"/>
      <c r="E3" s="199"/>
      <c r="F3" s="199"/>
      <c r="G3" s="199"/>
      <c r="H3" s="199"/>
      <c r="I3" s="199"/>
      <c r="J3" s="199"/>
      <c r="K3" s="199"/>
      <c r="L3" s="199"/>
      <c r="M3" s="199"/>
      <c r="N3" s="199"/>
      <c r="O3" s="199"/>
      <c r="P3" s="199">
        <f>займ!B3</f>
        <v>7.4999999999999997E-2</v>
      </c>
      <c r="Q3" s="199">
        <f t="shared" ref="Q3:AL3" si="0">P3</f>
        <v>7.4999999999999997E-2</v>
      </c>
      <c r="R3" s="199">
        <f t="shared" si="0"/>
        <v>7.4999999999999997E-2</v>
      </c>
      <c r="S3" s="199">
        <f t="shared" si="0"/>
        <v>7.4999999999999997E-2</v>
      </c>
      <c r="T3" s="199">
        <f t="shared" si="0"/>
        <v>7.4999999999999997E-2</v>
      </c>
      <c r="U3" s="199">
        <f t="shared" si="0"/>
        <v>7.4999999999999997E-2</v>
      </c>
      <c r="V3" s="199">
        <f t="shared" si="0"/>
        <v>7.4999999999999997E-2</v>
      </c>
      <c r="W3" s="199">
        <f t="shared" si="0"/>
        <v>7.4999999999999997E-2</v>
      </c>
      <c r="X3" s="199">
        <f t="shared" si="0"/>
        <v>7.4999999999999997E-2</v>
      </c>
      <c r="Y3" s="199">
        <f t="shared" si="0"/>
        <v>7.4999999999999997E-2</v>
      </c>
      <c r="Z3" s="199">
        <f t="shared" si="0"/>
        <v>7.4999999999999997E-2</v>
      </c>
      <c r="AA3" s="199">
        <f t="shared" si="0"/>
        <v>7.4999999999999997E-2</v>
      </c>
      <c r="AB3" s="199">
        <f t="shared" si="0"/>
        <v>7.4999999999999997E-2</v>
      </c>
      <c r="AC3" s="199">
        <f t="shared" si="0"/>
        <v>7.4999999999999997E-2</v>
      </c>
      <c r="AD3" s="199">
        <f t="shared" si="0"/>
        <v>7.4999999999999997E-2</v>
      </c>
      <c r="AE3" s="199">
        <f t="shared" si="0"/>
        <v>7.4999999999999997E-2</v>
      </c>
      <c r="AF3" s="199">
        <f t="shared" si="0"/>
        <v>7.4999999999999997E-2</v>
      </c>
      <c r="AG3" s="199">
        <f t="shared" si="0"/>
        <v>7.4999999999999997E-2</v>
      </c>
      <c r="AH3" s="199">
        <f t="shared" si="0"/>
        <v>7.4999999999999997E-2</v>
      </c>
      <c r="AI3" s="199">
        <f t="shared" si="0"/>
        <v>7.4999999999999997E-2</v>
      </c>
      <c r="AJ3" s="199">
        <f t="shared" si="0"/>
        <v>7.4999999999999997E-2</v>
      </c>
      <c r="AK3" s="199">
        <f t="shared" si="0"/>
        <v>7.4999999999999997E-2</v>
      </c>
      <c r="AL3" s="199">
        <f t="shared" si="0"/>
        <v>7.4999999999999997E-2</v>
      </c>
      <c r="AM3" s="199">
        <f t="shared" ref="AM3:AS3" si="1">AL3</f>
        <v>7.4999999999999997E-2</v>
      </c>
      <c r="AN3" s="199">
        <f t="shared" si="1"/>
        <v>7.4999999999999997E-2</v>
      </c>
      <c r="AO3" s="199">
        <f t="shared" si="1"/>
        <v>7.4999999999999997E-2</v>
      </c>
      <c r="AP3" s="199">
        <f t="shared" si="1"/>
        <v>7.4999999999999997E-2</v>
      </c>
      <c r="AQ3" s="199">
        <f t="shared" si="1"/>
        <v>7.4999999999999997E-2</v>
      </c>
      <c r="AR3" s="199">
        <f t="shared" si="1"/>
        <v>7.4999999999999997E-2</v>
      </c>
      <c r="AS3" s="199">
        <f t="shared" si="1"/>
        <v>7.4999999999999997E-2</v>
      </c>
    </row>
    <row r="4" spans="1:45" ht="50.25" customHeight="1">
      <c r="A4" s="195" t="s">
        <v>227</v>
      </c>
      <c r="B4" s="200"/>
      <c r="C4" s="200"/>
      <c r="D4" s="198"/>
      <c r="E4" s="198"/>
      <c r="F4" s="198"/>
      <c r="G4" s="198"/>
      <c r="H4" s="198"/>
      <c r="I4" s="198"/>
      <c r="J4" s="198"/>
      <c r="K4" s="198"/>
      <c r="L4" s="198"/>
      <c r="M4" s="198"/>
      <c r="N4" s="198"/>
      <c r="O4" s="198"/>
      <c r="P4" s="198">
        <f>займ!J9</f>
        <v>2525</v>
      </c>
      <c r="Q4" s="198">
        <f>займ!J10</f>
        <v>7365.2408545770522</v>
      </c>
      <c r="R4" s="198">
        <f>займ!J13</f>
        <v>7045.9897069978197</v>
      </c>
      <c r="S4" s="198">
        <f>займ!J16</f>
        <v>6720.7151102154467</v>
      </c>
      <c r="T4" s="198">
        <f>займ!J19</f>
        <v>6389.3034172138487</v>
      </c>
      <c r="U4" s="198">
        <f>займ!J22</f>
        <v>6051.6388367496411</v>
      </c>
      <c r="V4" s="198">
        <f>займ!J25</f>
        <v>5707.603392896066</v>
      </c>
      <c r="W4" s="198">
        <f>займ!J28</f>
        <v>5357.0768838236299</v>
      </c>
      <c r="X4" s="198">
        <f>займ!J31</f>
        <v>4999.9368398030419</v>
      </c>
      <c r="Y4" s="198">
        <f>займ!J34</f>
        <v>4636.0584804157661</v>
      </c>
      <c r="Z4" s="198">
        <f>займ!J37</f>
        <v>4265.3146709572484</v>
      </c>
      <c r="AA4" s="198">
        <f>займ!J40</f>
        <v>3887.5758780175856</v>
      </c>
      <c r="AB4" s="198">
        <f>займ!J43</f>
        <v>3502.7101242241233</v>
      </c>
      <c r="AC4" s="198">
        <f>займ!J46</f>
        <v>3110.5829421301451</v>
      </c>
      <c r="AD4" s="198">
        <f>займ!J49</f>
        <v>2711.0573272335778</v>
      </c>
      <c r="AE4" s="198">
        <f>займ!J52</f>
        <v>2303.9936901092701</v>
      </c>
      <c r="AF4" s="198">
        <f>займ!J55</f>
        <v>1889.2498076381357</v>
      </c>
      <c r="AG4" s="198">
        <f>займ!J58</f>
        <v>1466.6807733161099</v>
      </c>
      <c r="AH4" s="198">
        <f>займ!J61</f>
        <v>1036.1389466255682</v>
      </c>
      <c r="AI4" s="198">
        <f>займ!J64</f>
        <v>597.47390145151303</v>
      </c>
      <c r="AJ4" s="198">
        <f>займ!J67</f>
        <v>150.5323735245039</v>
      </c>
      <c r="AK4" s="198"/>
      <c r="AL4" s="198"/>
      <c r="AM4" s="198"/>
      <c r="AN4" s="198"/>
      <c r="AO4" s="198"/>
      <c r="AP4" s="198"/>
      <c r="AQ4" s="198"/>
      <c r="AR4" s="198"/>
      <c r="AS4" s="198"/>
    </row>
    <row r="5" spans="1:45" ht="40.5" customHeight="1">
      <c r="A5" s="195" t="s">
        <v>228</v>
      </c>
      <c r="B5" s="197"/>
      <c r="C5" s="197"/>
      <c r="D5" s="197"/>
      <c r="E5" s="197"/>
      <c r="F5" s="197"/>
      <c r="G5" s="197"/>
      <c r="H5" s="197"/>
      <c r="I5" s="197"/>
      <c r="J5" s="197"/>
      <c r="K5" s="197"/>
      <c r="L5" s="197"/>
      <c r="M5" s="197"/>
      <c r="N5" s="197"/>
      <c r="O5" s="197"/>
      <c r="P5" s="197">
        <f>займ!K9</f>
        <v>5570.3312326320001</v>
      </c>
      <c r="Q5" s="197">
        <f>займ!K10</f>
        <v>16920.752843318951</v>
      </c>
      <c r="R5" s="197">
        <f>займ!K13</f>
        <v>17240.003990898178</v>
      </c>
      <c r="S5" s="197">
        <f>займ!K16</f>
        <v>17565.278587680554</v>
      </c>
      <c r="T5" s="197">
        <f>займ!K19</f>
        <v>17896.690280682153</v>
      </c>
      <c r="U5" s="197">
        <f>займ!K22</f>
        <v>18234.354861146359</v>
      </c>
      <c r="V5" s="197">
        <f>займ!K25</f>
        <v>18578.390304999935</v>
      </c>
      <c r="W5" s="201">
        <f>займ!K28</f>
        <v>18928.91681407237</v>
      </c>
      <c r="X5" s="201">
        <f>займ!K31</f>
        <v>19286.056858092961</v>
      </c>
      <c r="Y5" s="201">
        <f>займ!K34</f>
        <v>19649.935217480233</v>
      </c>
      <c r="Z5" s="201">
        <f>займ!K37</f>
        <v>20020.679026938753</v>
      </c>
      <c r="AA5" s="201">
        <f>займ!K40</f>
        <v>20398.417819878414</v>
      </c>
      <c r="AB5" s="201">
        <f>займ!K43</f>
        <v>20783.283573671877</v>
      </c>
      <c r="AC5" s="201">
        <f>займ!K46</f>
        <v>21175.410755765857</v>
      </c>
      <c r="AD5" s="201">
        <f>займ!K49</f>
        <v>21574.936370662421</v>
      </c>
      <c r="AE5" s="201">
        <f>займ!K52</f>
        <v>21982.00000778673</v>
      </c>
      <c r="AF5" s="201">
        <f>займ!K55</f>
        <v>22396.743890257865</v>
      </c>
      <c r="AG5" s="201">
        <f>займ!K58</f>
        <v>22819.312924579892</v>
      </c>
      <c r="AH5" s="201">
        <f>займ!K61</f>
        <v>23249.854751270432</v>
      </c>
      <c r="AI5" s="201">
        <f>займ!K64</f>
        <v>23688.519796444485</v>
      </c>
      <c r="AJ5" s="201">
        <f>займ!K67</f>
        <v>16040.130091739496</v>
      </c>
      <c r="AK5" s="202"/>
      <c r="AL5" s="198"/>
      <c r="AM5" s="202"/>
      <c r="AN5" s="202"/>
      <c r="AO5" s="202"/>
      <c r="AP5" s="202"/>
      <c r="AQ5" s="202"/>
      <c r="AR5" s="202"/>
      <c r="AS5" s="202"/>
    </row>
    <row r="6" spans="1:45" s="468" customFormat="1" ht="27.6">
      <c r="A6" s="465" t="s">
        <v>229</v>
      </c>
      <c r="B6" s="466"/>
      <c r="C6" s="466"/>
      <c r="D6" s="466"/>
      <c r="E6" s="466"/>
      <c r="F6" s="466"/>
      <c r="G6" s="466"/>
      <c r="H6" s="466"/>
      <c r="I6" s="466"/>
      <c r="J6" s="466"/>
      <c r="K6" s="466"/>
      <c r="L6" s="466"/>
      <c r="M6" s="466"/>
      <c r="N6" s="466"/>
      <c r="O6" s="466"/>
      <c r="P6" s="466">
        <f>P4+P5</f>
        <v>8095.3312326320001</v>
      </c>
      <c r="Q6" s="466">
        <f t="shared" ref="Q6:AJ6" si="2">Q4+Q5</f>
        <v>24285.993697896003</v>
      </c>
      <c r="R6" s="466">
        <f t="shared" si="2"/>
        <v>24285.993697895996</v>
      </c>
      <c r="S6" s="466">
        <f t="shared" si="2"/>
        <v>24285.993697896</v>
      </c>
      <c r="T6" s="466">
        <f t="shared" si="2"/>
        <v>24285.993697896003</v>
      </c>
      <c r="U6" s="466">
        <f t="shared" si="2"/>
        <v>24285.993697896</v>
      </c>
      <c r="V6" s="466">
        <f t="shared" si="2"/>
        <v>24285.993697896003</v>
      </c>
      <c r="W6" s="466">
        <f t="shared" si="2"/>
        <v>24285.993697896</v>
      </c>
      <c r="X6" s="466">
        <f t="shared" si="2"/>
        <v>24285.993697896003</v>
      </c>
      <c r="Y6" s="466">
        <f t="shared" si="2"/>
        <v>24285.993697896</v>
      </c>
      <c r="Z6" s="466">
        <f t="shared" si="2"/>
        <v>24285.993697896003</v>
      </c>
      <c r="AA6" s="466">
        <f t="shared" si="2"/>
        <v>24285.993697896</v>
      </c>
      <c r="AB6" s="466">
        <f t="shared" si="2"/>
        <v>24285.993697896</v>
      </c>
      <c r="AC6" s="466">
        <f t="shared" si="2"/>
        <v>24285.993697896003</v>
      </c>
      <c r="AD6" s="466">
        <f t="shared" si="2"/>
        <v>24285.993697896</v>
      </c>
      <c r="AE6" s="466">
        <f t="shared" si="2"/>
        <v>24285.993697896</v>
      </c>
      <c r="AF6" s="466">
        <f t="shared" si="2"/>
        <v>24285.993697896</v>
      </c>
      <c r="AG6" s="466">
        <f t="shared" si="2"/>
        <v>24285.993697896003</v>
      </c>
      <c r="AH6" s="466">
        <f t="shared" si="2"/>
        <v>24285.993697896</v>
      </c>
      <c r="AI6" s="466">
        <f t="shared" si="2"/>
        <v>24285.993697896</v>
      </c>
      <c r="AJ6" s="466">
        <f t="shared" si="2"/>
        <v>16190.662465264</v>
      </c>
      <c r="AK6" s="467"/>
      <c r="AL6" s="467"/>
      <c r="AM6" s="467"/>
      <c r="AN6" s="467"/>
      <c r="AO6" s="467"/>
      <c r="AP6" s="467"/>
      <c r="AQ6" s="467"/>
      <c r="AR6" s="467"/>
      <c r="AS6" s="467"/>
    </row>
    <row r="7" spans="1:45" ht="27.6">
      <c r="A7" s="195" t="s">
        <v>230</v>
      </c>
      <c r="B7" s="198"/>
      <c r="C7" s="198"/>
      <c r="D7" s="198"/>
      <c r="E7" s="198"/>
      <c r="F7" s="198"/>
      <c r="G7" s="198"/>
      <c r="H7" s="198"/>
      <c r="I7" s="198"/>
      <c r="J7" s="198"/>
      <c r="K7" s="198"/>
      <c r="L7" s="198"/>
      <c r="M7" s="198"/>
      <c r="N7" s="198"/>
      <c r="O7" s="198"/>
      <c r="P7" s="198">
        <f>P2-P5</f>
        <v>398429.66876736801</v>
      </c>
      <c r="Q7" s="198">
        <f>P7-Q5</f>
        <v>381508.91592404904</v>
      </c>
      <c r="R7" s="198">
        <f t="shared" ref="R7:AJ7" si="3">Q7-R5</f>
        <v>364268.91193315084</v>
      </c>
      <c r="S7" s="198">
        <f t="shared" si="3"/>
        <v>346703.6333454703</v>
      </c>
      <c r="T7" s="198">
        <f t="shared" si="3"/>
        <v>328806.94306478812</v>
      </c>
      <c r="U7" s="198">
        <f t="shared" si="3"/>
        <v>310572.58820364176</v>
      </c>
      <c r="V7" s="198">
        <f t="shared" si="3"/>
        <v>291994.19789864181</v>
      </c>
      <c r="W7" s="198">
        <f t="shared" si="3"/>
        <v>273065.28108456946</v>
      </c>
      <c r="X7" s="198">
        <f t="shared" si="3"/>
        <v>253779.22422647651</v>
      </c>
      <c r="Y7" s="198">
        <f t="shared" si="3"/>
        <v>234129.28900899627</v>
      </c>
      <c r="Z7" s="198">
        <f t="shared" si="3"/>
        <v>214108.60998205753</v>
      </c>
      <c r="AA7" s="198">
        <f t="shared" si="3"/>
        <v>193710.19216217913</v>
      </c>
      <c r="AB7" s="198">
        <f t="shared" si="3"/>
        <v>172926.90858850724</v>
      </c>
      <c r="AC7" s="198">
        <f t="shared" si="3"/>
        <v>151751.49783274138</v>
      </c>
      <c r="AD7" s="198">
        <f t="shared" si="3"/>
        <v>130176.56146207897</v>
      </c>
      <c r="AE7" s="198">
        <f t="shared" si="3"/>
        <v>108194.56145429224</v>
      </c>
      <c r="AF7" s="198">
        <f t="shared" si="3"/>
        <v>85797.817564034369</v>
      </c>
      <c r="AG7" s="198">
        <f t="shared" si="3"/>
        <v>62978.504639454477</v>
      </c>
      <c r="AH7" s="198">
        <f t="shared" si="3"/>
        <v>39728.649888184045</v>
      </c>
      <c r="AI7" s="198">
        <f t="shared" si="3"/>
        <v>16040.13009173956</v>
      </c>
      <c r="AJ7" s="198">
        <f t="shared" si="3"/>
        <v>6.3664629124104977E-11</v>
      </c>
      <c r="AK7" s="198">
        <f t="shared" ref="AK7:AS7" si="4">AJ7-AK6</f>
        <v>6.3664629124104977E-11</v>
      </c>
      <c r="AL7" s="198">
        <f t="shared" si="4"/>
        <v>6.3664629124104977E-11</v>
      </c>
      <c r="AM7" s="198">
        <f t="shared" si="4"/>
        <v>6.3664629124104977E-11</v>
      </c>
      <c r="AN7" s="198">
        <f t="shared" si="4"/>
        <v>6.3664629124104977E-11</v>
      </c>
      <c r="AO7" s="198">
        <f t="shared" si="4"/>
        <v>6.3664629124104977E-11</v>
      </c>
      <c r="AP7" s="198">
        <f t="shared" si="4"/>
        <v>6.3664629124104977E-11</v>
      </c>
      <c r="AQ7" s="198">
        <f t="shared" si="4"/>
        <v>6.3664629124104977E-11</v>
      </c>
      <c r="AR7" s="198">
        <f t="shared" si="4"/>
        <v>6.3664629124104977E-11</v>
      </c>
      <c r="AS7" s="198">
        <f t="shared" si="4"/>
        <v>6.3664629124104977E-11</v>
      </c>
    </row>
    <row r="10" spans="1:45">
      <c r="D10" s="203"/>
      <c r="E10" s="203"/>
      <c r="F10" s="203"/>
      <c r="G10" s="203"/>
      <c r="H10" s="203"/>
      <c r="I10" s="203"/>
      <c r="J10" s="203"/>
      <c r="K10" s="203"/>
      <c r="L10" s="203"/>
      <c r="M10" s="203"/>
      <c r="N10" s="203"/>
      <c r="O10" s="203"/>
      <c r="P10" s="203"/>
      <c r="Q10" s="203"/>
      <c r="R10" s="203"/>
      <c r="S10" s="203"/>
      <c r="T10" s="203"/>
      <c r="U10" s="203"/>
      <c r="V10" s="203"/>
      <c r="W10" s="203"/>
      <c r="X10" s="203"/>
      <c r="Y10" s="203"/>
      <c r="Z10" s="203"/>
      <c r="AA10" s="203"/>
      <c r="AB10" s="203"/>
      <c r="AC10" s="203"/>
      <c r="AD10" s="203"/>
      <c r="AE10" s="203"/>
      <c r="AF10" s="203"/>
      <c r="AG10" s="203"/>
      <c r="AH10" s="203"/>
      <c r="AI10" s="203"/>
      <c r="AJ10" s="203"/>
      <c r="AK10" s="203"/>
      <c r="AL10" s="203"/>
      <c r="AM10" s="203"/>
    </row>
    <row r="12" spans="1:45">
      <c r="B12" s="204"/>
      <c r="C12" s="204"/>
      <c r="D12" s="204"/>
      <c r="E12" s="204"/>
      <c r="F12" s="204"/>
      <c r="G12" s="204"/>
      <c r="H12" s="204"/>
      <c r="I12" s="204"/>
      <c r="J12" s="204"/>
      <c r="K12" s="204"/>
      <c r="L12" s="204"/>
      <c r="M12" s="204"/>
      <c r="N12" s="204"/>
      <c r="O12" s="204"/>
      <c r="P12" s="204"/>
      <c r="Q12" s="204"/>
      <c r="R12" s="204"/>
      <c r="S12" s="204"/>
      <c r="T12" s="204"/>
      <c r="U12" s="204"/>
      <c r="V12" s="204"/>
      <c r="W12" s="204"/>
      <c r="X12" s="204"/>
      <c r="Y12" s="204"/>
      <c r="Z12" s="204"/>
      <c r="AA12" s="204"/>
      <c r="AB12" s="204"/>
      <c r="AC12" s="204"/>
      <c r="AD12" s="204"/>
      <c r="AE12" s="204"/>
      <c r="AF12" s="204"/>
      <c r="AG12" s="204"/>
      <c r="AH12" s="204"/>
      <c r="AI12" s="204"/>
      <c r="AJ12" s="204"/>
      <c r="AK12" s="204"/>
      <c r="AL12" s="204"/>
      <c r="AM12" s="204"/>
      <c r="AN12" s="204"/>
      <c r="AO12" s="204"/>
    </row>
  </sheetData>
  <pageMargins left="0.7" right="0.7" top="0.75" bottom="0.75" header="0.3" footer="0.3"/>
  <pageSetup paperSize="9" firstPageNumber="2147483648" orientation="portrait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AD71"/>
  <sheetViews>
    <sheetView topLeftCell="A10" zoomScale="70" workbookViewId="0">
      <pane xSplit="1" topLeftCell="B1" activePane="topRight" state="frozen"/>
      <selection activeCell="H66" sqref="H66"/>
      <selection pane="topRight" activeCell="B4" sqref="B4"/>
    </sheetView>
  </sheetViews>
  <sheetFormatPr defaultColWidth="9.109375" defaultRowHeight="14.4"/>
  <cols>
    <col min="1" max="1" width="26.5546875" style="51" customWidth="1"/>
    <col min="2" max="2" width="19.5546875" style="52" customWidth="1"/>
    <col min="3" max="3" width="18.5546875" style="53" customWidth="1"/>
    <col min="4" max="4" width="30.109375" style="53" customWidth="1"/>
    <col min="5" max="5" width="21" style="53" customWidth="1"/>
    <col min="6" max="6" width="19.5546875" style="53" customWidth="1"/>
    <col min="7" max="7" width="26" style="53" customWidth="1"/>
    <col min="8" max="8" width="23.44140625" customWidth="1"/>
    <col min="9" max="9" width="24.88671875" style="205" customWidth="1"/>
    <col min="10" max="10" width="23.33203125" style="206" customWidth="1"/>
    <col min="11" max="11" width="25.5546875" style="207" customWidth="1"/>
    <col min="12" max="12" width="29.33203125" customWidth="1"/>
    <col min="13" max="13" width="12.88671875" customWidth="1"/>
    <col min="14" max="15" width="10.5546875" bestFit="1" customWidth="1"/>
    <col min="16" max="16" width="13.33203125" customWidth="1"/>
    <col min="17" max="22" width="10.5546875" bestFit="1" customWidth="1"/>
    <col min="23" max="23" width="11.5546875" customWidth="1"/>
    <col min="24" max="24" width="11.44140625" customWidth="1"/>
    <col min="26" max="30" width="13" style="53" customWidth="1"/>
    <col min="31" max="31" width="12.44140625" customWidth="1"/>
    <col min="32" max="32" width="10.6640625" customWidth="1"/>
  </cols>
  <sheetData>
    <row r="1" spans="1:12" ht="19.2">
      <c r="A1" s="694" t="s">
        <v>231</v>
      </c>
      <c r="B1" s="695"/>
      <c r="C1" s="9"/>
      <c r="D1" s="9"/>
      <c r="E1" s="9"/>
      <c r="F1" s="9"/>
      <c r="G1" s="9"/>
      <c r="H1" s="9"/>
    </row>
    <row r="2" spans="1:12" ht="38.4">
      <c r="A2" s="208" t="s">
        <v>232</v>
      </c>
      <c r="B2" s="209">
        <f>'Расходы на П, строит-во, ввод'!Z17</f>
        <v>404000</v>
      </c>
      <c r="C2" s="9"/>
      <c r="D2" s="9"/>
      <c r="E2" s="9"/>
      <c r="F2" s="9"/>
      <c r="G2" s="9"/>
      <c r="H2" s="9"/>
    </row>
    <row r="3" spans="1:12" ht="19.2">
      <c r="A3" s="208" t="s">
        <v>233</v>
      </c>
      <c r="B3" s="210">
        <v>7.4999999999999997E-2</v>
      </c>
      <c r="C3" s="9"/>
      <c r="D3" s="9"/>
      <c r="E3" s="9"/>
      <c r="F3" s="9"/>
      <c r="G3" s="9"/>
      <c r="H3" s="9"/>
    </row>
    <row r="4" spans="1:12" ht="19.2">
      <c r="A4" s="208" t="s">
        <v>234</v>
      </c>
      <c r="B4" s="211">
        <v>60</v>
      </c>
      <c r="C4" s="9"/>
      <c r="D4" s="9"/>
      <c r="E4" s="9"/>
      <c r="F4" s="9"/>
      <c r="G4" s="9"/>
      <c r="H4" s="9"/>
    </row>
    <row r="5" spans="1:12" ht="19.2">
      <c r="A5" s="208" t="s">
        <v>235</v>
      </c>
      <c r="B5" s="212">
        <f>E70-B2</f>
        <v>81719.873957919423</v>
      </c>
      <c r="C5" s="9"/>
      <c r="D5" s="9"/>
      <c r="E5" s="9"/>
      <c r="F5" s="9"/>
      <c r="G5" s="9"/>
      <c r="H5" s="9"/>
    </row>
    <row r="6" spans="1:12">
      <c r="B6" s="10"/>
      <c r="C6" s="9"/>
      <c r="D6" s="9"/>
      <c r="E6" s="9"/>
      <c r="F6" s="9"/>
      <c r="G6" s="9"/>
      <c r="H6" s="9"/>
    </row>
    <row r="7" spans="1:12">
      <c r="B7" s="10"/>
      <c r="C7" s="9"/>
      <c r="D7" s="9"/>
      <c r="E7" s="9"/>
      <c r="F7" s="9"/>
      <c r="G7" s="9"/>
      <c r="H7" s="9"/>
    </row>
    <row r="8" spans="1:12" ht="57.6">
      <c r="A8" s="470" t="s">
        <v>236</v>
      </c>
      <c r="B8" s="470" t="s">
        <v>237</v>
      </c>
      <c r="C8" s="470" t="s">
        <v>238</v>
      </c>
      <c r="D8" s="470" t="s">
        <v>239</v>
      </c>
      <c r="E8" s="470" t="s">
        <v>240</v>
      </c>
      <c r="F8" s="470" t="s">
        <v>241</v>
      </c>
      <c r="G8" s="470" t="s">
        <v>242</v>
      </c>
      <c r="H8" s="470" t="s">
        <v>228</v>
      </c>
      <c r="I8" s="471" t="s">
        <v>243</v>
      </c>
      <c r="J8" s="472" t="str">
        <f t="shared" ref="J8:J9" si="0">C8</f>
        <v>Выплата процентов</v>
      </c>
      <c r="K8" s="473" t="str">
        <f t="shared" ref="K8:L9" si="1">D8</f>
        <v>Выплата осн.долга</v>
      </c>
      <c r="L8" s="474" t="str">
        <f t="shared" si="1"/>
        <v>Итоговый платеж</v>
      </c>
    </row>
    <row r="9" spans="1:12" ht="19.2">
      <c r="A9" s="212">
        <v>1</v>
      </c>
      <c r="B9" s="213">
        <f>$B$2</f>
        <v>404000</v>
      </c>
      <c r="C9" s="213">
        <f>B9*($B$3/12)</f>
        <v>2525</v>
      </c>
      <c r="D9" s="213">
        <f>E9-C9</f>
        <v>5570.3312326320001</v>
      </c>
      <c r="E9" s="213">
        <f>-PMT(B3/12,B4,B2)</f>
        <v>8095.3312326320001</v>
      </c>
      <c r="G9" s="213">
        <f>SUM(E9:E11)</f>
        <v>24285.993697896</v>
      </c>
      <c r="H9" s="213">
        <f>SUM(D9:D11)</f>
        <v>16815.654999571623</v>
      </c>
      <c r="I9" s="215">
        <v>9</v>
      </c>
      <c r="J9" s="216">
        <f t="shared" si="0"/>
        <v>2525</v>
      </c>
      <c r="K9" s="216">
        <f t="shared" si="1"/>
        <v>5570.3312326320001</v>
      </c>
      <c r="L9" s="214">
        <f>E9</f>
        <v>8095.3312326320001</v>
      </c>
    </row>
    <row r="10" spans="1:12" ht="19.2">
      <c r="A10" s="212">
        <f>A9+1</f>
        <v>2</v>
      </c>
      <c r="B10" s="213">
        <f>$B$2-D9</f>
        <v>398429.66876736801</v>
      </c>
      <c r="C10" s="213">
        <f t="shared" ref="C10:C69" si="2">B10*($B$3/12)</f>
        <v>2490.1854297960499</v>
      </c>
      <c r="D10" s="213">
        <f t="shared" ref="D10:D70" si="3">E10-C10</f>
        <v>5605.1458028359502</v>
      </c>
      <c r="E10" s="213">
        <f>E9</f>
        <v>8095.3312326320001</v>
      </c>
      <c r="F10" s="213"/>
      <c r="G10" s="213"/>
      <c r="H10" s="213"/>
      <c r="I10" s="215">
        <f>I9+1</f>
        <v>10</v>
      </c>
      <c r="J10" s="696">
        <f>SUM(C10:C12)</f>
        <v>7365.2408545770522</v>
      </c>
      <c r="K10" s="696">
        <f>SUM(D10:D12)</f>
        <v>16920.752843318951</v>
      </c>
      <c r="L10" s="696">
        <f>SUM(E10:E12)</f>
        <v>24285.993697896</v>
      </c>
    </row>
    <row r="11" spans="1:12" ht="19.2">
      <c r="A11" s="212">
        <f t="shared" ref="A11:A68" si="4">A10+1</f>
        <v>3</v>
      </c>
      <c r="B11" s="213">
        <f t="shared" ref="B11:B69" si="5">B10-D10</f>
        <v>392824.52296453208</v>
      </c>
      <c r="C11" s="213">
        <f t="shared" si="2"/>
        <v>2455.1532685283255</v>
      </c>
      <c r="D11" s="213">
        <f t="shared" si="3"/>
        <v>5640.1779641036746</v>
      </c>
      <c r="E11" s="213">
        <f t="shared" ref="E11:E68" si="6">E10</f>
        <v>8095.3312326320001</v>
      </c>
      <c r="F11" s="213"/>
      <c r="G11" s="213"/>
      <c r="H11" s="213"/>
      <c r="I11" s="215">
        <f t="shared" ref="I11:I68" si="7">I10+1</f>
        <v>11</v>
      </c>
      <c r="J11" s="697"/>
      <c r="K11" s="697"/>
      <c r="L11" s="697"/>
    </row>
    <row r="12" spans="1:12" ht="19.2">
      <c r="A12" s="212">
        <f t="shared" si="4"/>
        <v>4</v>
      </c>
      <c r="B12" s="213">
        <f t="shared" si="5"/>
        <v>387184.34500042838</v>
      </c>
      <c r="C12" s="213">
        <f t="shared" si="2"/>
        <v>2419.9021562526773</v>
      </c>
      <c r="D12" s="213">
        <f t="shared" si="3"/>
        <v>5675.4290763793233</v>
      </c>
      <c r="E12" s="213">
        <f t="shared" si="6"/>
        <v>8095.3312326320001</v>
      </c>
      <c r="F12" s="213">
        <f>SUM(E9:E12)</f>
        <v>32381.324930528001</v>
      </c>
      <c r="G12" s="213">
        <f t="shared" ref="G12:G66" si="8">SUM(E12:E14)</f>
        <v>24285.993697896</v>
      </c>
      <c r="H12" s="213">
        <f>SUM(D12:D14)</f>
        <v>17132.923220768378</v>
      </c>
      <c r="I12" s="215">
        <f t="shared" si="7"/>
        <v>12</v>
      </c>
      <c r="J12" s="698"/>
      <c r="K12" s="698"/>
      <c r="L12" s="698"/>
    </row>
    <row r="13" spans="1:12" ht="19.2">
      <c r="A13" s="212">
        <f t="shared" si="4"/>
        <v>5</v>
      </c>
      <c r="B13" s="213">
        <f t="shared" si="5"/>
        <v>381508.91592404904</v>
      </c>
      <c r="C13" s="213">
        <f t="shared" si="2"/>
        <v>2384.4307245253062</v>
      </c>
      <c r="D13" s="213">
        <f t="shared" si="3"/>
        <v>5710.9005081066935</v>
      </c>
      <c r="E13" s="213">
        <f t="shared" si="6"/>
        <v>8095.3312326320001</v>
      </c>
      <c r="F13" s="213"/>
      <c r="G13" s="213"/>
      <c r="H13" s="213"/>
      <c r="I13" s="215">
        <v>1</v>
      </c>
      <c r="J13" s="696">
        <f>SUM(C13:C15)</f>
        <v>7045.9897069978197</v>
      </c>
      <c r="K13" s="696">
        <f>SUM(D13:D15)</f>
        <v>17240.003990898178</v>
      </c>
      <c r="L13" s="696">
        <f>SUM(E13:E15)</f>
        <v>24285.993697896</v>
      </c>
    </row>
    <row r="14" spans="1:12" ht="23.25" customHeight="1">
      <c r="A14" s="212">
        <f t="shared" si="4"/>
        <v>6</v>
      </c>
      <c r="B14" s="213">
        <f t="shared" si="5"/>
        <v>375798.01541594235</v>
      </c>
      <c r="C14" s="213">
        <f t="shared" si="2"/>
        <v>2348.7375963496397</v>
      </c>
      <c r="D14" s="213">
        <f t="shared" si="3"/>
        <v>5746.5936362823604</v>
      </c>
      <c r="E14" s="213">
        <f t="shared" si="6"/>
        <v>8095.3312326320001</v>
      </c>
      <c r="F14" s="213"/>
      <c r="G14" s="213"/>
      <c r="H14" s="213"/>
      <c r="I14" s="215">
        <f t="shared" si="7"/>
        <v>2</v>
      </c>
      <c r="J14" s="697"/>
      <c r="K14" s="697"/>
      <c r="L14" s="697"/>
    </row>
    <row r="15" spans="1:12" ht="19.2">
      <c r="A15" s="212">
        <f t="shared" si="4"/>
        <v>7</v>
      </c>
      <c r="B15" s="213">
        <f t="shared" si="5"/>
        <v>370051.42177965998</v>
      </c>
      <c r="C15" s="213">
        <f t="shared" si="2"/>
        <v>2312.8213861228746</v>
      </c>
      <c r="D15" s="213">
        <f t="shared" si="3"/>
        <v>5782.5098465091251</v>
      </c>
      <c r="E15" s="213">
        <f t="shared" si="6"/>
        <v>8095.3312326320001</v>
      </c>
      <c r="F15" s="213"/>
      <c r="G15" s="213">
        <f t="shared" si="8"/>
        <v>24285.993697896</v>
      </c>
      <c r="H15" s="213">
        <f>SUM(D15:D17)</f>
        <v>17456.177478440302</v>
      </c>
      <c r="I15" s="215">
        <f t="shared" si="7"/>
        <v>3</v>
      </c>
      <c r="J15" s="698"/>
      <c r="K15" s="698"/>
      <c r="L15" s="698"/>
    </row>
    <row r="16" spans="1:12" ht="19.2">
      <c r="A16" s="212">
        <f t="shared" si="4"/>
        <v>8</v>
      </c>
      <c r="B16" s="213">
        <f t="shared" si="5"/>
        <v>364268.91193315084</v>
      </c>
      <c r="C16" s="213">
        <f t="shared" si="2"/>
        <v>2276.6806995821926</v>
      </c>
      <c r="D16" s="213">
        <f t="shared" si="3"/>
        <v>5818.6505330498076</v>
      </c>
      <c r="E16" s="213">
        <f t="shared" si="6"/>
        <v>8095.3312326320001</v>
      </c>
      <c r="F16" s="213"/>
      <c r="G16" s="213"/>
      <c r="H16" s="213"/>
      <c r="I16" s="215">
        <f t="shared" si="7"/>
        <v>4</v>
      </c>
      <c r="J16" s="696">
        <f>SUM(C16:C18)</f>
        <v>6720.7151102154467</v>
      </c>
      <c r="K16" s="696">
        <f>SUM(D16:D18)</f>
        <v>17565.278587680554</v>
      </c>
      <c r="L16" s="696">
        <f>SUM(E16:E18)</f>
        <v>24285.993697896</v>
      </c>
    </row>
    <row r="17" spans="1:12" ht="19.2">
      <c r="A17" s="212">
        <f t="shared" si="4"/>
        <v>9</v>
      </c>
      <c r="B17" s="213">
        <f t="shared" si="5"/>
        <v>358450.26140010101</v>
      </c>
      <c r="C17" s="213">
        <f t="shared" si="2"/>
        <v>2240.3141337506313</v>
      </c>
      <c r="D17" s="213">
        <f t="shared" si="3"/>
        <v>5855.0170988813688</v>
      </c>
      <c r="E17" s="213">
        <f t="shared" si="6"/>
        <v>8095.3312326320001</v>
      </c>
      <c r="F17" s="213"/>
      <c r="G17" s="213"/>
      <c r="H17" s="213"/>
      <c r="I17" s="215">
        <f t="shared" si="7"/>
        <v>5</v>
      </c>
      <c r="J17" s="697"/>
      <c r="K17" s="697"/>
      <c r="L17" s="697"/>
    </row>
    <row r="18" spans="1:12" ht="19.2">
      <c r="A18" s="212">
        <f t="shared" si="4"/>
        <v>10</v>
      </c>
      <c r="B18" s="213">
        <f t="shared" si="5"/>
        <v>352595.24430121965</v>
      </c>
      <c r="C18" s="213">
        <f t="shared" si="2"/>
        <v>2203.7202768826228</v>
      </c>
      <c r="D18" s="213">
        <f t="shared" si="3"/>
        <v>5891.6109557493774</v>
      </c>
      <c r="E18" s="213">
        <f t="shared" si="6"/>
        <v>8095.3312326320001</v>
      </c>
      <c r="F18" s="213"/>
      <c r="G18" s="213">
        <f t="shared" si="8"/>
        <v>24285.993697896</v>
      </c>
      <c r="H18" s="213">
        <f>SUM(D18:D20)</f>
        <v>17785.530713721393</v>
      </c>
      <c r="I18" s="215">
        <f t="shared" si="7"/>
        <v>6</v>
      </c>
      <c r="J18" s="697"/>
      <c r="K18" s="698"/>
      <c r="L18" s="698"/>
    </row>
    <row r="19" spans="1:12" ht="19.2">
      <c r="A19" s="212">
        <f t="shared" si="4"/>
        <v>11</v>
      </c>
      <c r="B19" s="213">
        <f t="shared" si="5"/>
        <v>346703.63334547024</v>
      </c>
      <c r="C19" s="213">
        <f t="shared" si="2"/>
        <v>2166.8977084091889</v>
      </c>
      <c r="D19" s="213">
        <f t="shared" si="3"/>
        <v>5928.4335242228117</v>
      </c>
      <c r="E19" s="213">
        <f t="shared" si="6"/>
        <v>8095.3312326320001</v>
      </c>
      <c r="F19" s="213"/>
      <c r="G19" s="213"/>
      <c r="H19" s="213"/>
      <c r="I19" s="215">
        <f t="shared" si="7"/>
        <v>7</v>
      </c>
      <c r="J19" s="696">
        <f>SUM(C19:C21)</f>
        <v>6389.3034172138487</v>
      </c>
      <c r="K19" s="696">
        <f>SUM(D19:D21)</f>
        <v>17896.690280682153</v>
      </c>
      <c r="L19" s="696">
        <f>SUM(E19:E21)</f>
        <v>24285.993697896</v>
      </c>
    </row>
    <row r="20" spans="1:12" ht="19.2">
      <c r="A20" s="212">
        <f t="shared" si="4"/>
        <v>12</v>
      </c>
      <c r="B20" s="213">
        <f t="shared" si="5"/>
        <v>340775.19982124743</v>
      </c>
      <c r="C20" s="213">
        <f t="shared" si="2"/>
        <v>2129.8449988827961</v>
      </c>
      <c r="D20" s="213">
        <f t="shared" si="3"/>
        <v>5965.4862337492041</v>
      </c>
      <c r="E20" s="213">
        <f t="shared" si="6"/>
        <v>8095.3312326320001</v>
      </c>
      <c r="F20" s="75"/>
      <c r="G20" s="213"/>
      <c r="H20" s="213"/>
      <c r="I20" s="215">
        <f t="shared" si="7"/>
        <v>8</v>
      </c>
      <c r="J20" s="697"/>
      <c r="K20" s="697"/>
      <c r="L20" s="697"/>
    </row>
    <row r="21" spans="1:12" ht="19.2">
      <c r="A21" s="212">
        <v>1</v>
      </c>
      <c r="B21" s="213">
        <f t="shared" si="5"/>
        <v>334809.71358749823</v>
      </c>
      <c r="C21" s="213">
        <f t="shared" si="2"/>
        <v>2092.5607099218637</v>
      </c>
      <c r="D21" s="213">
        <f t="shared" si="3"/>
        <v>6002.770522710136</v>
      </c>
      <c r="E21" s="213">
        <f t="shared" si="6"/>
        <v>8095.3312326320001</v>
      </c>
      <c r="F21" s="75"/>
      <c r="G21" s="213">
        <f t="shared" si="8"/>
        <v>24285.993697896</v>
      </c>
      <c r="H21" s="213">
        <f t="shared" ref="H21:H66" si="9">SUM(D21:D23)</f>
        <v>18121.097998654768</v>
      </c>
      <c r="I21" s="215">
        <f t="shared" si="7"/>
        <v>9</v>
      </c>
      <c r="J21" s="698"/>
      <c r="K21" s="698"/>
      <c r="L21" s="698"/>
    </row>
    <row r="22" spans="1:12" ht="19.2">
      <c r="A22" s="212">
        <f t="shared" si="4"/>
        <v>2</v>
      </c>
      <c r="B22" s="213">
        <f t="shared" si="5"/>
        <v>328806.94306478812</v>
      </c>
      <c r="C22" s="213">
        <f t="shared" si="2"/>
        <v>2055.0433941549254</v>
      </c>
      <c r="D22" s="213">
        <f t="shared" si="3"/>
        <v>6040.2878384770747</v>
      </c>
      <c r="E22" s="213">
        <f t="shared" si="6"/>
        <v>8095.3312326320001</v>
      </c>
      <c r="F22" s="213"/>
      <c r="G22" s="213"/>
      <c r="H22" s="213"/>
      <c r="I22" s="215">
        <f t="shared" si="7"/>
        <v>10</v>
      </c>
      <c r="J22" s="696">
        <f>SUM(C22:C24)</f>
        <v>6051.6388367496411</v>
      </c>
      <c r="K22" s="696">
        <f>SUM(D22:D24)</f>
        <v>18234.354861146359</v>
      </c>
      <c r="L22" s="696">
        <f>SUM(E22:E24)</f>
        <v>24285.993697896</v>
      </c>
    </row>
    <row r="23" spans="1:12" ht="19.2">
      <c r="A23" s="212">
        <f t="shared" si="4"/>
        <v>3</v>
      </c>
      <c r="B23" s="213">
        <f t="shared" si="5"/>
        <v>322766.65522631106</v>
      </c>
      <c r="C23" s="213">
        <f t="shared" si="2"/>
        <v>2017.2915951644441</v>
      </c>
      <c r="D23" s="213">
        <f t="shared" si="3"/>
        <v>6078.0396374675565</v>
      </c>
      <c r="E23" s="213">
        <f t="shared" si="6"/>
        <v>8095.3312326320001</v>
      </c>
      <c r="F23" s="213"/>
      <c r="G23" s="213"/>
      <c r="H23" s="213"/>
      <c r="I23" s="215">
        <f t="shared" si="7"/>
        <v>11</v>
      </c>
      <c r="J23" s="697"/>
      <c r="K23" s="697"/>
      <c r="L23" s="697"/>
    </row>
    <row r="24" spans="1:12" ht="19.2">
      <c r="A24" s="212">
        <f t="shared" si="4"/>
        <v>4</v>
      </c>
      <c r="B24" s="213">
        <f t="shared" si="5"/>
        <v>316688.61558884353</v>
      </c>
      <c r="C24" s="213">
        <f t="shared" si="2"/>
        <v>1979.3038474302718</v>
      </c>
      <c r="D24" s="213">
        <f t="shared" si="3"/>
        <v>6116.0273852017281</v>
      </c>
      <c r="E24" s="213">
        <f t="shared" si="6"/>
        <v>8095.3312326320001</v>
      </c>
      <c r="F24" s="213">
        <f>SUM(E13:E24)</f>
        <v>97143.974791583998</v>
      </c>
      <c r="G24" s="213">
        <f t="shared" si="8"/>
        <v>24285.993697896</v>
      </c>
      <c r="H24" s="213">
        <f t="shared" si="9"/>
        <v>18462.996576397451</v>
      </c>
      <c r="I24" s="215">
        <f t="shared" si="7"/>
        <v>12</v>
      </c>
      <c r="J24" s="698"/>
      <c r="K24" s="698"/>
      <c r="L24" s="697"/>
    </row>
    <row r="25" spans="1:12" ht="19.2">
      <c r="A25" s="212">
        <f t="shared" si="4"/>
        <v>5</v>
      </c>
      <c r="B25" s="213">
        <f t="shared" si="5"/>
        <v>310572.58820364182</v>
      </c>
      <c r="C25" s="213">
        <f t="shared" si="2"/>
        <v>1941.0786762727612</v>
      </c>
      <c r="D25" s="213">
        <f t="shared" si="3"/>
        <v>6154.252556359239</v>
      </c>
      <c r="E25" s="213">
        <f t="shared" si="6"/>
        <v>8095.3312326320001</v>
      </c>
      <c r="F25" s="213"/>
      <c r="G25" s="213"/>
      <c r="H25" s="213"/>
      <c r="I25" s="215">
        <v>1</v>
      </c>
      <c r="J25" s="696">
        <f>SUM(C25:C27)</f>
        <v>5707.603392896066</v>
      </c>
      <c r="K25" s="696">
        <f>SUM(D25:D27)</f>
        <v>18578.390304999935</v>
      </c>
      <c r="L25" s="696">
        <f>SUM(E25:E27)</f>
        <v>24285.993697896</v>
      </c>
    </row>
    <row r="26" spans="1:12" ht="19.2">
      <c r="A26" s="212">
        <f t="shared" si="4"/>
        <v>6</v>
      </c>
      <c r="B26" s="213">
        <f t="shared" si="5"/>
        <v>304418.3356472826</v>
      </c>
      <c r="C26" s="213">
        <f t="shared" si="2"/>
        <v>1902.6145977955161</v>
      </c>
      <c r="D26" s="213">
        <f t="shared" si="3"/>
        <v>6192.7166348364844</v>
      </c>
      <c r="E26" s="213">
        <f t="shared" si="6"/>
        <v>8095.3312326320001</v>
      </c>
      <c r="F26" s="213"/>
      <c r="G26" s="213"/>
      <c r="H26" s="213"/>
      <c r="I26" s="215">
        <f t="shared" si="7"/>
        <v>2</v>
      </c>
      <c r="J26" s="697"/>
      <c r="K26" s="697"/>
      <c r="L26" s="697"/>
    </row>
    <row r="27" spans="1:12" ht="19.2">
      <c r="A27" s="212">
        <f t="shared" si="4"/>
        <v>7</v>
      </c>
      <c r="B27" s="213">
        <f t="shared" si="5"/>
        <v>298225.61901244614</v>
      </c>
      <c r="C27" s="213">
        <f t="shared" si="2"/>
        <v>1863.9101188277882</v>
      </c>
      <c r="D27" s="213">
        <f t="shared" si="3"/>
        <v>6231.4211138042119</v>
      </c>
      <c r="E27" s="213">
        <f t="shared" si="6"/>
        <v>8095.3312326320001</v>
      </c>
      <c r="F27" s="213"/>
      <c r="G27" s="213">
        <f t="shared" si="8"/>
        <v>24285.993697896</v>
      </c>
      <c r="H27" s="213">
        <f t="shared" si="9"/>
        <v>18811.345902183723</v>
      </c>
      <c r="I27" s="215">
        <f t="shared" si="7"/>
        <v>3</v>
      </c>
      <c r="J27" s="698"/>
      <c r="K27" s="698"/>
      <c r="L27" s="698"/>
    </row>
    <row r="28" spans="1:12" ht="19.2">
      <c r="A28" s="212">
        <f t="shared" si="4"/>
        <v>8</v>
      </c>
      <c r="B28" s="213">
        <f t="shared" si="5"/>
        <v>291994.19789864193</v>
      </c>
      <c r="C28" s="213">
        <f t="shared" si="2"/>
        <v>1824.9637368665119</v>
      </c>
      <c r="D28" s="213">
        <f t="shared" si="3"/>
        <v>6270.3674957654885</v>
      </c>
      <c r="E28" s="213">
        <f t="shared" si="6"/>
        <v>8095.3312326320001</v>
      </c>
      <c r="F28" s="213"/>
      <c r="G28" s="213"/>
      <c r="H28" s="213"/>
      <c r="I28" s="215">
        <f t="shared" si="7"/>
        <v>4</v>
      </c>
      <c r="J28" s="696">
        <f>SUM(C28:C30)</f>
        <v>5357.0768838236299</v>
      </c>
      <c r="K28" s="696">
        <f>SUM(D28:D30)</f>
        <v>18928.91681407237</v>
      </c>
      <c r="L28" s="696">
        <f>SUM(E28:E30)</f>
        <v>24285.993697896</v>
      </c>
    </row>
    <row r="29" spans="1:12" ht="19.2">
      <c r="A29" s="212">
        <f t="shared" si="4"/>
        <v>9</v>
      </c>
      <c r="B29" s="213">
        <f t="shared" si="5"/>
        <v>285723.83040287643</v>
      </c>
      <c r="C29" s="213">
        <f t="shared" si="2"/>
        <v>1785.7739400179776</v>
      </c>
      <c r="D29" s="213">
        <f t="shared" si="3"/>
        <v>6309.557292614023</v>
      </c>
      <c r="E29" s="213">
        <f t="shared" si="6"/>
        <v>8095.3312326320001</v>
      </c>
      <c r="F29" s="213"/>
      <c r="G29" s="213"/>
      <c r="H29" s="213"/>
      <c r="I29" s="215">
        <f t="shared" si="7"/>
        <v>5</v>
      </c>
      <c r="J29" s="697"/>
      <c r="K29" s="697"/>
      <c r="L29" s="697"/>
    </row>
    <row r="30" spans="1:12" ht="19.2">
      <c r="A30" s="212">
        <f t="shared" si="4"/>
        <v>10</v>
      </c>
      <c r="B30" s="213">
        <f t="shared" si="5"/>
        <v>279414.27311026241</v>
      </c>
      <c r="C30" s="213">
        <f t="shared" si="2"/>
        <v>1746.33920693914</v>
      </c>
      <c r="D30" s="213">
        <f t="shared" si="3"/>
        <v>6348.9920256928599</v>
      </c>
      <c r="E30" s="213">
        <f t="shared" si="6"/>
        <v>8095.3312326320001</v>
      </c>
      <c r="F30" s="213"/>
      <c r="G30" s="213">
        <f t="shared" si="8"/>
        <v>24285.993697896</v>
      </c>
      <c r="H30" s="213">
        <f t="shared" si="9"/>
        <v>19166.267685061328</v>
      </c>
      <c r="I30" s="215">
        <f t="shared" si="7"/>
        <v>6</v>
      </c>
      <c r="J30" s="698"/>
      <c r="K30" s="698"/>
      <c r="L30" s="698"/>
    </row>
    <row r="31" spans="1:12" ht="19.2">
      <c r="A31" s="212">
        <f t="shared" si="4"/>
        <v>11</v>
      </c>
      <c r="B31" s="213">
        <f t="shared" si="5"/>
        <v>273065.28108456952</v>
      </c>
      <c r="C31" s="213">
        <f t="shared" si="2"/>
        <v>1706.6580067785594</v>
      </c>
      <c r="D31" s="213">
        <f t="shared" si="3"/>
        <v>6388.6732258534412</v>
      </c>
      <c r="E31" s="213">
        <f t="shared" si="6"/>
        <v>8095.3312326320001</v>
      </c>
      <c r="F31" s="213"/>
      <c r="G31" s="213"/>
      <c r="H31" s="213"/>
      <c r="I31" s="215">
        <f t="shared" si="7"/>
        <v>7</v>
      </c>
      <c r="J31" s="696">
        <f>SUM(C31:C33)</f>
        <v>4999.9368398030419</v>
      </c>
      <c r="K31" s="696">
        <f>SUM(D31:D33)</f>
        <v>19286.056858092961</v>
      </c>
      <c r="L31" s="696">
        <f>SUM(E31:E33)</f>
        <v>24285.993697896</v>
      </c>
    </row>
    <row r="32" spans="1:12" ht="19.2">
      <c r="A32" s="212">
        <f t="shared" si="4"/>
        <v>12</v>
      </c>
      <c r="B32" s="213">
        <f t="shared" si="5"/>
        <v>266676.6078587161</v>
      </c>
      <c r="C32" s="213">
        <f t="shared" si="2"/>
        <v>1666.7287991169756</v>
      </c>
      <c r="D32" s="213">
        <f t="shared" si="3"/>
        <v>6428.602433515025</v>
      </c>
      <c r="E32" s="213">
        <f t="shared" si="6"/>
        <v>8095.3312326320001</v>
      </c>
      <c r="F32" s="213"/>
      <c r="G32" s="213"/>
      <c r="H32" s="213"/>
      <c r="I32" s="215">
        <f t="shared" si="7"/>
        <v>8</v>
      </c>
      <c r="J32" s="697"/>
      <c r="K32" s="697"/>
      <c r="L32" s="697"/>
    </row>
    <row r="33" spans="1:12" ht="19.2">
      <c r="A33" s="212">
        <v>1</v>
      </c>
      <c r="B33" s="213">
        <f t="shared" si="5"/>
        <v>260248.00542520109</v>
      </c>
      <c r="C33" s="213">
        <f t="shared" si="2"/>
        <v>1626.5500339075068</v>
      </c>
      <c r="D33" s="213">
        <f t="shared" si="3"/>
        <v>6468.7811987244932</v>
      </c>
      <c r="E33" s="213">
        <f t="shared" si="6"/>
        <v>8095.3312326320001</v>
      </c>
      <c r="G33" s="213">
        <f t="shared" si="8"/>
        <v>24285.993697896</v>
      </c>
      <c r="H33" s="213">
        <f t="shared" si="9"/>
        <v>19527.885930415141</v>
      </c>
      <c r="I33" s="215">
        <f t="shared" si="7"/>
        <v>9</v>
      </c>
      <c r="J33" s="698"/>
      <c r="K33" s="697"/>
      <c r="L33" s="698"/>
    </row>
    <row r="34" spans="1:12" ht="19.2">
      <c r="A34" s="212">
        <f t="shared" si="4"/>
        <v>2</v>
      </c>
      <c r="B34" s="213">
        <f t="shared" si="5"/>
        <v>253779.2242264766</v>
      </c>
      <c r="C34" s="213">
        <f t="shared" si="2"/>
        <v>1586.1201514154786</v>
      </c>
      <c r="D34" s="213">
        <f t="shared" si="3"/>
        <v>6509.2110812165211</v>
      </c>
      <c r="E34" s="213">
        <f t="shared" si="6"/>
        <v>8095.3312326320001</v>
      </c>
      <c r="F34" s="213"/>
      <c r="G34" s="213"/>
      <c r="H34" s="213"/>
      <c r="I34" s="215">
        <f t="shared" si="7"/>
        <v>10</v>
      </c>
      <c r="J34" s="696">
        <f>SUM(C34:C36)</f>
        <v>4636.0584804157661</v>
      </c>
      <c r="K34" s="696">
        <f>SUM(D34:D36)</f>
        <v>19649.935217480233</v>
      </c>
      <c r="L34" s="696">
        <f>SUM(E34:E36)</f>
        <v>24285.993697896</v>
      </c>
    </row>
    <row r="35" spans="1:12" ht="19.2">
      <c r="A35" s="212">
        <f t="shared" si="4"/>
        <v>3</v>
      </c>
      <c r="B35" s="213">
        <f t="shared" si="5"/>
        <v>247270.01314526008</v>
      </c>
      <c r="C35" s="213">
        <f t="shared" si="2"/>
        <v>1545.4375821578753</v>
      </c>
      <c r="D35" s="213">
        <f t="shared" si="3"/>
        <v>6549.893650474125</v>
      </c>
      <c r="E35" s="213">
        <f t="shared" si="6"/>
        <v>8095.3312326320001</v>
      </c>
      <c r="F35" s="213"/>
      <c r="G35" s="213"/>
      <c r="H35" s="213"/>
      <c r="I35" s="217">
        <f t="shared" si="7"/>
        <v>11</v>
      </c>
      <c r="J35" s="697"/>
      <c r="K35" s="697"/>
      <c r="L35" s="697"/>
    </row>
    <row r="36" spans="1:12" ht="19.2">
      <c r="A36" s="212">
        <f t="shared" si="4"/>
        <v>4</v>
      </c>
      <c r="B36" s="213">
        <f t="shared" si="5"/>
        <v>240720.11949478596</v>
      </c>
      <c r="C36" s="213">
        <f t="shared" si="2"/>
        <v>1504.5007468424121</v>
      </c>
      <c r="D36" s="213">
        <f t="shared" si="3"/>
        <v>6590.8304857895882</v>
      </c>
      <c r="E36" s="213">
        <f t="shared" si="6"/>
        <v>8095.3312326320001</v>
      </c>
      <c r="F36" s="213">
        <f>SUM(E25:E36)</f>
        <v>97143.974791583998</v>
      </c>
      <c r="G36" s="213">
        <f t="shared" si="8"/>
        <v>24285.993697896</v>
      </c>
      <c r="H36" s="213">
        <f t="shared" si="9"/>
        <v>19896.326983293169</v>
      </c>
      <c r="I36" s="217">
        <f t="shared" si="7"/>
        <v>12</v>
      </c>
      <c r="J36" s="698"/>
      <c r="K36" s="698"/>
      <c r="L36" s="698"/>
    </row>
    <row r="37" spans="1:12" ht="19.2">
      <c r="A37" s="212">
        <f t="shared" si="4"/>
        <v>5</v>
      </c>
      <c r="B37" s="213">
        <f t="shared" si="5"/>
        <v>234129.28900899636</v>
      </c>
      <c r="C37" s="213">
        <f t="shared" si="2"/>
        <v>1463.3080563062272</v>
      </c>
      <c r="D37" s="213">
        <f t="shared" si="3"/>
        <v>6632.0231763257725</v>
      </c>
      <c r="E37" s="213">
        <f t="shared" si="6"/>
        <v>8095.3312326320001</v>
      </c>
      <c r="F37" s="213"/>
      <c r="G37" s="213"/>
      <c r="H37" s="213"/>
      <c r="I37" s="217">
        <v>1</v>
      </c>
      <c r="J37" s="696">
        <f>SUM(C37:C39)</f>
        <v>4265.3146709572484</v>
      </c>
      <c r="K37" s="699">
        <f>SUM(D37:D39)</f>
        <v>20020.679026938753</v>
      </c>
      <c r="L37" s="696">
        <f>SUM(E37:E39)</f>
        <v>24285.993697896</v>
      </c>
    </row>
    <row r="38" spans="1:12" ht="19.2">
      <c r="A38" s="212">
        <f t="shared" si="4"/>
        <v>6</v>
      </c>
      <c r="B38" s="213">
        <f t="shared" si="5"/>
        <v>227497.26583267059</v>
      </c>
      <c r="C38" s="213">
        <f t="shared" si="2"/>
        <v>1421.857911454191</v>
      </c>
      <c r="D38" s="213">
        <f t="shared" si="3"/>
        <v>6673.4733211778093</v>
      </c>
      <c r="E38" s="213">
        <f t="shared" si="6"/>
        <v>8095.3312326320001</v>
      </c>
      <c r="F38" s="213"/>
      <c r="G38" s="213"/>
      <c r="H38" s="213"/>
      <c r="I38" s="217">
        <f t="shared" si="7"/>
        <v>2</v>
      </c>
      <c r="J38" s="697"/>
      <c r="K38" s="700"/>
      <c r="L38" s="697"/>
    </row>
    <row r="39" spans="1:12" ht="19.2">
      <c r="A39" s="212">
        <f t="shared" si="4"/>
        <v>7</v>
      </c>
      <c r="B39" s="213">
        <f t="shared" si="5"/>
        <v>220823.79251149276</v>
      </c>
      <c r="C39" s="213">
        <f t="shared" si="2"/>
        <v>1380.1487031968297</v>
      </c>
      <c r="D39" s="213">
        <f t="shared" si="3"/>
        <v>6715.1825294351702</v>
      </c>
      <c r="E39" s="213">
        <f t="shared" si="6"/>
        <v>8095.3312326320001</v>
      </c>
      <c r="F39" s="213"/>
      <c r="G39" s="213">
        <f t="shared" si="8"/>
        <v>24285.993697896</v>
      </c>
      <c r="H39" s="213">
        <f t="shared" si="9"/>
        <v>20271.719572549977</v>
      </c>
      <c r="I39" s="217">
        <f t="shared" si="7"/>
        <v>3</v>
      </c>
      <c r="J39" s="698"/>
      <c r="K39" s="700"/>
      <c r="L39" s="698"/>
    </row>
    <row r="40" spans="1:12" ht="19.2">
      <c r="A40" s="212">
        <f t="shared" si="4"/>
        <v>8</v>
      </c>
      <c r="B40" s="213">
        <f t="shared" si="5"/>
        <v>214108.60998205759</v>
      </c>
      <c r="C40" s="213">
        <f t="shared" si="2"/>
        <v>1338.1788123878598</v>
      </c>
      <c r="D40" s="213">
        <f t="shared" si="3"/>
        <v>6757.1524202441406</v>
      </c>
      <c r="E40" s="213">
        <f t="shared" si="6"/>
        <v>8095.3312326320001</v>
      </c>
      <c r="F40" s="213"/>
      <c r="G40" s="213"/>
      <c r="H40" s="213"/>
      <c r="I40" s="217">
        <f t="shared" si="7"/>
        <v>4</v>
      </c>
      <c r="J40" s="696">
        <f>SUM(C40:C42)</f>
        <v>3887.5758780175856</v>
      </c>
      <c r="K40" s="699">
        <f>SUM(D40:D42)</f>
        <v>20398.417819878414</v>
      </c>
      <c r="L40" s="696">
        <f>SUM(E40:E42)</f>
        <v>24285.993697896</v>
      </c>
    </row>
    <row r="41" spans="1:12" ht="19.2">
      <c r="A41" s="212">
        <f t="shared" si="4"/>
        <v>9</v>
      </c>
      <c r="B41" s="213">
        <f t="shared" si="5"/>
        <v>207351.45756181344</v>
      </c>
      <c r="C41" s="213">
        <f t="shared" si="2"/>
        <v>1295.946609761334</v>
      </c>
      <c r="D41" s="213">
        <f t="shared" si="3"/>
        <v>6799.3846228706661</v>
      </c>
      <c r="E41" s="213">
        <f t="shared" si="6"/>
        <v>8095.3312326320001</v>
      </c>
      <c r="F41" s="213"/>
      <c r="G41" s="213"/>
      <c r="H41" s="213"/>
      <c r="I41" s="217">
        <f t="shared" si="7"/>
        <v>5</v>
      </c>
      <c r="J41" s="697"/>
      <c r="K41" s="700"/>
      <c r="L41" s="697"/>
    </row>
    <row r="42" spans="1:12" ht="19.2">
      <c r="A42" s="212">
        <f t="shared" si="4"/>
        <v>10</v>
      </c>
      <c r="B42" s="213">
        <f t="shared" si="5"/>
        <v>200552.07293894279</v>
      </c>
      <c r="C42" s="213">
        <f t="shared" si="2"/>
        <v>1253.4504558683923</v>
      </c>
      <c r="D42" s="213">
        <f t="shared" si="3"/>
        <v>6841.8807767636081</v>
      </c>
      <c r="E42" s="213">
        <f t="shared" si="6"/>
        <v>8095.3312326320001</v>
      </c>
      <c r="F42" s="213"/>
      <c r="G42" s="213">
        <f t="shared" si="8"/>
        <v>24285.993697896</v>
      </c>
      <c r="H42" s="213">
        <f t="shared" si="9"/>
        <v>20654.194855822985</v>
      </c>
      <c r="I42" s="217">
        <f t="shared" si="7"/>
        <v>6</v>
      </c>
      <c r="J42" s="698"/>
      <c r="K42" s="701"/>
      <c r="L42" s="698"/>
    </row>
    <row r="43" spans="1:12" ht="19.2">
      <c r="A43" s="212">
        <f t="shared" si="4"/>
        <v>11</v>
      </c>
      <c r="B43" s="213">
        <f t="shared" si="5"/>
        <v>193710.19216217918</v>
      </c>
      <c r="C43" s="213">
        <f t="shared" si="2"/>
        <v>1210.6887010136197</v>
      </c>
      <c r="D43" s="213">
        <f t="shared" si="3"/>
        <v>6884.6425316183804</v>
      </c>
      <c r="E43" s="213">
        <f t="shared" si="6"/>
        <v>8095.3312326320001</v>
      </c>
      <c r="F43" s="213"/>
      <c r="G43" s="213"/>
      <c r="H43" s="213"/>
      <c r="I43" s="217">
        <f t="shared" si="7"/>
        <v>7</v>
      </c>
      <c r="J43" s="696">
        <f>SUM(C43:C45)</f>
        <v>3502.7101242241233</v>
      </c>
      <c r="K43" s="699">
        <f>SUM(D43:D45)</f>
        <v>20783.283573671877</v>
      </c>
      <c r="L43" s="696">
        <f>SUM(E43:E45)</f>
        <v>24285.993697896</v>
      </c>
    </row>
    <row r="44" spans="1:12" ht="19.2">
      <c r="A44" s="212">
        <f t="shared" si="4"/>
        <v>12</v>
      </c>
      <c r="B44" s="213">
        <f t="shared" si="5"/>
        <v>186825.5496305608</v>
      </c>
      <c r="C44" s="213">
        <f t="shared" si="2"/>
        <v>1167.6596851910049</v>
      </c>
      <c r="D44" s="213">
        <f t="shared" si="3"/>
        <v>6927.6715474409957</v>
      </c>
      <c r="E44" s="213">
        <f t="shared" si="6"/>
        <v>8095.3312326320001</v>
      </c>
      <c r="F44" s="213"/>
      <c r="G44" s="213"/>
      <c r="H44" s="213"/>
      <c r="I44" s="217">
        <f t="shared" si="7"/>
        <v>8</v>
      </c>
      <c r="J44" s="697"/>
      <c r="K44" s="700"/>
      <c r="L44" s="697"/>
    </row>
    <row r="45" spans="1:12" ht="19.2">
      <c r="A45" s="212">
        <v>1</v>
      </c>
      <c r="B45" s="213">
        <f t="shared" si="5"/>
        <v>179897.87808311981</v>
      </c>
      <c r="C45" s="213">
        <f t="shared" si="2"/>
        <v>1124.3617380194987</v>
      </c>
      <c r="D45" s="213">
        <f t="shared" si="3"/>
        <v>6970.9694946125019</v>
      </c>
      <c r="E45" s="213">
        <f t="shared" si="6"/>
        <v>8095.3312326320001</v>
      </c>
      <c r="G45" s="213">
        <f t="shared" si="8"/>
        <v>24285.993697896</v>
      </c>
      <c r="H45" s="213">
        <f t="shared" si="9"/>
        <v>21043.886465357373</v>
      </c>
      <c r="I45" s="217">
        <f t="shared" si="7"/>
        <v>9</v>
      </c>
      <c r="J45" s="698"/>
      <c r="K45" s="701"/>
      <c r="L45" s="698"/>
    </row>
    <row r="46" spans="1:12" ht="19.2">
      <c r="A46" s="212">
        <f t="shared" si="4"/>
        <v>2</v>
      </c>
      <c r="B46" s="213">
        <f t="shared" si="5"/>
        <v>172926.9085885073</v>
      </c>
      <c r="C46" s="213">
        <f t="shared" si="2"/>
        <v>1080.7931786781705</v>
      </c>
      <c r="D46" s="213">
        <f t="shared" si="3"/>
        <v>7014.5380539538291</v>
      </c>
      <c r="E46" s="213">
        <f t="shared" si="6"/>
        <v>8095.3312326320001</v>
      </c>
      <c r="F46" s="213"/>
      <c r="G46" s="213"/>
      <c r="H46" s="213"/>
      <c r="I46" s="217">
        <f t="shared" si="7"/>
        <v>10</v>
      </c>
      <c r="J46" s="696">
        <f>SUM(C46:C48)</f>
        <v>3110.5829421301451</v>
      </c>
      <c r="K46" s="699">
        <f>SUM(D46:D48)</f>
        <v>21175.410755765857</v>
      </c>
      <c r="L46" s="696">
        <f>SUM(E46:E48)</f>
        <v>24285.993697896</v>
      </c>
    </row>
    <row r="47" spans="1:12" ht="19.2">
      <c r="A47" s="212">
        <f t="shared" si="4"/>
        <v>3</v>
      </c>
      <c r="B47" s="213">
        <f t="shared" si="5"/>
        <v>165912.37053455348</v>
      </c>
      <c r="C47" s="213">
        <f t="shared" si="2"/>
        <v>1036.9523158409593</v>
      </c>
      <c r="D47" s="213">
        <f t="shared" si="3"/>
        <v>7058.3789167910409</v>
      </c>
      <c r="E47" s="213">
        <f t="shared" si="6"/>
        <v>8095.3312326320001</v>
      </c>
      <c r="F47" s="213"/>
      <c r="G47" s="213"/>
      <c r="H47" s="213"/>
      <c r="I47" s="217">
        <f t="shared" si="7"/>
        <v>11</v>
      </c>
      <c r="J47" s="697"/>
      <c r="K47" s="700"/>
      <c r="L47" s="697"/>
    </row>
    <row r="48" spans="1:12" ht="19.2">
      <c r="A48" s="212">
        <f t="shared" si="4"/>
        <v>4</v>
      </c>
      <c r="B48" s="213">
        <f t="shared" si="5"/>
        <v>158853.99161776245</v>
      </c>
      <c r="C48" s="213">
        <f t="shared" si="2"/>
        <v>992.83744761101525</v>
      </c>
      <c r="D48" s="213">
        <f t="shared" si="3"/>
        <v>7102.4937850209844</v>
      </c>
      <c r="E48" s="213">
        <f t="shared" si="6"/>
        <v>8095.3312326320001</v>
      </c>
      <c r="F48" s="213">
        <f>SUM(E37:E48)</f>
        <v>97143.974791583998</v>
      </c>
      <c r="G48" s="213">
        <f t="shared" si="8"/>
        <v>24285.993697896</v>
      </c>
      <c r="H48" s="213">
        <f t="shared" si="9"/>
        <v>21440.930554695573</v>
      </c>
      <c r="I48" s="217">
        <f t="shared" si="7"/>
        <v>12</v>
      </c>
      <c r="J48" s="698"/>
      <c r="K48" s="701"/>
      <c r="L48" s="697"/>
    </row>
    <row r="49" spans="1:12" ht="19.2">
      <c r="A49" s="212">
        <f t="shared" si="4"/>
        <v>5</v>
      </c>
      <c r="B49" s="213">
        <f t="shared" si="5"/>
        <v>151751.49783274147</v>
      </c>
      <c r="C49" s="213">
        <f t="shared" si="2"/>
        <v>948.44686145463413</v>
      </c>
      <c r="D49" s="213">
        <f t="shared" si="3"/>
        <v>7146.8843711773661</v>
      </c>
      <c r="E49" s="213">
        <f t="shared" si="6"/>
        <v>8095.3312326320001</v>
      </c>
      <c r="F49" s="213"/>
      <c r="G49" s="213"/>
      <c r="H49" s="213"/>
      <c r="I49" s="217">
        <v>1</v>
      </c>
      <c r="J49" s="696">
        <f>SUM(C49:C51)</f>
        <v>2711.0573272335778</v>
      </c>
      <c r="K49" s="699">
        <f>SUM(D49:D51)</f>
        <v>21574.936370662421</v>
      </c>
      <c r="L49" s="696">
        <f>SUM(E49:E51)</f>
        <v>24285.993697896</v>
      </c>
    </row>
    <row r="50" spans="1:12" ht="19.2">
      <c r="A50" s="212">
        <f t="shared" si="4"/>
        <v>6</v>
      </c>
      <c r="B50" s="213">
        <f t="shared" si="5"/>
        <v>144604.61346156412</v>
      </c>
      <c r="C50" s="213">
        <f t="shared" si="2"/>
        <v>903.77883413477571</v>
      </c>
      <c r="D50" s="213">
        <f t="shared" si="3"/>
        <v>7191.5523984972242</v>
      </c>
      <c r="E50" s="213">
        <f t="shared" si="6"/>
        <v>8095.3312326320001</v>
      </c>
      <c r="F50" s="213"/>
      <c r="G50" s="213"/>
      <c r="H50" s="213"/>
      <c r="I50" s="217">
        <f t="shared" si="7"/>
        <v>2</v>
      </c>
      <c r="J50" s="697"/>
      <c r="K50" s="700"/>
      <c r="L50" s="697"/>
    </row>
    <row r="51" spans="1:12" ht="19.2">
      <c r="A51" s="212">
        <f t="shared" si="4"/>
        <v>7</v>
      </c>
      <c r="B51" s="213">
        <f t="shared" si="5"/>
        <v>137413.06106306688</v>
      </c>
      <c r="C51" s="213">
        <f t="shared" si="2"/>
        <v>858.83163164416794</v>
      </c>
      <c r="D51" s="213">
        <f t="shared" si="3"/>
        <v>7236.4996009878323</v>
      </c>
      <c r="E51" s="213">
        <f t="shared" si="6"/>
        <v>8095.3312326320001</v>
      </c>
      <c r="F51" s="213"/>
      <c r="G51" s="213">
        <f t="shared" si="8"/>
        <v>24285.993697896</v>
      </c>
      <c r="H51" s="213">
        <f t="shared" si="9"/>
        <v>21845.465846247684</v>
      </c>
      <c r="I51" s="217">
        <f t="shared" si="7"/>
        <v>3</v>
      </c>
      <c r="J51" s="698"/>
      <c r="K51" s="701"/>
      <c r="L51" s="698"/>
    </row>
    <row r="52" spans="1:12" ht="19.2">
      <c r="A52" s="212">
        <f t="shared" si="4"/>
        <v>8</v>
      </c>
      <c r="B52" s="213">
        <f t="shared" si="5"/>
        <v>130176.56146207904</v>
      </c>
      <c r="C52" s="213">
        <f t="shared" si="2"/>
        <v>813.60350913799391</v>
      </c>
      <c r="D52" s="213">
        <f t="shared" si="3"/>
        <v>7281.7277234940066</v>
      </c>
      <c r="E52" s="213">
        <f t="shared" si="6"/>
        <v>8095.3312326320001</v>
      </c>
      <c r="F52" s="213"/>
      <c r="G52" s="213"/>
      <c r="H52" s="213"/>
      <c r="I52" s="217">
        <f t="shared" si="7"/>
        <v>4</v>
      </c>
      <c r="J52" s="696">
        <f>SUM(C52:C54)</f>
        <v>2303.9936901092701</v>
      </c>
      <c r="K52" s="699">
        <f>SUM(D52:D54)</f>
        <v>21982.00000778673</v>
      </c>
      <c r="L52" s="696">
        <f>SUM(E52:E54)</f>
        <v>24285.993697896</v>
      </c>
    </row>
    <row r="53" spans="1:12" ht="19.2">
      <c r="A53" s="212">
        <f t="shared" si="4"/>
        <v>9</v>
      </c>
      <c r="B53" s="213">
        <f t="shared" si="5"/>
        <v>122894.83373858503</v>
      </c>
      <c r="C53" s="213">
        <f t="shared" si="2"/>
        <v>768.09271086615638</v>
      </c>
      <c r="D53" s="213">
        <f t="shared" si="3"/>
        <v>7327.2385217658439</v>
      </c>
      <c r="E53" s="213">
        <f t="shared" si="6"/>
        <v>8095.3312326320001</v>
      </c>
      <c r="F53" s="213"/>
      <c r="G53" s="213"/>
      <c r="H53" s="213"/>
      <c r="I53" s="217">
        <f t="shared" si="7"/>
        <v>5</v>
      </c>
      <c r="J53" s="697"/>
      <c r="K53" s="700"/>
      <c r="L53" s="697"/>
    </row>
    <row r="54" spans="1:12" ht="19.2">
      <c r="A54" s="212">
        <f t="shared" si="4"/>
        <v>10</v>
      </c>
      <c r="B54" s="213">
        <f t="shared" si="5"/>
        <v>115567.59521681919</v>
      </c>
      <c r="C54" s="213">
        <f t="shared" si="2"/>
        <v>722.29747010511983</v>
      </c>
      <c r="D54" s="213">
        <f t="shared" si="3"/>
        <v>7373.0337625268803</v>
      </c>
      <c r="E54" s="213">
        <f t="shared" si="6"/>
        <v>8095.3312326320001</v>
      </c>
      <c r="F54" s="213"/>
      <c r="G54" s="213">
        <f t="shared" si="8"/>
        <v>24285.993697896</v>
      </c>
      <c r="H54" s="213">
        <f t="shared" si="9"/>
        <v>22257.633679759369</v>
      </c>
      <c r="I54" s="217">
        <f t="shared" si="7"/>
        <v>6</v>
      </c>
      <c r="J54" s="698"/>
      <c r="K54" s="701"/>
      <c r="L54" s="698"/>
    </row>
    <row r="55" spans="1:12" ht="19.2">
      <c r="A55" s="212">
        <f t="shared" si="4"/>
        <v>11</v>
      </c>
      <c r="B55" s="213">
        <f t="shared" si="5"/>
        <v>108194.5614542923</v>
      </c>
      <c r="C55" s="213">
        <f t="shared" si="2"/>
        <v>676.2160090893268</v>
      </c>
      <c r="D55" s="213">
        <f t="shared" si="3"/>
        <v>7419.1152235426734</v>
      </c>
      <c r="E55" s="213">
        <f t="shared" si="6"/>
        <v>8095.3312326320001</v>
      </c>
      <c r="F55" s="213"/>
      <c r="G55" s="213"/>
      <c r="H55" s="213"/>
      <c r="I55" s="217">
        <f t="shared" si="7"/>
        <v>7</v>
      </c>
      <c r="J55" s="696">
        <f>SUM(C55:C57)</f>
        <v>1889.2498076381357</v>
      </c>
      <c r="K55" s="699">
        <f>SUM(D55:D57)</f>
        <v>22396.743890257865</v>
      </c>
      <c r="L55" s="696">
        <f>SUM(E55:E57)</f>
        <v>24285.993697896</v>
      </c>
    </row>
    <row r="56" spans="1:12" ht="19.2">
      <c r="A56" s="212">
        <f t="shared" si="4"/>
        <v>12</v>
      </c>
      <c r="B56" s="213">
        <f t="shared" si="5"/>
        <v>100775.44623074963</v>
      </c>
      <c r="C56" s="213">
        <f t="shared" si="2"/>
        <v>629.84653894218513</v>
      </c>
      <c r="D56" s="213">
        <f t="shared" si="3"/>
        <v>7465.4846936898148</v>
      </c>
      <c r="E56" s="213">
        <f t="shared" si="6"/>
        <v>8095.3312326320001</v>
      </c>
      <c r="F56" s="213"/>
      <c r="G56" s="213"/>
      <c r="H56" s="213"/>
      <c r="I56" s="217">
        <f t="shared" si="7"/>
        <v>8</v>
      </c>
      <c r="J56" s="697"/>
      <c r="K56" s="700"/>
      <c r="L56" s="697"/>
    </row>
    <row r="57" spans="1:12" ht="19.2">
      <c r="A57" s="212">
        <v>1</v>
      </c>
      <c r="B57" s="213">
        <f t="shared" si="5"/>
        <v>93309.961537059819</v>
      </c>
      <c r="C57" s="213">
        <f t="shared" si="2"/>
        <v>583.1872596066238</v>
      </c>
      <c r="D57" s="213">
        <f t="shared" si="3"/>
        <v>7512.143973025376</v>
      </c>
      <c r="E57" s="213">
        <f t="shared" si="6"/>
        <v>8095.3312326320001</v>
      </c>
      <c r="G57" s="213">
        <f t="shared" si="8"/>
        <v>24285.993697896</v>
      </c>
      <c r="H57" s="213">
        <f t="shared" si="9"/>
        <v>22677.578061694301</v>
      </c>
      <c r="I57" s="217">
        <f t="shared" si="7"/>
        <v>9</v>
      </c>
      <c r="J57" s="698"/>
      <c r="K57" s="700"/>
      <c r="L57" s="698"/>
    </row>
    <row r="58" spans="1:12" ht="19.2">
      <c r="A58" s="212">
        <f t="shared" si="4"/>
        <v>2</v>
      </c>
      <c r="B58" s="213">
        <f t="shared" si="5"/>
        <v>85797.817564034442</v>
      </c>
      <c r="C58" s="213">
        <f t="shared" si="2"/>
        <v>536.23635977521519</v>
      </c>
      <c r="D58" s="213">
        <f t="shared" si="3"/>
        <v>7559.0948728567846</v>
      </c>
      <c r="E58" s="213">
        <f t="shared" si="6"/>
        <v>8095.3312326320001</v>
      </c>
      <c r="F58" s="213"/>
      <c r="G58" s="213"/>
      <c r="H58" s="213"/>
      <c r="I58" s="217">
        <f t="shared" si="7"/>
        <v>10</v>
      </c>
      <c r="J58" s="696">
        <f>SUM(C58:C60)</f>
        <v>1466.6807733161099</v>
      </c>
      <c r="K58" s="699">
        <f>SUM(D58:D60)</f>
        <v>22819.312924579892</v>
      </c>
      <c r="L58" s="696">
        <f>SUM(E58:E60)</f>
        <v>24285.993697896</v>
      </c>
    </row>
    <row r="59" spans="1:12" ht="19.2">
      <c r="A59" s="212">
        <f t="shared" si="4"/>
        <v>3</v>
      </c>
      <c r="B59" s="213">
        <f t="shared" si="5"/>
        <v>78238.722691177652</v>
      </c>
      <c r="C59" s="213">
        <f t="shared" si="2"/>
        <v>488.99201681986028</v>
      </c>
      <c r="D59" s="213">
        <f t="shared" si="3"/>
        <v>7606.3392158121396</v>
      </c>
      <c r="E59" s="213">
        <f t="shared" si="6"/>
        <v>8095.3312326320001</v>
      </c>
      <c r="F59" s="213"/>
      <c r="G59" s="213"/>
      <c r="H59" s="213"/>
      <c r="I59" s="217">
        <f t="shared" si="7"/>
        <v>11</v>
      </c>
      <c r="J59" s="697"/>
      <c r="K59" s="700"/>
      <c r="L59" s="697"/>
    </row>
    <row r="60" spans="1:12" ht="19.2">
      <c r="A60" s="212">
        <f t="shared" si="4"/>
        <v>4</v>
      </c>
      <c r="B60" s="213">
        <f t="shared" si="5"/>
        <v>70632.38347536551</v>
      </c>
      <c r="C60" s="213">
        <f t="shared" si="2"/>
        <v>441.4523967210344</v>
      </c>
      <c r="D60" s="213">
        <f t="shared" si="3"/>
        <v>7653.8788359109658</v>
      </c>
      <c r="E60" s="213">
        <f t="shared" si="6"/>
        <v>8095.3312326320001</v>
      </c>
      <c r="F60" s="213">
        <f>SUM(E49:E60)</f>
        <v>97143.974791583998</v>
      </c>
      <c r="G60" s="213">
        <f t="shared" si="8"/>
        <v>24285.993697896</v>
      </c>
      <c r="H60" s="213">
        <f t="shared" si="9"/>
        <v>23105.445715548256</v>
      </c>
      <c r="I60" s="217">
        <f t="shared" si="7"/>
        <v>12</v>
      </c>
      <c r="J60" s="698"/>
      <c r="K60" s="701"/>
      <c r="L60" s="698"/>
    </row>
    <row r="61" spans="1:12" ht="19.2">
      <c r="A61" s="212">
        <f t="shared" si="4"/>
        <v>5</v>
      </c>
      <c r="B61" s="213">
        <f t="shared" si="5"/>
        <v>62978.504639454542</v>
      </c>
      <c r="C61" s="213">
        <f t="shared" si="2"/>
        <v>393.61565399659088</v>
      </c>
      <c r="D61" s="213">
        <f t="shared" si="3"/>
        <v>7701.7155786354097</v>
      </c>
      <c r="E61" s="213">
        <f t="shared" si="6"/>
        <v>8095.3312326320001</v>
      </c>
      <c r="F61" s="213"/>
      <c r="G61" s="213"/>
      <c r="H61" s="213"/>
      <c r="I61" s="217">
        <v>1</v>
      </c>
      <c r="J61" s="696">
        <f>SUM(C61:C63)</f>
        <v>1036.1389466255682</v>
      </c>
      <c r="K61" s="699">
        <f>SUM(D61:D63)</f>
        <v>23249.854751270432</v>
      </c>
      <c r="L61" s="696">
        <f>SUM(E61:E63)</f>
        <v>24285.993697896</v>
      </c>
    </row>
    <row r="62" spans="1:12" ht="19.2">
      <c r="A62" s="212">
        <f t="shared" si="4"/>
        <v>6</v>
      </c>
      <c r="B62" s="213">
        <f t="shared" si="5"/>
        <v>55276.78906081913</v>
      </c>
      <c r="C62" s="213">
        <f t="shared" si="2"/>
        <v>345.47993163011955</v>
      </c>
      <c r="D62" s="213">
        <f t="shared" si="3"/>
        <v>7749.8513010018805</v>
      </c>
      <c r="E62" s="213">
        <f t="shared" si="6"/>
        <v>8095.3312326320001</v>
      </c>
      <c r="F62" s="213"/>
      <c r="G62" s="213"/>
      <c r="H62" s="213"/>
      <c r="I62" s="217">
        <f t="shared" si="7"/>
        <v>2</v>
      </c>
      <c r="J62" s="697"/>
      <c r="K62" s="700"/>
      <c r="L62" s="697"/>
    </row>
    <row r="63" spans="1:12" ht="19.2">
      <c r="A63" s="212">
        <f t="shared" si="4"/>
        <v>7</v>
      </c>
      <c r="B63" s="213">
        <f t="shared" si="5"/>
        <v>47526.93775981725</v>
      </c>
      <c r="C63" s="213">
        <f t="shared" si="2"/>
        <v>297.04336099885779</v>
      </c>
      <c r="D63" s="213">
        <f t="shared" si="3"/>
        <v>7798.2878716331425</v>
      </c>
      <c r="E63" s="213">
        <f t="shared" si="6"/>
        <v>8095.3312326320001</v>
      </c>
      <c r="F63" s="213"/>
      <c r="G63" s="213">
        <f t="shared" si="8"/>
        <v>24285.993697896</v>
      </c>
      <c r="H63" s="213">
        <f t="shared" si="9"/>
        <v>23541.386133112534</v>
      </c>
      <c r="I63" s="217">
        <f t="shared" si="7"/>
        <v>3</v>
      </c>
      <c r="J63" s="698"/>
      <c r="K63" s="701"/>
      <c r="L63" s="698"/>
    </row>
    <row r="64" spans="1:12" ht="19.2">
      <c r="A64" s="212">
        <f t="shared" si="4"/>
        <v>8</v>
      </c>
      <c r="B64" s="213">
        <f t="shared" si="5"/>
        <v>39728.649888184111</v>
      </c>
      <c r="C64" s="213">
        <f t="shared" si="2"/>
        <v>248.30406180115068</v>
      </c>
      <c r="D64" s="213">
        <f t="shared" si="3"/>
        <v>7847.0271708308492</v>
      </c>
      <c r="E64" s="213">
        <f t="shared" si="6"/>
        <v>8095.3312326320001</v>
      </c>
      <c r="F64" s="213"/>
      <c r="G64" s="213"/>
      <c r="H64" s="213"/>
      <c r="I64" s="217">
        <f t="shared" si="7"/>
        <v>4</v>
      </c>
      <c r="J64" s="696">
        <f>SUM(C64:C66)</f>
        <v>597.47390145151303</v>
      </c>
      <c r="K64" s="699">
        <f>SUM(D64:D66)</f>
        <v>23688.519796444485</v>
      </c>
      <c r="L64" s="696">
        <f>SUM(E64:E66)</f>
        <v>24285.993697896</v>
      </c>
    </row>
    <row r="65" spans="1:12" ht="19.2">
      <c r="A65" s="212">
        <f t="shared" si="4"/>
        <v>9</v>
      </c>
      <c r="B65" s="213">
        <f t="shared" si="5"/>
        <v>31881.622717353261</v>
      </c>
      <c r="C65" s="213">
        <f t="shared" si="2"/>
        <v>199.26014198345786</v>
      </c>
      <c r="D65" s="213">
        <f t="shared" si="3"/>
        <v>7896.0710906485419</v>
      </c>
      <c r="E65" s="213">
        <f t="shared" si="6"/>
        <v>8095.3312326320001</v>
      </c>
      <c r="F65" s="213"/>
      <c r="G65" s="213"/>
      <c r="H65" s="213"/>
      <c r="I65" s="217">
        <f t="shared" si="7"/>
        <v>5</v>
      </c>
      <c r="J65" s="697"/>
      <c r="K65" s="700"/>
      <c r="L65" s="697"/>
    </row>
    <row r="66" spans="1:12" ht="19.2">
      <c r="A66" s="212">
        <f t="shared" si="4"/>
        <v>10</v>
      </c>
      <c r="B66" s="213">
        <f t="shared" si="5"/>
        <v>23985.551626704721</v>
      </c>
      <c r="C66" s="213">
        <f t="shared" si="2"/>
        <v>149.90969766690449</v>
      </c>
      <c r="D66" s="213">
        <f t="shared" si="3"/>
        <v>7945.4215349650958</v>
      </c>
      <c r="E66" s="213">
        <f t="shared" si="6"/>
        <v>8095.3312326320001</v>
      </c>
      <c r="F66" s="213"/>
      <c r="G66" s="213">
        <f t="shared" si="8"/>
        <v>24285.993697896</v>
      </c>
      <c r="H66" s="213">
        <f t="shared" si="9"/>
        <v>23985.55162670459</v>
      </c>
      <c r="I66" s="217">
        <f t="shared" si="7"/>
        <v>6</v>
      </c>
      <c r="J66" s="698"/>
      <c r="K66" s="701"/>
      <c r="L66" s="698"/>
    </row>
    <row r="67" spans="1:12" ht="19.2">
      <c r="A67" s="212">
        <f t="shared" si="4"/>
        <v>11</v>
      </c>
      <c r="B67" s="213">
        <f t="shared" si="5"/>
        <v>16040.130091739626</v>
      </c>
      <c r="C67" s="213">
        <f t="shared" si="2"/>
        <v>100.25081307337265</v>
      </c>
      <c r="D67" s="213">
        <f t="shared" si="3"/>
        <v>7995.0804195586279</v>
      </c>
      <c r="E67" s="213">
        <f t="shared" si="6"/>
        <v>8095.3312326320001</v>
      </c>
      <c r="F67" s="213"/>
      <c r="G67" s="213"/>
      <c r="H67" s="213"/>
      <c r="I67" s="217">
        <f t="shared" si="7"/>
        <v>7</v>
      </c>
      <c r="J67" s="702">
        <f>SUM(C67:C68)</f>
        <v>150.5323735245039</v>
      </c>
      <c r="K67" s="699">
        <f>SUM(D67:D69)</f>
        <v>16040.130091739496</v>
      </c>
      <c r="L67" s="696">
        <f>SUM(E67:E69)</f>
        <v>16190.662465264</v>
      </c>
    </row>
    <row r="68" spans="1:12" ht="19.2">
      <c r="A68" s="212">
        <f t="shared" si="4"/>
        <v>12</v>
      </c>
      <c r="B68" s="213">
        <f t="shared" si="5"/>
        <v>8045.0496721809977</v>
      </c>
      <c r="C68" s="213">
        <f t="shared" si="2"/>
        <v>50.281560451131234</v>
      </c>
      <c r="D68" s="213">
        <f t="shared" si="3"/>
        <v>8045.0496721808686</v>
      </c>
      <c r="E68" s="213">
        <f t="shared" si="6"/>
        <v>8095.3312326320001</v>
      </c>
      <c r="F68" s="213">
        <f>SUM(E61:E68)</f>
        <v>64762.649861056001</v>
      </c>
      <c r="G68" s="213"/>
      <c r="H68" s="213"/>
      <c r="I68" s="217">
        <f t="shared" si="7"/>
        <v>8</v>
      </c>
      <c r="J68" s="703"/>
      <c r="K68" s="701"/>
      <c r="L68" s="698"/>
    </row>
    <row r="69" spans="1:12" ht="19.2">
      <c r="A69" s="212"/>
      <c r="B69" s="213">
        <f t="shared" si="5"/>
        <v>1.2914824765175581E-10</v>
      </c>
      <c r="C69" s="213">
        <f t="shared" si="2"/>
        <v>8.0717654782347377E-13</v>
      </c>
      <c r="D69" s="213">
        <f t="shared" si="3"/>
        <v>-8.0717654782347377E-13</v>
      </c>
      <c r="E69" s="213"/>
      <c r="F69" s="75"/>
      <c r="G69" s="213">
        <f>SUM(E69:E69)</f>
        <v>0</v>
      </c>
      <c r="H69" s="213">
        <f>SUM(D69:D69)</f>
        <v>-8.0717654782347377E-13</v>
      </c>
      <c r="I69" s="217"/>
      <c r="J69" s="218">
        <f>SUM(J9:J68)</f>
        <v>81719.873957920077</v>
      </c>
      <c r="K69" s="218">
        <f t="shared" ref="K69:L69" si="10">SUM(K9:K68)</f>
        <v>403999.99999999988</v>
      </c>
      <c r="L69" s="218">
        <f t="shared" si="10"/>
        <v>485719.87395792006</v>
      </c>
    </row>
    <row r="70" spans="1:12" ht="19.2">
      <c r="A70" s="212"/>
      <c r="B70" s="213"/>
      <c r="C70" s="213"/>
      <c r="D70" s="213">
        <f t="shared" si="3"/>
        <v>485719.87395791942</v>
      </c>
      <c r="E70" s="213">
        <f>SUM(E9:E69)</f>
        <v>485719.87395791942</v>
      </c>
      <c r="F70" s="213">
        <f t="shared" ref="F70:H70" si="11">SUM(F9:F69)</f>
        <v>485719.87395792</v>
      </c>
      <c r="G70" s="213">
        <f t="shared" si="11"/>
        <v>485719.87395792012</v>
      </c>
      <c r="H70" s="213">
        <f t="shared" si="11"/>
        <v>403999.99999999988</v>
      </c>
      <c r="I70" s="219"/>
      <c r="J70" s="220"/>
      <c r="K70" s="221"/>
      <c r="L70" s="10"/>
    </row>
    <row r="71" spans="1:12">
      <c r="L71" s="10"/>
    </row>
  </sheetData>
  <mergeCells count="61">
    <mergeCell ref="J64:J66"/>
    <mergeCell ref="K64:K66"/>
    <mergeCell ref="L64:L66"/>
    <mergeCell ref="J67:J68"/>
    <mergeCell ref="K67:K68"/>
    <mergeCell ref="L67:L68"/>
    <mergeCell ref="J58:J60"/>
    <mergeCell ref="K58:K60"/>
    <mergeCell ref="L58:L60"/>
    <mergeCell ref="J61:J63"/>
    <mergeCell ref="K61:K63"/>
    <mergeCell ref="L61:L63"/>
    <mergeCell ref="J52:J54"/>
    <mergeCell ref="K52:K54"/>
    <mergeCell ref="L52:L54"/>
    <mergeCell ref="J55:J57"/>
    <mergeCell ref="K55:K57"/>
    <mergeCell ref="L55:L57"/>
    <mergeCell ref="J46:J48"/>
    <mergeCell ref="K46:K48"/>
    <mergeCell ref="L46:L48"/>
    <mergeCell ref="J49:J51"/>
    <mergeCell ref="K49:K51"/>
    <mergeCell ref="L49:L51"/>
    <mergeCell ref="J40:J42"/>
    <mergeCell ref="K40:K42"/>
    <mergeCell ref="L40:L42"/>
    <mergeCell ref="J43:J45"/>
    <mergeCell ref="K43:K45"/>
    <mergeCell ref="L43:L45"/>
    <mergeCell ref="J34:J36"/>
    <mergeCell ref="K34:K36"/>
    <mergeCell ref="L34:L36"/>
    <mergeCell ref="J37:J39"/>
    <mergeCell ref="K37:K39"/>
    <mergeCell ref="L37:L39"/>
    <mergeCell ref="J28:J30"/>
    <mergeCell ref="K28:K30"/>
    <mergeCell ref="L28:L30"/>
    <mergeCell ref="J31:J33"/>
    <mergeCell ref="K31:K33"/>
    <mergeCell ref="L31:L33"/>
    <mergeCell ref="J22:J24"/>
    <mergeCell ref="K22:K24"/>
    <mergeCell ref="L22:L24"/>
    <mergeCell ref="J25:J27"/>
    <mergeCell ref="K25:K27"/>
    <mergeCell ref="L25:L27"/>
    <mergeCell ref="J16:J18"/>
    <mergeCell ref="K16:K18"/>
    <mergeCell ref="L16:L18"/>
    <mergeCell ref="J19:J21"/>
    <mergeCell ref="K19:K21"/>
    <mergeCell ref="L19:L21"/>
    <mergeCell ref="A1:B1"/>
    <mergeCell ref="J10:J12"/>
    <mergeCell ref="K10:K12"/>
    <mergeCell ref="L10:L12"/>
    <mergeCell ref="J13:J15"/>
    <mergeCell ref="K13:K15"/>
    <mergeCell ref="L13:L15"/>
  </mergeCells>
  <pageMargins left="0.7" right="0.7" top="0.75" bottom="0.75" header="0.3" footer="0.3"/>
  <pageSetup paperSize="8" scale="62" firstPageNumber="2147483648" orientation="portrait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Лист8">
    <tabColor rgb="FF7030A0"/>
    <pageSetUpPr fitToPage="1"/>
  </sheetPr>
  <dimension ref="A1:BG91"/>
  <sheetViews>
    <sheetView topLeftCell="A52" zoomScale="30" zoomScaleNormal="30" workbookViewId="0">
      <pane xSplit="1" topLeftCell="B1" activePane="topRight" state="frozen"/>
      <selection activeCell="AX65" sqref="AX65"/>
      <selection pane="topRight" activeCell="N71" sqref="N71"/>
    </sheetView>
  </sheetViews>
  <sheetFormatPr defaultColWidth="9.109375" defaultRowHeight="14.4"/>
  <cols>
    <col min="1" max="1" width="22.33203125" style="5" customWidth="1"/>
    <col min="2" max="2" width="13.109375" style="80" customWidth="1"/>
    <col min="3" max="3" width="12.109375" style="93" customWidth="1"/>
    <col min="4" max="5" width="12.109375" style="80" customWidth="1"/>
    <col min="6" max="6" width="13.6640625" style="80" customWidth="1"/>
    <col min="7" max="7" width="14.33203125" style="80" customWidth="1"/>
    <col min="8" max="9" width="12.109375" style="80" customWidth="1"/>
    <col min="10" max="10" width="13.88671875" style="80" customWidth="1"/>
    <col min="11" max="11" width="14.33203125" style="80" customWidth="1"/>
    <col min="12" max="12" width="14" style="80" customWidth="1"/>
    <col min="13" max="13" width="16.33203125" style="80" customWidth="1"/>
    <col min="14" max="14" width="14" style="80" customWidth="1"/>
    <col min="15" max="15" width="11.33203125" style="80" customWidth="1"/>
    <col min="16" max="17" width="9.33203125" style="80" bestFit="1" customWidth="1"/>
    <col min="18" max="18" width="11.33203125" style="80" bestFit="1" customWidth="1"/>
    <col min="19" max="19" width="11.6640625" style="80" bestFit="1" customWidth="1"/>
    <col min="20" max="20" width="9.33203125" style="80" bestFit="1" customWidth="1"/>
    <col min="21" max="22" width="11.33203125" style="80" bestFit="1" customWidth="1"/>
    <col min="23" max="26" width="11.109375" style="80" customWidth="1"/>
    <col min="27" max="27" width="10.33203125" style="80" bestFit="1" customWidth="1"/>
    <col min="28" max="28" width="11.6640625" style="80" customWidth="1"/>
    <col min="29" max="30" width="9.33203125" style="80" bestFit="1" customWidth="1"/>
    <col min="31" max="31" width="10.33203125" style="80" bestFit="1" customWidth="1"/>
    <col min="32" max="34" width="9.33203125" style="80" bestFit="1" customWidth="1"/>
    <col min="35" max="35" width="10.33203125" style="80" bestFit="1" customWidth="1"/>
    <col min="36" max="38" width="9.33203125" style="80" bestFit="1" customWidth="1"/>
    <col min="39" max="39" width="10.33203125" style="80" bestFit="1" customWidth="1"/>
    <col min="40" max="42" width="9.33203125" style="80" bestFit="1" customWidth="1"/>
    <col min="43" max="43" width="10.33203125" style="80" bestFit="1" customWidth="1"/>
    <col min="44" max="47" width="10.33203125" style="625" customWidth="1"/>
    <col min="48" max="48" width="9.109375" style="80"/>
    <col min="49" max="49" width="9.44140625" style="80" bestFit="1" customWidth="1"/>
    <col min="50" max="51" width="9.33203125" style="80" bestFit="1" customWidth="1"/>
    <col min="52" max="58" width="10.33203125" style="80" bestFit="1" customWidth="1"/>
    <col min="59" max="16384" width="9.109375" style="80"/>
  </cols>
  <sheetData>
    <row r="1" spans="1:59" s="392" customFormat="1" ht="59.25" customHeight="1">
      <c r="A1" s="390" t="s">
        <v>114</v>
      </c>
      <c r="B1" s="376" t="s">
        <v>115</v>
      </c>
      <c r="C1" s="391" t="s">
        <v>116</v>
      </c>
      <c r="D1" s="376" t="str">
        <f>'выручка по кв и годам'!D1</f>
        <v>I кв. 1 г.</v>
      </c>
      <c r="E1" s="376" t="str">
        <f>'выручка по кв и годам'!E1</f>
        <v>II кв. 1 г.</v>
      </c>
      <c r="F1" s="376" t="str">
        <f>'выручка по кв и годам'!F1</f>
        <v>III кв. 1 г.</v>
      </c>
      <c r="G1" s="376" t="str">
        <f>'выручка по кв и годам'!G1</f>
        <v>IV кв. 1 г.</v>
      </c>
      <c r="H1" s="376" t="str">
        <f>'выручка по кв и годам'!H1</f>
        <v>I кв. 2 г.</v>
      </c>
      <c r="I1" s="376" t="str">
        <f>'выручка по кв и годам'!I1</f>
        <v>II кв. 2 г.</v>
      </c>
      <c r="J1" s="376" t="str">
        <f>'выручка по кв и годам'!J1</f>
        <v>III кв. 2 г.</v>
      </c>
      <c r="K1" s="376" t="str">
        <f>'выручка по кв и годам'!K1</f>
        <v>IV кв. 2 г.</v>
      </c>
      <c r="L1" s="376" t="str">
        <f>'выручка по кв и годам'!L1</f>
        <v>I кв. 3 г.</v>
      </c>
      <c r="M1" s="376" t="str">
        <f>'выручка по кв и годам'!M1</f>
        <v>II кв. 3 г.</v>
      </c>
      <c r="N1" s="376" t="str">
        <f>'выручка по кв и годам'!N1</f>
        <v>III кв. 3 г.</v>
      </c>
      <c r="O1" s="376" t="str">
        <f>'выручка по кв и годам'!O1</f>
        <v>IV кв. 3 г.</v>
      </c>
      <c r="P1" s="376" t="str">
        <f>'выручка по кв и годам'!P1</f>
        <v>I кв. 4 г.</v>
      </c>
      <c r="Q1" s="376" t="str">
        <f>'выручка по кв и годам'!Q1</f>
        <v>II кв. 4 г.</v>
      </c>
      <c r="R1" s="376" t="str">
        <f>'выручка по кв и годам'!R1</f>
        <v>III кв. 4 г.</v>
      </c>
      <c r="S1" s="376" t="str">
        <f>'выручка по кв и годам'!S1</f>
        <v>IV кв. 4 г.</v>
      </c>
      <c r="T1" s="376" t="str">
        <f>'выручка по кв и годам'!T1</f>
        <v>I кв. 5 г.</v>
      </c>
      <c r="U1" s="376" t="str">
        <f>'выручка по кв и годам'!U1</f>
        <v>II кв. 5 г.</v>
      </c>
      <c r="V1" s="376" t="str">
        <f>'выручка по кв и годам'!V1</f>
        <v>III кв. 5 г.</v>
      </c>
      <c r="W1" s="376" t="str">
        <f>'выручка по кв и годам'!W1</f>
        <v>IV кв. 5 г.</v>
      </c>
      <c r="X1" s="376" t="str">
        <f>'выручка по кв и годам'!X1</f>
        <v>I кв. 6 г.</v>
      </c>
      <c r="Y1" s="376" t="str">
        <f>'выручка по кв и годам'!Y1</f>
        <v>II кв. 6 г.</v>
      </c>
      <c r="Z1" s="376" t="str">
        <f>'выручка по кв и годам'!Z1</f>
        <v>III кв. 6 г.</v>
      </c>
      <c r="AA1" s="376" t="str">
        <f>'выручка по кв и годам'!AA1</f>
        <v>IV кв. 6 г.</v>
      </c>
      <c r="AB1" s="376" t="str">
        <f>'выручка по кв и годам'!AB1</f>
        <v>I кв. 7 г.</v>
      </c>
      <c r="AC1" s="376" t="str">
        <f>'выручка по кв и годам'!AC1</f>
        <v>II кв. 7 г.</v>
      </c>
      <c r="AD1" s="376" t="str">
        <f>'выручка по кв и годам'!AD1</f>
        <v>III кв. 7 г.</v>
      </c>
      <c r="AE1" s="376" t="str">
        <f>'выручка по кв и годам'!AE1</f>
        <v>IV кв. 7 г.</v>
      </c>
      <c r="AF1" s="376" t="str">
        <f>'выручка по кв и годам'!AF1</f>
        <v>I кв. 8 г.</v>
      </c>
      <c r="AG1" s="376" t="str">
        <f>'выручка по кв и годам'!AG1</f>
        <v>II кв. 8 г.</v>
      </c>
      <c r="AH1" s="376" t="str">
        <f>'выручка по кв и годам'!AH1</f>
        <v>III кв. 8 г.</v>
      </c>
      <c r="AI1" s="376" t="str">
        <f>'выручка по кв и годам'!AI1</f>
        <v>IV кв. 8 г.</v>
      </c>
      <c r="AJ1" s="376" t="str">
        <f>'выручка по кв и годам'!AJ1</f>
        <v>I кв. 9 г.</v>
      </c>
      <c r="AK1" s="376" t="str">
        <f>'выручка по кв и годам'!AK1</f>
        <v>II кв. 9 г.</v>
      </c>
      <c r="AL1" s="376" t="str">
        <f>'выручка по кв и годам'!AL1</f>
        <v>III кв. 9 г.</v>
      </c>
      <c r="AM1" s="376" t="str">
        <f>'выручка по кв и годам'!AM1</f>
        <v>IV кв. 9 г.</v>
      </c>
      <c r="AN1" s="376" t="str">
        <f>'выручка по кв и годам'!AN1</f>
        <v>I кв. 10 г.</v>
      </c>
      <c r="AO1" s="376" t="str">
        <f>'выручка по кв и годам'!AO1</f>
        <v>II кв. 10 г.</v>
      </c>
      <c r="AP1" s="376" t="str">
        <f>'выручка по кв и годам'!AP1</f>
        <v>III кв. 10 г.</v>
      </c>
      <c r="AQ1" s="376" t="str">
        <f>'выручка по кв и годам'!AQ1</f>
        <v>IV кв. 10 г.</v>
      </c>
      <c r="AR1" s="376" t="str">
        <f>'выручка по кв и годам'!AR1</f>
        <v>I кв. 11 г.</v>
      </c>
      <c r="AS1" s="376" t="str">
        <f>'выручка по кв и годам'!AS1</f>
        <v>II кв. 11 г.</v>
      </c>
      <c r="AT1" s="376" t="str">
        <f>'выручка по кв и годам'!AT1</f>
        <v>III кв. 11 г.</v>
      </c>
      <c r="AU1" s="376" t="str">
        <f>'выручка по кв и годам'!AU1</f>
        <v>IV кв. 11 г.</v>
      </c>
      <c r="AV1" s="376"/>
      <c r="AW1" s="376" t="str">
        <f>'объем работ 100% загр'!C3</f>
        <v>1 год</v>
      </c>
      <c r="AX1" s="376" t="str">
        <f>'объем работ 100% загр'!D3</f>
        <v>2 год</v>
      </c>
      <c r="AY1" s="376" t="str">
        <f>'объем работ 100% загр'!E3</f>
        <v>3 год</v>
      </c>
      <c r="AZ1" s="376" t="str">
        <f>'объем работ 100% загр'!F3</f>
        <v>4 год</v>
      </c>
      <c r="BA1" s="376" t="str">
        <f>'объем работ 100% загр'!G3</f>
        <v>5 год</v>
      </c>
      <c r="BB1" s="376" t="str">
        <f>'объем работ 100% загр'!H3</f>
        <v>6 год</v>
      </c>
      <c r="BC1" s="376" t="str">
        <f>'объем работ 100% загр'!I3</f>
        <v>7 год</v>
      </c>
      <c r="BD1" s="376" t="str">
        <f>'объем работ 100% загр'!J3</f>
        <v>8 год</v>
      </c>
      <c r="BE1" s="376" t="str">
        <f>'объем работ 100% загр'!K3</f>
        <v>9 год</v>
      </c>
      <c r="BF1" s="376" t="str">
        <f>'объем работ 100% загр'!L3</f>
        <v>10 год</v>
      </c>
      <c r="BG1" s="376" t="str">
        <f>'объем работ 100% загр'!M3</f>
        <v>11 год</v>
      </c>
    </row>
    <row r="2" spans="1:59" s="386" customFormat="1" ht="46.5" customHeight="1">
      <c r="A2" s="387" t="s">
        <v>117</v>
      </c>
      <c r="B2" s="585">
        <v>1</v>
      </c>
      <c r="C2" s="586">
        <v>125</v>
      </c>
      <c r="D2" s="383">
        <v>0</v>
      </c>
      <c r="E2" s="383">
        <v>0</v>
      </c>
      <c r="F2" s="383">
        <v>0</v>
      </c>
      <c r="G2" s="383">
        <v>0</v>
      </c>
      <c r="H2" s="383">
        <v>0</v>
      </c>
      <c r="I2" s="383">
        <v>0</v>
      </c>
      <c r="J2" s="383">
        <v>0</v>
      </c>
      <c r="K2" s="383">
        <v>0</v>
      </c>
      <c r="L2" s="383">
        <v>0</v>
      </c>
      <c r="M2" s="383">
        <v>0</v>
      </c>
      <c r="N2" s="383">
        <v>0</v>
      </c>
      <c r="O2" s="383">
        <v>0</v>
      </c>
      <c r="P2" s="383">
        <v>0</v>
      </c>
      <c r="Q2" s="383">
        <v>0</v>
      </c>
      <c r="R2" s="383">
        <v>0</v>
      </c>
      <c r="S2" s="383">
        <v>0</v>
      </c>
      <c r="T2" s="587">
        <f>B2*C2*3*(1+допущения!$C$36)</f>
        <v>397.5</v>
      </c>
      <c r="U2" s="383">
        <f t="shared" ref="U2:AE5" si="0">T2</f>
        <v>397.5</v>
      </c>
      <c r="V2" s="383">
        <f>U2</f>
        <v>397.5</v>
      </c>
      <c r="W2" s="383">
        <f>V2</f>
        <v>397.5</v>
      </c>
      <c r="X2" s="383">
        <f>W2*(1+допущения!$C$36)</f>
        <v>421.35</v>
      </c>
      <c r="Y2" s="383">
        <f t="shared" ref="Y2:AE2" si="1">X2</f>
        <v>421.35</v>
      </c>
      <c r="Z2" s="383">
        <f t="shared" si="1"/>
        <v>421.35</v>
      </c>
      <c r="AA2" s="383">
        <f t="shared" si="1"/>
        <v>421.35</v>
      </c>
      <c r="AB2" s="383">
        <f>AA2*(1+допущения!$C$36)</f>
        <v>446.63100000000003</v>
      </c>
      <c r="AC2" s="383">
        <f t="shared" si="1"/>
        <v>446.63100000000003</v>
      </c>
      <c r="AD2" s="383">
        <f t="shared" si="1"/>
        <v>446.63100000000003</v>
      </c>
      <c r="AE2" s="383">
        <f t="shared" si="1"/>
        <v>446.63100000000003</v>
      </c>
      <c r="AF2" s="383">
        <f>AE2*(1+допущения!C36)</f>
        <v>473.42886000000004</v>
      </c>
      <c r="AG2" s="383">
        <f t="shared" ref="AG2:AQ5" si="2">AF2</f>
        <v>473.42886000000004</v>
      </c>
      <c r="AH2" s="383">
        <f t="shared" ref="AH2:AQ2" si="3">AG2</f>
        <v>473.42886000000004</v>
      </c>
      <c r="AI2" s="383">
        <f t="shared" si="3"/>
        <v>473.42886000000004</v>
      </c>
      <c r="AJ2" s="383">
        <f>AI2*(1+допущения!$C$36)</f>
        <v>501.83459160000007</v>
      </c>
      <c r="AK2" s="383">
        <f t="shared" si="3"/>
        <v>501.83459160000007</v>
      </c>
      <c r="AL2" s="383">
        <f t="shared" si="3"/>
        <v>501.83459160000007</v>
      </c>
      <c r="AM2" s="383">
        <f t="shared" si="3"/>
        <v>501.83459160000007</v>
      </c>
      <c r="AN2" s="383">
        <f>AM2*(1+допущения!$C$36)</f>
        <v>531.9446670960001</v>
      </c>
      <c r="AO2" s="383">
        <f t="shared" si="3"/>
        <v>531.9446670960001</v>
      </c>
      <c r="AP2" s="383">
        <f t="shared" si="3"/>
        <v>531.9446670960001</v>
      </c>
      <c r="AQ2" s="383">
        <f t="shared" si="3"/>
        <v>531.9446670960001</v>
      </c>
      <c r="AR2" s="383">
        <f>AQ2*(1+допущения!$C$36)</f>
        <v>563.8613471217601</v>
      </c>
      <c r="AS2" s="383">
        <f>AR2</f>
        <v>563.8613471217601</v>
      </c>
      <c r="AT2" s="383">
        <f t="shared" ref="AT2:AU2" si="4">AS2</f>
        <v>563.8613471217601</v>
      </c>
      <c r="AU2" s="383">
        <f t="shared" si="4"/>
        <v>563.8613471217601</v>
      </c>
      <c r="AV2" s="384"/>
      <c r="AW2" s="385">
        <f>SUM(D2:G2)</f>
        <v>0</v>
      </c>
      <c r="AX2" s="385">
        <f>SUM(H2:K2)</f>
        <v>0</v>
      </c>
      <c r="AY2" s="385">
        <f>SUM(L2:O2)</f>
        <v>0</v>
      </c>
      <c r="AZ2" s="385">
        <f>SUM(P2:S2)</f>
        <v>0</v>
      </c>
      <c r="BA2" s="385">
        <f>SUM(T2:W2)</f>
        <v>1590</v>
      </c>
      <c r="BB2" s="385">
        <f>SUM(X2:AA2)</f>
        <v>1685.4</v>
      </c>
      <c r="BC2" s="385">
        <f>SUM(AB2:AE2)</f>
        <v>1786.5240000000001</v>
      </c>
      <c r="BD2" s="385">
        <f>SUM(AF2:AI2)</f>
        <v>1893.7154400000002</v>
      </c>
      <c r="BE2" s="385">
        <f>SUM(AJ2:AM2)</f>
        <v>2007.3383664000003</v>
      </c>
      <c r="BF2" s="385">
        <f>SUM(AN2:AQ2)</f>
        <v>2127.7786683840004</v>
      </c>
      <c r="BG2" s="385">
        <f>SUM(AR2:AU2)</f>
        <v>2255.4453884870404</v>
      </c>
    </row>
    <row r="3" spans="1:59" s="386" customFormat="1">
      <c r="A3" s="387" t="s">
        <v>118</v>
      </c>
      <c r="B3" s="585">
        <v>1</v>
      </c>
      <c r="C3" s="586">
        <v>95</v>
      </c>
      <c r="D3" s="383">
        <v>0</v>
      </c>
      <c r="E3" s="383">
        <v>0</v>
      </c>
      <c r="F3" s="383">
        <v>0</v>
      </c>
      <c r="G3" s="383">
        <v>0</v>
      </c>
      <c r="H3" s="383">
        <v>0</v>
      </c>
      <c r="I3" s="383">
        <v>0</v>
      </c>
      <c r="J3" s="383">
        <v>0</v>
      </c>
      <c r="K3" s="383">
        <v>0</v>
      </c>
      <c r="L3" s="383">
        <v>0</v>
      </c>
      <c r="M3" s="383">
        <v>0</v>
      </c>
      <c r="N3" s="383">
        <v>0</v>
      </c>
      <c r="O3" s="383">
        <v>0</v>
      </c>
      <c r="P3" s="383">
        <v>0</v>
      </c>
      <c r="Q3" s="383">
        <v>0</v>
      </c>
      <c r="R3" s="383">
        <v>0</v>
      </c>
      <c r="S3" s="383">
        <v>0</v>
      </c>
      <c r="T3" s="587">
        <f>B3*C3*3*(1+допущения!$C$36)</f>
        <v>302.10000000000002</v>
      </c>
      <c r="U3" s="383">
        <f t="shared" si="0"/>
        <v>302.10000000000002</v>
      </c>
      <c r="V3" s="383">
        <f t="shared" si="0"/>
        <v>302.10000000000002</v>
      </c>
      <c r="W3" s="383">
        <f t="shared" si="0"/>
        <v>302.10000000000002</v>
      </c>
      <c r="X3" s="383">
        <f>W3*(1+допущения!$C$36)</f>
        <v>320.22600000000006</v>
      </c>
      <c r="Y3" s="383">
        <f t="shared" si="0"/>
        <v>320.22600000000006</v>
      </c>
      <c r="Z3" s="383">
        <f t="shared" si="0"/>
        <v>320.22600000000006</v>
      </c>
      <c r="AA3" s="383">
        <f t="shared" si="0"/>
        <v>320.22600000000006</v>
      </c>
      <c r="AB3" s="383">
        <f>AA3*(1+допущения!$C$36)</f>
        <v>339.43956000000009</v>
      </c>
      <c r="AC3" s="383">
        <f t="shared" si="0"/>
        <v>339.43956000000009</v>
      </c>
      <c r="AD3" s="383">
        <f t="shared" si="0"/>
        <v>339.43956000000009</v>
      </c>
      <c r="AE3" s="383">
        <f t="shared" si="0"/>
        <v>339.43956000000009</v>
      </c>
      <c r="AF3" s="383">
        <f>AE3*(1+допущения!C37)</f>
        <v>359.80593360000012</v>
      </c>
      <c r="AG3" s="383">
        <f t="shared" si="2"/>
        <v>359.80593360000012</v>
      </c>
      <c r="AH3" s="383">
        <f t="shared" si="2"/>
        <v>359.80593360000012</v>
      </c>
      <c r="AI3" s="383">
        <f t="shared" si="2"/>
        <v>359.80593360000012</v>
      </c>
      <c r="AJ3" s="383">
        <f>AI3*(1+допущения!$C$36)</f>
        <v>381.39428961600015</v>
      </c>
      <c r="AK3" s="383">
        <f t="shared" si="2"/>
        <v>381.39428961600015</v>
      </c>
      <c r="AL3" s="383">
        <f t="shared" si="2"/>
        <v>381.39428961600015</v>
      </c>
      <c r="AM3" s="383">
        <f t="shared" si="2"/>
        <v>381.39428961600015</v>
      </c>
      <c r="AN3" s="383">
        <f>AM3*(1+допущения!$C$36)</f>
        <v>404.27794699296015</v>
      </c>
      <c r="AO3" s="383">
        <f t="shared" si="2"/>
        <v>404.27794699296015</v>
      </c>
      <c r="AP3" s="383">
        <f t="shared" si="2"/>
        <v>404.27794699296015</v>
      </c>
      <c r="AQ3" s="383">
        <f t="shared" si="2"/>
        <v>404.27794699296015</v>
      </c>
      <c r="AR3" s="383">
        <f>AQ3*(1+допущения!$C$36)</f>
        <v>428.5346238125378</v>
      </c>
      <c r="AS3" s="383">
        <f t="shared" ref="AS3:AU65" si="5">AR3</f>
        <v>428.5346238125378</v>
      </c>
      <c r="AT3" s="383">
        <f t="shared" si="5"/>
        <v>428.5346238125378</v>
      </c>
      <c r="AU3" s="383">
        <f t="shared" si="5"/>
        <v>428.5346238125378</v>
      </c>
      <c r="AV3" s="384"/>
      <c r="AW3" s="384">
        <f t="shared" ref="AW3:AW48" si="6">SUM(D3:G3)</f>
        <v>0</v>
      </c>
      <c r="AX3" s="385">
        <f t="shared" ref="AX3:AX58" si="7">SUM(H3:K3)</f>
        <v>0</v>
      </c>
      <c r="AY3" s="385">
        <f t="shared" ref="AY3:AY58" si="8">SUM(L3:O3)</f>
        <v>0</v>
      </c>
      <c r="AZ3" s="385">
        <f t="shared" ref="AZ3:AZ58" si="9">SUM(P3:S3)</f>
        <v>0</v>
      </c>
      <c r="BA3" s="385">
        <f t="shared" ref="BA3:BA58" si="10">SUM(T3:W3)</f>
        <v>1208.4000000000001</v>
      </c>
      <c r="BB3" s="385">
        <f t="shared" ref="BB3:BB58" si="11">SUM(X3:AA3)</f>
        <v>1280.9040000000002</v>
      </c>
      <c r="BC3" s="385">
        <f t="shared" ref="BC3:BC58" si="12">SUM(AB3:AE3)</f>
        <v>1357.7582400000003</v>
      </c>
      <c r="BD3" s="385">
        <f t="shared" ref="BD3:BD58" si="13">SUM(AF3:AI3)</f>
        <v>1439.2237344000005</v>
      </c>
      <c r="BE3" s="385">
        <f t="shared" ref="BE3:BE58" si="14">SUM(AJ3:AM3)</f>
        <v>1525.5771584640006</v>
      </c>
      <c r="BF3" s="385">
        <f t="shared" ref="BF3:BF58" si="15">SUM(AN3:AQ3)</f>
        <v>1617.1117879718406</v>
      </c>
      <c r="BG3" s="385">
        <f t="shared" ref="BG3:BG58" si="16">SUM(AR3:AU3)</f>
        <v>1714.1384952501512</v>
      </c>
    </row>
    <row r="4" spans="1:59" s="386" customFormat="1" ht="30" customHeight="1">
      <c r="A4" s="387" t="s">
        <v>119</v>
      </c>
      <c r="B4" s="585">
        <v>2</v>
      </c>
      <c r="C4" s="586">
        <v>50</v>
      </c>
      <c r="D4" s="383">
        <v>0</v>
      </c>
      <c r="E4" s="383">
        <v>0</v>
      </c>
      <c r="F4" s="383">
        <v>0</v>
      </c>
      <c r="G4" s="383">
        <v>0</v>
      </c>
      <c r="H4" s="383">
        <v>0</v>
      </c>
      <c r="I4" s="383">
        <v>0</v>
      </c>
      <c r="J4" s="383">
        <v>0</v>
      </c>
      <c r="K4" s="383">
        <v>0</v>
      </c>
      <c r="L4" s="383">
        <v>0</v>
      </c>
      <c r="M4" s="383">
        <v>0</v>
      </c>
      <c r="N4" s="383">
        <v>0</v>
      </c>
      <c r="O4" s="383">
        <v>0</v>
      </c>
      <c r="P4" s="383">
        <v>0</v>
      </c>
      <c r="Q4" s="383">
        <v>0</v>
      </c>
      <c r="R4" s="383">
        <v>0</v>
      </c>
      <c r="S4" s="383">
        <v>0</v>
      </c>
      <c r="T4" s="587">
        <f>B4*C4*3*(1+допущения!$C$36)</f>
        <v>318</v>
      </c>
      <c r="U4" s="383">
        <f t="shared" si="0"/>
        <v>318</v>
      </c>
      <c r="V4" s="383">
        <f t="shared" si="0"/>
        <v>318</v>
      </c>
      <c r="W4" s="383">
        <f t="shared" si="0"/>
        <v>318</v>
      </c>
      <c r="X4" s="383">
        <f>W4*(1+допущения!$C$36)</f>
        <v>337.08000000000004</v>
      </c>
      <c r="Y4" s="383">
        <f t="shared" si="0"/>
        <v>337.08000000000004</v>
      </c>
      <c r="Z4" s="383">
        <f t="shared" si="0"/>
        <v>337.08000000000004</v>
      </c>
      <c r="AA4" s="383">
        <f t="shared" si="0"/>
        <v>337.08000000000004</v>
      </c>
      <c r="AB4" s="383">
        <f>AA4*(1+допущения!$C$36)</f>
        <v>357.30480000000006</v>
      </c>
      <c r="AC4" s="383">
        <f t="shared" si="0"/>
        <v>357.30480000000006</v>
      </c>
      <c r="AD4" s="383">
        <f t="shared" si="0"/>
        <v>357.30480000000006</v>
      </c>
      <c r="AE4" s="383">
        <f t="shared" si="0"/>
        <v>357.30480000000006</v>
      </c>
      <c r="AF4" s="383">
        <f>AE4*(1+допущения!C38)</f>
        <v>357.30480000000006</v>
      </c>
      <c r="AG4" s="383">
        <f t="shared" si="2"/>
        <v>357.30480000000006</v>
      </c>
      <c r="AH4" s="383">
        <f t="shared" si="2"/>
        <v>357.30480000000006</v>
      </c>
      <c r="AI4" s="383">
        <f t="shared" si="2"/>
        <v>357.30480000000006</v>
      </c>
      <c r="AJ4" s="383">
        <f>AI4*(1+допущения!$C$36)</f>
        <v>378.74308800000006</v>
      </c>
      <c r="AK4" s="383">
        <f t="shared" si="2"/>
        <v>378.74308800000006</v>
      </c>
      <c r="AL4" s="383">
        <f t="shared" si="2"/>
        <v>378.74308800000006</v>
      </c>
      <c r="AM4" s="383">
        <f t="shared" si="2"/>
        <v>378.74308800000006</v>
      </c>
      <c r="AN4" s="383">
        <f>AM4*(1+допущения!$C$36)</f>
        <v>401.4676732800001</v>
      </c>
      <c r="AO4" s="383">
        <f t="shared" si="2"/>
        <v>401.4676732800001</v>
      </c>
      <c r="AP4" s="383">
        <f t="shared" si="2"/>
        <v>401.4676732800001</v>
      </c>
      <c r="AQ4" s="383">
        <f t="shared" si="2"/>
        <v>401.4676732800001</v>
      </c>
      <c r="AR4" s="383">
        <f>AQ4*(1+допущения!$C$36)</f>
        <v>425.55573367680012</v>
      </c>
      <c r="AS4" s="383">
        <f t="shared" si="5"/>
        <v>425.55573367680012</v>
      </c>
      <c r="AT4" s="383">
        <f t="shared" si="5"/>
        <v>425.55573367680012</v>
      </c>
      <c r="AU4" s="383">
        <f t="shared" si="5"/>
        <v>425.55573367680012</v>
      </c>
      <c r="AV4" s="384"/>
      <c r="AW4" s="384">
        <f t="shared" si="6"/>
        <v>0</v>
      </c>
      <c r="AX4" s="385">
        <f t="shared" si="7"/>
        <v>0</v>
      </c>
      <c r="AY4" s="385">
        <f t="shared" si="8"/>
        <v>0</v>
      </c>
      <c r="AZ4" s="385">
        <f t="shared" si="9"/>
        <v>0</v>
      </c>
      <c r="BA4" s="385">
        <f t="shared" si="10"/>
        <v>1272</v>
      </c>
      <c r="BB4" s="385">
        <f t="shared" si="11"/>
        <v>1348.3200000000002</v>
      </c>
      <c r="BC4" s="385">
        <f t="shared" si="12"/>
        <v>1429.2192000000002</v>
      </c>
      <c r="BD4" s="385">
        <f t="shared" si="13"/>
        <v>1429.2192000000002</v>
      </c>
      <c r="BE4" s="385">
        <f t="shared" si="14"/>
        <v>1514.9723520000002</v>
      </c>
      <c r="BF4" s="385">
        <f t="shared" si="15"/>
        <v>1605.8706931200004</v>
      </c>
      <c r="BG4" s="385">
        <f t="shared" si="16"/>
        <v>1702.2229347072005</v>
      </c>
    </row>
    <row r="5" spans="1:59" s="386" customFormat="1" ht="45.75" customHeight="1">
      <c r="A5" s="387" t="s">
        <v>440</v>
      </c>
      <c r="B5" s="585">
        <v>5</v>
      </c>
      <c r="C5" s="586">
        <v>50</v>
      </c>
      <c r="D5" s="383">
        <v>0</v>
      </c>
      <c r="E5" s="383">
        <v>0</v>
      </c>
      <c r="F5" s="383">
        <v>0</v>
      </c>
      <c r="G5" s="383">
        <v>0</v>
      </c>
      <c r="H5" s="383">
        <v>0</v>
      </c>
      <c r="I5" s="383">
        <v>0</v>
      </c>
      <c r="J5" s="383">
        <v>0</v>
      </c>
      <c r="K5" s="383">
        <v>0</v>
      </c>
      <c r="L5" s="383">
        <v>0</v>
      </c>
      <c r="M5" s="383">
        <v>0</v>
      </c>
      <c r="N5" s="383">
        <v>0</v>
      </c>
      <c r="O5" s="383">
        <v>0</v>
      </c>
      <c r="P5" s="383">
        <v>0</v>
      </c>
      <c r="Q5" s="383">
        <v>0</v>
      </c>
      <c r="R5" s="383">
        <v>0</v>
      </c>
      <c r="S5" s="383">
        <v>0</v>
      </c>
      <c r="T5" s="587">
        <f>B5*C5*3*(1+допущения!$C$36)</f>
        <v>795</v>
      </c>
      <c r="U5" s="383">
        <f t="shared" si="0"/>
        <v>795</v>
      </c>
      <c r="V5" s="383">
        <f t="shared" si="0"/>
        <v>795</v>
      </c>
      <c r="W5" s="383">
        <f t="shared" si="0"/>
        <v>795</v>
      </c>
      <c r="X5" s="383">
        <f>W5*(1+допущения!$C$36)</f>
        <v>842.7</v>
      </c>
      <c r="Y5" s="383">
        <f t="shared" si="0"/>
        <v>842.7</v>
      </c>
      <c r="Z5" s="383">
        <f t="shared" si="0"/>
        <v>842.7</v>
      </c>
      <c r="AA5" s="383">
        <f t="shared" si="0"/>
        <v>842.7</v>
      </c>
      <c r="AB5" s="383">
        <f>AA5*(1+допущения!$C$36)</f>
        <v>893.26200000000006</v>
      </c>
      <c r="AC5" s="383">
        <f t="shared" si="0"/>
        <v>893.26200000000006</v>
      </c>
      <c r="AD5" s="383">
        <f t="shared" si="0"/>
        <v>893.26200000000006</v>
      </c>
      <c r="AE5" s="383">
        <f t="shared" si="0"/>
        <v>893.26200000000006</v>
      </c>
      <c r="AF5" s="383">
        <f>AE5*(1+допущения!C39)</f>
        <v>946.85772000000009</v>
      </c>
      <c r="AG5" s="383">
        <f t="shared" si="2"/>
        <v>946.85772000000009</v>
      </c>
      <c r="AH5" s="383">
        <f t="shared" si="2"/>
        <v>946.85772000000009</v>
      </c>
      <c r="AI5" s="383">
        <f t="shared" si="2"/>
        <v>946.85772000000009</v>
      </c>
      <c r="AJ5" s="383">
        <f>AI5*(1+допущения!$C$36)</f>
        <v>1003.6691832000001</v>
      </c>
      <c r="AK5" s="383">
        <f t="shared" si="2"/>
        <v>1003.6691832000001</v>
      </c>
      <c r="AL5" s="383">
        <f t="shared" si="2"/>
        <v>1003.6691832000001</v>
      </c>
      <c r="AM5" s="383">
        <f t="shared" si="2"/>
        <v>1003.6691832000001</v>
      </c>
      <c r="AN5" s="383">
        <f>AM5*(1+допущения!$C$36)</f>
        <v>1063.8893341920002</v>
      </c>
      <c r="AO5" s="383">
        <f t="shared" si="2"/>
        <v>1063.8893341920002</v>
      </c>
      <c r="AP5" s="383">
        <f t="shared" si="2"/>
        <v>1063.8893341920002</v>
      </c>
      <c r="AQ5" s="383">
        <f t="shared" si="2"/>
        <v>1063.8893341920002</v>
      </c>
      <c r="AR5" s="383">
        <f>AQ5*(1+допущения!$C$36)</f>
        <v>1127.7226942435202</v>
      </c>
      <c r="AS5" s="383">
        <f t="shared" si="5"/>
        <v>1127.7226942435202</v>
      </c>
      <c r="AT5" s="383">
        <f t="shared" si="5"/>
        <v>1127.7226942435202</v>
      </c>
      <c r="AU5" s="383">
        <f t="shared" si="5"/>
        <v>1127.7226942435202</v>
      </c>
      <c r="AV5" s="384"/>
      <c r="AW5" s="384">
        <f t="shared" si="6"/>
        <v>0</v>
      </c>
      <c r="AX5" s="385">
        <f t="shared" si="7"/>
        <v>0</v>
      </c>
      <c r="AY5" s="385">
        <f t="shared" si="8"/>
        <v>0</v>
      </c>
      <c r="AZ5" s="385">
        <f t="shared" si="9"/>
        <v>0</v>
      </c>
      <c r="BA5" s="385">
        <f t="shared" si="10"/>
        <v>3180</v>
      </c>
      <c r="BB5" s="385">
        <f t="shared" si="11"/>
        <v>3370.8</v>
      </c>
      <c r="BC5" s="385">
        <f t="shared" si="12"/>
        <v>3573.0480000000002</v>
      </c>
      <c r="BD5" s="385">
        <f t="shared" si="13"/>
        <v>3787.4308800000003</v>
      </c>
      <c r="BE5" s="385">
        <f t="shared" si="14"/>
        <v>4014.6767328000005</v>
      </c>
      <c r="BF5" s="385">
        <f t="shared" si="15"/>
        <v>4255.5573367680008</v>
      </c>
      <c r="BG5" s="385">
        <f t="shared" si="16"/>
        <v>4510.8907769740808</v>
      </c>
    </row>
    <row r="6" spans="1:59" s="98" customFormat="1" ht="28.8">
      <c r="A6" s="99" t="s">
        <v>120</v>
      </c>
      <c r="B6" s="100">
        <f>SUM(B2:B5)</f>
        <v>9</v>
      </c>
      <c r="C6" s="101"/>
      <c r="D6" s="102">
        <f>SUM(D2:D5)</f>
        <v>0</v>
      </c>
      <c r="E6" s="102">
        <f t="shared" ref="E6:AQ6" si="17">SUM(E2:E5)</f>
        <v>0</v>
      </c>
      <c r="F6" s="102">
        <f t="shared" si="17"/>
        <v>0</v>
      </c>
      <c r="G6" s="102">
        <f t="shared" si="17"/>
        <v>0</v>
      </c>
      <c r="H6" s="102">
        <f t="shared" si="17"/>
        <v>0</v>
      </c>
      <c r="I6" s="102">
        <f t="shared" si="17"/>
        <v>0</v>
      </c>
      <c r="J6" s="102">
        <f t="shared" si="17"/>
        <v>0</v>
      </c>
      <c r="K6" s="102">
        <f t="shared" si="17"/>
        <v>0</v>
      </c>
      <c r="L6" s="102">
        <f t="shared" si="17"/>
        <v>0</v>
      </c>
      <c r="M6" s="102">
        <f t="shared" si="17"/>
        <v>0</v>
      </c>
      <c r="N6" s="102">
        <f t="shared" si="17"/>
        <v>0</v>
      </c>
      <c r="O6" s="102">
        <f t="shared" si="17"/>
        <v>0</v>
      </c>
      <c r="P6" s="102">
        <f t="shared" si="17"/>
        <v>0</v>
      </c>
      <c r="Q6" s="102">
        <f t="shared" si="17"/>
        <v>0</v>
      </c>
      <c r="R6" s="102">
        <f t="shared" si="17"/>
        <v>0</v>
      </c>
      <c r="S6" s="102">
        <f t="shared" si="17"/>
        <v>0</v>
      </c>
      <c r="T6" s="102">
        <f t="shared" si="17"/>
        <v>1812.6</v>
      </c>
      <c r="U6" s="102">
        <f t="shared" si="17"/>
        <v>1812.6</v>
      </c>
      <c r="V6" s="102">
        <f t="shared" si="17"/>
        <v>1812.6</v>
      </c>
      <c r="W6" s="102">
        <f t="shared" si="17"/>
        <v>1812.6</v>
      </c>
      <c r="X6" s="102">
        <f t="shared" si="17"/>
        <v>1921.356</v>
      </c>
      <c r="Y6" s="102">
        <f t="shared" si="17"/>
        <v>1921.356</v>
      </c>
      <c r="Z6" s="102">
        <f t="shared" si="17"/>
        <v>1921.356</v>
      </c>
      <c r="AA6" s="102">
        <f t="shared" si="17"/>
        <v>1921.356</v>
      </c>
      <c r="AB6" s="102">
        <f t="shared" si="17"/>
        <v>2036.6373600000002</v>
      </c>
      <c r="AC6" s="102">
        <f t="shared" si="17"/>
        <v>2036.6373600000002</v>
      </c>
      <c r="AD6" s="102">
        <f t="shared" si="17"/>
        <v>2036.6373600000002</v>
      </c>
      <c r="AE6" s="102">
        <f t="shared" si="17"/>
        <v>2036.6373600000002</v>
      </c>
      <c r="AF6" s="102">
        <f t="shared" si="17"/>
        <v>2137.3973136000004</v>
      </c>
      <c r="AG6" s="102">
        <f t="shared" si="17"/>
        <v>2137.3973136000004</v>
      </c>
      <c r="AH6" s="102">
        <f t="shared" si="17"/>
        <v>2137.3973136000004</v>
      </c>
      <c r="AI6" s="102">
        <f t="shared" si="17"/>
        <v>2137.3973136000004</v>
      </c>
      <c r="AJ6" s="102">
        <f t="shared" si="17"/>
        <v>2265.6411524160003</v>
      </c>
      <c r="AK6" s="102">
        <f t="shared" si="17"/>
        <v>2265.6411524160003</v>
      </c>
      <c r="AL6" s="102">
        <f t="shared" si="17"/>
        <v>2265.6411524160003</v>
      </c>
      <c r="AM6" s="102">
        <f t="shared" si="17"/>
        <v>2265.6411524160003</v>
      </c>
      <c r="AN6" s="102">
        <f t="shared" si="17"/>
        <v>2401.5796215609607</v>
      </c>
      <c r="AO6" s="102">
        <f t="shared" si="17"/>
        <v>2401.5796215609607</v>
      </c>
      <c r="AP6" s="102">
        <f t="shared" si="17"/>
        <v>2401.5796215609607</v>
      </c>
      <c r="AQ6" s="550">
        <f t="shared" si="17"/>
        <v>2401.5796215609607</v>
      </c>
      <c r="AR6" s="550">
        <f>AQ6*(1+допущения!$C$36)</f>
        <v>2545.6743988546186</v>
      </c>
      <c r="AS6" s="550">
        <f t="shared" si="5"/>
        <v>2545.6743988546186</v>
      </c>
      <c r="AT6" s="550">
        <f t="shared" si="5"/>
        <v>2545.6743988546186</v>
      </c>
      <c r="AU6" s="550">
        <f t="shared" si="5"/>
        <v>2545.6743988546186</v>
      </c>
      <c r="AV6" s="551"/>
      <c r="AW6" s="551">
        <f t="shared" si="6"/>
        <v>0</v>
      </c>
      <c r="AX6" s="552">
        <f t="shared" si="7"/>
        <v>0</v>
      </c>
      <c r="AY6" s="552">
        <f t="shared" si="8"/>
        <v>0</v>
      </c>
      <c r="AZ6" s="552">
        <f t="shared" si="9"/>
        <v>0</v>
      </c>
      <c r="BA6" s="552">
        <f t="shared" si="10"/>
        <v>7250.4</v>
      </c>
      <c r="BB6" s="552">
        <f t="shared" si="11"/>
        <v>7685.424</v>
      </c>
      <c r="BC6" s="552">
        <f t="shared" si="12"/>
        <v>8146.5494400000007</v>
      </c>
      <c r="BD6" s="552">
        <f t="shared" si="13"/>
        <v>8549.5892544000017</v>
      </c>
      <c r="BE6" s="552">
        <f t="shared" si="14"/>
        <v>9062.5646096640012</v>
      </c>
      <c r="BF6" s="552">
        <f t="shared" si="15"/>
        <v>9606.3184862438429</v>
      </c>
      <c r="BG6" s="552">
        <f t="shared" si="16"/>
        <v>10182.697595418475</v>
      </c>
    </row>
    <row r="7" spans="1:59" s="103" customFormat="1" ht="16.5" customHeight="1">
      <c r="A7" s="104" t="s">
        <v>121</v>
      </c>
      <c r="B7" s="105"/>
      <c r="C7" s="106"/>
      <c r="D7" s="107">
        <f>D6*$B$61</f>
        <v>0</v>
      </c>
      <c r="E7" s="107">
        <f t="shared" ref="E7:AQ7" si="18">E6*$B$61</f>
        <v>0</v>
      </c>
      <c r="F7" s="107">
        <f t="shared" si="18"/>
        <v>0</v>
      </c>
      <c r="G7" s="107">
        <f t="shared" si="18"/>
        <v>0</v>
      </c>
      <c r="H7" s="107">
        <f>H6*$B$61</f>
        <v>0</v>
      </c>
      <c r="I7" s="107">
        <f t="shared" si="18"/>
        <v>0</v>
      </c>
      <c r="J7" s="107">
        <f t="shared" si="18"/>
        <v>0</v>
      </c>
      <c r="K7" s="107">
        <f t="shared" si="18"/>
        <v>0</v>
      </c>
      <c r="L7" s="107">
        <f t="shared" si="18"/>
        <v>0</v>
      </c>
      <c r="M7" s="107">
        <f t="shared" si="18"/>
        <v>0</v>
      </c>
      <c r="N7" s="107">
        <f t="shared" si="18"/>
        <v>0</v>
      </c>
      <c r="O7" s="107">
        <f t="shared" si="18"/>
        <v>0</v>
      </c>
      <c r="P7" s="107">
        <f t="shared" si="18"/>
        <v>0</v>
      </c>
      <c r="Q7" s="107">
        <f t="shared" si="18"/>
        <v>0</v>
      </c>
      <c r="R7" s="107">
        <f t="shared" si="18"/>
        <v>0</v>
      </c>
      <c r="S7" s="107">
        <f t="shared" si="18"/>
        <v>0</v>
      </c>
      <c r="T7" s="107">
        <f t="shared" si="18"/>
        <v>543.78</v>
      </c>
      <c r="U7" s="107">
        <f t="shared" si="18"/>
        <v>543.78</v>
      </c>
      <c r="V7" s="107">
        <f t="shared" si="18"/>
        <v>543.78</v>
      </c>
      <c r="W7" s="107">
        <f t="shared" si="18"/>
        <v>543.78</v>
      </c>
      <c r="X7" s="107">
        <f t="shared" si="18"/>
        <v>576.40679999999998</v>
      </c>
      <c r="Y7" s="107">
        <f t="shared" si="18"/>
        <v>576.40679999999998</v>
      </c>
      <c r="Z7" s="107">
        <f t="shared" si="18"/>
        <v>576.40679999999998</v>
      </c>
      <c r="AA7" s="107">
        <f t="shared" si="18"/>
        <v>576.40679999999998</v>
      </c>
      <c r="AB7" s="107">
        <f t="shared" si="18"/>
        <v>610.99120800000003</v>
      </c>
      <c r="AC7" s="107">
        <f t="shared" si="18"/>
        <v>610.99120800000003</v>
      </c>
      <c r="AD7" s="107">
        <f t="shared" si="18"/>
        <v>610.99120800000003</v>
      </c>
      <c r="AE7" s="107">
        <f t="shared" si="18"/>
        <v>610.99120800000003</v>
      </c>
      <c r="AF7" s="107">
        <f t="shared" si="18"/>
        <v>641.21919408000008</v>
      </c>
      <c r="AG7" s="107">
        <f t="shared" si="18"/>
        <v>641.21919408000008</v>
      </c>
      <c r="AH7" s="107">
        <f t="shared" si="18"/>
        <v>641.21919408000008</v>
      </c>
      <c r="AI7" s="107">
        <f t="shared" si="18"/>
        <v>641.21919408000008</v>
      </c>
      <c r="AJ7" s="107">
        <f t="shared" si="18"/>
        <v>679.69234572480002</v>
      </c>
      <c r="AK7" s="107">
        <f t="shared" si="18"/>
        <v>679.69234572480002</v>
      </c>
      <c r="AL7" s="107">
        <f t="shared" si="18"/>
        <v>679.69234572480002</v>
      </c>
      <c r="AM7" s="107">
        <f t="shared" si="18"/>
        <v>679.69234572480002</v>
      </c>
      <c r="AN7" s="107">
        <f t="shared" si="18"/>
        <v>720.47388646828824</v>
      </c>
      <c r="AO7" s="107">
        <f t="shared" si="18"/>
        <v>720.47388646828824</v>
      </c>
      <c r="AP7" s="107">
        <f t="shared" si="18"/>
        <v>720.47388646828824</v>
      </c>
      <c r="AQ7" s="107">
        <f t="shared" si="18"/>
        <v>720.47388646828824</v>
      </c>
      <c r="AR7" s="107">
        <f>AQ7*(1+допущения!$C$36)</f>
        <v>763.70231965638561</v>
      </c>
      <c r="AS7" s="107">
        <f t="shared" si="5"/>
        <v>763.70231965638561</v>
      </c>
      <c r="AT7" s="107">
        <f t="shared" si="5"/>
        <v>763.70231965638561</v>
      </c>
      <c r="AU7" s="107">
        <f t="shared" si="5"/>
        <v>763.70231965638561</v>
      </c>
      <c r="AV7" s="105"/>
      <c r="AW7" s="553">
        <f t="shared" si="6"/>
        <v>0</v>
      </c>
      <c r="AX7" s="406">
        <f t="shared" si="7"/>
        <v>0</v>
      </c>
      <c r="AY7" s="406">
        <f t="shared" si="8"/>
        <v>0</v>
      </c>
      <c r="AZ7" s="406">
        <f t="shared" si="9"/>
        <v>0</v>
      </c>
      <c r="BA7" s="406">
        <f t="shared" si="10"/>
        <v>2175.12</v>
      </c>
      <c r="BB7" s="406">
        <f t="shared" si="11"/>
        <v>2305.6271999999999</v>
      </c>
      <c r="BC7" s="406">
        <f t="shared" si="12"/>
        <v>2443.9648320000001</v>
      </c>
      <c r="BD7" s="406">
        <f t="shared" si="13"/>
        <v>2564.8767763200003</v>
      </c>
      <c r="BE7" s="406">
        <f t="shared" si="14"/>
        <v>2718.7693828992001</v>
      </c>
      <c r="BF7" s="406">
        <f t="shared" si="15"/>
        <v>2881.895545873153</v>
      </c>
      <c r="BG7" s="406">
        <f t="shared" si="16"/>
        <v>3054.8092786255424</v>
      </c>
    </row>
    <row r="8" spans="1:59">
      <c r="A8" s="94" t="s">
        <v>122</v>
      </c>
      <c r="B8" s="83"/>
      <c r="C8" s="108"/>
      <c r="D8" s="97"/>
      <c r="E8" s="97"/>
      <c r="F8" s="97"/>
      <c r="G8" s="97"/>
      <c r="H8" s="97"/>
      <c r="I8" s="97"/>
      <c r="J8" s="97"/>
      <c r="K8" s="97"/>
      <c r="L8" s="97"/>
      <c r="M8" s="97"/>
      <c r="N8" s="97"/>
      <c r="O8" s="97"/>
      <c r="P8" s="97"/>
      <c r="Q8" s="97"/>
      <c r="R8" s="97"/>
      <c r="S8" s="97"/>
      <c r="T8" s="97"/>
      <c r="U8" s="97"/>
      <c r="V8" s="97"/>
      <c r="W8" s="97"/>
      <c r="X8" s="97"/>
      <c r="Y8" s="97"/>
      <c r="Z8" s="97"/>
      <c r="AA8" s="97"/>
      <c r="AB8" s="97"/>
      <c r="AC8" s="97"/>
      <c r="AD8" s="97"/>
      <c r="AE8" s="97"/>
      <c r="AF8" s="97"/>
      <c r="AG8" s="97"/>
      <c r="AH8" s="97"/>
      <c r="AI8" s="97"/>
      <c r="AJ8" s="97"/>
      <c r="AK8" s="97"/>
      <c r="AL8" s="97"/>
      <c r="AM8" s="97"/>
      <c r="AN8" s="97"/>
      <c r="AO8" s="97"/>
      <c r="AP8" s="97"/>
      <c r="AQ8" s="97"/>
      <c r="AR8" s="383">
        <f>AQ8*(1+допущения!$C$36)</f>
        <v>0</v>
      </c>
      <c r="AS8" s="383">
        <f t="shared" si="5"/>
        <v>0</v>
      </c>
      <c r="AT8" s="383">
        <f t="shared" si="5"/>
        <v>0</v>
      </c>
      <c r="AU8" s="383">
        <f t="shared" si="5"/>
        <v>0</v>
      </c>
      <c r="AV8" s="83"/>
      <c r="AW8" s="109">
        <f t="shared" si="6"/>
        <v>0</v>
      </c>
      <c r="AX8" s="385">
        <f t="shared" si="7"/>
        <v>0</v>
      </c>
      <c r="AY8" s="385">
        <f t="shared" si="8"/>
        <v>0</v>
      </c>
      <c r="AZ8" s="385">
        <f t="shared" si="9"/>
        <v>0</v>
      </c>
      <c r="BA8" s="385">
        <f t="shared" si="10"/>
        <v>0</v>
      </c>
      <c r="BB8" s="385">
        <f t="shared" si="11"/>
        <v>0</v>
      </c>
      <c r="BC8" s="385">
        <f t="shared" si="12"/>
        <v>0</v>
      </c>
      <c r="BD8" s="385">
        <f t="shared" si="13"/>
        <v>0</v>
      </c>
      <c r="BE8" s="385">
        <f t="shared" si="14"/>
        <v>0</v>
      </c>
      <c r="BF8" s="385">
        <f t="shared" si="15"/>
        <v>0</v>
      </c>
      <c r="BG8" s="385">
        <f t="shared" si="16"/>
        <v>0</v>
      </c>
    </row>
    <row r="9" spans="1:59" s="386" customFormat="1">
      <c r="A9" s="387" t="s">
        <v>123</v>
      </c>
      <c r="B9" s="585">
        <v>3</v>
      </c>
      <c r="C9" s="586">
        <v>55</v>
      </c>
      <c r="D9" s="385">
        <v>0</v>
      </c>
      <c r="E9" s="385">
        <v>0</v>
      </c>
      <c r="F9" s="385">
        <v>0</v>
      </c>
      <c r="G9" s="385">
        <v>0</v>
      </c>
      <c r="H9" s="385">
        <v>0</v>
      </c>
      <c r="I9" s="385">
        <v>0</v>
      </c>
      <c r="J9" s="385">
        <v>0</v>
      </c>
      <c r="K9" s="385">
        <v>0</v>
      </c>
      <c r="L9" s="385">
        <v>0</v>
      </c>
      <c r="M9" s="385">
        <v>0</v>
      </c>
      <c r="N9" s="385">
        <v>0</v>
      </c>
      <c r="O9" s="385">
        <v>0</v>
      </c>
      <c r="P9" s="385">
        <v>0</v>
      </c>
      <c r="Q9" s="385">
        <v>0</v>
      </c>
      <c r="R9" s="385">
        <v>0</v>
      </c>
      <c r="S9" s="385">
        <v>0</v>
      </c>
      <c r="T9" s="385">
        <f>B9*C9*3*(1+допущения!$C$36)</f>
        <v>524.70000000000005</v>
      </c>
      <c r="U9" s="385">
        <f>T9</f>
        <v>524.70000000000005</v>
      </c>
      <c r="V9" s="385">
        <f>U9</f>
        <v>524.70000000000005</v>
      </c>
      <c r="W9" s="385">
        <f>V9</f>
        <v>524.70000000000005</v>
      </c>
      <c r="X9" s="385">
        <f>W9*(1+допущения!$C$36)</f>
        <v>556.18200000000013</v>
      </c>
      <c r="Y9" s="385">
        <f>X9</f>
        <v>556.18200000000013</v>
      </c>
      <c r="Z9" s="385">
        <f t="shared" ref="Z9:AE9" si="19">Y9</f>
        <v>556.18200000000013</v>
      </c>
      <c r="AA9" s="385">
        <f t="shared" si="19"/>
        <v>556.18200000000013</v>
      </c>
      <c r="AB9" s="385">
        <f>AA9*(1+допущения!$C$36)</f>
        <v>589.5529200000002</v>
      </c>
      <c r="AC9" s="385">
        <f t="shared" si="19"/>
        <v>589.5529200000002</v>
      </c>
      <c r="AD9" s="385">
        <f t="shared" si="19"/>
        <v>589.5529200000002</v>
      </c>
      <c r="AE9" s="385">
        <f t="shared" si="19"/>
        <v>589.5529200000002</v>
      </c>
      <c r="AF9" s="385">
        <f>AE9*(1+допущения!$C$36)</f>
        <v>624.92609520000019</v>
      </c>
      <c r="AG9" s="385">
        <f>AF9</f>
        <v>624.92609520000019</v>
      </c>
      <c r="AH9" s="385">
        <f t="shared" ref="AH9:AQ9" si="20">AG9</f>
        <v>624.92609520000019</v>
      </c>
      <c r="AI9" s="385">
        <f t="shared" si="20"/>
        <v>624.92609520000019</v>
      </c>
      <c r="AJ9" s="385">
        <f>AI9*(1+допущения!$C$36)</f>
        <v>662.42166091200022</v>
      </c>
      <c r="AK9" s="385">
        <f t="shared" si="20"/>
        <v>662.42166091200022</v>
      </c>
      <c r="AL9" s="385">
        <f t="shared" si="20"/>
        <v>662.42166091200022</v>
      </c>
      <c r="AM9" s="385">
        <f t="shared" si="20"/>
        <v>662.42166091200022</v>
      </c>
      <c r="AN9" s="385">
        <f>AM9*(1+допущения!$C$36)</f>
        <v>702.16696056672026</v>
      </c>
      <c r="AO9" s="385">
        <f t="shared" si="20"/>
        <v>702.16696056672026</v>
      </c>
      <c r="AP9" s="385">
        <f t="shared" si="20"/>
        <v>702.16696056672026</v>
      </c>
      <c r="AQ9" s="385">
        <f t="shared" si="20"/>
        <v>702.16696056672026</v>
      </c>
      <c r="AR9" s="383">
        <f>AQ9*(1+допущения!$C$36)</f>
        <v>744.29697820072352</v>
      </c>
      <c r="AS9" s="383">
        <f t="shared" si="5"/>
        <v>744.29697820072352</v>
      </c>
      <c r="AT9" s="383">
        <f t="shared" si="5"/>
        <v>744.29697820072352</v>
      </c>
      <c r="AU9" s="383">
        <f t="shared" si="5"/>
        <v>744.29697820072352</v>
      </c>
      <c r="AV9" s="384"/>
      <c r="AW9" s="109">
        <f t="shared" si="6"/>
        <v>0</v>
      </c>
      <c r="AX9" s="385">
        <f t="shared" si="7"/>
        <v>0</v>
      </c>
      <c r="AY9" s="385">
        <f t="shared" si="8"/>
        <v>0</v>
      </c>
      <c r="AZ9" s="385">
        <f t="shared" si="9"/>
        <v>0</v>
      </c>
      <c r="BA9" s="385">
        <f t="shared" si="10"/>
        <v>2098.8000000000002</v>
      </c>
      <c r="BB9" s="385">
        <f t="shared" si="11"/>
        <v>2224.7280000000005</v>
      </c>
      <c r="BC9" s="385">
        <f t="shared" si="12"/>
        <v>2358.2116800000008</v>
      </c>
      <c r="BD9" s="385">
        <f t="shared" si="13"/>
        <v>2499.7043808000008</v>
      </c>
      <c r="BE9" s="385">
        <f t="shared" si="14"/>
        <v>2649.6866436480009</v>
      </c>
      <c r="BF9" s="385">
        <f t="shared" si="15"/>
        <v>2808.6678422668811</v>
      </c>
      <c r="BG9" s="385">
        <f t="shared" si="16"/>
        <v>2977.1879128028941</v>
      </c>
    </row>
    <row r="10" spans="1:59" s="386" customFormat="1" ht="28.8">
      <c r="A10" s="387" t="s">
        <v>124</v>
      </c>
      <c r="B10" s="585">
        <v>14</v>
      </c>
      <c r="C10" s="586">
        <v>40</v>
      </c>
      <c r="D10" s="385">
        <v>0</v>
      </c>
      <c r="E10" s="385">
        <v>0</v>
      </c>
      <c r="F10" s="385">
        <v>0</v>
      </c>
      <c r="G10" s="385">
        <v>0</v>
      </c>
      <c r="H10" s="385">
        <v>0</v>
      </c>
      <c r="I10" s="385">
        <v>0</v>
      </c>
      <c r="J10" s="385">
        <v>0</v>
      </c>
      <c r="K10" s="385">
        <v>0</v>
      </c>
      <c r="L10" s="385">
        <v>0</v>
      </c>
      <c r="M10" s="385">
        <v>0</v>
      </c>
      <c r="N10" s="385">
        <v>0</v>
      </c>
      <c r="O10" s="385">
        <v>0</v>
      </c>
      <c r="P10" s="385">
        <v>0</v>
      </c>
      <c r="Q10" s="385">
        <v>0</v>
      </c>
      <c r="R10" s="385">
        <v>0</v>
      </c>
      <c r="S10" s="385">
        <v>0</v>
      </c>
      <c r="T10" s="385">
        <f>B10*C10*3*(1+допущения!$C$36)</f>
        <v>1780.8000000000002</v>
      </c>
      <c r="U10" s="385">
        <f t="shared" ref="U10:AE12" si="21">T10</f>
        <v>1780.8000000000002</v>
      </c>
      <c r="V10" s="385">
        <f t="shared" si="21"/>
        <v>1780.8000000000002</v>
      </c>
      <c r="W10" s="385">
        <f t="shared" si="21"/>
        <v>1780.8000000000002</v>
      </c>
      <c r="X10" s="385">
        <f>W10*(1+допущения!$C$36)</f>
        <v>1887.6480000000004</v>
      </c>
      <c r="Y10" s="385">
        <f t="shared" si="21"/>
        <v>1887.6480000000004</v>
      </c>
      <c r="Z10" s="385">
        <f t="shared" si="21"/>
        <v>1887.6480000000004</v>
      </c>
      <c r="AA10" s="385">
        <f t="shared" si="21"/>
        <v>1887.6480000000004</v>
      </c>
      <c r="AB10" s="385">
        <f>AA10*(1+допущения!$C$36)</f>
        <v>2000.9068800000005</v>
      </c>
      <c r="AC10" s="385">
        <f t="shared" si="21"/>
        <v>2000.9068800000005</v>
      </c>
      <c r="AD10" s="385">
        <f t="shared" si="21"/>
        <v>2000.9068800000005</v>
      </c>
      <c r="AE10" s="385">
        <f t="shared" si="21"/>
        <v>2000.9068800000005</v>
      </c>
      <c r="AF10" s="385">
        <f>AE10*(1+допущения!$C$36)</f>
        <v>2120.9612928000006</v>
      </c>
      <c r="AG10" s="385">
        <f t="shared" ref="AG10:AQ14" si="22">AF10</f>
        <v>2120.9612928000006</v>
      </c>
      <c r="AH10" s="385">
        <f t="shared" si="22"/>
        <v>2120.9612928000006</v>
      </c>
      <c r="AI10" s="385">
        <f t="shared" si="22"/>
        <v>2120.9612928000006</v>
      </c>
      <c r="AJ10" s="385">
        <f>AI10*(1+допущения!$C$36)</f>
        <v>2248.2189703680006</v>
      </c>
      <c r="AK10" s="385">
        <f t="shared" si="22"/>
        <v>2248.2189703680006</v>
      </c>
      <c r="AL10" s="385">
        <f t="shared" si="22"/>
        <v>2248.2189703680006</v>
      </c>
      <c r="AM10" s="385">
        <f t="shared" si="22"/>
        <v>2248.2189703680006</v>
      </c>
      <c r="AN10" s="385">
        <f>AM10*(1+допущения!$C$36)</f>
        <v>2383.1121085900809</v>
      </c>
      <c r="AO10" s="385">
        <f t="shared" si="22"/>
        <v>2383.1121085900809</v>
      </c>
      <c r="AP10" s="385">
        <f t="shared" si="22"/>
        <v>2383.1121085900809</v>
      </c>
      <c r="AQ10" s="385">
        <f t="shared" si="22"/>
        <v>2383.1121085900809</v>
      </c>
      <c r="AR10" s="383">
        <f>AQ10*(1+допущения!$C$36)</f>
        <v>2526.0988351054857</v>
      </c>
      <c r="AS10" s="383">
        <f t="shared" si="5"/>
        <v>2526.0988351054857</v>
      </c>
      <c r="AT10" s="383">
        <f t="shared" si="5"/>
        <v>2526.0988351054857</v>
      </c>
      <c r="AU10" s="383">
        <f t="shared" si="5"/>
        <v>2526.0988351054857</v>
      </c>
      <c r="AV10" s="384"/>
      <c r="AW10" s="109">
        <f t="shared" ref="AW10:AW13" si="23">SUM(D10:G10)</f>
        <v>0</v>
      </c>
      <c r="AX10" s="385">
        <f t="shared" si="7"/>
        <v>0</v>
      </c>
      <c r="AY10" s="385">
        <f t="shared" si="8"/>
        <v>0</v>
      </c>
      <c r="AZ10" s="385">
        <f t="shared" si="9"/>
        <v>0</v>
      </c>
      <c r="BA10" s="385">
        <f t="shared" si="10"/>
        <v>7123.2000000000007</v>
      </c>
      <c r="BB10" s="385">
        <f t="shared" si="11"/>
        <v>7550.5920000000015</v>
      </c>
      <c r="BC10" s="385">
        <f t="shared" si="12"/>
        <v>8003.6275200000018</v>
      </c>
      <c r="BD10" s="385">
        <f t="shared" si="13"/>
        <v>8483.8451712000024</v>
      </c>
      <c r="BE10" s="385">
        <f t="shared" si="14"/>
        <v>8992.8758814720022</v>
      </c>
      <c r="BF10" s="385">
        <f t="shared" si="15"/>
        <v>9532.4484343603235</v>
      </c>
      <c r="BG10" s="385">
        <f t="shared" si="16"/>
        <v>10104.395340421943</v>
      </c>
    </row>
    <row r="11" spans="1:59" s="386" customFormat="1">
      <c r="A11" s="387" t="s">
        <v>126</v>
      </c>
      <c r="B11" s="585">
        <v>8</v>
      </c>
      <c r="C11" s="586">
        <v>45</v>
      </c>
      <c r="D11" s="385">
        <v>0</v>
      </c>
      <c r="E11" s="385">
        <v>0</v>
      </c>
      <c r="F11" s="385">
        <v>0</v>
      </c>
      <c r="G11" s="385">
        <v>0</v>
      </c>
      <c r="H11" s="385">
        <v>0</v>
      </c>
      <c r="I11" s="385">
        <v>0</v>
      </c>
      <c r="J11" s="385">
        <v>0</v>
      </c>
      <c r="K11" s="385">
        <v>0</v>
      </c>
      <c r="L11" s="385">
        <v>0</v>
      </c>
      <c r="M11" s="385">
        <v>0</v>
      </c>
      <c r="N11" s="385">
        <v>0</v>
      </c>
      <c r="O11" s="385">
        <v>0</v>
      </c>
      <c r="P11" s="385">
        <v>0</v>
      </c>
      <c r="Q11" s="385">
        <v>0</v>
      </c>
      <c r="R11" s="385">
        <v>0</v>
      </c>
      <c r="S11" s="385">
        <v>0</v>
      </c>
      <c r="T11" s="385">
        <f>B11*C11*3*(1+допущения!$C$36)</f>
        <v>1144.8</v>
      </c>
      <c r="U11" s="385">
        <f t="shared" si="21"/>
        <v>1144.8</v>
      </c>
      <c r="V11" s="385">
        <f t="shared" si="21"/>
        <v>1144.8</v>
      </c>
      <c r="W11" s="385">
        <f t="shared" si="21"/>
        <v>1144.8</v>
      </c>
      <c r="X11" s="385">
        <f>W11*(1+допущения!$C$36)</f>
        <v>1213.4880000000001</v>
      </c>
      <c r="Y11" s="385">
        <f t="shared" si="21"/>
        <v>1213.4880000000001</v>
      </c>
      <c r="Z11" s="385">
        <f t="shared" si="21"/>
        <v>1213.4880000000001</v>
      </c>
      <c r="AA11" s="385">
        <f t="shared" si="21"/>
        <v>1213.4880000000001</v>
      </c>
      <c r="AB11" s="385">
        <f>AA11*(1+допущения!$C$36)</f>
        <v>1286.2972800000002</v>
      </c>
      <c r="AC11" s="385">
        <f t="shared" si="21"/>
        <v>1286.2972800000002</v>
      </c>
      <c r="AD11" s="385">
        <f t="shared" si="21"/>
        <v>1286.2972800000002</v>
      </c>
      <c r="AE11" s="385">
        <f t="shared" si="21"/>
        <v>1286.2972800000002</v>
      </c>
      <c r="AF11" s="385">
        <f>AE11*(1+допущения!$C$36)</f>
        <v>1363.4751168000003</v>
      </c>
      <c r="AG11" s="385">
        <f t="shared" si="22"/>
        <v>1363.4751168000003</v>
      </c>
      <c r="AH11" s="385">
        <f t="shared" si="22"/>
        <v>1363.4751168000003</v>
      </c>
      <c r="AI11" s="385">
        <f t="shared" si="22"/>
        <v>1363.4751168000003</v>
      </c>
      <c r="AJ11" s="385">
        <f>AI11*(1+допущения!$C$36)</f>
        <v>1445.2836238080004</v>
      </c>
      <c r="AK11" s="385">
        <f t="shared" si="22"/>
        <v>1445.2836238080004</v>
      </c>
      <c r="AL11" s="385">
        <f t="shared" si="22"/>
        <v>1445.2836238080004</v>
      </c>
      <c r="AM11" s="385">
        <f t="shared" si="22"/>
        <v>1445.2836238080004</v>
      </c>
      <c r="AN11" s="385">
        <f>AM11*(1+допущения!$C$36)</f>
        <v>1532.0006412364805</v>
      </c>
      <c r="AO11" s="385">
        <f t="shared" si="22"/>
        <v>1532.0006412364805</v>
      </c>
      <c r="AP11" s="385">
        <f t="shared" si="22"/>
        <v>1532.0006412364805</v>
      </c>
      <c r="AQ11" s="385">
        <f t="shared" si="22"/>
        <v>1532.0006412364805</v>
      </c>
      <c r="AR11" s="383">
        <f>AQ11*(1+допущения!$C$36)</f>
        <v>1623.9206797106694</v>
      </c>
      <c r="AS11" s="383">
        <f t="shared" si="5"/>
        <v>1623.9206797106694</v>
      </c>
      <c r="AT11" s="383">
        <f t="shared" si="5"/>
        <v>1623.9206797106694</v>
      </c>
      <c r="AU11" s="383">
        <f t="shared" si="5"/>
        <v>1623.9206797106694</v>
      </c>
      <c r="AV11" s="384"/>
      <c r="AW11" s="109">
        <f t="shared" si="23"/>
        <v>0</v>
      </c>
      <c r="AX11" s="385">
        <f t="shared" si="7"/>
        <v>0</v>
      </c>
      <c r="AY11" s="385">
        <f t="shared" si="8"/>
        <v>0</v>
      </c>
      <c r="AZ11" s="385">
        <f t="shared" si="9"/>
        <v>0</v>
      </c>
      <c r="BA11" s="385">
        <f t="shared" si="10"/>
        <v>4579.2</v>
      </c>
      <c r="BB11" s="385">
        <f t="shared" si="11"/>
        <v>4853.9520000000002</v>
      </c>
      <c r="BC11" s="385">
        <f t="shared" si="12"/>
        <v>5145.1891200000009</v>
      </c>
      <c r="BD11" s="385">
        <f t="shared" si="13"/>
        <v>5453.900467200001</v>
      </c>
      <c r="BE11" s="385">
        <f t="shared" si="14"/>
        <v>5781.1344952320014</v>
      </c>
      <c r="BF11" s="385">
        <f t="shared" si="15"/>
        <v>6128.0025649459221</v>
      </c>
      <c r="BG11" s="385">
        <f t="shared" si="16"/>
        <v>6495.6827188426778</v>
      </c>
    </row>
    <row r="12" spans="1:59" s="386" customFormat="1" ht="14.25" customHeight="1">
      <c r="A12" s="387" t="s">
        <v>441</v>
      </c>
      <c r="B12" s="585">
        <v>7</v>
      </c>
      <c r="C12" s="586">
        <v>48</v>
      </c>
      <c r="D12" s="385">
        <v>0</v>
      </c>
      <c r="E12" s="385">
        <v>0</v>
      </c>
      <c r="F12" s="385">
        <v>0</v>
      </c>
      <c r="G12" s="385">
        <v>0</v>
      </c>
      <c r="H12" s="385">
        <v>0</v>
      </c>
      <c r="I12" s="385">
        <v>0</v>
      </c>
      <c r="J12" s="385">
        <v>0</v>
      </c>
      <c r="K12" s="385">
        <v>0</v>
      </c>
      <c r="L12" s="385">
        <v>0</v>
      </c>
      <c r="M12" s="385">
        <v>0</v>
      </c>
      <c r="N12" s="385">
        <v>0</v>
      </c>
      <c r="O12" s="385">
        <v>0</v>
      </c>
      <c r="P12" s="385">
        <v>0</v>
      </c>
      <c r="Q12" s="385">
        <v>0</v>
      </c>
      <c r="R12" s="385">
        <v>0</v>
      </c>
      <c r="S12" s="385">
        <v>0</v>
      </c>
      <c r="T12" s="385">
        <f>B12*C12*3*(1+допущения!$C$36)</f>
        <v>1068.48</v>
      </c>
      <c r="U12" s="385">
        <f t="shared" si="21"/>
        <v>1068.48</v>
      </c>
      <c r="V12" s="385">
        <f t="shared" si="21"/>
        <v>1068.48</v>
      </c>
      <c r="W12" s="385">
        <f t="shared" si="21"/>
        <v>1068.48</v>
      </c>
      <c r="X12" s="385">
        <f>W12*(1+допущения!$C$36)</f>
        <v>1132.5888</v>
      </c>
      <c r="Y12" s="385">
        <f t="shared" si="21"/>
        <v>1132.5888</v>
      </c>
      <c r="Z12" s="385">
        <f t="shared" si="21"/>
        <v>1132.5888</v>
      </c>
      <c r="AA12" s="385">
        <f t="shared" si="21"/>
        <v>1132.5888</v>
      </c>
      <c r="AB12" s="385">
        <f>AA12*(1+допущения!$C$36)</f>
        <v>1200.544128</v>
      </c>
      <c r="AC12" s="385">
        <f t="shared" si="21"/>
        <v>1200.544128</v>
      </c>
      <c r="AD12" s="385">
        <f t="shared" si="21"/>
        <v>1200.544128</v>
      </c>
      <c r="AE12" s="385">
        <f t="shared" si="21"/>
        <v>1200.544128</v>
      </c>
      <c r="AF12" s="385">
        <f>AE12*(1+допущения!$C$36)</f>
        <v>1272.5767756800001</v>
      </c>
      <c r="AG12" s="385">
        <f t="shared" si="22"/>
        <v>1272.5767756800001</v>
      </c>
      <c r="AH12" s="385">
        <f t="shared" si="22"/>
        <v>1272.5767756800001</v>
      </c>
      <c r="AI12" s="385">
        <f t="shared" si="22"/>
        <v>1272.5767756800001</v>
      </c>
      <c r="AJ12" s="385">
        <f>AI12*(1+допущения!$C$36)</f>
        <v>1348.9313822208001</v>
      </c>
      <c r="AK12" s="385">
        <f t="shared" si="22"/>
        <v>1348.9313822208001</v>
      </c>
      <c r="AL12" s="385">
        <f t="shared" si="22"/>
        <v>1348.9313822208001</v>
      </c>
      <c r="AM12" s="385">
        <f t="shared" si="22"/>
        <v>1348.9313822208001</v>
      </c>
      <c r="AN12" s="385">
        <f>AM12*(1+допущения!$C$36)</f>
        <v>1429.867265154048</v>
      </c>
      <c r="AO12" s="385">
        <f t="shared" si="22"/>
        <v>1429.867265154048</v>
      </c>
      <c r="AP12" s="385">
        <f t="shared" si="22"/>
        <v>1429.867265154048</v>
      </c>
      <c r="AQ12" s="385">
        <f t="shared" si="22"/>
        <v>1429.867265154048</v>
      </c>
      <c r="AR12" s="383">
        <f>AQ12*(1+допущения!$C$36)</f>
        <v>1515.659301063291</v>
      </c>
      <c r="AS12" s="383">
        <f t="shared" si="5"/>
        <v>1515.659301063291</v>
      </c>
      <c r="AT12" s="383">
        <f t="shared" si="5"/>
        <v>1515.659301063291</v>
      </c>
      <c r="AU12" s="383">
        <f t="shared" si="5"/>
        <v>1515.659301063291</v>
      </c>
      <c r="AV12" s="384"/>
      <c r="AW12" s="109">
        <f t="shared" si="23"/>
        <v>0</v>
      </c>
      <c r="AX12" s="385">
        <f t="shared" si="7"/>
        <v>0</v>
      </c>
      <c r="AY12" s="385">
        <f t="shared" si="8"/>
        <v>0</v>
      </c>
      <c r="AZ12" s="385">
        <f t="shared" si="9"/>
        <v>0</v>
      </c>
      <c r="BA12" s="385">
        <f t="shared" si="10"/>
        <v>4273.92</v>
      </c>
      <c r="BB12" s="385">
        <f t="shared" si="11"/>
        <v>4530.3552</v>
      </c>
      <c r="BC12" s="385">
        <f t="shared" si="12"/>
        <v>4802.176512</v>
      </c>
      <c r="BD12" s="385">
        <f t="shared" si="13"/>
        <v>5090.3071027200003</v>
      </c>
      <c r="BE12" s="385">
        <f t="shared" si="14"/>
        <v>5395.7255288832002</v>
      </c>
      <c r="BF12" s="385">
        <f t="shared" si="15"/>
        <v>5719.4690606161921</v>
      </c>
      <c r="BG12" s="385">
        <f t="shared" si="16"/>
        <v>6062.6372042531639</v>
      </c>
    </row>
    <row r="13" spans="1:59" s="386" customFormat="1" ht="13.5" customHeight="1">
      <c r="A13" s="588" t="s">
        <v>125</v>
      </c>
      <c r="B13" s="585">
        <v>0</v>
      </c>
      <c r="C13" s="586">
        <v>0</v>
      </c>
      <c r="D13" s="385">
        <v>0</v>
      </c>
      <c r="E13" s="385">
        <v>0</v>
      </c>
      <c r="F13" s="385">
        <v>0</v>
      </c>
      <c r="G13" s="385">
        <v>0</v>
      </c>
      <c r="H13" s="385">
        <v>0</v>
      </c>
      <c r="I13" s="385">
        <v>0</v>
      </c>
      <c r="J13" s="385">
        <v>0</v>
      </c>
      <c r="K13" s="385">
        <v>0</v>
      </c>
      <c r="L13" s="385">
        <v>0</v>
      </c>
      <c r="M13" s="385">
        <v>0</v>
      </c>
      <c r="N13" s="385">
        <v>0</v>
      </c>
      <c r="O13" s="385">
        <v>0</v>
      </c>
      <c r="P13" s="385">
        <v>0</v>
      </c>
      <c r="Q13" s="385">
        <v>0</v>
      </c>
      <c r="R13" s="385">
        <v>0</v>
      </c>
      <c r="S13" s="385">
        <v>0</v>
      </c>
      <c r="T13" s="385">
        <f>B13*C13*3*(1+допущения!$C$36)</f>
        <v>0</v>
      </c>
      <c r="U13" s="385">
        <f t="shared" ref="U13:AQ13" si="24">$B$13*$C$13*3</f>
        <v>0</v>
      </c>
      <c r="V13" s="385">
        <f t="shared" si="24"/>
        <v>0</v>
      </c>
      <c r="W13" s="385">
        <f t="shared" si="24"/>
        <v>0</v>
      </c>
      <c r="X13" s="385">
        <f>W13*(1+допущения!$C$36)</f>
        <v>0</v>
      </c>
      <c r="Y13" s="385">
        <f t="shared" si="24"/>
        <v>0</v>
      </c>
      <c r="Z13" s="385">
        <f t="shared" si="24"/>
        <v>0</v>
      </c>
      <c r="AA13" s="385">
        <f t="shared" si="24"/>
        <v>0</v>
      </c>
      <c r="AB13" s="385">
        <f>AA13*(1+допущения!$C$36)</f>
        <v>0</v>
      </c>
      <c r="AC13" s="385">
        <f t="shared" si="24"/>
        <v>0</v>
      </c>
      <c r="AD13" s="385">
        <f t="shared" si="24"/>
        <v>0</v>
      </c>
      <c r="AE13" s="385">
        <f t="shared" si="24"/>
        <v>0</v>
      </c>
      <c r="AF13" s="385">
        <f>AE13*(1+допущения!$C$36)</f>
        <v>0</v>
      </c>
      <c r="AG13" s="385">
        <f t="shared" si="22"/>
        <v>0</v>
      </c>
      <c r="AH13" s="385">
        <f t="shared" si="24"/>
        <v>0</v>
      </c>
      <c r="AI13" s="385">
        <f t="shared" si="24"/>
        <v>0</v>
      </c>
      <c r="AJ13" s="385">
        <f>AI13*(1+допущения!$C$36)</f>
        <v>0</v>
      </c>
      <c r="AK13" s="385">
        <f t="shared" si="24"/>
        <v>0</v>
      </c>
      <c r="AL13" s="385">
        <f t="shared" si="24"/>
        <v>0</v>
      </c>
      <c r="AM13" s="385">
        <f t="shared" si="24"/>
        <v>0</v>
      </c>
      <c r="AN13" s="385">
        <f>AM13*(1+допущения!$C$36)</f>
        <v>0</v>
      </c>
      <c r="AO13" s="385">
        <f t="shared" si="24"/>
        <v>0</v>
      </c>
      <c r="AP13" s="385">
        <f t="shared" si="24"/>
        <v>0</v>
      </c>
      <c r="AQ13" s="385">
        <f t="shared" si="24"/>
        <v>0</v>
      </c>
      <c r="AR13" s="383">
        <f>AQ13*(1+допущения!$C$36)</f>
        <v>0</v>
      </c>
      <c r="AS13" s="383">
        <f t="shared" si="5"/>
        <v>0</v>
      </c>
      <c r="AT13" s="383">
        <f t="shared" si="5"/>
        <v>0</v>
      </c>
      <c r="AU13" s="383">
        <f t="shared" si="5"/>
        <v>0</v>
      </c>
      <c r="AV13" s="384"/>
      <c r="AW13" s="109">
        <f t="shared" si="23"/>
        <v>0</v>
      </c>
      <c r="AX13" s="385">
        <f t="shared" si="7"/>
        <v>0</v>
      </c>
      <c r="AY13" s="385">
        <f t="shared" si="8"/>
        <v>0</v>
      </c>
      <c r="AZ13" s="385">
        <f t="shared" si="9"/>
        <v>0</v>
      </c>
      <c r="BA13" s="385">
        <f t="shared" si="10"/>
        <v>0</v>
      </c>
      <c r="BB13" s="385">
        <f t="shared" si="11"/>
        <v>0</v>
      </c>
      <c r="BC13" s="385">
        <f t="shared" si="12"/>
        <v>0</v>
      </c>
      <c r="BD13" s="385">
        <f t="shared" si="13"/>
        <v>0</v>
      </c>
      <c r="BE13" s="385">
        <f t="shared" si="14"/>
        <v>0</v>
      </c>
      <c r="BF13" s="385">
        <f t="shared" si="15"/>
        <v>0</v>
      </c>
      <c r="BG13" s="385">
        <f t="shared" si="16"/>
        <v>0</v>
      </c>
    </row>
    <row r="14" spans="1:59" s="386" customFormat="1" ht="28.8">
      <c r="A14" s="387" t="s">
        <v>442</v>
      </c>
      <c r="B14" s="585">
        <v>36</v>
      </c>
      <c r="C14" s="586">
        <v>30</v>
      </c>
      <c r="D14" s="385">
        <v>0</v>
      </c>
      <c r="E14" s="385">
        <v>0</v>
      </c>
      <c r="F14" s="385">
        <v>0</v>
      </c>
      <c r="G14" s="385">
        <v>0</v>
      </c>
      <c r="H14" s="385">
        <v>0</v>
      </c>
      <c r="I14" s="385">
        <v>0</v>
      </c>
      <c r="J14" s="385">
        <v>0</v>
      </c>
      <c r="K14" s="385">
        <v>0</v>
      </c>
      <c r="L14" s="385">
        <v>0</v>
      </c>
      <c r="M14" s="385">
        <v>0</v>
      </c>
      <c r="N14" s="385">
        <v>0</v>
      </c>
      <c r="O14" s="385">
        <v>0</v>
      </c>
      <c r="P14" s="385">
        <v>0</v>
      </c>
      <c r="Q14" s="385">
        <v>0</v>
      </c>
      <c r="R14" s="385">
        <v>0</v>
      </c>
      <c r="S14" s="385">
        <v>0</v>
      </c>
      <c r="T14" s="385">
        <f>B14*C14*3*(1+допущения!$C$36)</f>
        <v>3434.4</v>
      </c>
      <c r="U14" s="385">
        <f>T14</f>
        <v>3434.4</v>
      </c>
      <c r="V14" s="385">
        <f>U14</f>
        <v>3434.4</v>
      </c>
      <c r="W14" s="385">
        <f>V14</f>
        <v>3434.4</v>
      </c>
      <c r="X14" s="385">
        <f>W14*(1+допущения!$C$36)</f>
        <v>3640.4640000000004</v>
      </c>
      <c r="Y14" s="385">
        <f t="shared" ref="Y14:AE14" si="25">X14</f>
        <v>3640.4640000000004</v>
      </c>
      <c r="Z14" s="385">
        <f t="shared" si="25"/>
        <v>3640.4640000000004</v>
      </c>
      <c r="AA14" s="385">
        <f t="shared" si="25"/>
        <v>3640.4640000000004</v>
      </c>
      <c r="AB14" s="385">
        <f>AA14*(1+допущения!$C$36)</f>
        <v>3858.8918400000007</v>
      </c>
      <c r="AC14" s="385">
        <f t="shared" si="25"/>
        <v>3858.8918400000007</v>
      </c>
      <c r="AD14" s="385">
        <f t="shared" si="25"/>
        <v>3858.8918400000007</v>
      </c>
      <c r="AE14" s="385">
        <f t="shared" si="25"/>
        <v>3858.8918400000007</v>
      </c>
      <c r="AF14" s="385">
        <f>AE14*(1+допущения!$C$36)</f>
        <v>4090.4253504000008</v>
      </c>
      <c r="AG14" s="385">
        <f t="shared" si="22"/>
        <v>4090.4253504000008</v>
      </c>
      <c r="AH14" s="385">
        <f>AG14</f>
        <v>4090.4253504000008</v>
      </c>
      <c r="AI14" s="385">
        <f t="shared" ref="AI14:AQ14" si="26">AH14</f>
        <v>4090.4253504000008</v>
      </c>
      <c r="AJ14" s="385">
        <f>AI14*(1+допущения!$C$36)</f>
        <v>4335.8508714240006</v>
      </c>
      <c r="AK14" s="385">
        <f t="shared" si="26"/>
        <v>4335.8508714240006</v>
      </c>
      <c r="AL14" s="385">
        <f t="shared" si="26"/>
        <v>4335.8508714240006</v>
      </c>
      <c r="AM14" s="385">
        <f t="shared" si="26"/>
        <v>4335.8508714240006</v>
      </c>
      <c r="AN14" s="385">
        <f>AM14*(1+допущения!$C$36)</f>
        <v>4596.0019237094411</v>
      </c>
      <c r="AO14" s="385">
        <f t="shared" si="26"/>
        <v>4596.0019237094411</v>
      </c>
      <c r="AP14" s="385">
        <f t="shared" si="26"/>
        <v>4596.0019237094411</v>
      </c>
      <c r="AQ14" s="385">
        <f t="shared" si="26"/>
        <v>4596.0019237094411</v>
      </c>
      <c r="AR14" s="383">
        <f>AQ14*(1+допущения!$C$36)</f>
        <v>4871.7620391320079</v>
      </c>
      <c r="AS14" s="383">
        <f t="shared" si="5"/>
        <v>4871.7620391320079</v>
      </c>
      <c r="AT14" s="383">
        <f t="shared" si="5"/>
        <v>4871.7620391320079</v>
      </c>
      <c r="AU14" s="383">
        <f t="shared" si="5"/>
        <v>4871.7620391320079</v>
      </c>
      <c r="AV14" s="384"/>
      <c r="AW14" s="109">
        <f t="shared" si="6"/>
        <v>0</v>
      </c>
      <c r="AX14" s="385">
        <f t="shared" si="7"/>
        <v>0</v>
      </c>
      <c r="AY14" s="385">
        <f t="shared" si="8"/>
        <v>0</v>
      </c>
      <c r="AZ14" s="385">
        <f t="shared" si="9"/>
        <v>0</v>
      </c>
      <c r="BA14" s="385">
        <f t="shared" si="10"/>
        <v>13737.6</v>
      </c>
      <c r="BB14" s="385">
        <f t="shared" si="11"/>
        <v>14561.856000000002</v>
      </c>
      <c r="BC14" s="385">
        <f t="shared" si="12"/>
        <v>15435.567360000003</v>
      </c>
      <c r="BD14" s="385">
        <f t="shared" si="13"/>
        <v>16361.701401600003</v>
      </c>
      <c r="BE14" s="385">
        <f t="shared" si="14"/>
        <v>17343.403485696002</v>
      </c>
      <c r="BF14" s="385">
        <f t="shared" si="15"/>
        <v>18384.007694837765</v>
      </c>
      <c r="BG14" s="385">
        <f t="shared" si="16"/>
        <v>19487.048156528032</v>
      </c>
    </row>
    <row r="15" spans="1:59" s="98" customFormat="1" ht="30" customHeight="1">
      <c r="A15" s="99" t="s">
        <v>120</v>
      </c>
      <c r="B15" s="100">
        <f>SUM(B9:B14)</f>
        <v>68</v>
      </c>
      <c r="C15" s="110"/>
      <c r="D15" s="102">
        <f>SUM(D9:D14)</f>
        <v>0</v>
      </c>
      <c r="E15" s="102">
        <f t="shared" ref="E15:AQ15" si="27">SUM(E9:E14)</f>
        <v>0</v>
      </c>
      <c r="F15" s="102">
        <f t="shared" si="27"/>
        <v>0</v>
      </c>
      <c r="G15" s="102">
        <f t="shared" si="27"/>
        <v>0</v>
      </c>
      <c r="H15" s="102">
        <f t="shared" si="27"/>
        <v>0</v>
      </c>
      <c r="I15" s="102">
        <f t="shared" si="27"/>
        <v>0</v>
      </c>
      <c r="J15" s="102">
        <f t="shared" si="27"/>
        <v>0</v>
      </c>
      <c r="K15" s="102">
        <f t="shared" si="27"/>
        <v>0</v>
      </c>
      <c r="L15" s="102">
        <f t="shared" si="27"/>
        <v>0</v>
      </c>
      <c r="M15" s="102">
        <f t="shared" si="27"/>
        <v>0</v>
      </c>
      <c r="N15" s="102">
        <f t="shared" si="27"/>
        <v>0</v>
      </c>
      <c r="O15" s="102">
        <f t="shared" si="27"/>
        <v>0</v>
      </c>
      <c r="P15" s="102">
        <f t="shared" si="27"/>
        <v>0</v>
      </c>
      <c r="Q15" s="102">
        <f t="shared" si="27"/>
        <v>0</v>
      </c>
      <c r="R15" s="102">
        <f t="shared" si="27"/>
        <v>0</v>
      </c>
      <c r="S15" s="102">
        <f t="shared" si="27"/>
        <v>0</v>
      </c>
      <c r="T15" s="102">
        <f t="shared" si="27"/>
        <v>7953.18</v>
      </c>
      <c r="U15" s="102">
        <f t="shared" si="27"/>
        <v>7953.18</v>
      </c>
      <c r="V15" s="102">
        <f t="shared" si="27"/>
        <v>7953.18</v>
      </c>
      <c r="W15" s="102">
        <f t="shared" si="27"/>
        <v>7953.18</v>
      </c>
      <c r="X15" s="102">
        <f t="shared" si="27"/>
        <v>8430.3708000000006</v>
      </c>
      <c r="Y15" s="102">
        <f t="shared" si="27"/>
        <v>8430.3708000000006</v>
      </c>
      <c r="Z15" s="102">
        <f t="shared" si="27"/>
        <v>8430.3708000000006</v>
      </c>
      <c r="AA15" s="102">
        <f t="shared" si="27"/>
        <v>8430.3708000000006</v>
      </c>
      <c r="AB15" s="102">
        <f t="shared" si="27"/>
        <v>8936.193048000001</v>
      </c>
      <c r="AC15" s="102">
        <f t="shared" si="27"/>
        <v>8936.193048000001</v>
      </c>
      <c r="AD15" s="102">
        <f t="shared" si="27"/>
        <v>8936.193048000001</v>
      </c>
      <c r="AE15" s="102">
        <f t="shared" si="27"/>
        <v>8936.193048000001</v>
      </c>
      <c r="AF15" s="102">
        <f t="shared" si="27"/>
        <v>9472.3646308800016</v>
      </c>
      <c r="AG15" s="102">
        <f t="shared" si="27"/>
        <v>9472.3646308800016</v>
      </c>
      <c r="AH15" s="102">
        <f t="shared" si="27"/>
        <v>9472.3646308800016</v>
      </c>
      <c r="AI15" s="102">
        <f t="shared" si="27"/>
        <v>9472.3646308800016</v>
      </c>
      <c r="AJ15" s="102">
        <f t="shared" si="27"/>
        <v>10040.706508732801</v>
      </c>
      <c r="AK15" s="102">
        <f t="shared" si="27"/>
        <v>10040.706508732801</v>
      </c>
      <c r="AL15" s="102">
        <f t="shared" si="27"/>
        <v>10040.706508732801</v>
      </c>
      <c r="AM15" s="102">
        <f t="shared" si="27"/>
        <v>10040.706508732801</v>
      </c>
      <c r="AN15" s="102">
        <f t="shared" si="27"/>
        <v>10643.148899256772</v>
      </c>
      <c r="AO15" s="102">
        <f t="shared" si="27"/>
        <v>10643.148899256772</v>
      </c>
      <c r="AP15" s="102">
        <f t="shared" si="27"/>
        <v>10643.148899256772</v>
      </c>
      <c r="AQ15" s="102">
        <f t="shared" si="27"/>
        <v>10643.148899256772</v>
      </c>
      <c r="AR15" s="102">
        <f>AQ15*(1+допущения!$C$36)</f>
        <v>11281.737833212179</v>
      </c>
      <c r="AS15" s="102">
        <f t="shared" si="5"/>
        <v>11281.737833212179</v>
      </c>
      <c r="AT15" s="102">
        <f t="shared" si="5"/>
        <v>11281.737833212179</v>
      </c>
      <c r="AU15" s="102">
        <f t="shared" si="5"/>
        <v>11281.737833212179</v>
      </c>
      <c r="AV15" s="100"/>
      <c r="AW15" s="551">
        <f>SUM(AW9:AW14)</f>
        <v>0</v>
      </c>
      <c r="AX15" s="552">
        <f t="shared" si="7"/>
        <v>0</v>
      </c>
      <c r="AY15" s="552">
        <f t="shared" si="8"/>
        <v>0</v>
      </c>
      <c r="AZ15" s="552">
        <f t="shared" si="9"/>
        <v>0</v>
      </c>
      <c r="BA15" s="552">
        <f t="shared" si="10"/>
        <v>31812.720000000001</v>
      </c>
      <c r="BB15" s="552">
        <f t="shared" si="11"/>
        <v>33721.483200000002</v>
      </c>
      <c r="BC15" s="552">
        <f t="shared" si="12"/>
        <v>35744.772192000004</v>
      </c>
      <c r="BD15" s="552">
        <f t="shared" si="13"/>
        <v>37889.458523520007</v>
      </c>
      <c r="BE15" s="552">
        <f t="shared" si="14"/>
        <v>40162.826034931204</v>
      </c>
      <c r="BF15" s="552">
        <f t="shared" si="15"/>
        <v>42572.595597027088</v>
      </c>
      <c r="BG15" s="552">
        <f t="shared" si="16"/>
        <v>45126.951332848716</v>
      </c>
    </row>
    <row r="16" spans="1:59" s="103" customFormat="1" ht="16.5" customHeight="1">
      <c r="A16" s="104" t="s">
        <v>121</v>
      </c>
      <c r="B16" s="105"/>
      <c r="C16" s="111"/>
      <c r="D16" s="107">
        <f>D15*$B$61</f>
        <v>0</v>
      </c>
      <c r="E16" s="107">
        <f t="shared" ref="E16:AQ16" si="28">E15*$B$61</f>
        <v>0</v>
      </c>
      <c r="F16" s="107">
        <f t="shared" si="28"/>
        <v>0</v>
      </c>
      <c r="G16" s="107">
        <f t="shared" si="28"/>
        <v>0</v>
      </c>
      <c r="H16" s="107">
        <f t="shared" si="28"/>
        <v>0</v>
      </c>
      <c r="I16" s="107">
        <f t="shared" si="28"/>
        <v>0</v>
      </c>
      <c r="J16" s="107">
        <f t="shared" si="28"/>
        <v>0</v>
      </c>
      <c r="K16" s="107">
        <f t="shared" si="28"/>
        <v>0</v>
      </c>
      <c r="L16" s="107">
        <f t="shared" si="28"/>
        <v>0</v>
      </c>
      <c r="M16" s="107">
        <f t="shared" si="28"/>
        <v>0</v>
      </c>
      <c r="N16" s="107">
        <f t="shared" si="28"/>
        <v>0</v>
      </c>
      <c r="O16" s="107">
        <f t="shared" si="28"/>
        <v>0</v>
      </c>
      <c r="P16" s="107">
        <f t="shared" si="28"/>
        <v>0</v>
      </c>
      <c r="Q16" s="107">
        <f t="shared" si="28"/>
        <v>0</v>
      </c>
      <c r="R16" s="107">
        <f t="shared" si="28"/>
        <v>0</v>
      </c>
      <c r="S16" s="107">
        <f t="shared" si="28"/>
        <v>0</v>
      </c>
      <c r="T16" s="107">
        <f t="shared" si="28"/>
        <v>2385.9540000000002</v>
      </c>
      <c r="U16" s="107">
        <f t="shared" si="28"/>
        <v>2385.9540000000002</v>
      </c>
      <c r="V16" s="107">
        <f t="shared" si="28"/>
        <v>2385.9540000000002</v>
      </c>
      <c r="W16" s="107">
        <f t="shared" si="28"/>
        <v>2385.9540000000002</v>
      </c>
      <c r="X16" s="107">
        <f t="shared" si="28"/>
        <v>2529.1112400000002</v>
      </c>
      <c r="Y16" s="107">
        <f t="shared" si="28"/>
        <v>2529.1112400000002</v>
      </c>
      <c r="Z16" s="107">
        <f t="shared" si="28"/>
        <v>2529.1112400000002</v>
      </c>
      <c r="AA16" s="107">
        <f t="shared" si="28"/>
        <v>2529.1112400000002</v>
      </c>
      <c r="AB16" s="107">
        <f t="shared" si="28"/>
        <v>2680.8579144</v>
      </c>
      <c r="AC16" s="107">
        <f t="shared" si="28"/>
        <v>2680.8579144</v>
      </c>
      <c r="AD16" s="107">
        <f t="shared" si="28"/>
        <v>2680.8579144</v>
      </c>
      <c r="AE16" s="107">
        <f t="shared" si="28"/>
        <v>2680.8579144</v>
      </c>
      <c r="AF16" s="107">
        <f>AF15*$B$61</f>
        <v>2841.7093892640005</v>
      </c>
      <c r="AG16" s="107">
        <f t="shared" si="28"/>
        <v>2841.7093892640005</v>
      </c>
      <c r="AH16" s="107">
        <f t="shared" si="28"/>
        <v>2841.7093892640005</v>
      </c>
      <c r="AI16" s="107">
        <f t="shared" si="28"/>
        <v>2841.7093892640005</v>
      </c>
      <c r="AJ16" s="107">
        <f t="shared" si="28"/>
        <v>3012.2119526198403</v>
      </c>
      <c r="AK16" s="107">
        <f t="shared" si="28"/>
        <v>3012.2119526198403</v>
      </c>
      <c r="AL16" s="107">
        <f t="shared" si="28"/>
        <v>3012.2119526198403</v>
      </c>
      <c r="AM16" s="107">
        <f t="shared" si="28"/>
        <v>3012.2119526198403</v>
      </c>
      <c r="AN16" s="107">
        <f t="shared" si="28"/>
        <v>3192.9446697770313</v>
      </c>
      <c r="AO16" s="107">
        <f t="shared" si="28"/>
        <v>3192.9446697770313</v>
      </c>
      <c r="AP16" s="107">
        <f t="shared" si="28"/>
        <v>3192.9446697770313</v>
      </c>
      <c r="AQ16" s="107">
        <f t="shared" si="28"/>
        <v>3192.9446697770313</v>
      </c>
      <c r="AR16" s="107">
        <f>AQ16*(1+допущения!$C$36)</f>
        <v>3384.5213499636534</v>
      </c>
      <c r="AS16" s="107">
        <f t="shared" si="5"/>
        <v>3384.5213499636534</v>
      </c>
      <c r="AT16" s="107">
        <f t="shared" si="5"/>
        <v>3384.5213499636534</v>
      </c>
      <c r="AU16" s="107">
        <f t="shared" si="5"/>
        <v>3384.5213499636534</v>
      </c>
      <c r="AV16" s="105"/>
      <c r="AW16" s="553">
        <f>0.3*AW15</f>
        <v>0</v>
      </c>
      <c r="AX16" s="406">
        <f t="shared" si="7"/>
        <v>0</v>
      </c>
      <c r="AY16" s="406">
        <f t="shared" si="8"/>
        <v>0</v>
      </c>
      <c r="AZ16" s="406">
        <f t="shared" si="9"/>
        <v>0</v>
      </c>
      <c r="BA16" s="406">
        <f t="shared" si="10"/>
        <v>9543.8160000000007</v>
      </c>
      <c r="BB16" s="406">
        <f t="shared" si="11"/>
        <v>10116.444960000001</v>
      </c>
      <c r="BC16" s="406">
        <f t="shared" si="12"/>
        <v>10723.4316576</v>
      </c>
      <c r="BD16" s="406">
        <f t="shared" si="13"/>
        <v>11366.837557056002</v>
      </c>
      <c r="BE16" s="406">
        <f t="shared" si="14"/>
        <v>12048.847810479361</v>
      </c>
      <c r="BF16" s="406">
        <f t="shared" si="15"/>
        <v>12771.778679108125</v>
      </c>
      <c r="BG16" s="406">
        <f t="shared" si="16"/>
        <v>13538.085399854614</v>
      </c>
    </row>
    <row r="17" spans="1:59">
      <c r="A17" s="94" t="s">
        <v>127</v>
      </c>
      <c r="B17" s="83"/>
      <c r="C17" s="112"/>
      <c r="D17" s="83"/>
      <c r="E17" s="83"/>
      <c r="F17" s="83"/>
      <c r="G17" s="83"/>
      <c r="H17" s="83"/>
      <c r="I17" s="83"/>
      <c r="J17" s="83"/>
      <c r="K17" s="83"/>
      <c r="L17" s="83"/>
      <c r="M17" s="83"/>
      <c r="N17" s="83"/>
      <c r="O17" s="83"/>
      <c r="P17" s="83"/>
      <c r="Q17" s="83"/>
      <c r="R17" s="83"/>
      <c r="S17" s="83"/>
      <c r="T17" s="83"/>
      <c r="U17" s="83"/>
      <c r="V17" s="83"/>
      <c r="W17" s="83"/>
      <c r="X17" s="83"/>
      <c r="Y17" s="83"/>
      <c r="Z17" s="83"/>
      <c r="AA17" s="83"/>
      <c r="AB17" s="83"/>
      <c r="AC17" s="83"/>
      <c r="AD17" s="83"/>
      <c r="AE17" s="83"/>
      <c r="AF17" s="83"/>
      <c r="AG17" s="83"/>
      <c r="AH17" s="83"/>
      <c r="AI17" s="83"/>
      <c r="AJ17" s="83"/>
      <c r="AK17" s="83"/>
      <c r="AL17" s="83"/>
      <c r="AM17" s="83"/>
      <c r="AN17" s="83"/>
      <c r="AO17" s="83"/>
      <c r="AP17" s="83"/>
      <c r="AQ17" s="83"/>
      <c r="AR17" s="383">
        <f>AQ17*(1+допущения!$C$36)</f>
        <v>0</v>
      </c>
      <c r="AS17" s="383">
        <f t="shared" si="5"/>
        <v>0</v>
      </c>
      <c r="AT17" s="383">
        <f t="shared" si="5"/>
        <v>0</v>
      </c>
      <c r="AU17" s="383">
        <f t="shared" si="5"/>
        <v>0</v>
      </c>
      <c r="AV17" s="83"/>
      <c r="AW17" s="109">
        <f t="shared" si="6"/>
        <v>0</v>
      </c>
      <c r="AX17" s="385">
        <f t="shared" si="7"/>
        <v>0</v>
      </c>
      <c r="AY17" s="385">
        <f t="shared" si="8"/>
        <v>0</v>
      </c>
      <c r="AZ17" s="385">
        <f t="shared" si="9"/>
        <v>0</v>
      </c>
      <c r="BA17" s="385">
        <f t="shared" si="10"/>
        <v>0</v>
      </c>
      <c r="BB17" s="385">
        <f t="shared" si="11"/>
        <v>0</v>
      </c>
      <c r="BC17" s="385">
        <f t="shared" si="12"/>
        <v>0</v>
      </c>
      <c r="BD17" s="385">
        <f t="shared" si="13"/>
        <v>0</v>
      </c>
      <c r="BE17" s="385">
        <f t="shared" si="14"/>
        <v>0</v>
      </c>
      <c r="BF17" s="385">
        <f t="shared" si="15"/>
        <v>0</v>
      </c>
      <c r="BG17" s="385">
        <f t="shared" si="16"/>
        <v>0</v>
      </c>
    </row>
    <row r="18" spans="1:59">
      <c r="A18" s="387" t="s">
        <v>128</v>
      </c>
      <c r="B18" s="388">
        <v>0</v>
      </c>
      <c r="C18" s="389">
        <v>0</v>
      </c>
      <c r="D18" s="83">
        <f>$B$18*C18*3</f>
        <v>0</v>
      </c>
      <c r="E18" s="83">
        <v>0</v>
      </c>
      <c r="F18" s="83">
        <f t="shared" ref="F18:AQ18" si="29">$B$18*$C$18*3</f>
        <v>0</v>
      </c>
      <c r="G18" s="83">
        <f t="shared" si="29"/>
        <v>0</v>
      </c>
      <c r="H18" s="83">
        <f t="shared" si="29"/>
        <v>0</v>
      </c>
      <c r="I18" s="83">
        <f t="shared" si="29"/>
        <v>0</v>
      </c>
      <c r="J18" s="83">
        <f t="shared" si="29"/>
        <v>0</v>
      </c>
      <c r="K18" s="83">
        <f t="shared" si="29"/>
        <v>0</v>
      </c>
      <c r="L18" s="83">
        <f t="shared" si="29"/>
        <v>0</v>
      </c>
      <c r="M18" s="83">
        <f t="shared" si="29"/>
        <v>0</v>
      </c>
      <c r="N18" s="83">
        <f t="shared" si="29"/>
        <v>0</v>
      </c>
      <c r="O18" s="83">
        <f t="shared" si="29"/>
        <v>0</v>
      </c>
      <c r="P18" s="83">
        <f t="shared" si="29"/>
        <v>0</v>
      </c>
      <c r="Q18" s="83">
        <f t="shared" si="29"/>
        <v>0</v>
      </c>
      <c r="R18" s="83">
        <f t="shared" si="29"/>
        <v>0</v>
      </c>
      <c r="S18" s="83">
        <f t="shared" si="29"/>
        <v>0</v>
      </c>
      <c r="T18" s="83">
        <f t="shared" si="29"/>
        <v>0</v>
      </c>
      <c r="U18" s="83">
        <f t="shared" si="29"/>
        <v>0</v>
      </c>
      <c r="V18" s="83">
        <f t="shared" si="29"/>
        <v>0</v>
      </c>
      <c r="W18" s="83">
        <f t="shared" si="29"/>
        <v>0</v>
      </c>
      <c r="X18" s="83">
        <f t="shared" si="29"/>
        <v>0</v>
      </c>
      <c r="Y18" s="83">
        <f t="shared" si="29"/>
        <v>0</v>
      </c>
      <c r="Z18" s="83">
        <f t="shared" si="29"/>
        <v>0</v>
      </c>
      <c r="AA18" s="83">
        <f t="shared" si="29"/>
        <v>0</v>
      </c>
      <c r="AB18" s="83">
        <f t="shared" si="29"/>
        <v>0</v>
      </c>
      <c r="AC18" s="83">
        <f t="shared" si="29"/>
        <v>0</v>
      </c>
      <c r="AD18" s="83">
        <f t="shared" si="29"/>
        <v>0</v>
      </c>
      <c r="AE18" s="83">
        <f t="shared" si="29"/>
        <v>0</v>
      </c>
      <c r="AF18" s="83">
        <f t="shared" si="29"/>
        <v>0</v>
      </c>
      <c r="AG18" s="83">
        <f t="shared" si="29"/>
        <v>0</v>
      </c>
      <c r="AH18" s="83">
        <f t="shared" si="29"/>
        <v>0</v>
      </c>
      <c r="AI18" s="83">
        <f t="shared" si="29"/>
        <v>0</v>
      </c>
      <c r="AJ18" s="83">
        <f t="shared" si="29"/>
        <v>0</v>
      </c>
      <c r="AK18" s="83">
        <f t="shared" si="29"/>
        <v>0</v>
      </c>
      <c r="AL18" s="83">
        <f t="shared" si="29"/>
        <v>0</v>
      </c>
      <c r="AM18" s="83">
        <f t="shared" si="29"/>
        <v>0</v>
      </c>
      <c r="AN18" s="83">
        <f t="shared" si="29"/>
        <v>0</v>
      </c>
      <c r="AO18" s="83">
        <f t="shared" si="29"/>
        <v>0</v>
      </c>
      <c r="AP18" s="83">
        <f t="shared" si="29"/>
        <v>0</v>
      </c>
      <c r="AQ18" s="83">
        <f t="shared" si="29"/>
        <v>0</v>
      </c>
      <c r="AR18" s="383">
        <f>AQ18*(1+допущения!$C$36)</f>
        <v>0</v>
      </c>
      <c r="AS18" s="383">
        <f t="shared" si="5"/>
        <v>0</v>
      </c>
      <c r="AT18" s="383">
        <f t="shared" si="5"/>
        <v>0</v>
      </c>
      <c r="AU18" s="383">
        <f t="shared" si="5"/>
        <v>0</v>
      </c>
      <c r="AV18" s="83"/>
      <c r="AW18" s="109">
        <f t="shared" si="6"/>
        <v>0</v>
      </c>
      <c r="AX18" s="385">
        <f t="shared" si="7"/>
        <v>0</v>
      </c>
      <c r="AY18" s="385">
        <f t="shared" si="8"/>
        <v>0</v>
      </c>
      <c r="AZ18" s="385">
        <f t="shared" si="9"/>
        <v>0</v>
      </c>
      <c r="BA18" s="385">
        <f t="shared" si="10"/>
        <v>0</v>
      </c>
      <c r="BB18" s="385">
        <f t="shared" si="11"/>
        <v>0</v>
      </c>
      <c r="BC18" s="385">
        <f t="shared" si="12"/>
        <v>0</v>
      </c>
      <c r="BD18" s="385">
        <f t="shared" si="13"/>
        <v>0</v>
      </c>
      <c r="BE18" s="385">
        <f t="shared" si="14"/>
        <v>0</v>
      </c>
      <c r="BF18" s="385">
        <f t="shared" si="15"/>
        <v>0</v>
      </c>
      <c r="BG18" s="385">
        <f t="shared" si="16"/>
        <v>0</v>
      </c>
    </row>
    <row r="19" spans="1:59">
      <c r="A19" s="387" t="s">
        <v>129</v>
      </c>
      <c r="B19" s="388">
        <v>0</v>
      </c>
      <c r="C19" s="389">
        <v>0</v>
      </c>
      <c r="D19" s="83">
        <f>$B$19*$C$19*3</f>
        <v>0</v>
      </c>
      <c r="E19" s="83">
        <v>0</v>
      </c>
      <c r="F19" s="83">
        <f t="shared" ref="F19:AQ19" si="30">$B$19*$C$19*3</f>
        <v>0</v>
      </c>
      <c r="G19" s="83" t="s">
        <v>130</v>
      </c>
      <c r="H19" s="83">
        <f t="shared" si="30"/>
        <v>0</v>
      </c>
      <c r="I19" s="83">
        <f t="shared" si="30"/>
        <v>0</v>
      </c>
      <c r="J19" s="83">
        <f t="shared" si="30"/>
        <v>0</v>
      </c>
      <c r="K19" s="83">
        <f t="shared" si="30"/>
        <v>0</v>
      </c>
      <c r="L19" s="83">
        <f t="shared" si="30"/>
        <v>0</v>
      </c>
      <c r="M19" s="83">
        <f t="shared" si="30"/>
        <v>0</v>
      </c>
      <c r="N19" s="83">
        <f t="shared" si="30"/>
        <v>0</v>
      </c>
      <c r="O19" s="83">
        <f t="shared" si="30"/>
        <v>0</v>
      </c>
      <c r="P19" s="83">
        <f t="shared" si="30"/>
        <v>0</v>
      </c>
      <c r="Q19" s="83">
        <f t="shared" si="30"/>
        <v>0</v>
      </c>
      <c r="R19" s="83">
        <f t="shared" si="30"/>
        <v>0</v>
      </c>
      <c r="S19" s="83">
        <f t="shared" si="30"/>
        <v>0</v>
      </c>
      <c r="T19" s="83">
        <f t="shared" si="30"/>
        <v>0</v>
      </c>
      <c r="U19" s="83">
        <f t="shared" si="30"/>
        <v>0</v>
      </c>
      <c r="V19" s="83">
        <f t="shared" si="30"/>
        <v>0</v>
      </c>
      <c r="W19" s="83">
        <f t="shared" si="30"/>
        <v>0</v>
      </c>
      <c r="X19" s="83">
        <f t="shared" si="30"/>
        <v>0</v>
      </c>
      <c r="Y19" s="83">
        <f t="shared" si="30"/>
        <v>0</v>
      </c>
      <c r="Z19" s="83">
        <f t="shared" si="30"/>
        <v>0</v>
      </c>
      <c r="AA19" s="83">
        <f t="shared" si="30"/>
        <v>0</v>
      </c>
      <c r="AB19" s="83">
        <f t="shared" si="30"/>
        <v>0</v>
      </c>
      <c r="AC19" s="83">
        <f t="shared" si="30"/>
        <v>0</v>
      </c>
      <c r="AD19" s="83">
        <f t="shared" si="30"/>
        <v>0</v>
      </c>
      <c r="AE19" s="83">
        <f t="shared" si="30"/>
        <v>0</v>
      </c>
      <c r="AF19" s="83">
        <f t="shared" si="30"/>
        <v>0</v>
      </c>
      <c r="AG19" s="83">
        <f t="shared" si="30"/>
        <v>0</v>
      </c>
      <c r="AH19" s="83">
        <f t="shared" si="30"/>
        <v>0</v>
      </c>
      <c r="AI19" s="83">
        <f t="shared" si="30"/>
        <v>0</v>
      </c>
      <c r="AJ19" s="83">
        <f t="shared" si="30"/>
        <v>0</v>
      </c>
      <c r="AK19" s="83">
        <f t="shared" si="30"/>
        <v>0</v>
      </c>
      <c r="AL19" s="83">
        <f t="shared" si="30"/>
        <v>0</v>
      </c>
      <c r="AM19" s="83">
        <f t="shared" si="30"/>
        <v>0</v>
      </c>
      <c r="AN19" s="83">
        <f t="shared" si="30"/>
        <v>0</v>
      </c>
      <c r="AO19" s="83">
        <f t="shared" si="30"/>
        <v>0</v>
      </c>
      <c r="AP19" s="83">
        <f t="shared" si="30"/>
        <v>0</v>
      </c>
      <c r="AQ19" s="83">
        <f t="shared" si="30"/>
        <v>0</v>
      </c>
      <c r="AR19" s="383">
        <f>AQ19*(1+допущения!$C$36)</f>
        <v>0</v>
      </c>
      <c r="AS19" s="383">
        <f t="shared" si="5"/>
        <v>0</v>
      </c>
      <c r="AT19" s="383">
        <f t="shared" si="5"/>
        <v>0</v>
      </c>
      <c r="AU19" s="383">
        <f t="shared" si="5"/>
        <v>0</v>
      </c>
      <c r="AV19" s="83"/>
      <c r="AW19" s="109">
        <f t="shared" si="6"/>
        <v>0</v>
      </c>
      <c r="AX19" s="385">
        <f t="shared" si="7"/>
        <v>0</v>
      </c>
      <c r="AY19" s="385">
        <f t="shared" si="8"/>
        <v>0</v>
      </c>
      <c r="AZ19" s="385">
        <f t="shared" si="9"/>
        <v>0</v>
      </c>
      <c r="BA19" s="385">
        <f t="shared" si="10"/>
        <v>0</v>
      </c>
      <c r="BB19" s="385">
        <f t="shared" si="11"/>
        <v>0</v>
      </c>
      <c r="BC19" s="385">
        <f t="shared" si="12"/>
        <v>0</v>
      </c>
      <c r="BD19" s="385">
        <f t="shared" si="13"/>
        <v>0</v>
      </c>
      <c r="BE19" s="385">
        <f t="shared" si="14"/>
        <v>0</v>
      </c>
      <c r="BF19" s="385">
        <f t="shared" si="15"/>
        <v>0</v>
      </c>
      <c r="BG19" s="385">
        <f t="shared" si="16"/>
        <v>0</v>
      </c>
    </row>
    <row r="20" spans="1:59">
      <c r="A20" s="387" t="s">
        <v>131</v>
      </c>
      <c r="B20" s="388">
        <v>0</v>
      </c>
      <c r="C20" s="389">
        <v>0</v>
      </c>
      <c r="D20" s="83">
        <f>$B$20*C20*3</f>
        <v>0</v>
      </c>
      <c r="E20" s="83">
        <f t="shared" ref="E20:AQ20" si="31">$B$20*D20*3</f>
        <v>0</v>
      </c>
      <c r="F20" s="83">
        <f t="shared" si="31"/>
        <v>0</v>
      </c>
      <c r="G20" s="83">
        <f t="shared" si="31"/>
        <v>0</v>
      </c>
      <c r="H20" s="83">
        <f t="shared" si="31"/>
        <v>0</v>
      </c>
      <c r="I20" s="83">
        <f t="shared" si="31"/>
        <v>0</v>
      </c>
      <c r="J20" s="83">
        <f t="shared" si="31"/>
        <v>0</v>
      </c>
      <c r="K20" s="83">
        <f t="shared" si="31"/>
        <v>0</v>
      </c>
      <c r="L20" s="83">
        <f t="shared" si="31"/>
        <v>0</v>
      </c>
      <c r="M20" s="83">
        <f t="shared" si="31"/>
        <v>0</v>
      </c>
      <c r="N20" s="83">
        <f t="shared" si="31"/>
        <v>0</v>
      </c>
      <c r="O20" s="83">
        <f t="shared" si="31"/>
        <v>0</v>
      </c>
      <c r="P20" s="83">
        <f t="shared" si="31"/>
        <v>0</v>
      </c>
      <c r="Q20" s="83">
        <f t="shared" si="31"/>
        <v>0</v>
      </c>
      <c r="R20" s="83">
        <f t="shared" si="31"/>
        <v>0</v>
      </c>
      <c r="S20" s="83">
        <f t="shared" si="31"/>
        <v>0</v>
      </c>
      <c r="T20" s="83">
        <f t="shared" si="31"/>
        <v>0</v>
      </c>
      <c r="U20" s="83">
        <f t="shared" si="31"/>
        <v>0</v>
      </c>
      <c r="V20" s="83">
        <f t="shared" si="31"/>
        <v>0</v>
      </c>
      <c r="W20" s="83">
        <f t="shared" si="31"/>
        <v>0</v>
      </c>
      <c r="X20" s="83">
        <f t="shared" si="31"/>
        <v>0</v>
      </c>
      <c r="Y20" s="83">
        <f t="shared" si="31"/>
        <v>0</v>
      </c>
      <c r="Z20" s="83">
        <f t="shared" si="31"/>
        <v>0</v>
      </c>
      <c r="AA20" s="83">
        <f t="shared" si="31"/>
        <v>0</v>
      </c>
      <c r="AB20" s="83">
        <f t="shared" si="31"/>
        <v>0</v>
      </c>
      <c r="AC20" s="83">
        <f t="shared" si="31"/>
        <v>0</v>
      </c>
      <c r="AD20" s="83">
        <f t="shared" si="31"/>
        <v>0</v>
      </c>
      <c r="AE20" s="83">
        <f t="shared" si="31"/>
        <v>0</v>
      </c>
      <c r="AF20" s="83">
        <f t="shared" si="31"/>
        <v>0</v>
      </c>
      <c r="AG20" s="83">
        <f t="shared" si="31"/>
        <v>0</v>
      </c>
      <c r="AH20" s="83">
        <f t="shared" si="31"/>
        <v>0</v>
      </c>
      <c r="AI20" s="83">
        <f t="shared" si="31"/>
        <v>0</v>
      </c>
      <c r="AJ20" s="83">
        <f t="shared" si="31"/>
        <v>0</v>
      </c>
      <c r="AK20" s="83">
        <f t="shared" si="31"/>
        <v>0</v>
      </c>
      <c r="AL20" s="83">
        <f t="shared" si="31"/>
        <v>0</v>
      </c>
      <c r="AM20" s="83">
        <f t="shared" si="31"/>
        <v>0</v>
      </c>
      <c r="AN20" s="83">
        <f t="shared" si="31"/>
        <v>0</v>
      </c>
      <c r="AO20" s="83">
        <f t="shared" si="31"/>
        <v>0</v>
      </c>
      <c r="AP20" s="83">
        <f t="shared" si="31"/>
        <v>0</v>
      </c>
      <c r="AQ20" s="83">
        <f t="shared" si="31"/>
        <v>0</v>
      </c>
      <c r="AR20" s="383">
        <f>AQ20*(1+допущения!$C$36)</f>
        <v>0</v>
      </c>
      <c r="AS20" s="383">
        <f t="shared" si="5"/>
        <v>0</v>
      </c>
      <c r="AT20" s="383">
        <f t="shared" si="5"/>
        <v>0</v>
      </c>
      <c r="AU20" s="383">
        <f t="shared" si="5"/>
        <v>0</v>
      </c>
      <c r="AV20" s="83"/>
      <c r="AW20" s="109">
        <f t="shared" si="6"/>
        <v>0</v>
      </c>
      <c r="AX20" s="385">
        <f t="shared" si="7"/>
        <v>0</v>
      </c>
      <c r="AY20" s="385">
        <f t="shared" si="8"/>
        <v>0</v>
      </c>
      <c r="AZ20" s="385">
        <f t="shared" si="9"/>
        <v>0</v>
      </c>
      <c r="BA20" s="385">
        <f t="shared" si="10"/>
        <v>0</v>
      </c>
      <c r="BB20" s="385">
        <f t="shared" si="11"/>
        <v>0</v>
      </c>
      <c r="BC20" s="385">
        <f t="shared" si="12"/>
        <v>0</v>
      </c>
      <c r="BD20" s="385">
        <f t="shared" si="13"/>
        <v>0</v>
      </c>
      <c r="BE20" s="385">
        <f t="shared" si="14"/>
        <v>0</v>
      </c>
      <c r="BF20" s="385">
        <f t="shared" si="15"/>
        <v>0</v>
      </c>
      <c r="BG20" s="385">
        <f t="shared" si="16"/>
        <v>0</v>
      </c>
    </row>
    <row r="21" spans="1:59">
      <c r="A21" s="387" t="s">
        <v>132</v>
      </c>
      <c r="B21" s="388">
        <v>0</v>
      </c>
      <c r="C21" s="389">
        <v>0</v>
      </c>
      <c r="D21" s="83">
        <f>$B$21*C21*3</f>
        <v>0</v>
      </c>
      <c r="E21" s="83">
        <f t="shared" ref="E21:AQ21" si="32">$B$21*D21*3</f>
        <v>0</v>
      </c>
      <c r="F21" s="83">
        <f t="shared" si="32"/>
        <v>0</v>
      </c>
      <c r="G21" s="83">
        <f t="shared" si="32"/>
        <v>0</v>
      </c>
      <c r="H21" s="83">
        <f t="shared" si="32"/>
        <v>0</v>
      </c>
      <c r="I21" s="83">
        <f t="shared" si="32"/>
        <v>0</v>
      </c>
      <c r="J21" s="83">
        <f t="shared" si="32"/>
        <v>0</v>
      </c>
      <c r="K21" s="83">
        <f t="shared" si="32"/>
        <v>0</v>
      </c>
      <c r="L21" s="83">
        <f t="shared" si="32"/>
        <v>0</v>
      </c>
      <c r="M21" s="83">
        <f t="shared" si="32"/>
        <v>0</v>
      </c>
      <c r="N21" s="83">
        <f t="shared" si="32"/>
        <v>0</v>
      </c>
      <c r="O21" s="83">
        <f t="shared" si="32"/>
        <v>0</v>
      </c>
      <c r="P21" s="83">
        <f t="shared" si="32"/>
        <v>0</v>
      </c>
      <c r="Q21" s="83">
        <f t="shared" si="32"/>
        <v>0</v>
      </c>
      <c r="R21" s="83">
        <f t="shared" si="32"/>
        <v>0</v>
      </c>
      <c r="S21" s="83">
        <f t="shared" si="32"/>
        <v>0</v>
      </c>
      <c r="T21" s="83">
        <f t="shared" si="32"/>
        <v>0</v>
      </c>
      <c r="U21" s="83">
        <f t="shared" si="32"/>
        <v>0</v>
      </c>
      <c r="V21" s="83">
        <f t="shared" si="32"/>
        <v>0</v>
      </c>
      <c r="W21" s="83">
        <f t="shared" si="32"/>
        <v>0</v>
      </c>
      <c r="X21" s="83">
        <f t="shared" si="32"/>
        <v>0</v>
      </c>
      <c r="Y21" s="83">
        <f t="shared" si="32"/>
        <v>0</v>
      </c>
      <c r="Z21" s="83">
        <f t="shared" si="32"/>
        <v>0</v>
      </c>
      <c r="AA21" s="83">
        <f t="shared" si="32"/>
        <v>0</v>
      </c>
      <c r="AB21" s="83">
        <f t="shared" si="32"/>
        <v>0</v>
      </c>
      <c r="AC21" s="83">
        <f t="shared" si="32"/>
        <v>0</v>
      </c>
      <c r="AD21" s="83">
        <f t="shared" si="32"/>
        <v>0</v>
      </c>
      <c r="AE21" s="83">
        <f t="shared" si="32"/>
        <v>0</v>
      </c>
      <c r="AF21" s="83">
        <f t="shared" si="32"/>
        <v>0</v>
      </c>
      <c r="AG21" s="83">
        <f t="shared" si="32"/>
        <v>0</v>
      </c>
      <c r="AH21" s="83">
        <f t="shared" si="32"/>
        <v>0</v>
      </c>
      <c r="AI21" s="83">
        <f t="shared" si="32"/>
        <v>0</v>
      </c>
      <c r="AJ21" s="83">
        <f t="shared" si="32"/>
        <v>0</v>
      </c>
      <c r="AK21" s="83">
        <f t="shared" si="32"/>
        <v>0</v>
      </c>
      <c r="AL21" s="83">
        <f t="shared" si="32"/>
        <v>0</v>
      </c>
      <c r="AM21" s="83">
        <f t="shared" si="32"/>
        <v>0</v>
      </c>
      <c r="AN21" s="83">
        <f t="shared" si="32"/>
        <v>0</v>
      </c>
      <c r="AO21" s="83">
        <f t="shared" si="32"/>
        <v>0</v>
      </c>
      <c r="AP21" s="83">
        <f t="shared" si="32"/>
        <v>0</v>
      </c>
      <c r="AQ21" s="83">
        <f t="shared" si="32"/>
        <v>0</v>
      </c>
      <c r="AR21" s="383">
        <f>AQ21*(1+допущения!$C$36)</f>
        <v>0</v>
      </c>
      <c r="AS21" s="383">
        <f t="shared" si="5"/>
        <v>0</v>
      </c>
      <c r="AT21" s="383">
        <f t="shared" si="5"/>
        <v>0</v>
      </c>
      <c r="AU21" s="383">
        <f t="shared" si="5"/>
        <v>0</v>
      </c>
      <c r="AV21" s="83"/>
      <c r="AW21" s="109">
        <f t="shared" si="6"/>
        <v>0</v>
      </c>
      <c r="AX21" s="385">
        <f t="shared" si="7"/>
        <v>0</v>
      </c>
      <c r="AY21" s="385">
        <f t="shared" si="8"/>
        <v>0</v>
      </c>
      <c r="AZ21" s="385">
        <f t="shared" si="9"/>
        <v>0</v>
      </c>
      <c r="BA21" s="385">
        <f t="shared" si="10"/>
        <v>0</v>
      </c>
      <c r="BB21" s="385">
        <f t="shared" si="11"/>
        <v>0</v>
      </c>
      <c r="BC21" s="385">
        <f t="shared" si="12"/>
        <v>0</v>
      </c>
      <c r="BD21" s="385">
        <f t="shared" si="13"/>
        <v>0</v>
      </c>
      <c r="BE21" s="385">
        <f t="shared" si="14"/>
        <v>0</v>
      </c>
      <c r="BF21" s="385">
        <f t="shared" si="15"/>
        <v>0</v>
      </c>
      <c r="BG21" s="385">
        <f t="shared" si="16"/>
        <v>0</v>
      </c>
    </row>
    <row r="22" spans="1:59">
      <c r="A22" s="387" t="s">
        <v>133</v>
      </c>
      <c r="B22" s="388">
        <v>0</v>
      </c>
      <c r="C22" s="389">
        <v>0</v>
      </c>
      <c r="D22" s="83">
        <f>$B$22*C22*3</f>
        <v>0</v>
      </c>
      <c r="E22" s="83">
        <f t="shared" ref="E22:AQ22" si="33">$B$22*D22*3</f>
        <v>0</v>
      </c>
      <c r="F22" s="83">
        <f t="shared" si="33"/>
        <v>0</v>
      </c>
      <c r="G22" s="83">
        <f t="shared" si="33"/>
        <v>0</v>
      </c>
      <c r="H22" s="83">
        <f t="shared" si="33"/>
        <v>0</v>
      </c>
      <c r="I22" s="83">
        <f t="shared" si="33"/>
        <v>0</v>
      </c>
      <c r="J22" s="83">
        <f t="shared" si="33"/>
        <v>0</v>
      </c>
      <c r="K22" s="83">
        <f t="shared" si="33"/>
        <v>0</v>
      </c>
      <c r="L22" s="83">
        <f t="shared" si="33"/>
        <v>0</v>
      </c>
      <c r="M22" s="83">
        <f t="shared" si="33"/>
        <v>0</v>
      </c>
      <c r="N22" s="83">
        <f t="shared" si="33"/>
        <v>0</v>
      </c>
      <c r="O22" s="83">
        <f t="shared" si="33"/>
        <v>0</v>
      </c>
      <c r="P22" s="83">
        <f t="shared" si="33"/>
        <v>0</v>
      </c>
      <c r="Q22" s="83">
        <f t="shared" si="33"/>
        <v>0</v>
      </c>
      <c r="R22" s="83">
        <f t="shared" si="33"/>
        <v>0</v>
      </c>
      <c r="S22" s="83">
        <f t="shared" si="33"/>
        <v>0</v>
      </c>
      <c r="T22" s="83">
        <f t="shared" si="33"/>
        <v>0</v>
      </c>
      <c r="U22" s="83">
        <f t="shared" si="33"/>
        <v>0</v>
      </c>
      <c r="V22" s="83">
        <f t="shared" si="33"/>
        <v>0</v>
      </c>
      <c r="W22" s="83">
        <f t="shared" si="33"/>
        <v>0</v>
      </c>
      <c r="X22" s="83">
        <f t="shared" si="33"/>
        <v>0</v>
      </c>
      <c r="Y22" s="83">
        <f t="shared" si="33"/>
        <v>0</v>
      </c>
      <c r="Z22" s="83">
        <f t="shared" si="33"/>
        <v>0</v>
      </c>
      <c r="AA22" s="83">
        <f t="shared" si="33"/>
        <v>0</v>
      </c>
      <c r="AB22" s="83">
        <f t="shared" si="33"/>
        <v>0</v>
      </c>
      <c r="AC22" s="83">
        <f t="shared" si="33"/>
        <v>0</v>
      </c>
      <c r="AD22" s="83">
        <f t="shared" si="33"/>
        <v>0</v>
      </c>
      <c r="AE22" s="83">
        <f t="shared" si="33"/>
        <v>0</v>
      </c>
      <c r="AF22" s="83">
        <f t="shared" si="33"/>
        <v>0</v>
      </c>
      <c r="AG22" s="83">
        <f t="shared" si="33"/>
        <v>0</v>
      </c>
      <c r="AH22" s="83">
        <f t="shared" si="33"/>
        <v>0</v>
      </c>
      <c r="AI22" s="83">
        <f t="shared" si="33"/>
        <v>0</v>
      </c>
      <c r="AJ22" s="83">
        <f t="shared" si="33"/>
        <v>0</v>
      </c>
      <c r="AK22" s="83">
        <f t="shared" si="33"/>
        <v>0</v>
      </c>
      <c r="AL22" s="83">
        <f t="shared" si="33"/>
        <v>0</v>
      </c>
      <c r="AM22" s="83">
        <f t="shared" si="33"/>
        <v>0</v>
      </c>
      <c r="AN22" s="83">
        <f t="shared" si="33"/>
        <v>0</v>
      </c>
      <c r="AO22" s="83">
        <f t="shared" si="33"/>
        <v>0</v>
      </c>
      <c r="AP22" s="83">
        <f t="shared" si="33"/>
        <v>0</v>
      </c>
      <c r="AQ22" s="83">
        <f t="shared" si="33"/>
        <v>0</v>
      </c>
      <c r="AR22" s="383">
        <f>AQ22*(1+допущения!$C$36)</f>
        <v>0</v>
      </c>
      <c r="AS22" s="383">
        <f t="shared" si="5"/>
        <v>0</v>
      </c>
      <c r="AT22" s="383">
        <f t="shared" si="5"/>
        <v>0</v>
      </c>
      <c r="AU22" s="383">
        <f t="shared" si="5"/>
        <v>0</v>
      </c>
      <c r="AV22" s="83"/>
      <c r="AW22" s="109">
        <f t="shared" si="6"/>
        <v>0</v>
      </c>
      <c r="AX22" s="385">
        <f t="shared" si="7"/>
        <v>0</v>
      </c>
      <c r="AY22" s="385">
        <f t="shared" si="8"/>
        <v>0</v>
      </c>
      <c r="AZ22" s="385">
        <f t="shared" si="9"/>
        <v>0</v>
      </c>
      <c r="BA22" s="385">
        <f t="shared" si="10"/>
        <v>0</v>
      </c>
      <c r="BB22" s="385">
        <f t="shared" si="11"/>
        <v>0</v>
      </c>
      <c r="BC22" s="385">
        <f t="shared" si="12"/>
        <v>0</v>
      </c>
      <c r="BD22" s="385">
        <f t="shared" si="13"/>
        <v>0</v>
      </c>
      <c r="BE22" s="385">
        <f t="shared" si="14"/>
        <v>0</v>
      </c>
      <c r="BF22" s="385">
        <f t="shared" si="15"/>
        <v>0</v>
      </c>
      <c r="BG22" s="385">
        <f t="shared" si="16"/>
        <v>0</v>
      </c>
    </row>
    <row r="23" spans="1:59" s="98" customFormat="1" ht="28.8">
      <c r="A23" s="99" t="s">
        <v>120</v>
      </c>
      <c r="B23" s="100">
        <f>SUM(B18:B22)</f>
        <v>0</v>
      </c>
      <c r="C23" s="114"/>
      <c r="D23" s="100">
        <f>SUM(D18:D22)</f>
        <v>0</v>
      </c>
      <c r="E23" s="100">
        <f t="shared" ref="E23:AQ23" si="34">SUM(E18:E22)</f>
        <v>0</v>
      </c>
      <c r="F23" s="100">
        <f t="shared" si="34"/>
        <v>0</v>
      </c>
      <c r="G23" s="100">
        <f t="shared" si="34"/>
        <v>0</v>
      </c>
      <c r="H23" s="100">
        <f t="shared" si="34"/>
        <v>0</v>
      </c>
      <c r="I23" s="100">
        <f t="shared" si="34"/>
        <v>0</v>
      </c>
      <c r="J23" s="100">
        <f t="shared" si="34"/>
        <v>0</v>
      </c>
      <c r="K23" s="100">
        <f t="shared" si="34"/>
        <v>0</v>
      </c>
      <c r="L23" s="100">
        <f t="shared" si="34"/>
        <v>0</v>
      </c>
      <c r="M23" s="100">
        <f t="shared" si="34"/>
        <v>0</v>
      </c>
      <c r="N23" s="100">
        <f t="shared" si="34"/>
        <v>0</v>
      </c>
      <c r="O23" s="100">
        <f t="shared" si="34"/>
        <v>0</v>
      </c>
      <c r="P23" s="100">
        <f t="shared" si="34"/>
        <v>0</v>
      </c>
      <c r="Q23" s="100">
        <f t="shared" si="34"/>
        <v>0</v>
      </c>
      <c r="R23" s="100">
        <f t="shared" si="34"/>
        <v>0</v>
      </c>
      <c r="S23" s="100">
        <f t="shared" si="34"/>
        <v>0</v>
      </c>
      <c r="T23" s="100">
        <f t="shared" si="34"/>
        <v>0</v>
      </c>
      <c r="U23" s="100">
        <f t="shared" si="34"/>
        <v>0</v>
      </c>
      <c r="V23" s="100">
        <f t="shared" si="34"/>
        <v>0</v>
      </c>
      <c r="W23" s="100">
        <f t="shared" si="34"/>
        <v>0</v>
      </c>
      <c r="X23" s="100">
        <f t="shared" si="34"/>
        <v>0</v>
      </c>
      <c r="Y23" s="100">
        <f t="shared" si="34"/>
        <v>0</v>
      </c>
      <c r="Z23" s="100">
        <f t="shared" si="34"/>
        <v>0</v>
      </c>
      <c r="AA23" s="100">
        <f t="shared" si="34"/>
        <v>0</v>
      </c>
      <c r="AB23" s="100">
        <f t="shared" si="34"/>
        <v>0</v>
      </c>
      <c r="AC23" s="100">
        <f t="shared" si="34"/>
        <v>0</v>
      </c>
      <c r="AD23" s="100">
        <f t="shared" si="34"/>
        <v>0</v>
      </c>
      <c r="AE23" s="100">
        <f t="shared" si="34"/>
        <v>0</v>
      </c>
      <c r="AF23" s="100">
        <f t="shared" si="34"/>
        <v>0</v>
      </c>
      <c r="AG23" s="100">
        <f t="shared" si="34"/>
        <v>0</v>
      </c>
      <c r="AH23" s="100">
        <f t="shared" si="34"/>
        <v>0</v>
      </c>
      <c r="AI23" s="100">
        <f t="shared" si="34"/>
        <v>0</v>
      </c>
      <c r="AJ23" s="100">
        <f t="shared" si="34"/>
        <v>0</v>
      </c>
      <c r="AK23" s="100">
        <f t="shared" si="34"/>
        <v>0</v>
      </c>
      <c r="AL23" s="100">
        <f t="shared" si="34"/>
        <v>0</v>
      </c>
      <c r="AM23" s="100">
        <f t="shared" si="34"/>
        <v>0</v>
      </c>
      <c r="AN23" s="100">
        <f t="shared" si="34"/>
        <v>0</v>
      </c>
      <c r="AO23" s="100">
        <f t="shared" si="34"/>
        <v>0</v>
      </c>
      <c r="AP23" s="100">
        <f t="shared" si="34"/>
        <v>0</v>
      </c>
      <c r="AQ23" s="100">
        <f t="shared" si="34"/>
        <v>0</v>
      </c>
      <c r="AR23" s="100">
        <f>AQ23*(1+допущения!$C$36)</f>
        <v>0</v>
      </c>
      <c r="AS23" s="100">
        <f t="shared" si="5"/>
        <v>0</v>
      </c>
      <c r="AT23" s="100">
        <f t="shared" si="5"/>
        <v>0</v>
      </c>
      <c r="AU23" s="100">
        <f t="shared" si="5"/>
        <v>0</v>
      </c>
      <c r="AV23" s="100"/>
      <c r="AW23" s="100">
        <f t="shared" si="6"/>
        <v>0</v>
      </c>
      <c r="AX23" s="552">
        <f t="shared" si="7"/>
        <v>0</v>
      </c>
      <c r="AY23" s="552">
        <f t="shared" si="8"/>
        <v>0</v>
      </c>
      <c r="AZ23" s="552">
        <f t="shared" si="9"/>
        <v>0</v>
      </c>
      <c r="BA23" s="552">
        <f t="shared" si="10"/>
        <v>0</v>
      </c>
      <c r="BB23" s="552">
        <f t="shared" si="11"/>
        <v>0</v>
      </c>
      <c r="BC23" s="552">
        <f t="shared" si="12"/>
        <v>0</v>
      </c>
      <c r="BD23" s="552">
        <f t="shared" si="13"/>
        <v>0</v>
      </c>
      <c r="BE23" s="552">
        <f t="shared" si="14"/>
        <v>0</v>
      </c>
      <c r="BF23" s="552">
        <f t="shared" si="15"/>
        <v>0</v>
      </c>
      <c r="BG23" s="552">
        <f t="shared" si="16"/>
        <v>0</v>
      </c>
    </row>
    <row r="24" spans="1:59" s="103" customFormat="1" ht="18" customHeight="1">
      <c r="A24" s="104" t="s">
        <v>121</v>
      </c>
      <c r="B24" s="105"/>
      <c r="C24" s="115"/>
      <c r="D24" s="105">
        <f>D23*$B$61</f>
        <v>0</v>
      </c>
      <c r="E24" s="105">
        <f t="shared" ref="E24:AQ24" si="35">E23*$B$61</f>
        <v>0</v>
      </c>
      <c r="F24" s="105">
        <f t="shared" si="35"/>
        <v>0</v>
      </c>
      <c r="G24" s="105">
        <f t="shared" si="35"/>
        <v>0</v>
      </c>
      <c r="H24" s="105">
        <f t="shared" si="35"/>
        <v>0</v>
      </c>
      <c r="I24" s="105">
        <f t="shared" si="35"/>
        <v>0</v>
      </c>
      <c r="J24" s="105">
        <f t="shared" si="35"/>
        <v>0</v>
      </c>
      <c r="K24" s="105">
        <f t="shared" si="35"/>
        <v>0</v>
      </c>
      <c r="L24" s="105">
        <f t="shared" si="35"/>
        <v>0</v>
      </c>
      <c r="M24" s="105">
        <f t="shared" si="35"/>
        <v>0</v>
      </c>
      <c r="N24" s="105">
        <f t="shared" si="35"/>
        <v>0</v>
      </c>
      <c r="O24" s="105">
        <f t="shared" si="35"/>
        <v>0</v>
      </c>
      <c r="P24" s="105">
        <f t="shared" si="35"/>
        <v>0</v>
      </c>
      <c r="Q24" s="105">
        <f t="shared" si="35"/>
        <v>0</v>
      </c>
      <c r="R24" s="105">
        <f t="shared" si="35"/>
        <v>0</v>
      </c>
      <c r="S24" s="105">
        <f t="shared" si="35"/>
        <v>0</v>
      </c>
      <c r="T24" s="105">
        <f t="shared" si="35"/>
        <v>0</v>
      </c>
      <c r="U24" s="105">
        <f t="shared" si="35"/>
        <v>0</v>
      </c>
      <c r="V24" s="105">
        <f t="shared" si="35"/>
        <v>0</v>
      </c>
      <c r="W24" s="105">
        <f t="shared" si="35"/>
        <v>0</v>
      </c>
      <c r="X24" s="105">
        <f t="shared" si="35"/>
        <v>0</v>
      </c>
      <c r="Y24" s="105">
        <f t="shared" si="35"/>
        <v>0</v>
      </c>
      <c r="Z24" s="105">
        <f t="shared" si="35"/>
        <v>0</v>
      </c>
      <c r="AA24" s="105">
        <f t="shared" si="35"/>
        <v>0</v>
      </c>
      <c r="AB24" s="105">
        <f t="shared" si="35"/>
        <v>0</v>
      </c>
      <c r="AC24" s="105">
        <f t="shared" si="35"/>
        <v>0</v>
      </c>
      <c r="AD24" s="105">
        <f t="shared" si="35"/>
        <v>0</v>
      </c>
      <c r="AE24" s="105">
        <f t="shared" si="35"/>
        <v>0</v>
      </c>
      <c r="AF24" s="105">
        <f t="shared" si="35"/>
        <v>0</v>
      </c>
      <c r="AG24" s="105">
        <f t="shared" si="35"/>
        <v>0</v>
      </c>
      <c r="AH24" s="105">
        <f t="shared" si="35"/>
        <v>0</v>
      </c>
      <c r="AI24" s="105">
        <f t="shared" si="35"/>
        <v>0</v>
      </c>
      <c r="AJ24" s="105">
        <f t="shared" si="35"/>
        <v>0</v>
      </c>
      <c r="AK24" s="105">
        <f t="shared" si="35"/>
        <v>0</v>
      </c>
      <c r="AL24" s="105">
        <f t="shared" si="35"/>
        <v>0</v>
      </c>
      <c r="AM24" s="105">
        <f t="shared" si="35"/>
        <v>0</v>
      </c>
      <c r="AN24" s="105">
        <f t="shared" si="35"/>
        <v>0</v>
      </c>
      <c r="AO24" s="105">
        <f t="shared" si="35"/>
        <v>0</v>
      </c>
      <c r="AP24" s="105">
        <f t="shared" si="35"/>
        <v>0</v>
      </c>
      <c r="AQ24" s="105">
        <f t="shared" si="35"/>
        <v>0</v>
      </c>
      <c r="AR24" s="105">
        <f>AQ24*(1+допущения!$C$36)</f>
        <v>0</v>
      </c>
      <c r="AS24" s="105">
        <f t="shared" si="5"/>
        <v>0</v>
      </c>
      <c r="AT24" s="105">
        <f t="shared" si="5"/>
        <v>0</v>
      </c>
      <c r="AU24" s="105">
        <f t="shared" si="5"/>
        <v>0</v>
      </c>
      <c r="AV24" s="105"/>
      <c r="AW24" s="553">
        <f t="shared" si="6"/>
        <v>0</v>
      </c>
      <c r="AX24" s="406">
        <f t="shared" si="7"/>
        <v>0</v>
      </c>
      <c r="AY24" s="406">
        <f t="shared" si="8"/>
        <v>0</v>
      </c>
      <c r="AZ24" s="406">
        <f t="shared" si="9"/>
        <v>0</v>
      </c>
      <c r="BA24" s="406">
        <f t="shared" si="10"/>
        <v>0</v>
      </c>
      <c r="BB24" s="406">
        <f t="shared" si="11"/>
        <v>0</v>
      </c>
      <c r="BC24" s="406">
        <f t="shared" si="12"/>
        <v>0</v>
      </c>
      <c r="BD24" s="406">
        <f t="shared" si="13"/>
        <v>0</v>
      </c>
      <c r="BE24" s="406">
        <f t="shared" si="14"/>
        <v>0</v>
      </c>
      <c r="BF24" s="406">
        <f t="shared" si="15"/>
        <v>0</v>
      </c>
      <c r="BG24" s="406">
        <f t="shared" si="16"/>
        <v>0</v>
      </c>
    </row>
    <row r="25" spans="1:59">
      <c r="A25" s="387" t="s">
        <v>134</v>
      </c>
      <c r="B25" s="388">
        <v>0</v>
      </c>
      <c r="C25" s="389">
        <v>0</v>
      </c>
      <c r="D25" s="83">
        <f>$B$25*$C$25*3</f>
        <v>0</v>
      </c>
      <c r="E25" s="83">
        <f t="shared" ref="E25:AQ25" si="36">$B$25*$C$25*3</f>
        <v>0</v>
      </c>
      <c r="F25" s="83">
        <f t="shared" si="36"/>
        <v>0</v>
      </c>
      <c r="G25" s="83">
        <f t="shared" si="36"/>
        <v>0</v>
      </c>
      <c r="H25" s="83">
        <f t="shared" si="36"/>
        <v>0</v>
      </c>
      <c r="I25" s="83">
        <f t="shared" si="36"/>
        <v>0</v>
      </c>
      <c r="J25" s="83">
        <f t="shared" si="36"/>
        <v>0</v>
      </c>
      <c r="K25" s="83">
        <f t="shared" si="36"/>
        <v>0</v>
      </c>
      <c r="L25" s="83">
        <f t="shared" si="36"/>
        <v>0</v>
      </c>
      <c r="M25" s="83">
        <f t="shared" si="36"/>
        <v>0</v>
      </c>
      <c r="N25" s="83">
        <f t="shared" si="36"/>
        <v>0</v>
      </c>
      <c r="O25" s="83">
        <f t="shared" si="36"/>
        <v>0</v>
      </c>
      <c r="P25" s="83">
        <f t="shared" si="36"/>
        <v>0</v>
      </c>
      <c r="Q25" s="83">
        <f t="shared" si="36"/>
        <v>0</v>
      </c>
      <c r="R25" s="83">
        <f t="shared" si="36"/>
        <v>0</v>
      </c>
      <c r="S25" s="83">
        <f t="shared" si="36"/>
        <v>0</v>
      </c>
      <c r="T25" s="83">
        <f t="shared" si="36"/>
        <v>0</v>
      </c>
      <c r="U25" s="83">
        <f t="shared" si="36"/>
        <v>0</v>
      </c>
      <c r="V25" s="83">
        <f t="shared" si="36"/>
        <v>0</v>
      </c>
      <c r="W25" s="83">
        <f t="shared" si="36"/>
        <v>0</v>
      </c>
      <c r="X25" s="83">
        <f t="shared" si="36"/>
        <v>0</v>
      </c>
      <c r="Y25" s="83">
        <f t="shared" si="36"/>
        <v>0</v>
      </c>
      <c r="Z25" s="83">
        <f t="shared" si="36"/>
        <v>0</v>
      </c>
      <c r="AA25" s="83">
        <f t="shared" si="36"/>
        <v>0</v>
      </c>
      <c r="AB25" s="83">
        <f t="shared" si="36"/>
        <v>0</v>
      </c>
      <c r="AC25" s="83">
        <f t="shared" si="36"/>
        <v>0</v>
      </c>
      <c r="AD25" s="83">
        <f t="shared" si="36"/>
        <v>0</v>
      </c>
      <c r="AE25" s="83">
        <f t="shared" si="36"/>
        <v>0</v>
      </c>
      <c r="AF25" s="83">
        <f t="shared" si="36"/>
        <v>0</v>
      </c>
      <c r="AG25" s="83">
        <f t="shared" si="36"/>
        <v>0</v>
      </c>
      <c r="AH25" s="83">
        <f t="shared" si="36"/>
        <v>0</v>
      </c>
      <c r="AI25" s="83">
        <f t="shared" si="36"/>
        <v>0</v>
      </c>
      <c r="AJ25" s="83">
        <f t="shared" si="36"/>
        <v>0</v>
      </c>
      <c r="AK25" s="83">
        <f t="shared" si="36"/>
        <v>0</v>
      </c>
      <c r="AL25" s="83">
        <f t="shared" si="36"/>
        <v>0</v>
      </c>
      <c r="AM25" s="83">
        <f t="shared" si="36"/>
        <v>0</v>
      </c>
      <c r="AN25" s="83">
        <f t="shared" si="36"/>
        <v>0</v>
      </c>
      <c r="AO25" s="83">
        <f t="shared" si="36"/>
        <v>0</v>
      </c>
      <c r="AP25" s="83">
        <f t="shared" si="36"/>
        <v>0</v>
      </c>
      <c r="AQ25" s="83">
        <f t="shared" si="36"/>
        <v>0</v>
      </c>
      <c r="AR25" s="383">
        <f>AQ25*(1+допущения!$C$36)</f>
        <v>0</v>
      </c>
      <c r="AS25" s="383">
        <f t="shared" si="5"/>
        <v>0</v>
      </c>
      <c r="AT25" s="383">
        <f t="shared" si="5"/>
        <v>0</v>
      </c>
      <c r="AU25" s="383">
        <f t="shared" si="5"/>
        <v>0</v>
      </c>
      <c r="AV25" s="83"/>
      <c r="AW25" s="109">
        <f t="shared" si="6"/>
        <v>0</v>
      </c>
      <c r="AX25" s="385">
        <f t="shared" si="7"/>
        <v>0</v>
      </c>
      <c r="AY25" s="385">
        <f t="shared" si="8"/>
        <v>0</v>
      </c>
      <c r="AZ25" s="385">
        <f t="shared" si="9"/>
        <v>0</v>
      </c>
      <c r="BA25" s="385">
        <f t="shared" si="10"/>
        <v>0</v>
      </c>
      <c r="BB25" s="385">
        <f t="shared" si="11"/>
        <v>0</v>
      </c>
      <c r="BC25" s="385">
        <f t="shared" si="12"/>
        <v>0</v>
      </c>
      <c r="BD25" s="385">
        <f t="shared" si="13"/>
        <v>0</v>
      </c>
      <c r="BE25" s="385">
        <f t="shared" si="14"/>
        <v>0</v>
      </c>
      <c r="BF25" s="385">
        <f t="shared" si="15"/>
        <v>0</v>
      </c>
      <c r="BG25" s="385">
        <f t="shared" si="16"/>
        <v>0</v>
      </c>
    </row>
    <row r="26" spans="1:59" s="98" customFormat="1" ht="28.8">
      <c r="A26" s="99" t="s">
        <v>120</v>
      </c>
      <c r="B26" s="100"/>
      <c r="C26" s="114"/>
      <c r="D26" s="100">
        <f>SUM(D25)</f>
        <v>0</v>
      </c>
      <c r="E26" s="100">
        <f t="shared" ref="E26:AQ26" si="37">SUM(E25)</f>
        <v>0</v>
      </c>
      <c r="F26" s="100">
        <f t="shared" si="37"/>
        <v>0</v>
      </c>
      <c r="G26" s="100">
        <f t="shared" si="37"/>
        <v>0</v>
      </c>
      <c r="H26" s="100">
        <f t="shared" si="37"/>
        <v>0</v>
      </c>
      <c r="I26" s="100">
        <f t="shared" si="37"/>
        <v>0</v>
      </c>
      <c r="J26" s="100">
        <f t="shared" si="37"/>
        <v>0</v>
      </c>
      <c r="K26" s="100">
        <f t="shared" si="37"/>
        <v>0</v>
      </c>
      <c r="L26" s="100">
        <f t="shared" si="37"/>
        <v>0</v>
      </c>
      <c r="M26" s="100">
        <f t="shared" si="37"/>
        <v>0</v>
      </c>
      <c r="N26" s="100">
        <f t="shared" si="37"/>
        <v>0</v>
      </c>
      <c r="O26" s="100">
        <f t="shared" si="37"/>
        <v>0</v>
      </c>
      <c r="P26" s="100">
        <f t="shared" si="37"/>
        <v>0</v>
      </c>
      <c r="Q26" s="100">
        <f t="shared" si="37"/>
        <v>0</v>
      </c>
      <c r="R26" s="100">
        <f t="shared" si="37"/>
        <v>0</v>
      </c>
      <c r="S26" s="100">
        <f t="shared" si="37"/>
        <v>0</v>
      </c>
      <c r="T26" s="100">
        <f t="shared" si="37"/>
        <v>0</v>
      </c>
      <c r="U26" s="100">
        <f t="shared" si="37"/>
        <v>0</v>
      </c>
      <c r="V26" s="100">
        <f t="shared" si="37"/>
        <v>0</v>
      </c>
      <c r="W26" s="100">
        <f t="shared" si="37"/>
        <v>0</v>
      </c>
      <c r="X26" s="100">
        <f t="shared" si="37"/>
        <v>0</v>
      </c>
      <c r="Y26" s="100">
        <f t="shared" si="37"/>
        <v>0</v>
      </c>
      <c r="Z26" s="100">
        <f t="shared" si="37"/>
        <v>0</v>
      </c>
      <c r="AA26" s="100">
        <f t="shared" si="37"/>
        <v>0</v>
      </c>
      <c r="AB26" s="100">
        <f t="shared" si="37"/>
        <v>0</v>
      </c>
      <c r="AC26" s="100">
        <f t="shared" si="37"/>
        <v>0</v>
      </c>
      <c r="AD26" s="100">
        <f t="shared" si="37"/>
        <v>0</v>
      </c>
      <c r="AE26" s="100">
        <f t="shared" si="37"/>
        <v>0</v>
      </c>
      <c r="AF26" s="100">
        <f t="shared" si="37"/>
        <v>0</v>
      </c>
      <c r="AG26" s="100">
        <f t="shared" si="37"/>
        <v>0</v>
      </c>
      <c r="AH26" s="100">
        <f t="shared" si="37"/>
        <v>0</v>
      </c>
      <c r="AI26" s="100">
        <f t="shared" si="37"/>
        <v>0</v>
      </c>
      <c r="AJ26" s="100">
        <f t="shared" si="37"/>
        <v>0</v>
      </c>
      <c r="AK26" s="100">
        <f t="shared" si="37"/>
        <v>0</v>
      </c>
      <c r="AL26" s="100">
        <f t="shared" si="37"/>
        <v>0</v>
      </c>
      <c r="AM26" s="100">
        <f t="shared" si="37"/>
        <v>0</v>
      </c>
      <c r="AN26" s="100">
        <f t="shared" si="37"/>
        <v>0</v>
      </c>
      <c r="AO26" s="100">
        <f t="shared" si="37"/>
        <v>0</v>
      </c>
      <c r="AP26" s="100">
        <f t="shared" si="37"/>
        <v>0</v>
      </c>
      <c r="AQ26" s="100">
        <f t="shared" si="37"/>
        <v>0</v>
      </c>
      <c r="AR26" s="100">
        <f>AQ26*(1+допущения!$C$36)</f>
        <v>0</v>
      </c>
      <c r="AS26" s="100">
        <f t="shared" si="5"/>
        <v>0</v>
      </c>
      <c r="AT26" s="100">
        <f t="shared" si="5"/>
        <v>0</v>
      </c>
      <c r="AU26" s="100">
        <f t="shared" si="5"/>
        <v>0</v>
      </c>
      <c r="AV26" s="100"/>
      <c r="AW26" s="551">
        <f t="shared" si="6"/>
        <v>0</v>
      </c>
      <c r="AX26" s="552">
        <f t="shared" si="7"/>
        <v>0</v>
      </c>
      <c r="AY26" s="552">
        <f t="shared" si="8"/>
        <v>0</v>
      </c>
      <c r="AZ26" s="552">
        <f t="shared" si="9"/>
        <v>0</v>
      </c>
      <c r="BA26" s="552">
        <f t="shared" si="10"/>
        <v>0</v>
      </c>
      <c r="BB26" s="552">
        <f t="shared" si="11"/>
        <v>0</v>
      </c>
      <c r="BC26" s="552">
        <f t="shared" si="12"/>
        <v>0</v>
      </c>
      <c r="BD26" s="552">
        <f t="shared" si="13"/>
        <v>0</v>
      </c>
      <c r="BE26" s="552">
        <f t="shared" si="14"/>
        <v>0</v>
      </c>
      <c r="BF26" s="552">
        <f t="shared" si="15"/>
        <v>0</v>
      </c>
      <c r="BG26" s="552">
        <f t="shared" si="16"/>
        <v>0</v>
      </c>
    </row>
    <row r="27" spans="1:59" s="103" customFormat="1" ht="18.75" customHeight="1">
      <c r="A27" s="104" t="s">
        <v>121</v>
      </c>
      <c r="B27" s="105"/>
      <c r="C27" s="115"/>
      <c r="D27" s="105">
        <f>D26*$B$61</f>
        <v>0</v>
      </c>
      <c r="E27" s="105">
        <f t="shared" ref="E27:AQ27" si="38">E26*$B$61</f>
        <v>0</v>
      </c>
      <c r="F27" s="105">
        <f t="shared" si="38"/>
        <v>0</v>
      </c>
      <c r="G27" s="105">
        <f t="shared" si="38"/>
        <v>0</v>
      </c>
      <c r="H27" s="105">
        <f t="shared" si="38"/>
        <v>0</v>
      </c>
      <c r="I27" s="105">
        <f t="shared" si="38"/>
        <v>0</v>
      </c>
      <c r="J27" s="105">
        <f t="shared" si="38"/>
        <v>0</v>
      </c>
      <c r="K27" s="105">
        <f t="shared" si="38"/>
        <v>0</v>
      </c>
      <c r="L27" s="105">
        <f t="shared" si="38"/>
        <v>0</v>
      </c>
      <c r="M27" s="105">
        <f t="shared" si="38"/>
        <v>0</v>
      </c>
      <c r="N27" s="105">
        <f t="shared" si="38"/>
        <v>0</v>
      </c>
      <c r="O27" s="105">
        <f t="shared" si="38"/>
        <v>0</v>
      </c>
      <c r="P27" s="105">
        <f t="shared" si="38"/>
        <v>0</v>
      </c>
      <c r="Q27" s="105">
        <f t="shared" si="38"/>
        <v>0</v>
      </c>
      <c r="R27" s="105">
        <f t="shared" si="38"/>
        <v>0</v>
      </c>
      <c r="S27" s="105">
        <f t="shared" si="38"/>
        <v>0</v>
      </c>
      <c r="T27" s="105">
        <f t="shared" si="38"/>
        <v>0</v>
      </c>
      <c r="U27" s="105">
        <f t="shared" si="38"/>
        <v>0</v>
      </c>
      <c r="V27" s="105">
        <f t="shared" si="38"/>
        <v>0</v>
      </c>
      <c r="W27" s="105">
        <f t="shared" si="38"/>
        <v>0</v>
      </c>
      <c r="X27" s="105">
        <f t="shared" si="38"/>
        <v>0</v>
      </c>
      <c r="Y27" s="105">
        <f t="shared" si="38"/>
        <v>0</v>
      </c>
      <c r="Z27" s="105">
        <f t="shared" si="38"/>
        <v>0</v>
      </c>
      <c r="AA27" s="105">
        <f t="shared" si="38"/>
        <v>0</v>
      </c>
      <c r="AB27" s="105">
        <f t="shared" si="38"/>
        <v>0</v>
      </c>
      <c r="AC27" s="105">
        <f t="shared" si="38"/>
        <v>0</v>
      </c>
      <c r="AD27" s="105">
        <f t="shared" si="38"/>
        <v>0</v>
      </c>
      <c r="AE27" s="105">
        <f t="shared" si="38"/>
        <v>0</v>
      </c>
      <c r="AF27" s="105">
        <f t="shared" si="38"/>
        <v>0</v>
      </c>
      <c r="AG27" s="105">
        <f t="shared" si="38"/>
        <v>0</v>
      </c>
      <c r="AH27" s="105">
        <f t="shared" si="38"/>
        <v>0</v>
      </c>
      <c r="AI27" s="105">
        <f t="shared" si="38"/>
        <v>0</v>
      </c>
      <c r="AJ27" s="105">
        <f t="shared" si="38"/>
        <v>0</v>
      </c>
      <c r="AK27" s="105">
        <f t="shared" si="38"/>
        <v>0</v>
      </c>
      <c r="AL27" s="105">
        <f t="shared" si="38"/>
        <v>0</v>
      </c>
      <c r="AM27" s="105">
        <f t="shared" si="38"/>
        <v>0</v>
      </c>
      <c r="AN27" s="105">
        <f t="shared" si="38"/>
        <v>0</v>
      </c>
      <c r="AO27" s="105">
        <f t="shared" si="38"/>
        <v>0</v>
      </c>
      <c r="AP27" s="105">
        <f t="shared" si="38"/>
        <v>0</v>
      </c>
      <c r="AQ27" s="105">
        <f t="shared" si="38"/>
        <v>0</v>
      </c>
      <c r="AR27" s="105">
        <f>AQ27*(1+допущения!$C$36)</f>
        <v>0</v>
      </c>
      <c r="AS27" s="105">
        <f t="shared" si="5"/>
        <v>0</v>
      </c>
      <c r="AT27" s="105">
        <f t="shared" si="5"/>
        <v>0</v>
      </c>
      <c r="AU27" s="105">
        <f t="shared" si="5"/>
        <v>0</v>
      </c>
      <c r="AV27" s="105"/>
      <c r="AW27" s="553">
        <f t="shared" si="6"/>
        <v>0</v>
      </c>
      <c r="AX27" s="406">
        <f t="shared" si="7"/>
        <v>0</v>
      </c>
      <c r="AY27" s="406">
        <f t="shared" si="8"/>
        <v>0</v>
      </c>
      <c r="AZ27" s="406">
        <f t="shared" si="9"/>
        <v>0</v>
      </c>
      <c r="BA27" s="406">
        <f t="shared" si="10"/>
        <v>0</v>
      </c>
      <c r="BB27" s="406">
        <f t="shared" si="11"/>
        <v>0</v>
      </c>
      <c r="BC27" s="406">
        <f t="shared" si="12"/>
        <v>0</v>
      </c>
      <c r="BD27" s="406">
        <f t="shared" si="13"/>
        <v>0</v>
      </c>
      <c r="BE27" s="406">
        <f t="shared" si="14"/>
        <v>0</v>
      </c>
      <c r="BF27" s="406">
        <f t="shared" si="15"/>
        <v>0</v>
      </c>
      <c r="BG27" s="406">
        <f t="shared" si="16"/>
        <v>0</v>
      </c>
    </row>
    <row r="28" spans="1:59" ht="28.8">
      <c r="A28" s="94" t="s">
        <v>135</v>
      </c>
      <c r="B28" s="83"/>
      <c r="C28" s="112"/>
      <c r="D28" s="83"/>
      <c r="E28" s="83"/>
      <c r="F28" s="83"/>
      <c r="G28" s="83"/>
      <c r="H28" s="83"/>
      <c r="I28" s="83"/>
      <c r="J28" s="83"/>
      <c r="K28" s="83"/>
      <c r="L28" s="83"/>
      <c r="M28" s="83"/>
      <c r="N28" s="83"/>
      <c r="O28" s="83"/>
      <c r="P28" s="83"/>
      <c r="Q28" s="83"/>
      <c r="R28" s="83"/>
      <c r="S28" s="83"/>
      <c r="T28" s="83"/>
      <c r="U28" s="83"/>
      <c r="V28" s="83"/>
      <c r="W28" s="83"/>
      <c r="X28" s="83"/>
      <c r="Y28" s="83"/>
      <c r="Z28" s="83"/>
      <c r="AA28" s="83"/>
      <c r="AB28" s="83"/>
      <c r="AC28" s="83"/>
      <c r="AD28" s="83"/>
      <c r="AE28" s="83"/>
      <c r="AF28" s="83"/>
      <c r="AG28" s="83"/>
      <c r="AH28" s="83"/>
      <c r="AI28" s="83"/>
      <c r="AJ28" s="83"/>
      <c r="AK28" s="83"/>
      <c r="AL28" s="83"/>
      <c r="AM28" s="83"/>
      <c r="AN28" s="83"/>
      <c r="AO28" s="83"/>
      <c r="AP28" s="83"/>
      <c r="AQ28" s="83"/>
      <c r="AR28" s="383">
        <f>AQ28*(1+допущения!$C$36)</f>
        <v>0</v>
      </c>
      <c r="AS28" s="383">
        <f t="shared" si="5"/>
        <v>0</v>
      </c>
      <c r="AT28" s="383">
        <f t="shared" si="5"/>
        <v>0</v>
      </c>
      <c r="AU28" s="383">
        <f t="shared" si="5"/>
        <v>0</v>
      </c>
      <c r="AV28" s="83"/>
      <c r="AW28" s="109">
        <f t="shared" si="6"/>
        <v>0</v>
      </c>
      <c r="AX28" s="385">
        <f t="shared" si="7"/>
        <v>0</v>
      </c>
      <c r="AY28" s="385">
        <f t="shared" si="8"/>
        <v>0</v>
      </c>
      <c r="AZ28" s="385">
        <f t="shared" si="9"/>
        <v>0</v>
      </c>
      <c r="BA28" s="385">
        <f t="shared" si="10"/>
        <v>0</v>
      </c>
      <c r="BB28" s="385">
        <f t="shared" si="11"/>
        <v>0</v>
      </c>
      <c r="BC28" s="385">
        <f t="shared" si="12"/>
        <v>0</v>
      </c>
      <c r="BD28" s="385">
        <f t="shared" si="13"/>
        <v>0</v>
      </c>
      <c r="BE28" s="385">
        <f t="shared" si="14"/>
        <v>0</v>
      </c>
      <c r="BF28" s="385">
        <f t="shared" si="15"/>
        <v>0</v>
      </c>
      <c r="BG28" s="385">
        <f t="shared" si="16"/>
        <v>0</v>
      </c>
    </row>
    <row r="29" spans="1:59">
      <c r="A29" s="387" t="s">
        <v>136</v>
      </c>
      <c r="B29" s="388">
        <v>0</v>
      </c>
      <c r="C29" s="389">
        <v>0</v>
      </c>
      <c r="D29" s="83">
        <f>$B$29*$C$29*3</f>
        <v>0</v>
      </c>
      <c r="E29" s="83">
        <f t="shared" ref="E29:AQ29" si="39">$B$29*$C$29*3</f>
        <v>0</v>
      </c>
      <c r="F29" s="83">
        <f t="shared" si="39"/>
        <v>0</v>
      </c>
      <c r="G29" s="83">
        <f t="shared" si="39"/>
        <v>0</v>
      </c>
      <c r="H29" s="83">
        <f t="shared" si="39"/>
        <v>0</v>
      </c>
      <c r="I29" s="83">
        <f t="shared" si="39"/>
        <v>0</v>
      </c>
      <c r="J29" s="83">
        <f t="shared" si="39"/>
        <v>0</v>
      </c>
      <c r="K29" s="83">
        <f t="shared" si="39"/>
        <v>0</v>
      </c>
      <c r="L29" s="83">
        <f t="shared" si="39"/>
        <v>0</v>
      </c>
      <c r="M29" s="83">
        <f t="shared" si="39"/>
        <v>0</v>
      </c>
      <c r="N29" s="83">
        <f t="shared" si="39"/>
        <v>0</v>
      </c>
      <c r="O29" s="83">
        <f t="shared" si="39"/>
        <v>0</v>
      </c>
      <c r="P29" s="83">
        <f t="shared" si="39"/>
        <v>0</v>
      </c>
      <c r="Q29" s="83">
        <f t="shared" si="39"/>
        <v>0</v>
      </c>
      <c r="R29" s="83">
        <f t="shared" si="39"/>
        <v>0</v>
      </c>
      <c r="S29" s="83">
        <f t="shared" si="39"/>
        <v>0</v>
      </c>
      <c r="T29" s="83">
        <f t="shared" si="39"/>
        <v>0</v>
      </c>
      <c r="U29" s="83">
        <f t="shared" si="39"/>
        <v>0</v>
      </c>
      <c r="V29" s="83">
        <f t="shared" si="39"/>
        <v>0</v>
      </c>
      <c r="W29" s="83">
        <f t="shared" si="39"/>
        <v>0</v>
      </c>
      <c r="X29" s="83">
        <f t="shared" si="39"/>
        <v>0</v>
      </c>
      <c r="Y29" s="83">
        <f t="shared" si="39"/>
        <v>0</v>
      </c>
      <c r="Z29" s="83">
        <f t="shared" si="39"/>
        <v>0</v>
      </c>
      <c r="AA29" s="83">
        <f t="shared" si="39"/>
        <v>0</v>
      </c>
      <c r="AB29" s="83">
        <f t="shared" si="39"/>
        <v>0</v>
      </c>
      <c r="AC29" s="83">
        <f t="shared" si="39"/>
        <v>0</v>
      </c>
      <c r="AD29" s="83">
        <f t="shared" si="39"/>
        <v>0</v>
      </c>
      <c r="AE29" s="83">
        <f t="shared" si="39"/>
        <v>0</v>
      </c>
      <c r="AF29" s="83">
        <f t="shared" si="39"/>
        <v>0</v>
      </c>
      <c r="AG29" s="83">
        <f t="shared" si="39"/>
        <v>0</v>
      </c>
      <c r="AH29" s="83">
        <f t="shared" si="39"/>
        <v>0</v>
      </c>
      <c r="AI29" s="83">
        <f t="shared" si="39"/>
        <v>0</v>
      </c>
      <c r="AJ29" s="83">
        <f t="shared" si="39"/>
        <v>0</v>
      </c>
      <c r="AK29" s="83">
        <f t="shared" si="39"/>
        <v>0</v>
      </c>
      <c r="AL29" s="83">
        <f t="shared" si="39"/>
        <v>0</v>
      </c>
      <c r="AM29" s="83">
        <f t="shared" si="39"/>
        <v>0</v>
      </c>
      <c r="AN29" s="83">
        <f t="shared" si="39"/>
        <v>0</v>
      </c>
      <c r="AO29" s="83">
        <f t="shared" si="39"/>
        <v>0</v>
      </c>
      <c r="AP29" s="83">
        <f t="shared" si="39"/>
        <v>0</v>
      </c>
      <c r="AQ29" s="83">
        <f t="shared" si="39"/>
        <v>0</v>
      </c>
      <c r="AR29" s="383">
        <f>AQ29*(1+допущения!$C$36)</f>
        <v>0</v>
      </c>
      <c r="AS29" s="383">
        <f t="shared" si="5"/>
        <v>0</v>
      </c>
      <c r="AT29" s="383">
        <f t="shared" si="5"/>
        <v>0</v>
      </c>
      <c r="AU29" s="383">
        <f t="shared" si="5"/>
        <v>0</v>
      </c>
      <c r="AV29" s="83"/>
      <c r="AW29" s="109">
        <f t="shared" si="6"/>
        <v>0</v>
      </c>
      <c r="AX29" s="385">
        <f t="shared" si="7"/>
        <v>0</v>
      </c>
      <c r="AY29" s="385">
        <f t="shared" si="8"/>
        <v>0</v>
      </c>
      <c r="AZ29" s="385">
        <f t="shared" si="9"/>
        <v>0</v>
      </c>
      <c r="BA29" s="385">
        <f t="shared" si="10"/>
        <v>0</v>
      </c>
      <c r="BB29" s="385">
        <f t="shared" si="11"/>
        <v>0</v>
      </c>
      <c r="BC29" s="385">
        <f t="shared" si="12"/>
        <v>0</v>
      </c>
      <c r="BD29" s="385">
        <f t="shared" si="13"/>
        <v>0</v>
      </c>
      <c r="BE29" s="385">
        <f t="shared" si="14"/>
        <v>0</v>
      </c>
      <c r="BF29" s="385">
        <f t="shared" si="15"/>
        <v>0</v>
      </c>
      <c r="BG29" s="385">
        <f t="shared" si="16"/>
        <v>0</v>
      </c>
    </row>
    <row r="30" spans="1:59">
      <c r="A30" s="387" t="s">
        <v>137</v>
      </c>
      <c r="B30" s="388">
        <v>0</v>
      </c>
      <c r="C30" s="389">
        <v>0</v>
      </c>
      <c r="D30" s="83">
        <f>$B$30*$C$30*3</f>
        <v>0</v>
      </c>
      <c r="E30" s="83">
        <f t="shared" ref="E30:AQ30" si="40">$B$30*$C$30*3</f>
        <v>0</v>
      </c>
      <c r="F30" s="83">
        <f t="shared" si="40"/>
        <v>0</v>
      </c>
      <c r="G30" s="83">
        <f t="shared" si="40"/>
        <v>0</v>
      </c>
      <c r="H30" s="83">
        <f t="shared" si="40"/>
        <v>0</v>
      </c>
      <c r="I30" s="83">
        <f t="shared" si="40"/>
        <v>0</v>
      </c>
      <c r="J30" s="83">
        <f t="shared" si="40"/>
        <v>0</v>
      </c>
      <c r="K30" s="83">
        <f t="shared" si="40"/>
        <v>0</v>
      </c>
      <c r="L30" s="83">
        <f t="shared" si="40"/>
        <v>0</v>
      </c>
      <c r="M30" s="83">
        <f t="shared" si="40"/>
        <v>0</v>
      </c>
      <c r="N30" s="83">
        <f t="shared" si="40"/>
        <v>0</v>
      </c>
      <c r="O30" s="83">
        <f t="shared" si="40"/>
        <v>0</v>
      </c>
      <c r="P30" s="83">
        <f t="shared" si="40"/>
        <v>0</v>
      </c>
      <c r="Q30" s="83">
        <f t="shared" si="40"/>
        <v>0</v>
      </c>
      <c r="R30" s="83">
        <f t="shared" si="40"/>
        <v>0</v>
      </c>
      <c r="S30" s="83">
        <f t="shared" si="40"/>
        <v>0</v>
      </c>
      <c r="T30" s="83">
        <f t="shared" si="40"/>
        <v>0</v>
      </c>
      <c r="U30" s="83">
        <f t="shared" si="40"/>
        <v>0</v>
      </c>
      <c r="V30" s="83">
        <f t="shared" si="40"/>
        <v>0</v>
      </c>
      <c r="W30" s="83">
        <f t="shared" si="40"/>
        <v>0</v>
      </c>
      <c r="X30" s="83">
        <f t="shared" si="40"/>
        <v>0</v>
      </c>
      <c r="Y30" s="83">
        <f t="shared" si="40"/>
        <v>0</v>
      </c>
      <c r="Z30" s="83">
        <f t="shared" si="40"/>
        <v>0</v>
      </c>
      <c r="AA30" s="83">
        <f t="shared" si="40"/>
        <v>0</v>
      </c>
      <c r="AB30" s="83">
        <f t="shared" si="40"/>
        <v>0</v>
      </c>
      <c r="AC30" s="83">
        <f t="shared" si="40"/>
        <v>0</v>
      </c>
      <c r="AD30" s="83">
        <f t="shared" si="40"/>
        <v>0</v>
      </c>
      <c r="AE30" s="83">
        <f t="shared" si="40"/>
        <v>0</v>
      </c>
      <c r="AF30" s="83">
        <f t="shared" si="40"/>
        <v>0</v>
      </c>
      <c r="AG30" s="83">
        <f t="shared" si="40"/>
        <v>0</v>
      </c>
      <c r="AH30" s="83">
        <f t="shared" si="40"/>
        <v>0</v>
      </c>
      <c r="AI30" s="83">
        <f t="shared" si="40"/>
        <v>0</v>
      </c>
      <c r="AJ30" s="83">
        <f t="shared" si="40"/>
        <v>0</v>
      </c>
      <c r="AK30" s="83">
        <f t="shared" si="40"/>
        <v>0</v>
      </c>
      <c r="AL30" s="83">
        <f t="shared" si="40"/>
        <v>0</v>
      </c>
      <c r="AM30" s="83">
        <f t="shared" si="40"/>
        <v>0</v>
      </c>
      <c r="AN30" s="83">
        <f t="shared" si="40"/>
        <v>0</v>
      </c>
      <c r="AO30" s="83">
        <f t="shared" si="40"/>
        <v>0</v>
      </c>
      <c r="AP30" s="83">
        <f t="shared" si="40"/>
        <v>0</v>
      </c>
      <c r="AQ30" s="83">
        <f t="shared" si="40"/>
        <v>0</v>
      </c>
      <c r="AR30" s="383">
        <f>AQ30*(1+допущения!$C$36)</f>
        <v>0</v>
      </c>
      <c r="AS30" s="383">
        <f t="shared" si="5"/>
        <v>0</v>
      </c>
      <c r="AT30" s="383">
        <f t="shared" si="5"/>
        <v>0</v>
      </c>
      <c r="AU30" s="383">
        <f t="shared" si="5"/>
        <v>0</v>
      </c>
      <c r="AV30" s="83"/>
      <c r="AW30" s="109">
        <f t="shared" si="6"/>
        <v>0</v>
      </c>
      <c r="AX30" s="385">
        <f t="shared" si="7"/>
        <v>0</v>
      </c>
      <c r="AY30" s="385">
        <f t="shared" si="8"/>
        <v>0</v>
      </c>
      <c r="AZ30" s="385">
        <f t="shared" si="9"/>
        <v>0</v>
      </c>
      <c r="BA30" s="385">
        <f t="shared" si="10"/>
        <v>0</v>
      </c>
      <c r="BB30" s="385">
        <f t="shared" si="11"/>
        <v>0</v>
      </c>
      <c r="BC30" s="385">
        <f t="shared" si="12"/>
        <v>0</v>
      </c>
      <c r="BD30" s="385">
        <f t="shared" si="13"/>
        <v>0</v>
      </c>
      <c r="BE30" s="385">
        <f t="shared" si="14"/>
        <v>0</v>
      </c>
      <c r="BF30" s="385">
        <f t="shared" si="15"/>
        <v>0</v>
      </c>
      <c r="BG30" s="385">
        <f t="shared" si="16"/>
        <v>0</v>
      </c>
    </row>
    <row r="31" spans="1:59">
      <c r="A31" s="387" t="s">
        <v>138</v>
      </c>
      <c r="B31" s="388">
        <v>0</v>
      </c>
      <c r="C31" s="389">
        <v>0</v>
      </c>
      <c r="D31" s="83">
        <f>$B$31*$C$31*3</f>
        <v>0</v>
      </c>
      <c r="E31" s="83">
        <f t="shared" ref="E31:AQ31" si="41">$B$31*$C$31*3</f>
        <v>0</v>
      </c>
      <c r="F31" s="83">
        <f t="shared" si="41"/>
        <v>0</v>
      </c>
      <c r="G31" s="83">
        <f t="shared" si="41"/>
        <v>0</v>
      </c>
      <c r="H31" s="83">
        <f t="shared" si="41"/>
        <v>0</v>
      </c>
      <c r="I31" s="83">
        <f t="shared" si="41"/>
        <v>0</v>
      </c>
      <c r="J31" s="83">
        <f t="shared" si="41"/>
        <v>0</v>
      </c>
      <c r="K31" s="83">
        <f t="shared" si="41"/>
        <v>0</v>
      </c>
      <c r="L31" s="83">
        <f t="shared" si="41"/>
        <v>0</v>
      </c>
      <c r="M31" s="83">
        <f t="shared" si="41"/>
        <v>0</v>
      </c>
      <c r="N31" s="83">
        <f t="shared" si="41"/>
        <v>0</v>
      </c>
      <c r="O31" s="83">
        <f t="shared" si="41"/>
        <v>0</v>
      </c>
      <c r="P31" s="83">
        <f t="shared" si="41"/>
        <v>0</v>
      </c>
      <c r="Q31" s="83">
        <f t="shared" si="41"/>
        <v>0</v>
      </c>
      <c r="R31" s="83">
        <f t="shared" si="41"/>
        <v>0</v>
      </c>
      <c r="S31" s="83">
        <f t="shared" si="41"/>
        <v>0</v>
      </c>
      <c r="T31" s="83">
        <f t="shared" si="41"/>
        <v>0</v>
      </c>
      <c r="U31" s="83">
        <f t="shared" si="41"/>
        <v>0</v>
      </c>
      <c r="V31" s="83">
        <f t="shared" si="41"/>
        <v>0</v>
      </c>
      <c r="W31" s="83">
        <f t="shared" si="41"/>
        <v>0</v>
      </c>
      <c r="X31" s="83">
        <f t="shared" si="41"/>
        <v>0</v>
      </c>
      <c r="Y31" s="83">
        <f t="shared" si="41"/>
        <v>0</v>
      </c>
      <c r="Z31" s="83">
        <f t="shared" si="41"/>
        <v>0</v>
      </c>
      <c r="AA31" s="83">
        <f t="shared" si="41"/>
        <v>0</v>
      </c>
      <c r="AB31" s="83">
        <f t="shared" si="41"/>
        <v>0</v>
      </c>
      <c r="AC31" s="83">
        <f t="shared" si="41"/>
        <v>0</v>
      </c>
      <c r="AD31" s="83">
        <f t="shared" si="41"/>
        <v>0</v>
      </c>
      <c r="AE31" s="83">
        <f t="shared" si="41"/>
        <v>0</v>
      </c>
      <c r="AF31" s="83">
        <f t="shared" si="41"/>
        <v>0</v>
      </c>
      <c r="AG31" s="83">
        <f t="shared" si="41"/>
        <v>0</v>
      </c>
      <c r="AH31" s="83">
        <f t="shared" si="41"/>
        <v>0</v>
      </c>
      <c r="AI31" s="83">
        <f t="shared" si="41"/>
        <v>0</v>
      </c>
      <c r="AJ31" s="83">
        <f t="shared" si="41"/>
        <v>0</v>
      </c>
      <c r="AK31" s="83">
        <f t="shared" si="41"/>
        <v>0</v>
      </c>
      <c r="AL31" s="83">
        <f t="shared" si="41"/>
        <v>0</v>
      </c>
      <c r="AM31" s="83">
        <f t="shared" si="41"/>
        <v>0</v>
      </c>
      <c r="AN31" s="83">
        <f t="shared" si="41"/>
        <v>0</v>
      </c>
      <c r="AO31" s="83">
        <f t="shared" si="41"/>
        <v>0</v>
      </c>
      <c r="AP31" s="83">
        <f t="shared" si="41"/>
        <v>0</v>
      </c>
      <c r="AQ31" s="83">
        <f t="shared" si="41"/>
        <v>0</v>
      </c>
      <c r="AR31" s="383">
        <f>AQ31*(1+допущения!$C$36)</f>
        <v>0</v>
      </c>
      <c r="AS31" s="383">
        <f t="shared" si="5"/>
        <v>0</v>
      </c>
      <c r="AT31" s="383">
        <f t="shared" si="5"/>
        <v>0</v>
      </c>
      <c r="AU31" s="383">
        <f t="shared" si="5"/>
        <v>0</v>
      </c>
      <c r="AV31" s="83"/>
      <c r="AW31" s="109">
        <f t="shared" si="6"/>
        <v>0</v>
      </c>
      <c r="AX31" s="385">
        <f t="shared" si="7"/>
        <v>0</v>
      </c>
      <c r="AY31" s="385">
        <f t="shared" si="8"/>
        <v>0</v>
      </c>
      <c r="AZ31" s="385">
        <f t="shared" si="9"/>
        <v>0</v>
      </c>
      <c r="BA31" s="385">
        <f t="shared" si="10"/>
        <v>0</v>
      </c>
      <c r="BB31" s="385">
        <f t="shared" si="11"/>
        <v>0</v>
      </c>
      <c r="BC31" s="385">
        <f t="shared" si="12"/>
        <v>0</v>
      </c>
      <c r="BD31" s="385">
        <f t="shared" si="13"/>
        <v>0</v>
      </c>
      <c r="BE31" s="385">
        <f t="shared" si="14"/>
        <v>0</v>
      </c>
      <c r="BF31" s="385">
        <f t="shared" si="15"/>
        <v>0</v>
      </c>
      <c r="BG31" s="385">
        <f t="shared" si="16"/>
        <v>0</v>
      </c>
    </row>
    <row r="32" spans="1:59">
      <c r="A32" s="387" t="s">
        <v>139</v>
      </c>
      <c r="B32" s="388">
        <v>0</v>
      </c>
      <c r="C32" s="389">
        <v>0</v>
      </c>
      <c r="D32" s="83">
        <f>$B$32*$C$32*3</f>
        <v>0</v>
      </c>
      <c r="E32" s="83">
        <f t="shared" ref="E32:AQ32" si="42">$B$32*$C$32*3</f>
        <v>0</v>
      </c>
      <c r="F32" s="83">
        <f t="shared" si="42"/>
        <v>0</v>
      </c>
      <c r="G32" s="83">
        <f t="shared" si="42"/>
        <v>0</v>
      </c>
      <c r="H32" s="83">
        <f t="shared" si="42"/>
        <v>0</v>
      </c>
      <c r="I32" s="83">
        <f t="shared" si="42"/>
        <v>0</v>
      </c>
      <c r="J32" s="83">
        <f t="shared" si="42"/>
        <v>0</v>
      </c>
      <c r="K32" s="83">
        <f t="shared" si="42"/>
        <v>0</v>
      </c>
      <c r="L32" s="83">
        <f t="shared" si="42"/>
        <v>0</v>
      </c>
      <c r="M32" s="83">
        <f t="shared" si="42"/>
        <v>0</v>
      </c>
      <c r="N32" s="83">
        <f t="shared" si="42"/>
        <v>0</v>
      </c>
      <c r="O32" s="83">
        <f t="shared" si="42"/>
        <v>0</v>
      </c>
      <c r="P32" s="83">
        <f t="shared" si="42"/>
        <v>0</v>
      </c>
      <c r="Q32" s="83">
        <f t="shared" si="42"/>
        <v>0</v>
      </c>
      <c r="R32" s="83">
        <f t="shared" si="42"/>
        <v>0</v>
      </c>
      <c r="S32" s="83">
        <f t="shared" si="42"/>
        <v>0</v>
      </c>
      <c r="T32" s="83">
        <f t="shared" si="42"/>
        <v>0</v>
      </c>
      <c r="U32" s="83">
        <f t="shared" si="42"/>
        <v>0</v>
      </c>
      <c r="V32" s="83">
        <f t="shared" si="42"/>
        <v>0</v>
      </c>
      <c r="W32" s="83">
        <f t="shared" si="42"/>
        <v>0</v>
      </c>
      <c r="X32" s="83">
        <f t="shared" si="42"/>
        <v>0</v>
      </c>
      <c r="Y32" s="83">
        <f t="shared" si="42"/>
        <v>0</v>
      </c>
      <c r="Z32" s="83">
        <f t="shared" si="42"/>
        <v>0</v>
      </c>
      <c r="AA32" s="83">
        <f t="shared" si="42"/>
        <v>0</v>
      </c>
      <c r="AB32" s="83">
        <f t="shared" si="42"/>
        <v>0</v>
      </c>
      <c r="AC32" s="83">
        <f t="shared" si="42"/>
        <v>0</v>
      </c>
      <c r="AD32" s="83">
        <f t="shared" si="42"/>
        <v>0</v>
      </c>
      <c r="AE32" s="83">
        <f t="shared" si="42"/>
        <v>0</v>
      </c>
      <c r="AF32" s="83">
        <f t="shared" si="42"/>
        <v>0</v>
      </c>
      <c r="AG32" s="83">
        <f t="shared" si="42"/>
        <v>0</v>
      </c>
      <c r="AH32" s="83">
        <f t="shared" si="42"/>
        <v>0</v>
      </c>
      <c r="AI32" s="83">
        <f t="shared" si="42"/>
        <v>0</v>
      </c>
      <c r="AJ32" s="83">
        <f t="shared" si="42"/>
        <v>0</v>
      </c>
      <c r="AK32" s="83">
        <f t="shared" si="42"/>
        <v>0</v>
      </c>
      <c r="AL32" s="83">
        <f t="shared" si="42"/>
        <v>0</v>
      </c>
      <c r="AM32" s="83">
        <f t="shared" si="42"/>
        <v>0</v>
      </c>
      <c r="AN32" s="83">
        <f t="shared" si="42"/>
        <v>0</v>
      </c>
      <c r="AO32" s="83">
        <f t="shared" si="42"/>
        <v>0</v>
      </c>
      <c r="AP32" s="83">
        <f t="shared" si="42"/>
        <v>0</v>
      </c>
      <c r="AQ32" s="83">
        <f t="shared" si="42"/>
        <v>0</v>
      </c>
      <c r="AR32" s="383">
        <f>AQ32*(1+допущения!$C$36)</f>
        <v>0</v>
      </c>
      <c r="AS32" s="383">
        <f t="shared" si="5"/>
        <v>0</v>
      </c>
      <c r="AT32" s="383">
        <f t="shared" si="5"/>
        <v>0</v>
      </c>
      <c r="AU32" s="383">
        <f t="shared" si="5"/>
        <v>0</v>
      </c>
      <c r="AV32" s="83"/>
      <c r="AW32" s="109">
        <f t="shared" si="6"/>
        <v>0</v>
      </c>
      <c r="AX32" s="385">
        <f t="shared" si="7"/>
        <v>0</v>
      </c>
      <c r="AY32" s="385">
        <f t="shared" si="8"/>
        <v>0</v>
      </c>
      <c r="AZ32" s="385">
        <f t="shared" si="9"/>
        <v>0</v>
      </c>
      <c r="BA32" s="385">
        <f t="shared" si="10"/>
        <v>0</v>
      </c>
      <c r="BB32" s="385">
        <f t="shared" si="11"/>
        <v>0</v>
      </c>
      <c r="BC32" s="385">
        <f t="shared" si="12"/>
        <v>0</v>
      </c>
      <c r="BD32" s="385">
        <f t="shared" si="13"/>
        <v>0</v>
      </c>
      <c r="BE32" s="385">
        <f t="shared" si="14"/>
        <v>0</v>
      </c>
      <c r="BF32" s="385">
        <f t="shared" si="15"/>
        <v>0</v>
      </c>
      <c r="BG32" s="385">
        <f t="shared" si="16"/>
        <v>0</v>
      </c>
    </row>
    <row r="33" spans="1:59">
      <c r="A33" s="387" t="s">
        <v>140</v>
      </c>
      <c r="B33" s="388">
        <v>0</v>
      </c>
      <c r="C33" s="389">
        <v>0</v>
      </c>
      <c r="D33" s="83">
        <f>$B$33*$C$33*3</f>
        <v>0</v>
      </c>
      <c r="E33" s="83">
        <f t="shared" ref="E33:AQ33" si="43">$B$33*$C$33*3</f>
        <v>0</v>
      </c>
      <c r="F33" s="83">
        <f t="shared" si="43"/>
        <v>0</v>
      </c>
      <c r="G33" s="83">
        <f t="shared" si="43"/>
        <v>0</v>
      </c>
      <c r="H33" s="83">
        <f t="shared" si="43"/>
        <v>0</v>
      </c>
      <c r="I33" s="83">
        <f t="shared" si="43"/>
        <v>0</v>
      </c>
      <c r="J33" s="83">
        <f t="shared" si="43"/>
        <v>0</v>
      </c>
      <c r="K33" s="83">
        <f t="shared" si="43"/>
        <v>0</v>
      </c>
      <c r="L33" s="83">
        <f t="shared" si="43"/>
        <v>0</v>
      </c>
      <c r="M33" s="83">
        <f t="shared" si="43"/>
        <v>0</v>
      </c>
      <c r="N33" s="83">
        <f t="shared" si="43"/>
        <v>0</v>
      </c>
      <c r="O33" s="83">
        <f t="shared" si="43"/>
        <v>0</v>
      </c>
      <c r="P33" s="83">
        <f t="shared" si="43"/>
        <v>0</v>
      </c>
      <c r="Q33" s="83">
        <f t="shared" si="43"/>
        <v>0</v>
      </c>
      <c r="R33" s="83">
        <f t="shared" si="43"/>
        <v>0</v>
      </c>
      <c r="S33" s="83">
        <f t="shared" si="43"/>
        <v>0</v>
      </c>
      <c r="T33" s="83">
        <f t="shared" si="43"/>
        <v>0</v>
      </c>
      <c r="U33" s="83">
        <f t="shared" si="43"/>
        <v>0</v>
      </c>
      <c r="V33" s="83">
        <f t="shared" si="43"/>
        <v>0</v>
      </c>
      <c r="W33" s="83">
        <f t="shared" si="43"/>
        <v>0</v>
      </c>
      <c r="X33" s="83">
        <f t="shared" si="43"/>
        <v>0</v>
      </c>
      <c r="Y33" s="83">
        <f t="shared" si="43"/>
        <v>0</v>
      </c>
      <c r="Z33" s="83">
        <f t="shared" si="43"/>
        <v>0</v>
      </c>
      <c r="AA33" s="83">
        <f t="shared" si="43"/>
        <v>0</v>
      </c>
      <c r="AB33" s="83">
        <f t="shared" si="43"/>
        <v>0</v>
      </c>
      <c r="AC33" s="83">
        <f t="shared" si="43"/>
        <v>0</v>
      </c>
      <c r="AD33" s="83">
        <f t="shared" si="43"/>
        <v>0</v>
      </c>
      <c r="AE33" s="83">
        <f t="shared" si="43"/>
        <v>0</v>
      </c>
      <c r="AF33" s="83">
        <f t="shared" si="43"/>
        <v>0</v>
      </c>
      <c r="AG33" s="83">
        <f t="shared" si="43"/>
        <v>0</v>
      </c>
      <c r="AH33" s="83">
        <f t="shared" si="43"/>
        <v>0</v>
      </c>
      <c r="AI33" s="83">
        <f t="shared" si="43"/>
        <v>0</v>
      </c>
      <c r="AJ33" s="83">
        <f t="shared" si="43"/>
        <v>0</v>
      </c>
      <c r="AK33" s="83">
        <f t="shared" si="43"/>
        <v>0</v>
      </c>
      <c r="AL33" s="83">
        <f t="shared" si="43"/>
        <v>0</v>
      </c>
      <c r="AM33" s="83">
        <f t="shared" si="43"/>
        <v>0</v>
      </c>
      <c r="AN33" s="83">
        <f t="shared" si="43"/>
        <v>0</v>
      </c>
      <c r="AO33" s="83">
        <f t="shared" si="43"/>
        <v>0</v>
      </c>
      <c r="AP33" s="83">
        <f t="shared" si="43"/>
        <v>0</v>
      </c>
      <c r="AQ33" s="83">
        <f t="shared" si="43"/>
        <v>0</v>
      </c>
      <c r="AR33" s="383">
        <f>AQ33*(1+допущения!$C$36)</f>
        <v>0</v>
      </c>
      <c r="AS33" s="383">
        <f t="shared" si="5"/>
        <v>0</v>
      </c>
      <c r="AT33" s="383">
        <f t="shared" si="5"/>
        <v>0</v>
      </c>
      <c r="AU33" s="383">
        <f t="shared" si="5"/>
        <v>0</v>
      </c>
      <c r="AV33" s="83"/>
      <c r="AW33" s="109">
        <f t="shared" si="6"/>
        <v>0</v>
      </c>
      <c r="AX33" s="385">
        <f t="shared" si="7"/>
        <v>0</v>
      </c>
      <c r="AY33" s="385">
        <f t="shared" si="8"/>
        <v>0</v>
      </c>
      <c r="AZ33" s="385">
        <f t="shared" si="9"/>
        <v>0</v>
      </c>
      <c r="BA33" s="385">
        <f t="shared" si="10"/>
        <v>0</v>
      </c>
      <c r="BB33" s="385">
        <f t="shared" si="11"/>
        <v>0</v>
      </c>
      <c r="BC33" s="385">
        <f t="shared" si="12"/>
        <v>0</v>
      </c>
      <c r="BD33" s="385">
        <f t="shared" si="13"/>
        <v>0</v>
      </c>
      <c r="BE33" s="385">
        <f t="shared" si="14"/>
        <v>0</v>
      </c>
      <c r="BF33" s="385">
        <f t="shared" si="15"/>
        <v>0</v>
      </c>
      <c r="BG33" s="385">
        <f t="shared" si="16"/>
        <v>0</v>
      </c>
    </row>
    <row r="34" spans="1:59" s="98" customFormat="1" ht="28.8">
      <c r="A34" s="99" t="s">
        <v>120</v>
      </c>
      <c r="B34" s="100"/>
      <c r="C34" s="114"/>
      <c r="D34" s="100">
        <f>SUM(D29:D33)</f>
        <v>0</v>
      </c>
      <c r="E34" s="100">
        <f t="shared" ref="E34:AQ34" si="44">SUM(E29:E33)</f>
        <v>0</v>
      </c>
      <c r="F34" s="100">
        <f t="shared" si="44"/>
        <v>0</v>
      </c>
      <c r="G34" s="100">
        <f t="shared" si="44"/>
        <v>0</v>
      </c>
      <c r="H34" s="100">
        <f t="shared" si="44"/>
        <v>0</v>
      </c>
      <c r="I34" s="100">
        <f t="shared" si="44"/>
        <v>0</v>
      </c>
      <c r="J34" s="100">
        <f t="shared" si="44"/>
        <v>0</v>
      </c>
      <c r="K34" s="100">
        <f t="shared" si="44"/>
        <v>0</v>
      </c>
      <c r="L34" s="100">
        <f t="shared" si="44"/>
        <v>0</v>
      </c>
      <c r="M34" s="100">
        <f t="shared" si="44"/>
        <v>0</v>
      </c>
      <c r="N34" s="100">
        <f t="shared" si="44"/>
        <v>0</v>
      </c>
      <c r="O34" s="100">
        <f t="shared" si="44"/>
        <v>0</v>
      </c>
      <c r="P34" s="100">
        <f t="shared" si="44"/>
        <v>0</v>
      </c>
      <c r="Q34" s="100">
        <f t="shared" si="44"/>
        <v>0</v>
      </c>
      <c r="R34" s="100">
        <f t="shared" si="44"/>
        <v>0</v>
      </c>
      <c r="S34" s="100">
        <f t="shared" si="44"/>
        <v>0</v>
      </c>
      <c r="T34" s="100">
        <f t="shared" si="44"/>
        <v>0</v>
      </c>
      <c r="U34" s="100">
        <f t="shared" si="44"/>
        <v>0</v>
      </c>
      <c r="V34" s="100">
        <f t="shared" si="44"/>
        <v>0</v>
      </c>
      <c r="W34" s="100">
        <f t="shared" si="44"/>
        <v>0</v>
      </c>
      <c r="X34" s="100">
        <f t="shared" si="44"/>
        <v>0</v>
      </c>
      <c r="Y34" s="100">
        <f t="shared" si="44"/>
        <v>0</v>
      </c>
      <c r="Z34" s="100">
        <f t="shared" si="44"/>
        <v>0</v>
      </c>
      <c r="AA34" s="100">
        <f t="shared" si="44"/>
        <v>0</v>
      </c>
      <c r="AB34" s="100">
        <f t="shared" si="44"/>
        <v>0</v>
      </c>
      <c r="AC34" s="100">
        <f t="shared" si="44"/>
        <v>0</v>
      </c>
      <c r="AD34" s="100">
        <f t="shared" si="44"/>
        <v>0</v>
      </c>
      <c r="AE34" s="100">
        <f t="shared" si="44"/>
        <v>0</v>
      </c>
      <c r="AF34" s="100">
        <f t="shared" si="44"/>
        <v>0</v>
      </c>
      <c r="AG34" s="100">
        <f t="shared" si="44"/>
        <v>0</v>
      </c>
      <c r="AH34" s="100">
        <f t="shared" si="44"/>
        <v>0</v>
      </c>
      <c r="AI34" s="100">
        <f t="shared" si="44"/>
        <v>0</v>
      </c>
      <c r="AJ34" s="100">
        <f t="shared" si="44"/>
        <v>0</v>
      </c>
      <c r="AK34" s="100">
        <f t="shared" si="44"/>
        <v>0</v>
      </c>
      <c r="AL34" s="100">
        <f t="shared" si="44"/>
        <v>0</v>
      </c>
      <c r="AM34" s="100">
        <f t="shared" si="44"/>
        <v>0</v>
      </c>
      <c r="AN34" s="100">
        <f t="shared" si="44"/>
        <v>0</v>
      </c>
      <c r="AO34" s="100">
        <f t="shared" si="44"/>
        <v>0</v>
      </c>
      <c r="AP34" s="100">
        <f t="shared" si="44"/>
        <v>0</v>
      </c>
      <c r="AQ34" s="100">
        <f t="shared" si="44"/>
        <v>0</v>
      </c>
      <c r="AR34" s="100">
        <f>AQ34*(1+допущения!$C$36)</f>
        <v>0</v>
      </c>
      <c r="AS34" s="100">
        <f t="shared" si="5"/>
        <v>0</v>
      </c>
      <c r="AT34" s="100">
        <f t="shared" si="5"/>
        <v>0</v>
      </c>
      <c r="AU34" s="100">
        <f t="shared" si="5"/>
        <v>0</v>
      </c>
      <c r="AV34" s="100"/>
      <c r="AW34" s="551">
        <f t="shared" si="6"/>
        <v>0</v>
      </c>
      <c r="AX34" s="552">
        <f t="shared" si="7"/>
        <v>0</v>
      </c>
      <c r="AY34" s="552">
        <f t="shared" si="8"/>
        <v>0</v>
      </c>
      <c r="AZ34" s="552">
        <f t="shared" si="9"/>
        <v>0</v>
      </c>
      <c r="BA34" s="552">
        <f t="shared" si="10"/>
        <v>0</v>
      </c>
      <c r="BB34" s="552">
        <f t="shared" si="11"/>
        <v>0</v>
      </c>
      <c r="BC34" s="552">
        <f t="shared" si="12"/>
        <v>0</v>
      </c>
      <c r="BD34" s="552">
        <f t="shared" si="13"/>
        <v>0</v>
      </c>
      <c r="BE34" s="552">
        <f t="shared" si="14"/>
        <v>0</v>
      </c>
      <c r="BF34" s="552">
        <f t="shared" si="15"/>
        <v>0</v>
      </c>
      <c r="BG34" s="552">
        <f t="shared" si="16"/>
        <v>0</v>
      </c>
    </row>
    <row r="35" spans="1:59" s="103" customFormat="1" ht="18.75" customHeight="1">
      <c r="A35" s="104" t="s">
        <v>121</v>
      </c>
      <c r="B35" s="105"/>
      <c r="C35" s="115"/>
      <c r="D35" s="105">
        <f>D34*$B$61</f>
        <v>0</v>
      </c>
      <c r="E35" s="105">
        <f t="shared" ref="E35:AQ35" si="45">E34*$B$61</f>
        <v>0</v>
      </c>
      <c r="F35" s="105">
        <f t="shared" si="45"/>
        <v>0</v>
      </c>
      <c r="G35" s="105">
        <f t="shared" si="45"/>
        <v>0</v>
      </c>
      <c r="H35" s="105">
        <f t="shared" si="45"/>
        <v>0</v>
      </c>
      <c r="I35" s="105">
        <f t="shared" si="45"/>
        <v>0</v>
      </c>
      <c r="J35" s="105">
        <f t="shared" si="45"/>
        <v>0</v>
      </c>
      <c r="K35" s="105">
        <f t="shared" si="45"/>
        <v>0</v>
      </c>
      <c r="L35" s="105">
        <f t="shared" si="45"/>
        <v>0</v>
      </c>
      <c r="M35" s="105">
        <f t="shared" si="45"/>
        <v>0</v>
      </c>
      <c r="N35" s="105">
        <f t="shared" si="45"/>
        <v>0</v>
      </c>
      <c r="O35" s="105">
        <f t="shared" si="45"/>
        <v>0</v>
      </c>
      <c r="P35" s="105">
        <f t="shared" si="45"/>
        <v>0</v>
      </c>
      <c r="Q35" s="105">
        <f t="shared" si="45"/>
        <v>0</v>
      </c>
      <c r="R35" s="105">
        <f t="shared" si="45"/>
        <v>0</v>
      </c>
      <c r="S35" s="105">
        <f t="shared" si="45"/>
        <v>0</v>
      </c>
      <c r="T35" s="105">
        <f t="shared" si="45"/>
        <v>0</v>
      </c>
      <c r="U35" s="105">
        <f t="shared" si="45"/>
        <v>0</v>
      </c>
      <c r="V35" s="105">
        <f t="shared" si="45"/>
        <v>0</v>
      </c>
      <c r="W35" s="105">
        <f t="shared" si="45"/>
        <v>0</v>
      </c>
      <c r="X35" s="105">
        <f t="shared" si="45"/>
        <v>0</v>
      </c>
      <c r="Y35" s="105">
        <f t="shared" si="45"/>
        <v>0</v>
      </c>
      <c r="Z35" s="105">
        <f t="shared" si="45"/>
        <v>0</v>
      </c>
      <c r="AA35" s="105">
        <f t="shared" si="45"/>
        <v>0</v>
      </c>
      <c r="AB35" s="105">
        <f t="shared" si="45"/>
        <v>0</v>
      </c>
      <c r="AC35" s="105">
        <f t="shared" si="45"/>
        <v>0</v>
      </c>
      <c r="AD35" s="105">
        <f t="shared" si="45"/>
        <v>0</v>
      </c>
      <c r="AE35" s="105">
        <f t="shared" si="45"/>
        <v>0</v>
      </c>
      <c r="AF35" s="105">
        <f t="shared" si="45"/>
        <v>0</v>
      </c>
      <c r="AG35" s="105">
        <f t="shared" si="45"/>
        <v>0</v>
      </c>
      <c r="AH35" s="105">
        <f t="shared" si="45"/>
        <v>0</v>
      </c>
      <c r="AI35" s="105">
        <f t="shared" si="45"/>
        <v>0</v>
      </c>
      <c r="AJ35" s="105">
        <f t="shared" si="45"/>
        <v>0</v>
      </c>
      <c r="AK35" s="105">
        <f t="shared" si="45"/>
        <v>0</v>
      </c>
      <c r="AL35" s="105">
        <f t="shared" si="45"/>
        <v>0</v>
      </c>
      <c r="AM35" s="105">
        <f t="shared" si="45"/>
        <v>0</v>
      </c>
      <c r="AN35" s="105">
        <f t="shared" si="45"/>
        <v>0</v>
      </c>
      <c r="AO35" s="105">
        <f t="shared" si="45"/>
        <v>0</v>
      </c>
      <c r="AP35" s="105">
        <f t="shared" si="45"/>
        <v>0</v>
      </c>
      <c r="AQ35" s="105">
        <f t="shared" si="45"/>
        <v>0</v>
      </c>
      <c r="AR35" s="105">
        <f>AQ35*(1+допущения!$C$36)</f>
        <v>0</v>
      </c>
      <c r="AS35" s="105">
        <f t="shared" si="5"/>
        <v>0</v>
      </c>
      <c r="AT35" s="105">
        <f t="shared" si="5"/>
        <v>0</v>
      </c>
      <c r="AU35" s="105">
        <f t="shared" si="5"/>
        <v>0</v>
      </c>
      <c r="AV35" s="105"/>
      <c r="AW35" s="553">
        <f t="shared" si="6"/>
        <v>0</v>
      </c>
      <c r="AX35" s="406">
        <f t="shared" si="7"/>
        <v>0</v>
      </c>
      <c r="AY35" s="406">
        <f t="shared" si="8"/>
        <v>0</v>
      </c>
      <c r="AZ35" s="406">
        <f t="shared" si="9"/>
        <v>0</v>
      </c>
      <c r="BA35" s="406">
        <f t="shared" si="10"/>
        <v>0</v>
      </c>
      <c r="BB35" s="406">
        <f t="shared" si="11"/>
        <v>0</v>
      </c>
      <c r="BC35" s="406">
        <f t="shared" si="12"/>
        <v>0</v>
      </c>
      <c r="BD35" s="406">
        <f t="shared" si="13"/>
        <v>0</v>
      </c>
      <c r="BE35" s="406">
        <f t="shared" si="14"/>
        <v>0</v>
      </c>
      <c r="BF35" s="406">
        <f t="shared" si="15"/>
        <v>0</v>
      </c>
      <c r="BG35" s="406">
        <f t="shared" si="16"/>
        <v>0</v>
      </c>
    </row>
    <row r="36" spans="1:59" ht="43.2">
      <c r="A36" s="94" t="s">
        <v>141</v>
      </c>
      <c r="B36" s="83"/>
      <c r="C36" s="112"/>
      <c r="D36" s="83"/>
      <c r="E36" s="83"/>
      <c r="F36" s="83"/>
      <c r="G36" s="83"/>
      <c r="H36" s="83"/>
      <c r="I36" s="83"/>
      <c r="J36" s="83"/>
      <c r="K36" s="83"/>
      <c r="L36" s="83"/>
      <c r="M36" s="83"/>
      <c r="N36" s="83"/>
      <c r="O36" s="83"/>
      <c r="P36" s="83"/>
      <c r="Q36" s="83"/>
      <c r="R36" s="83"/>
      <c r="S36" s="83"/>
      <c r="T36" s="83"/>
      <c r="U36" s="83"/>
      <c r="V36" s="83"/>
      <c r="W36" s="83"/>
      <c r="X36" s="83"/>
      <c r="Y36" s="83"/>
      <c r="Z36" s="83"/>
      <c r="AA36" s="83"/>
      <c r="AB36" s="83"/>
      <c r="AC36" s="83"/>
      <c r="AD36" s="83"/>
      <c r="AE36" s="83"/>
      <c r="AF36" s="83"/>
      <c r="AG36" s="83"/>
      <c r="AH36" s="83"/>
      <c r="AI36" s="83"/>
      <c r="AJ36" s="83">
        <v>0</v>
      </c>
      <c r="AK36" s="83">
        <v>0</v>
      </c>
      <c r="AL36" s="83">
        <v>0</v>
      </c>
      <c r="AM36" s="83">
        <v>0</v>
      </c>
      <c r="AN36" s="83">
        <v>0</v>
      </c>
      <c r="AO36" s="83">
        <v>0</v>
      </c>
      <c r="AP36" s="83">
        <v>0</v>
      </c>
      <c r="AQ36" s="83">
        <v>0</v>
      </c>
      <c r="AR36" s="383">
        <f>AQ36*(1+допущения!$C$36)</f>
        <v>0</v>
      </c>
      <c r="AS36" s="383">
        <f t="shared" si="5"/>
        <v>0</v>
      </c>
      <c r="AT36" s="383">
        <f t="shared" si="5"/>
        <v>0</v>
      </c>
      <c r="AU36" s="383">
        <f t="shared" si="5"/>
        <v>0</v>
      </c>
      <c r="AV36" s="83"/>
      <c r="AW36" s="109">
        <f t="shared" si="6"/>
        <v>0</v>
      </c>
      <c r="AX36" s="385">
        <f t="shared" si="7"/>
        <v>0</v>
      </c>
      <c r="AY36" s="385">
        <f t="shared" si="8"/>
        <v>0</v>
      </c>
      <c r="AZ36" s="385">
        <f t="shared" si="9"/>
        <v>0</v>
      </c>
      <c r="BA36" s="385">
        <f t="shared" si="10"/>
        <v>0</v>
      </c>
      <c r="BB36" s="385">
        <f t="shared" si="11"/>
        <v>0</v>
      </c>
      <c r="BC36" s="385">
        <f t="shared" si="12"/>
        <v>0</v>
      </c>
      <c r="BD36" s="385">
        <f t="shared" si="13"/>
        <v>0</v>
      </c>
      <c r="BE36" s="385">
        <f t="shared" si="14"/>
        <v>0</v>
      </c>
      <c r="BF36" s="385">
        <f t="shared" si="15"/>
        <v>0</v>
      </c>
      <c r="BG36" s="385">
        <f t="shared" si="16"/>
        <v>0</v>
      </c>
    </row>
    <row r="37" spans="1:59">
      <c r="A37" s="95" t="s">
        <v>142</v>
      </c>
      <c r="B37" s="96">
        <v>0</v>
      </c>
      <c r="C37" s="113">
        <v>0</v>
      </c>
      <c r="D37" s="83">
        <f>$C$37*$B$37*3</f>
        <v>0</v>
      </c>
      <c r="E37" s="83">
        <f t="shared" ref="E37:AI45" si="46">$B$37*$C$37*3</f>
        <v>0</v>
      </c>
      <c r="F37" s="83">
        <f t="shared" si="46"/>
        <v>0</v>
      </c>
      <c r="G37" s="83">
        <f t="shared" si="46"/>
        <v>0</v>
      </c>
      <c r="H37" s="83">
        <f t="shared" si="46"/>
        <v>0</v>
      </c>
      <c r="I37" s="83">
        <f t="shared" si="46"/>
        <v>0</v>
      </c>
      <c r="J37" s="83">
        <f t="shared" si="46"/>
        <v>0</v>
      </c>
      <c r="K37" s="83">
        <f t="shared" si="46"/>
        <v>0</v>
      </c>
      <c r="L37" s="83">
        <f t="shared" si="46"/>
        <v>0</v>
      </c>
      <c r="M37" s="83">
        <f t="shared" si="46"/>
        <v>0</v>
      </c>
      <c r="N37" s="83">
        <f t="shared" si="46"/>
        <v>0</v>
      </c>
      <c r="O37" s="83">
        <f t="shared" si="46"/>
        <v>0</v>
      </c>
      <c r="P37" s="83">
        <f t="shared" si="46"/>
        <v>0</v>
      </c>
      <c r="Q37" s="83">
        <f t="shared" si="46"/>
        <v>0</v>
      </c>
      <c r="R37" s="83">
        <f t="shared" si="46"/>
        <v>0</v>
      </c>
      <c r="S37" s="83">
        <f t="shared" si="46"/>
        <v>0</v>
      </c>
      <c r="T37" s="83">
        <f t="shared" si="46"/>
        <v>0</v>
      </c>
      <c r="U37" s="83">
        <f t="shared" si="46"/>
        <v>0</v>
      </c>
      <c r="V37" s="83">
        <f t="shared" si="46"/>
        <v>0</v>
      </c>
      <c r="W37" s="83">
        <f t="shared" si="46"/>
        <v>0</v>
      </c>
      <c r="X37" s="83">
        <f t="shared" si="46"/>
        <v>0</v>
      </c>
      <c r="Y37" s="83">
        <f t="shared" si="46"/>
        <v>0</v>
      </c>
      <c r="Z37" s="83">
        <f t="shared" si="46"/>
        <v>0</v>
      </c>
      <c r="AA37" s="83">
        <f t="shared" si="46"/>
        <v>0</v>
      </c>
      <c r="AB37" s="83">
        <f t="shared" si="46"/>
        <v>0</v>
      </c>
      <c r="AC37" s="83">
        <f t="shared" si="46"/>
        <v>0</v>
      </c>
      <c r="AD37" s="83">
        <f t="shared" si="46"/>
        <v>0</v>
      </c>
      <c r="AE37" s="83">
        <f t="shared" si="46"/>
        <v>0</v>
      </c>
      <c r="AF37" s="83">
        <f t="shared" si="46"/>
        <v>0</v>
      </c>
      <c r="AG37" s="83">
        <f t="shared" si="46"/>
        <v>0</v>
      </c>
      <c r="AH37" s="83">
        <f t="shared" si="46"/>
        <v>0</v>
      </c>
      <c r="AI37" s="83">
        <f t="shared" si="46"/>
        <v>0</v>
      </c>
      <c r="AJ37" s="83">
        <v>0</v>
      </c>
      <c r="AK37" s="83">
        <v>0</v>
      </c>
      <c r="AL37" s="83">
        <v>0</v>
      </c>
      <c r="AM37" s="83">
        <v>0</v>
      </c>
      <c r="AN37" s="83">
        <v>0</v>
      </c>
      <c r="AO37" s="83">
        <v>0</v>
      </c>
      <c r="AP37" s="83">
        <v>0</v>
      </c>
      <c r="AQ37" s="83">
        <v>0</v>
      </c>
      <c r="AR37" s="383">
        <f>AQ37*(1+допущения!$C$36)</f>
        <v>0</v>
      </c>
      <c r="AS37" s="383">
        <f t="shared" si="5"/>
        <v>0</v>
      </c>
      <c r="AT37" s="383">
        <f t="shared" si="5"/>
        <v>0</v>
      </c>
      <c r="AU37" s="383">
        <f t="shared" si="5"/>
        <v>0</v>
      </c>
      <c r="AV37" s="83"/>
      <c r="AW37" s="109">
        <f t="shared" si="6"/>
        <v>0</v>
      </c>
      <c r="AX37" s="385">
        <f t="shared" si="7"/>
        <v>0</v>
      </c>
      <c r="AY37" s="385">
        <f t="shared" si="8"/>
        <v>0</v>
      </c>
      <c r="AZ37" s="385">
        <f t="shared" si="9"/>
        <v>0</v>
      </c>
      <c r="BA37" s="385">
        <f t="shared" si="10"/>
        <v>0</v>
      </c>
      <c r="BB37" s="385">
        <f t="shared" si="11"/>
        <v>0</v>
      </c>
      <c r="BC37" s="385">
        <f t="shared" si="12"/>
        <v>0</v>
      </c>
      <c r="BD37" s="385">
        <f t="shared" si="13"/>
        <v>0</v>
      </c>
      <c r="BE37" s="385">
        <f t="shared" si="14"/>
        <v>0</v>
      </c>
      <c r="BF37" s="385">
        <f t="shared" si="15"/>
        <v>0</v>
      </c>
      <c r="BG37" s="385">
        <f t="shared" si="16"/>
        <v>0</v>
      </c>
    </row>
    <row r="38" spans="1:59">
      <c r="A38" s="95" t="s">
        <v>143</v>
      </c>
      <c r="B38" s="96">
        <v>0</v>
      </c>
      <c r="C38" s="113">
        <v>0</v>
      </c>
      <c r="D38" s="83">
        <f>$C$38*$B$38*3</f>
        <v>0</v>
      </c>
      <c r="E38" s="83">
        <f t="shared" ref="E38:V38" si="47">$B$38*$C$38*3</f>
        <v>0</v>
      </c>
      <c r="F38" s="83">
        <f t="shared" si="47"/>
        <v>0</v>
      </c>
      <c r="G38" s="83">
        <f t="shared" si="47"/>
        <v>0</v>
      </c>
      <c r="H38" s="83">
        <f t="shared" si="47"/>
        <v>0</v>
      </c>
      <c r="I38" s="83">
        <f t="shared" si="47"/>
        <v>0</v>
      </c>
      <c r="J38" s="83">
        <f t="shared" si="47"/>
        <v>0</v>
      </c>
      <c r="K38" s="83">
        <f t="shared" si="47"/>
        <v>0</v>
      </c>
      <c r="L38" s="83">
        <f t="shared" si="47"/>
        <v>0</v>
      </c>
      <c r="M38" s="83">
        <f t="shared" si="47"/>
        <v>0</v>
      </c>
      <c r="N38" s="83">
        <f t="shared" si="47"/>
        <v>0</v>
      </c>
      <c r="O38" s="83">
        <f t="shared" si="47"/>
        <v>0</v>
      </c>
      <c r="P38" s="83">
        <f t="shared" si="47"/>
        <v>0</v>
      </c>
      <c r="Q38" s="83">
        <f t="shared" si="47"/>
        <v>0</v>
      </c>
      <c r="R38" s="83">
        <f t="shared" si="47"/>
        <v>0</v>
      </c>
      <c r="S38" s="83">
        <f t="shared" si="47"/>
        <v>0</v>
      </c>
      <c r="T38" s="83">
        <f t="shared" si="47"/>
        <v>0</v>
      </c>
      <c r="U38" s="83">
        <f t="shared" si="47"/>
        <v>0</v>
      </c>
      <c r="V38" s="83">
        <f t="shared" si="47"/>
        <v>0</v>
      </c>
      <c r="W38" s="83">
        <f t="shared" si="46"/>
        <v>0</v>
      </c>
      <c r="X38" s="83">
        <f t="shared" si="46"/>
        <v>0</v>
      </c>
      <c r="Y38" s="83">
        <f t="shared" si="46"/>
        <v>0</v>
      </c>
      <c r="Z38" s="83">
        <f t="shared" si="46"/>
        <v>0</v>
      </c>
      <c r="AA38" s="83">
        <f t="shared" si="46"/>
        <v>0</v>
      </c>
      <c r="AB38" s="83">
        <f t="shared" si="46"/>
        <v>0</v>
      </c>
      <c r="AC38" s="83">
        <f t="shared" si="46"/>
        <v>0</v>
      </c>
      <c r="AD38" s="83">
        <f t="shared" si="46"/>
        <v>0</v>
      </c>
      <c r="AE38" s="83">
        <f t="shared" si="46"/>
        <v>0</v>
      </c>
      <c r="AF38" s="83">
        <f t="shared" si="46"/>
        <v>0</v>
      </c>
      <c r="AG38" s="83">
        <f t="shared" si="46"/>
        <v>0</v>
      </c>
      <c r="AH38" s="83">
        <f t="shared" si="46"/>
        <v>0</v>
      </c>
      <c r="AI38" s="83">
        <f t="shared" si="46"/>
        <v>0</v>
      </c>
      <c r="AJ38" s="83">
        <v>0</v>
      </c>
      <c r="AK38" s="83">
        <v>0</v>
      </c>
      <c r="AL38" s="83">
        <v>0</v>
      </c>
      <c r="AM38" s="83">
        <v>0</v>
      </c>
      <c r="AN38" s="83">
        <v>0</v>
      </c>
      <c r="AO38" s="83">
        <v>0</v>
      </c>
      <c r="AP38" s="83">
        <v>0</v>
      </c>
      <c r="AQ38" s="83">
        <v>0</v>
      </c>
      <c r="AR38" s="383">
        <f>AQ38*(1+допущения!$C$36)</f>
        <v>0</v>
      </c>
      <c r="AS38" s="383">
        <f t="shared" si="5"/>
        <v>0</v>
      </c>
      <c r="AT38" s="383">
        <f t="shared" si="5"/>
        <v>0</v>
      </c>
      <c r="AU38" s="383">
        <f t="shared" si="5"/>
        <v>0</v>
      </c>
      <c r="AV38" s="83"/>
      <c r="AW38" s="109">
        <f t="shared" si="6"/>
        <v>0</v>
      </c>
      <c r="AX38" s="385">
        <f t="shared" si="7"/>
        <v>0</v>
      </c>
      <c r="AY38" s="385">
        <f t="shared" si="8"/>
        <v>0</v>
      </c>
      <c r="AZ38" s="385">
        <f t="shared" si="9"/>
        <v>0</v>
      </c>
      <c r="BA38" s="385">
        <f t="shared" si="10"/>
        <v>0</v>
      </c>
      <c r="BB38" s="385">
        <f t="shared" si="11"/>
        <v>0</v>
      </c>
      <c r="BC38" s="385">
        <f t="shared" si="12"/>
        <v>0</v>
      </c>
      <c r="BD38" s="385">
        <f t="shared" si="13"/>
        <v>0</v>
      </c>
      <c r="BE38" s="385">
        <f t="shared" si="14"/>
        <v>0</v>
      </c>
      <c r="BF38" s="385">
        <f t="shared" si="15"/>
        <v>0</v>
      </c>
      <c r="BG38" s="385">
        <f t="shared" si="16"/>
        <v>0</v>
      </c>
    </row>
    <row r="39" spans="1:59">
      <c r="A39" s="95" t="s">
        <v>144</v>
      </c>
      <c r="B39" s="96">
        <v>0</v>
      </c>
      <c r="C39" s="113">
        <v>0</v>
      </c>
      <c r="D39" s="83">
        <f>$C$39*$B$39*3</f>
        <v>0</v>
      </c>
      <c r="E39" s="83">
        <f t="shared" ref="E39:V39" si="48">$B$39*$C$39*3</f>
        <v>0</v>
      </c>
      <c r="F39" s="83">
        <f t="shared" si="48"/>
        <v>0</v>
      </c>
      <c r="G39" s="83">
        <f t="shared" si="48"/>
        <v>0</v>
      </c>
      <c r="H39" s="83">
        <f t="shared" si="48"/>
        <v>0</v>
      </c>
      <c r="I39" s="83">
        <f t="shared" si="48"/>
        <v>0</v>
      </c>
      <c r="J39" s="83">
        <f t="shared" si="48"/>
        <v>0</v>
      </c>
      <c r="K39" s="83">
        <f t="shared" si="48"/>
        <v>0</v>
      </c>
      <c r="L39" s="83">
        <f t="shared" si="48"/>
        <v>0</v>
      </c>
      <c r="M39" s="83">
        <f t="shared" si="48"/>
        <v>0</v>
      </c>
      <c r="N39" s="83">
        <f t="shared" si="48"/>
        <v>0</v>
      </c>
      <c r="O39" s="83">
        <f t="shared" si="48"/>
        <v>0</v>
      </c>
      <c r="P39" s="83">
        <f t="shared" si="48"/>
        <v>0</v>
      </c>
      <c r="Q39" s="83">
        <f t="shared" si="48"/>
        <v>0</v>
      </c>
      <c r="R39" s="83">
        <f t="shared" si="48"/>
        <v>0</v>
      </c>
      <c r="S39" s="83">
        <f t="shared" si="48"/>
        <v>0</v>
      </c>
      <c r="T39" s="83">
        <f t="shared" si="48"/>
        <v>0</v>
      </c>
      <c r="U39" s="83">
        <f t="shared" si="48"/>
        <v>0</v>
      </c>
      <c r="V39" s="83">
        <f t="shared" si="48"/>
        <v>0</v>
      </c>
      <c r="W39" s="83">
        <f t="shared" si="46"/>
        <v>0</v>
      </c>
      <c r="X39" s="83">
        <f t="shared" si="46"/>
        <v>0</v>
      </c>
      <c r="Y39" s="83">
        <f t="shared" si="46"/>
        <v>0</v>
      </c>
      <c r="Z39" s="83">
        <f t="shared" si="46"/>
        <v>0</v>
      </c>
      <c r="AA39" s="83">
        <f t="shared" si="46"/>
        <v>0</v>
      </c>
      <c r="AB39" s="83">
        <f t="shared" si="46"/>
        <v>0</v>
      </c>
      <c r="AC39" s="83">
        <f t="shared" si="46"/>
        <v>0</v>
      </c>
      <c r="AD39" s="83">
        <f t="shared" si="46"/>
        <v>0</v>
      </c>
      <c r="AE39" s="83">
        <f t="shared" si="46"/>
        <v>0</v>
      </c>
      <c r="AF39" s="83">
        <f t="shared" si="46"/>
        <v>0</v>
      </c>
      <c r="AG39" s="83">
        <f t="shared" si="46"/>
        <v>0</v>
      </c>
      <c r="AH39" s="83">
        <f t="shared" si="46"/>
        <v>0</v>
      </c>
      <c r="AI39" s="83">
        <f t="shared" si="46"/>
        <v>0</v>
      </c>
      <c r="AJ39" s="83">
        <v>0</v>
      </c>
      <c r="AK39" s="83">
        <v>0</v>
      </c>
      <c r="AL39" s="83">
        <v>0</v>
      </c>
      <c r="AM39" s="83">
        <v>0</v>
      </c>
      <c r="AN39" s="83">
        <v>0</v>
      </c>
      <c r="AO39" s="83">
        <v>0</v>
      </c>
      <c r="AP39" s="83">
        <v>0</v>
      </c>
      <c r="AQ39" s="83">
        <v>0</v>
      </c>
      <c r="AR39" s="383">
        <f>AQ39*(1+допущения!$C$36)</f>
        <v>0</v>
      </c>
      <c r="AS39" s="383">
        <f t="shared" si="5"/>
        <v>0</v>
      </c>
      <c r="AT39" s="383">
        <f t="shared" si="5"/>
        <v>0</v>
      </c>
      <c r="AU39" s="383">
        <f t="shared" si="5"/>
        <v>0</v>
      </c>
      <c r="AV39" s="83"/>
      <c r="AW39" s="109">
        <f t="shared" si="6"/>
        <v>0</v>
      </c>
      <c r="AX39" s="385">
        <f t="shared" si="7"/>
        <v>0</v>
      </c>
      <c r="AY39" s="385">
        <f t="shared" si="8"/>
        <v>0</v>
      </c>
      <c r="AZ39" s="385">
        <f t="shared" si="9"/>
        <v>0</v>
      </c>
      <c r="BA39" s="385">
        <f t="shared" si="10"/>
        <v>0</v>
      </c>
      <c r="BB39" s="385">
        <f t="shared" si="11"/>
        <v>0</v>
      </c>
      <c r="BC39" s="385">
        <f t="shared" si="12"/>
        <v>0</v>
      </c>
      <c r="BD39" s="385">
        <f t="shared" si="13"/>
        <v>0</v>
      </c>
      <c r="BE39" s="385">
        <f t="shared" si="14"/>
        <v>0</v>
      </c>
      <c r="BF39" s="385">
        <f t="shared" si="15"/>
        <v>0</v>
      </c>
      <c r="BG39" s="385">
        <f t="shared" si="16"/>
        <v>0</v>
      </c>
    </row>
    <row r="40" spans="1:59">
      <c r="A40" s="95" t="s">
        <v>145</v>
      </c>
      <c r="B40" s="96">
        <v>0</v>
      </c>
      <c r="C40" s="113">
        <v>0</v>
      </c>
      <c r="D40" s="83">
        <f>$C$40*$B$40*3</f>
        <v>0</v>
      </c>
      <c r="E40" s="83">
        <f t="shared" ref="E40:V40" si="49">$B$40*$C$40*3</f>
        <v>0</v>
      </c>
      <c r="F40" s="83">
        <f t="shared" si="49"/>
        <v>0</v>
      </c>
      <c r="G40" s="83">
        <f t="shared" si="49"/>
        <v>0</v>
      </c>
      <c r="H40" s="83">
        <f t="shared" si="49"/>
        <v>0</v>
      </c>
      <c r="I40" s="83">
        <f t="shared" si="49"/>
        <v>0</v>
      </c>
      <c r="J40" s="83">
        <f t="shared" si="49"/>
        <v>0</v>
      </c>
      <c r="K40" s="83">
        <f t="shared" si="49"/>
        <v>0</v>
      </c>
      <c r="L40" s="83">
        <f t="shared" si="49"/>
        <v>0</v>
      </c>
      <c r="M40" s="83">
        <f t="shared" si="49"/>
        <v>0</v>
      </c>
      <c r="N40" s="83">
        <f t="shared" si="49"/>
        <v>0</v>
      </c>
      <c r="O40" s="83">
        <f t="shared" si="49"/>
        <v>0</v>
      </c>
      <c r="P40" s="83">
        <f t="shared" si="49"/>
        <v>0</v>
      </c>
      <c r="Q40" s="83">
        <f t="shared" si="49"/>
        <v>0</v>
      </c>
      <c r="R40" s="83">
        <f t="shared" si="49"/>
        <v>0</v>
      </c>
      <c r="S40" s="83">
        <f t="shared" si="49"/>
        <v>0</v>
      </c>
      <c r="T40" s="83">
        <f t="shared" si="49"/>
        <v>0</v>
      </c>
      <c r="U40" s="83">
        <f t="shared" si="49"/>
        <v>0</v>
      </c>
      <c r="V40" s="83">
        <f t="shared" si="49"/>
        <v>0</v>
      </c>
      <c r="W40" s="83">
        <f t="shared" si="46"/>
        <v>0</v>
      </c>
      <c r="X40" s="83">
        <f t="shared" si="46"/>
        <v>0</v>
      </c>
      <c r="Y40" s="83">
        <f t="shared" si="46"/>
        <v>0</v>
      </c>
      <c r="Z40" s="83">
        <f t="shared" si="46"/>
        <v>0</v>
      </c>
      <c r="AA40" s="83">
        <f t="shared" si="46"/>
        <v>0</v>
      </c>
      <c r="AB40" s="83">
        <f t="shared" si="46"/>
        <v>0</v>
      </c>
      <c r="AC40" s="83">
        <f t="shared" si="46"/>
        <v>0</v>
      </c>
      <c r="AD40" s="83">
        <f t="shared" si="46"/>
        <v>0</v>
      </c>
      <c r="AE40" s="83">
        <f t="shared" si="46"/>
        <v>0</v>
      </c>
      <c r="AF40" s="83">
        <f t="shared" si="46"/>
        <v>0</v>
      </c>
      <c r="AG40" s="83">
        <f t="shared" si="46"/>
        <v>0</v>
      </c>
      <c r="AH40" s="83">
        <f t="shared" si="46"/>
        <v>0</v>
      </c>
      <c r="AI40" s="83">
        <f t="shared" si="46"/>
        <v>0</v>
      </c>
      <c r="AJ40" s="83">
        <v>0</v>
      </c>
      <c r="AK40" s="83">
        <v>0</v>
      </c>
      <c r="AL40" s="83">
        <v>0</v>
      </c>
      <c r="AM40" s="83">
        <v>0</v>
      </c>
      <c r="AN40" s="83">
        <v>0</v>
      </c>
      <c r="AO40" s="83">
        <v>0</v>
      </c>
      <c r="AP40" s="83">
        <v>0</v>
      </c>
      <c r="AQ40" s="83">
        <v>0</v>
      </c>
      <c r="AR40" s="383">
        <f>AQ40*(1+допущения!$C$36)</f>
        <v>0</v>
      </c>
      <c r="AS40" s="383">
        <f t="shared" si="5"/>
        <v>0</v>
      </c>
      <c r="AT40" s="383">
        <f t="shared" si="5"/>
        <v>0</v>
      </c>
      <c r="AU40" s="383">
        <f t="shared" si="5"/>
        <v>0</v>
      </c>
      <c r="AV40" s="83"/>
      <c r="AW40" s="109">
        <f t="shared" si="6"/>
        <v>0</v>
      </c>
      <c r="AX40" s="385">
        <f t="shared" si="7"/>
        <v>0</v>
      </c>
      <c r="AY40" s="385">
        <f t="shared" si="8"/>
        <v>0</v>
      </c>
      <c r="AZ40" s="385">
        <f t="shared" si="9"/>
        <v>0</v>
      </c>
      <c r="BA40" s="385">
        <f t="shared" si="10"/>
        <v>0</v>
      </c>
      <c r="BB40" s="385">
        <f t="shared" si="11"/>
        <v>0</v>
      </c>
      <c r="BC40" s="385">
        <f t="shared" si="12"/>
        <v>0</v>
      </c>
      <c r="BD40" s="385">
        <f t="shared" si="13"/>
        <v>0</v>
      </c>
      <c r="BE40" s="385">
        <f t="shared" si="14"/>
        <v>0</v>
      </c>
      <c r="BF40" s="385">
        <f t="shared" si="15"/>
        <v>0</v>
      </c>
      <c r="BG40" s="385">
        <f t="shared" si="16"/>
        <v>0</v>
      </c>
    </row>
    <row r="41" spans="1:59">
      <c r="A41" s="95" t="s">
        <v>146</v>
      </c>
      <c r="B41" s="96">
        <v>0</v>
      </c>
      <c r="C41" s="113">
        <v>0</v>
      </c>
      <c r="D41" s="83">
        <f>$C$41*$B$41*3</f>
        <v>0</v>
      </c>
      <c r="E41" s="83">
        <f t="shared" ref="E41:V41" si="50">$B$41*$C$41*3</f>
        <v>0</v>
      </c>
      <c r="F41" s="83">
        <f t="shared" si="50"/>
        <v>0</v>
      </c>
      <c r="G41" s="83">
        <f t="shared" si="50"/>
        <v>0</v>
      </c>
      <c r="H41" s="83">
        <f t="shared" si="50"/>
        <v>0</v>
      </c>
      <c r="I41" s="83">
        <f t="shared" si="50"/>
        <v>0</v>
      </c>
      <c r="J41" s="83">
        <f t="shared" si="50"/>
        <v>0</v>
      </c>
      <c r="K41" s="83">
        <f t="shared" si="50"/>
        <v>0</v>
      </c>
      <c r="L41" s="83">
        <f t="shared" si="50"/>
        <v>0</v>
      </c>
      <c r="M41" s="83">
        <f t="shared" si="50"/>
        <v>0</v>
      </c>
      <c r="N41" s="83">
        <f t="shared" si="50"/>
        <v>0</v>
      </c>
      <c r="O41" s="83">
        <f t="shared" si="50"/>
        <v>0</v>
      </c>
      <c r="P41" s="83">
        <f t="shared" si="50"/>
        <v>0</v>
      </c>
      <c r="Q41" s="83">
        <f t="shared" si="50"/>
        <v>0</v>
      </c>
      <c r="R41" s="83">
        <f t="shared" si="50"/>
        <v>0</v>
      </c>
      <c r="S41" s="83">
        <f t="shared" si="50"/>
        <v>0</v>
      </c>
      <c r="T41" s="83">
        <f t="shared" si="50"/>
        <v>0</v>
      </c>
      <c r="U41" s="83">
        <f t="shared" si="50"/>
        <v>0</v>
      </c>
      <c r="V41" s="83">
        <f t="shared" si="50"/>
        <v>0</v>
      </c>
      <c r="W41" s="83">
        <f t="shared" si="46"/>
        <v>0</v>
      </c>
      <c r="X41" s="83">
        <f t="shared" si="46"/>
        <v>0</v>
      </c>
      <c r="Y41" s="83">
        <f t="shared" si="46"/>
        <v>0</v>
      </c>
      <c r="Z41" s="83">
        <f t="shared" si="46"/>
        <v>0</v>
      </c>
      <c r="AA41" s="83">
        <f t="shared" si="46"/>
        <v>0</v>
      </c>
      <c r="AB41" s="83">
        <f t="shared" si="46"/>
        <v>0</v>
      </c>
      <c r="AC41" s="83">
        <f t="shared" si="46"/>
        <v>0</v>
      </c>
      <c r="AD41" s="83">
        <f t="shared" si="46"/>
        <v>0</v>
      </c>
      <c r="AE41" s="83">
        <f t="shared" si="46"/>
        <v>0</v>
      </c>
      <c r="AF41" s="83">
        <f t="shared" si="46"/>
        <v>0</v>
      </c>
      <c r="AG41" s="83">
        <f t="shared" si="46"/>
        <v>0</v>
      </c>
      <c r="AH41" s="83">
        <f t="shared" si="46"/>
        <v>0</v>
      </c>
      <c r="AI41" s="83">
        <f t="shared" si="46"/>
        <v>0</v>
      </c>
      <c r="AJ41" s="83">
        <v>0</v>
      </c>
      <c r="AK41" s="83">
        <v>0</v>
      </c>
      <c r="AL41" s="83">
        <v>0</v>
      </c>
      <c r="AM41" s="83">
        <v>0</v>
      </c>
      <c r="AN41" s="83">
        <v>0</v>
      </c>
      <c r="AO41" s="83">
        <v>0</v>
      </c>
      <c r="AP41" s="83">
        <v>0</v>
      </c>
      <c r="AQ41" s="83">
        <v>0</v>
      </c>
      <c r="AR41" s="383">
        <f>AQ41*(1+допущения!$C$36)</f>
        <v>0</v>
      </c>
      <c r="AS41" s="383">
        <f t="shared" si="5"/>
        <v>0</v>
      </c>
      <c r="AT41" s="383">
        <f t="shared" si="5"/>
        <v>0</v>
      </c>
      <c r="AU41" s="383">
        <f t="shared" si="5"/>
        <v>0</v>
      </c>
      <c r="AV41" s="83"/>
      <c r="AW41" s="109">
        <f t="shared" si="6"/>
        <v>0</v>
      </c>
      <c r="AX41" s="385">
        <f t="shared" si="7"/>
        <v>0</v>
      </c>
      <c r="AY41" s="385">
        <f t="shared" si="8"/>
        <v>0</v>
      </c>
      <c r="AZ41" s="385">
        <f t="shared" si="9"/>
        <v>0</v>
      </c>
      <c r="BA41" s="385">
        <f t="shared" si="10"/>
        <v>0</v>
      </c>
      <c r="BB41" s="385">
        <f t="shared" si="11"/>
        <v>0</v>
      </c>
      <c r="BC41" s="385">
        <f t="shared" si="12"/>
        <v>0</v>
      </c>
      <c r="BD41" s="385">
        <f t="shared" si="13"/>
        <v>0</v>
      </c>
      <c r="BE41" s="385">
        <f t="shared" si="14"/>
        <v>0</v>
      </c>
      <c r="BF41" s="385">
        <f t="shared" si="15"/>
        <v>0</v>
      </c>
      <c r="BG41" s="385">
        <f t="shared" si="16"/>
        <v>0</v>
      </c>
    </row>
    <row r="42" spans="1:59">
      <c r="A42" s="95" t="s">
        <v>147</v>
      </c>
      <c r="B42" s="96">
        <v>0</v>
      </c>
      <c r="C42" s="113">
        <v>0</v>
      </c>
      <c r="D42" s="83">
        <f>$C$42*$B$42*3</f>
        <v>0</v>
      </c>
      <c r="E42" s="83">
        <f t="shared" ref="E42:V42" si="51">$B$42*$C$42*3</f>
        <v>0</v>
      </c>
      <c r="F42" s="83">
        <f t="shared" si="51"/>
        <v>0</v>
      </c>
      <c r="G42" s="83">
        <f t="shared" si="51"/>
        <v>0</v>
      </c>
      <c r="H42" s="83">
        <f t="shared" si="51"/>
        <v>0</v>
      </c>
      <c r="I42" s="83">
        <f t="shared" si="51"/>
        <v>0</v>
      </c>
      <c r="J42" s="83">
        <f t="shared" si="51"/>
        <v>0</v>
      </c>
      <c r="K42" s="83">
        <f t="shared" si="51"/>
        <v>0</v>
      </c>
      <c r="L42" s="83">
        <f t="shared" si="51"/>
        <v>0</v>
      </c>
      <c r="M42" s="83">
        <f t="shared" si="51"/>
        <v>0</v>
      </c>
      <c r="N42" s="83">
        <f t="shared" si="51"/>
        <v>0</v>
      </c>
      <c r="O42" s="83">
        <f t="shared" si="51"/>
        <v>0</v>
      </c>
      <c r="P42" s="83">
        <f t="shared" si="51"/>
        <v>0</v>
      </c>
      <c r="Q42" s="83">
        <f t="shared" si="51"/>
        <v>0</v>
      </c>
      <c r="R42" s="83">
        <f t="shared" si="51"/>
        <v>0</v>
      </c>
      <c r="S42" s="83">
        <f t="shared" si="51"/>
        <v>0</v>
      </c>
      <c r="T42" s="83">
        <f t="shared" si="51"/>
        <v>0</v>
      </c>
      <c r="U42" s="83">
        <f t="shared" si="51"/>
        <v>0</v>
      </c>
      <c r="V42" s="83">
        <f t="shared" si="51"/>
        <v>0</v>
      </c>
      <c r="W42" s="83">
        <f t="shared" si="46"/>
        <v>0</v>
      </c>
      <c r="X42" s="83">
        <f t="shared" si="46"/>
        <v>0</v>
      </c>
      <c r="Y42" s="83">
        <f t="shared" si="46"/>
        <v>0</v>
      </c>
      <c r="Z42" s="83">
        <f t="shared" si="46"/>
        <v>0</v>
      </c>
      <c r="AA42" s="83">
        <f t="shared" si="46"/>
        <v>0</v>
      </c>
      <c r="AB42" s="83">
        <f t="shared" si="46"/>
        <v>0</v>
      </c>
      <c r="AC42" s="83">
        <f t="shared" si="46"/>
        <v>0</v>
      </c>
      <c r="AD42" s="83">
        <f t="shared" si="46"/>
        <v>0</v>
      </c>
      <c r="AE42" s="83">
        <f t="shared" si="46"/>
        <v>0</v>
      </c>
      <c r="AF42" s="83">
        <f t="shared" si="46"/>
        <v>0</v>
      </c>
      <c r="AG42" s="83">
        <f t="shared" si="46"/>
        <v>0</v>
      </c>
      <c r="AH42" s="83">
        <f t="shared" si="46"/>
        <v>0</v>
      </c>
      <c r="AI42" s="83">
        <f t="shared" si="46"/>
        <v>0</v>
      </c>
      <c r="AJ42" s="83">
        <v>0</v>
      </c>
      <c r="AK42" s="83">
        <v>0</v>
      </c>
      <c r="AL42" s="83">
        <v>0</v>
      </c>
      <c r="AM42" s="83">
        <v>0</v>
      </c>
      <c r="AN42" s="83">
        <v>0</v>
      </c>
      <c r="AO42" s="83">
        <v>0</v>
      </c>
      <c r="AP42" s="83">
        <v>0</v>
      </c>
      <c r="AQ42" s="83">
        <v>0</v>
      </c>
      <c r="AR42" s="383">
        <f>AQ42*(1+допущения!$C$36)</f>
        <v>0</v>
      </c>
      <c r="AS42" s="383">
        <f t="shared" si="5"/>
        <v>0</v>
      </c>
      <c r="AT42" s="383">
        <f t="shared" si="5"/>
        <v>0</v>
      </c>
      <c r="AU42" s="383">
        <f t="shared" si="5"/>
        <v>0</v>
      </c>
      <c r="AV42" s="83"/>
      <c r="AW42" s="109">
        <f t="shared" si="6"/>
        <v>0</v>
      </c>
      <c r="AX42" s="385">
        <f t="shared" si="7"/>
        <v>0</v>
      </c>
      <c r="AY42" s="385">
        <f t="shared" si="8"/>
        <v>0</v>
      </c>
      <c r="AZ42" s="385">
        <f t="shared" si="9"/>
        <v>0</v>
      </c>
      <c r="BA42" s="385">
        <f t="shared" si="10"/>
        <v>0</v>
      </c>
      <c r="BB42" s="385">
        <f t="shared" si="11"/>
        <v>0</v>
      </c>
      <c r="BC42" s="385">
        <f t="shared" si="12"/>
        <v>0</v>
      </c>
      <c r="BD42" s="385">
        <f t="shared" si="13"/>
        <v>0</v>
      </c>
      <c r="BE42" s="385">
        <f t="shared" si="14"/>
        <v>0</v>
      </c>
      <c r="BF42" s="385">
        <f t="shared" si="15"/>
        <v>0</v>
      </c>
      <c r="BG42" s="385">
        <f t="shared" si="16"/>
        <v>0</v>
      </c>
    </row>
    <row r="43" spans="1:59">
      <c r="A43" s="95" t="s">
        <v>148</v>
      </c>
      <c r="B43" s="96">
        <v>0</v>
      </c>
      <c r="C43" s="113">
        <v>0</v>
      </c>
      <c r="D43" s="83">
        <f>$C$43*$B$43*3</f>
        <v>0</v>
      </c>
      <c r="E43" s="83">
        <f t="shared" ref="E43:V43" si="52">$B$43*$C$43*3</f>
        <v>0</v>
      </c>
      <c r="F43" s="83">
        <f t="shared" si="52"/>
        <v>0</v>
      </c>
      <c r="G43" s="83">
        <f t="shared" si="52"/>
        <v>0</v>
      </c>
      <c r="H43" s="83">
        <f t="shared" si="52"/>
        <v>0</v>
      </c>
      <c r="I43" s="83">
        <f t="shared" si="52"/>
        <v>0</v>
      </c>
      <c r="J43" s="83">
        <f t="shared" si="52"/>
        <v>0</v>
      </c>
      <c r="K43" s="83">
        <f t="shared" si="52"/>
        <v>0</v>
      </c>
      <c r="L43" s="83">
        <f t="shared" si="52"/>
        <v>0</v>
      </c>
      <c r="M43" s="83">
        <f t="shared" si="52"/>
        <v>0</v>
      </c>
      <c r="N43" s="83">
        <f t="shared" si="52"/>
        <v>0</v>
      </c>
      <c r="O43" s="83">
        <f t="shared" si="52"/>
        <v>0</v>
      </c>
      <c r="P43" s="83">
        <f t="shared" si="52"/>
        <v>0</v>
      </c>
      <c r="Q43" s="83">
        <f t="shared" si="52"/>
        <v>0</v>
      </c>
      <c r="R43" s="83">
        <f t="shared" si="52"/>
        <v>0</v>
      </c>
      <c r="S43" s="83">
        <f t="shared" si="52"/>
        <v>0</v>
      </c>
      <c r="T43" s="83">
        <f t="shared" si="52"/>
        <v>0</v>
      </c>
      <c r="U43" s="83">
        <f t="shared" si="52"/>
        <v>0</v>
      </c>
      <c r="V43" s="83">
        <f t="shared" si="52"/>
        <v>0</v>
      </c>
      <c r="W43" s="83">
        <f t="shared" si="46"/>
        <v>0</v>
      </c>
      <c r="X43" s="83">
        <f t="shared" si="46"/>
        <v>0</v>
      </c>
      <c r="Y43" s="83">
        <f t="shared" si="46"/>
        <v>0</v>
      </c>
      <c r="Z43" s="83">
        <f t="shared" si="46"/>
        <v>0</v>
      </c>
      <c r="AA43" s="83">
        <f t="shared" si="46"/>
        <v>0</v>
      </c>
      <c r="AB43" s="83">
        <f t="shared" si="46"/>
        <v>0</v>
      </c>
      <c r="AC43" s="83">
        <f t="shared" si="46"/>
        <v>0</v>
      </c>
      <c r="AD43" s="83">
        <f t="shared" si="46"/>
        <v>0</v>
      </c>
      <c r="AE43" s="83">
        <f t="shared" si="46"/>
        <v>0</v>
      </c>
      <c r="AF43" s="83">
        <f t="shared" si="46"/>
        <v>0</v>
      </c>
      <c r="AG43" s="83">
        <f t="shared" si="46"/>
        <v>0</v>
      </c>
      <c r="AH43" s="83">
        <f t="shared" si="46"/>
        <v>0</v>
      </c>
      <c r="AI43" s="83">
        <f t="shared" si="46"/>
        <v>0</v>
      </c>
      <c r="AJ43" s="83">
        <v>0</v>
      </c>
      <c r="AK43" s="83">
        <v>0</v>
      </c>
      <c r="AL43" s="83">
        <v>0</v>
      </c>
      <c r="AM43" s="83">
        <v>0</v>
      </c>
      <c r="AN43" s="83">
        <v>0</v>
      </c>
      <c r="AO43" s="83">
        <v>0</v>
      </c>
      <c r="AP43" s="83">
        <v>0</v>
      </c>
      <c r="AQ43" s="83">
        <v>0</v>
      </c>
      <c r="AR43" s="383">
        <f>AQ43*(1+допущения!$C$36)</f>
        <v>0</v>
      </c>
      <c r="AS43" s="383">
        <f t="shared" si="5"/>
        <v>0</v>
      </c>
      <c r="AT43" s="383">
        <f t="shared" si="5"/>
        <v>0</v>
      </c>
      <c r="AU43" s="383">
        <f t="shared" si="5"/>
        <v>0</v>
      </c>
      <c r="AV43" s="83"/>
      <c r="AW43" s="109">
        <f t="shared" si="6"/>
        <v>0</v>
      </c>
      <c r="AX43" s="385">
        <f t="shared" si="7"/>
        <v>0</v>
      </c>
      <c r="AY43" s="385">
        <f t="shared" si="8"/>
        <v>0</v>
      </c>
      <c r="AZ43" s="385">
        <f t="shared" si="9"/>
        <v>0</v>
      </c>
      <c r="BA43" s="385">
        <f t="shared" si="10"/>
        <v>0</v>
      </c>
      <c r="BB43" s="385">
        <f t="shared" si="11"/>
        <v>0</v>
      </c>
      <c r="BC43" s="385">
        <f t="shared" si="12"/>
        <v>0</v>
      </c>
      <c r="BD43" s="385">
        <f t="shared" si="13"/>
        <v>0</v>
      </c>
      <c r="BE43" s="385">
        <f t="shared" si="14"/>
        <v>0</v>
      </c>
      <c r="BF43" s="385">
        <f t="shared" si="15"/>
        <v>0</v>
      </c>
      <c r="BG43" s="385">
        <f t="shared" si="16"/>
        <v>0</v>
      </c>
    </row>
    <row r="44" spans="1:59">
      <c r="A44" s="95" t="s">
        <v>149</v>
      </c>
      <c r="B44" s="96">
        <v>0</v>
      </c>
      <c r="C44" s="113">
        <v>0</v>
      </c>
      <c r="D44" s="83">
        <f>$C$44*$B$44*3</f>
        <v>0</v>
      </c>
      <c r="E44" s="83">
        <f t="shared" ref="E44:V44" si="53">$B$44*$C$44*3</f>
        <v>0</v>
      </c>
      <c r="F44" s="83">
        <f t="shared" si="53"/>
        <v>0</v>
      </c>
      <c r="G44" s="83">
        <f t="shared" si="53"/>
        <v>0</v>
      </c>
      <c r="H44" s="83">
        <f t="shared" si="53"/>
        <v>0</v>
      </c>
      <c r="I44" s="83">
        <f t="shared" si="53"/>
        <v>0</v>
      </c>
      <c r="J44" s="83">
        <f t="shared" si="53"/>
        <v>0</v>
      </c>
      <c r="K44" s="83">
        <f t="shared" si="53"/>
        <v>0</v>
      </c>
      <c r="L44" s="83">
        <f t="shared" si="53"/>
        <v>0</v>
      </c>
      <c r="M44" s="83">
        <f t="shared" si="53"/>
        <v>0</v>
      </c>
      <c r="N44" s="83">
        <f t="shared" si="53"/>
        <v>0</v>
      </c>
      <c r="O44" s="83">
        <f t="shared" si="53"/>
        <v>0</v>
      </c>
      <c r="P44" s="83">
        <f t="shared" si="53"/>
        <v>0</v>
      </c>
      <c r="Q44" s="83">
        <f t="shared" si="53"/>
        <v>0</v>
      </c>
      <c r="R44" s="83">
        <f t="shared" si="53"/>
        <v>0</v>
      </c>
      <c r="S44" s="83">
        <f t="shared" si="53"/>
        <v>0</v>
      </c>
      <c r="T44" s="83">
        <f t="shared" si="53"/>
        <v>0</v>
      </c>
      <c r="U44" s="83">
        <f t="shared" si="53"/>
        <v>0</v>
      </c>
      <c r="V44" s="83">
        <f t="shared" si="53"/>
        <v>0</v>
      </c>
      <c r="W44" s="83">
        <f t="shared" si="46"/>
        <v>0</v>
      </c>
      <c r="X44" s="83">
        <f t="shared" si="46"/>
        <v>0</v>
      </c>
      <c r="Y44" s="83">
        <f t="shared" si="46"/>
        <v>0</v>
      </c>
      <c r="Z44" s="83">
        <f t="shared" si="46"/>
        <v>0</v>
      </c>
      <c r="AA44" s="83">
        <f t="shared" si="46"/>
        <v>0</v>
      </c>
      <c r="AB44" s="83">
        <f t="shared" si="46"/>
        <v>0</v>
      </c>
      <c r="AC44" s="83">
        <f t="shared" si="46"/>
        <v>0</v>
      </c>
      <c r="AD44" s="83">
        <f t="shared" si="46"/>
        <v>0</v>
      </c>
      <c r="AE44" s="83">
        <f t="shared" si="46"/>
        <v>0</v>
      </c>
      <c r="AF44" s="83">
        <f t="shared" si="46"/>
        <v>0</v>
      </c>
      <c r="AG44" s="83">
        <f t="shared" si="46"/>
        <v>0</v>
      </c>
      <c r="AH44" s="83">
        <f t="shared" si="46"/>
        <v>0</v>
      </c>
      <c r="AI44" s="83">
        <f t="shared" si="46"/>
        <v>0</v>
      </c>
      <c r="AJ44" s="83">
        <v>0</v>
      </c>
      <c r="AK44" s="83">
        <v>0</v>
      </c>
      <c r="AL44" s="83">
        <v>0</v>
      </c>
      <c r="AM44" s="83">
        <v>0</v>
      </c>
      <c r="AN44" s="83">
        <v>0</v>
      </c>
      <c r="AO44" s="83">
        <v>0</v>
      </c>
      <c r="AP44" s="83">
        <v>0</v>
      </c>
      <c r="AQ44" s="83">
        <v>0</v>
      </c>
      <c r="AR44" s="383">
        <f>AQ44*(1+допущения!$C$36)</f>
        <v>0</v>
      </c>
      <c r="AS44" s="383">
        <f t="shared" si="5"/>
        <v>0</v>
      </c>
      <c r="AT44" s="383">
        <f t="shared" si="5"/>
        <v>0</v>
      </c>
      <c r="AU44" s="383">
        <f t="shared" si="5"/>
        <v>0</v>
      </c>
      <c r="AV44" s="83"/>
      <c r="AW44" s="109">
        <f t="shared" si="6"/>
        <v>0</v>
      </c>
      <c r="AX44" s="385">
        <f t="shared" si="7"/>
        <v>0</v>
      </c>
      <c r="AY44" s="385">
        <f t="shared" si="8"/>
        <v>0</v>
      </c>
      <c r="AZ44" s="385">
        <f t="shared" si="9"/>
        <v>0</v>
      </c>
      <c r="BA44" s="385">
        <f t="shared" si="10"/>
        <v>0</v>
      </c>
      <c r="BB44" s="385">
        <f t="shared" si="11"/>
        <v>0</v>
      </c>
      <c r="BC44" s="385">
        <f t="shared" si="12"/>
        <v>0</v>
      </c>
      <c r="BD44" s="385">
        <f t="shared" si="13"/>
        <v>0</v>
      </c>
      <c r="BE44" s="385">
        <f t="shared" si="14"/>
        <v>0</v>
      </c>
      <c r="BF44" s="385">
        <f t="shared" si="15"/>
        <v>0</v>
      </c>
      <c r="BG44" s="385">
        <f t="shared" si="16"/>
        <v>0</v>
      </c>
    </row>
    <row r="45" spans="1:59">
      <c r="A45" s="95" t="s">
        <v>150</v>
      </c>
      <c r="B45" s="96">
        <v>0</v>
      </c>
      <c r="C45" s="113">
        <v>0</v>
      </c>
      <c r="D45" s="83">
        <f>$C$45*$B$45*3</f>
        <v>0</v>
      </c>
      <c r="E45" s="83">
        <f>$B$45*$C$45*3</f>
        <v>0</v>
      </c>
      <c r="F45" s="83">
        <f t="shared" ref="F45:V45" si="54">$B$45*$C$45*3</f>
        <v>0</v>
      </c>
      <c r="G45" s="83">
        <f t="shared" si="54"/>
        <v>0</v>
      </c>
      <c r="H45" s="83">
        <f t="shared" si="54"/>
        <v>0</v>
      </c>
      <c r="I45" s="83">
        <f t="shared" si="54"/>
        <v>0</v>
      </c>
      <c r="J45" s="83">
        <f t="shared" si="54"/>
        <v>0</v>
      </c>
      <c r="K45" s="83">
        <f t="shared" si="54"/>
        <v>0</v>
      </c>
      <c r="L45" s="83">
        <f t="shared" si="54"/>
        <v>0</v>
      </c>
      <c r="M45" s="83">
        <f t="shared" si="54"/>
        <v>0</v>
      </c>
      <c r="N45" s="83">
        <f t="shared" si="54"/>
        <v>0</v>
      </c>
      <c r="O45" s="83">
        <f t="shared" si="54"/>
        <v>0</v>
      </c>
      <c r="P45" s="83">
        <f t="shared" si="54"/>
        <v>0</v>
      </c>
      <c r="Q45" s="83">
        <f t="shared" si="54"/>
        <v>0</v>
      </c>
      <c r="R45" s="83">
        <f t="shared" si="54"/>
        <v>0</v>
      </c>
      <c r="S45" s="83">
        <f t="shared" si="54"/>
        <v>0</v>
      </c>
      <c r="T45" s="83">
        <f t="shared" si="54"/>
        <v>0</v>
      </c>
      <c r="U45" s="83">
        <f t="shared" si="54"/>
        <v>0</v>
      </c>
      <c r="V45" s="83">
        <f t="shared" si="54"/>
        <v>0</v>
      </c>
      <c r="W45" s="83">
        <f t="shared" si="46"/>
        <v>0</v>
      </c>
      <c r="X45" s="83">
        <f t="shared" si="46"/>
        <v>0</v>
      </c>
      <c r="Y45" s="83">
        <f t="shared" si="46"/>
        <v>0</v>
      </c>
      <c r="Z45" s="83">
        <f t="shared" si="46"/>
        <v>0</v>
      </c>
      <c r="AA45" s="83">
        <f t="shared" si="46"/>
        <v>0</v>
      </c>
      <c r="AB45" s="83">
        <f t="shared" si="46"/>
        <v>0</v>
      </c>
      <c r="AC45" s="83">
        <f t="shared" si="46"/>
        <v>0</v>
      </c>
      <c r="AD45" s="83">
        <f t="shared" si="46"/>
        <v>0</v>
      </c>
      <c r="AE45" s="83">
        <f t="shared" si="46"/>
        <v>0</v>
      </c>
      <c r="AF45" s="83">
        <f t="shared" si="46"/>
        <v>0</v>
      </c>
      <c r="AG45" s="83">
        <f t="shared" si="46"/>
        <v>0</v>
      </c>
      <c r="AH45" s="83">
        <f t="shared" si="46"/>
        <v>0</v>
      </c>
      <c r="AI45" s="83">
        <f t="shared" si="46"/>
        <v>0</v>
      </c>
      <c r="AJ45" s="83">
        <v>0</v>
      </c>
      <c r="AK45" s="83">
        <v>0</v>
      </c>
      <c r="AL45" s="83">
        <v>0</v>
      </c>
      <c r="AM45" s="83">
        <v>0</v>
      </c>
      <c r="AN45" s="83">
        <v>0</v>
      </c>
      <c r="AO45" s="83">
        <v>0</v>
      </c>
      <c r="AP45" s="83">
        <v>0</v>
      </c>
      <c r="AQ45" s="83">
        <v>0</v>
      </c>
      <c r="AR45" s="383">
        <f>AQ45*(1+допущения!$C$36)</f>
        <v>0</v>
      </c>
      <c r="AS45" s="383">
        <f t="shared" si="5"/>
        <v>0</v>
      </c>
      <c r="AT45" s="383">
        <f t="shared" si="5"/>
        <v>0</v>
      </c>
      <c r="AU45" s="383">
        <f t="shared" si="5"/>
        <v>0</v>
      </c>
      <c r="AV45" s="83"/>
      <c r="AW45" s="109">
        <f t="shared" si="6"/>
        <v>0</v>
      </c>
      <c r="AX45" s="385">
        <f t="shared" si="7"/>
        <v>0</v>
      </c>
      <c r="AY45" s="385">
        <f t="shared" si="8"/>
        <v>0</v>
      </c>
      <c r="AZ45" s="385">
        <f t="shared" si="9"/>
        <v>0</v>
      </c>
      <c r="BA45" s="385">
        <f t="shared" si="10"/>
        <v>0</v>
      </c>
      <c r="BB45" s="385">
        <f t="shared" si="11"/>
        <v>0</v>
      </c>
      <c r="BC45" s="385">
        <f t="shared" si="12"/>
        <v>0</v>
      </c>
      <c r="BD45" s="385">
        <f t="shared" si="13"/>
        <v>0</v>
      </c>
      <c r="BE45" s="385">
        <f t="shared" si="14"/>
        <v>0</v>
      </c>
      <c r="BF45" s="385">
        <f t="shared" si="15"/>
        <v>0</v>
      </c>
      <c r="BG45" s="385">
        <f t="shared" si="16"/>
        <v>0</v>
      </c>
    </row>
    <row r="46" spans="1:59" ht="28.8">
      <c r="A46" s="95" t="s">
        <v>151</v>
      </c>
      <c r="B46" s="96">
        <v>0</v>
      </c>
      <c r="C46" s="113">
        <v>0</v>
      </c>
      <c r="D46" s="83">
        <f>$C$46*$B$46*3</f>
        <v>0</v>
      </c>
      <c r="E46" s="83">
        <f t="shared" ref="E46:AQ46" si="55">$C$46*$B$46*3</f>
        <v>0</v>
      </c>
      <c r="F46" s="83">
        <f t="shared" si="55"/>
        <v>0</v>
      </c>
      <c r="G46" s="83">
        <f t="shared" si="55"/>
        <v>0</v>
      </c>
      <c r="H46" s="83">
        <f t="shared" si="55"/>
        <v>0</v>
      </c>
      <c r="I46" s="83">
        <f t="shared" si="55"/>
        <v>0</v>
      </c>
      <c r="J46" s="83">
        <f t="shared" si="55"/>
        <v>0</v>
      </c>
      <c r="K46" s="83">
        <f t="shared" si="55"/>
        <v>0</v>
      </c>
      <c r="L46" s="83">
        <f t="shared" si="55"/>
        <v>0</v>
      </c>
      <c r="M46" s="83">
        <f t="shared" si="55"/>
        <v>0</v>
      </c>
      <c r="N46" s="83">
        <f t="shared" si="55"/>
        <v>0</v>
      </c>
      <c r="O46" s="83">
        <f t="shared" si="55"/>
        <v>0</v>
      </c>
      <c r="P46" s="83">
        <f t="shared" si="55"/>
        <v>0</v>
      </c>
      <c r="Q46" s="83">
        <f t="shared" si="55"/>
        <v>0</v>
      </c>
      <c r="R46" s="83">
        <f t="shared" si="55"/>
        <v>0</v>
      </c>
      <c r="S46" s="83">
        <f t="shared" si="55"/>
        <v>0</v>
      </c>
      <c r="T46" s="83">
        <f t="shared" si="55"/>
        <v>0</v>
      </c>
      <c r="U46" s="83">
        <f t="shared" si="55"/>
        <v>0</v>
      </c>
      <c r="V46" s="83">
        <f t="shared" si="55"/>
        <v>0</v>
      </c>
      <c r="W46" s="83">
        <f t="shared" si="55"/>
        <v>0</v>
      </c>
      <c r="X46" s="83">
        <f t="shared" si="55"/>
        <v>0</v>
      </c>
      <c r="Y46" s="83">
        <f t="shared" si="55"/>
        <v>0</v>
      </c>
      <c r="Z46" s="83">
        <f t="shared" si="55"/>
        <v>0</v>
      </c>
      <c r="AA46" s="83">
        <f t="shared" si="55"/>
        <v>0</v>
      </c>
      <c r="AB46" s="83">
        <f t="shared" si="55"/>
        <v>0</v>
      </c>
      <c r="AC46" s="83">
        <f t="shared" si="55"/>
        <v>0</v>
      </c>
      <c r="AD46" s="83">
        <f t="shared" si="55"/>
        <v>0</v>
      </c>
      <c r="AE46" s="83">
        <f t="shared" si="55"/>
        <v>0</v>
      </c>
      <c r="AF46" s="83">
        <f t="shared" si="55"/>
        <v>0</v>
      </c>
      <c r="AG46" s="83">
        <f t="shared" si="55"/>
        <v>0</v>
      </c>
      <c r="AH46" s="83">
        <f t="shared" si="55"/>
        <v>0</v>
      </c>
      <c r="AI46" s="83">
        <f t="shared" si="55"/>
        <v>0</v>
      </c>
      <c r="AJ46" s="83">
        <f t="shared" si="55"/>
        <v>0</v>
      </c>
      <c r="AK46" s="83">
        <f t="shared" si="55"/>
        <v>0</v>
      </c>
      <c r="AL46" s="83">
        <f t="shared" si="55"/>
        <v>0</v>
      </c>
      <c r="AM46" s="83">
        <f t="shared" si="55"/>
        <v>0</v>
      </c>
      <c r="AN46" s="83">
        <f t="shared" si="55"/>
        <v>0</v>
      </c>
      <c r="AO46" s="83">
        <f t="shared" si="55"/>
        <v>0</v>
      </c>
      <c r="AP46" s="83">
        <f t="shared" si="55"/>
        <v>0</v>
      </c>
      <c r="AQ46" s="83">
        <f t="shared" si="55"/>
        <v>0</v>
      </c>
      <c r="AR46" s="383">
        <f>AQ46*(1+допущения!$C$36)</f>
        <v>0</v>
      </c>
      <c r="AS46" s="383">
        <f t="shared" si="5"/>
        <v>0</v>
      </c>
      <c r="AT46" s="383">
        <f t="shared" si="5"/>
        <v>0</v>
      </c>
      <c r="AU46" s="383">
        <f t="shared" si="5"/>
        <v>0</v>
      </c>
      <c r="AV46" s="83"/>
      <c r="AW46" s="109">
        <f t="shared" si="6"/>
        <v>0</v>
      </c>
      <c r="AX46" s="385">
        <f t="shared" si="7"/>
        <v>0</v>
      </c>
      <c r="AY46" s="385">
        <f t="shared" si="8"/>
        <v>0</v>
      </c>
      <c r="AZ46" s="385">
        <f t="shared" si="9"/>
        <v>0</v>
      </c>
      <c r="BA46" s="385">
        <f t="shared" si="10"/>
        <v>0</v>
      </c>
      <c r="BB46" s="385">
        <f t="shared" si="11"/>
        <v>0</v>
      </c>
      <c r="BC46" s="385">
        <f t="shared" si="12"/>
        <v>0</v>
      </c>
      <c r="BD46" s="385">
        <f t="shared" si="13"/>
        <v>0</v>
      </c>
      <c r="BE46" s="385">
        <f t="shared" si="14"/>
        <v>0</v>
      </c>
      <c r="BF46" s="385">
        <f t="shared" si="15"/>
        <v>0</v>
      </c>
      <c r="BG46" s="385">
        <f t="shared" si="16"/>
        <v>0</v>
      </c>
    </row>
    <row r="47" spans="1:59" s="98" customFormat="1" ht="28.8">
      <c r="A47" s="99" t="s">
        <v>120</v>
      </c>
      <c r="B47" s="100">
        <f>SUM(B37:B46)</f>
        <v>0</v>
      </c>
      <c r="C47" s="100">
        <f>SUM(C37:C46)</f>
        <v>0</v>
      </c>
      <c r="D47" s="100">
        <f>SUM(D37:D46)</f>
        <v>0</v>
      </c>
      <c r="E47" s="100">
        <f>SUM(E37:E46)</f>
        <v>0</v>
      </c>
      <c r="F47" s="100">
        <f t="shared" ref="F47:AQ47" si="56">SUM(F37:F46)</f>
        <v>0</v>
      </c>
      <c r="G47" s="100">
        <f t="shared" si="56"/>
        <v>0</v>
      </c>
      <c r="H47" s="100">
        <f t="shared" si="56"/>
        <v>0</v>
      </c>
      <c r="I47" s="100">
        <f t="shared" si="56"/>
        <v>0</v>
      </c>
      <c r="J47" s="100">
        <f t="shared" si="56"/>
        <v>0</v>
      </c>
      <c r="K47" s="100">
        <f t="shared" si="56"/>
        <v>0</v>
      </c>
      <c r="L47" s="100">
        <f t="shared" si="56"/>
        <v>0</v>
      </c>
      <c r="M47" s="100">
        <f t="shared" si="56"/>
        <v>0</v>
      </c>
      <c r="N47" s="100">
        <f t="shared" si="56"/>
        <v>0</v>
      </c>
      <c r="O47" s="100">
        <f t="shared" si="56"/>
        <v>0</v>
      </c>
      <c r="P47" s="100">
        <f t="shared" si="56"/>
        <v>0</v>
      </c>
      <c r="Q47" s="100">
        <f t="shared" si="56"/>
        <v>0</v>
      </c>
      <c r="R47" s="100">
        <f t="shared" si="56"/>
        <v>0</v>
      </c>
      <c r="S47" s="100">
        <f t="shared" si="56"/>
        <v>0</v>
      </c>
      <c r="T47" s="100">
        <f t="shared" si="56"/>
        <v>0</v>
      </c>
      <c r="U47" s="100">
        <f t="shared" si="56"/>
        <v>0</v>
      </c>
      <c r="V47" s="100">
        <f t="shared" si="56"/>
        <v>0</v>
      </c>
      <c r="W47" s="100">
        <f t="shared" si="56"/>
        <v>0</v>
      </c>
      <c r="X47" s="100">
        <f t="shared" si="56"/>
        <v>0</v>
      </c>
      <c r="Y47" s="100">
        <f t="shared" si="56"/>
        <v>0</v>
      </c>
      <c r="Z47" s="100">
        <f t="shared" si="56"/>
        <v>0</v>
      </c>
      <c r="AA47" s="100">
        <f t="shared" si="56"/>
        <v>0</v>
      </c>
      <c r="AB47" s="100">
        <f t="shared" si="56"/>
        <v>0</v>
      </c>
      <c r="AC47" s="100">
        <f t="shared" si="56"/>
        <v>0</v>
      </c>
      <c r="AD47" s="100">
        <f t="shared" si="56"/>
        <v>0</v>
      </c>
      <c r="AE47" s="100">
        <f t="shared" si="56"/>
        <v>0</v>
      </c>
      <c r="AF47" s="100">
        <f t="shared" si="56"/>
        <v>0</v>
      </c>
      <c r="AG47" s="100">
        <f t="shared" si="56"/>
        <v>0</v>
      </c>
      <c r="AH47" s="100">
        <f t="shared" si="56"/>
        <v>0</v>
      </c>
      <c r="AI47" s="100">
        <f t="shared" si="56"/>
        <v>0</v>
      </c>
      <c r="AJ47" s="100">
        <f t="shared" si="56"/>
        <v>0</v>
      </c>
      <c r="AK47" s="100">
        <f t="shared" si="56"/>
        <v>0</v>
      </c>
      <c r="AL47" s="100">
        <f t="shared" si="56"/>
        <v>0</v>
      </c>
      <c r="AM47" s="100">
        <f t="shared" si="56"/>
        <v>0</v>
      </c>
      <c r="AN47" s="100">
        <f t="shared" si="56"/>
        <v>0</v>
      </c>
      <c r="AO47" s="100">
        <f t="shared" si="56"/>
        <v>0</v>
      </c>
      <c r="AP47" s="100">
        <f t="shared" si="56"/>
        <v>0</v>
      </c>
      <c r="AQ47" s="100">
        <f t="shared" si="56"/>
        <v>0</v>
      </c>
      <c r="AR47" s="100">
        <f>AQ47*(1+допущения!$C$36)</f>
        <v>0</v>
      </c>
      <c r="AS47" s="100">
        <f t="shared" si="5"/>
        <v>0</v>
      </c>
      <c r="AT47" s="100">
        <f t="shared" si="5"/>
        <v>0</v>
      </c>
      <c r="AU47" s="100">
        <f t="shared" si="5"/>
        <v>0</v>
      </c>
      <c r="AV47" s="100"/>
      <c r="AW47" s="551">
        <f t="shared" si="6"/>
        <v>0</v>
      </c>
      <c r="AX47" s="552">
        <f t="shared" si="7"/>
        <v>0</v>
      </c>
      <c r="AY47" s="552">
        <f t="shared" si="8"/>
        <v>0</v>
      </c>
      <c r="AZ47" s="552">
        <f t="shared" si="9"/>
        <v>0</v>
      </c>
      <c r="BA47" s="552">
        <f t="shared" si="10"/>
        <v>0</v>
      </c>
      <c r="BB47" s="552">
        <f t="shared" si="11"/>
        <v>0</v>
      </c>
      <c r="BC47" s="552">
        <f t="shared" si="12"/>
        <v>0</v>
      </c>
      <c r="BD47" s="552">
        <f t="shared" si="13"/>
        <v>0</v>
      </c>
      <c r="BE47" s="552">
        <f t="shared" si="14"/>
        <v>0</v>
      </c>
      <c r="BF47" s="552">
        <f t="shared" si="15"/>
        <v>0</v>
      </c>
      <c r="BG47" s="552">
        <f t="shared" si="16"/>
        <v>0</v>
      </c>
    </row>
    <row r="48" spans="1:59" s="103" customFormat="1">
      <c r="A48" s="104" t="s">
        <v>121</v>
      </c>
      <c r="B48" s="116"/>
      <c r="C48" s="115"/>
      <c r="D48" s="105">
        <f>D47*$B$61</f>
        <v>0</v>
      </c>
      <c r="E48" s="105">
        <f t="shared" ref="E48:AQ48" si="57">E47*$B$61</f>
        <v>0</v>
      </c>
      <c r="F48" s="105">
        <f t="shared" si="57"/>
        <v>0</v>
      </c>
      <c r="G48" s="105">
        <f t="shared" si="57"/>
        <v>0</v>
      </c>
      <c r="H48" s="105">
        <f t="shared" si="57"/>
        <v>0</v>
      </c>
      <c r="I48" s="105">
        <f t="shared" si="57"/>
        <v>0</v>
      </c>
      <c r="J48" s="105">
        <f t="shared" si="57"/>
        <v>0</v>
      </c>
      <c r="K48" s="105">
        <f t="shared" si="57"/>
        <v>0</v>
      </c>
      <c r="L48" s="105">
        <f t="shared" si="57"/>
        <v>0</v>
      </c>
      <c r="M48" s="105">
        <f t="shared" si="57"/>
        <v>0</v>
      </c>
      <c r="N48" s="105">
        <f t="shared" si="57"/>
        <v>0</v>
      </c>
      <c r="O48" s="105">
        <f t="shared" si="57"/>
        <v>0</v>
      </c>
      <c r="P48" s="105">
        <f t="shared" si="57"/>
        <v>0</v>
      </c>
      <c r="Q48" s="105">
        <f t="shared" si="57"/>
        <v>0</v>
      </c>
      <c r="R48" s="105">
        <f t="shared" si="57"/>
        <v>0</v>
      </c>
      <c r="S48" s="105">
        <f t="shared" si="57"/>
        <v>0</v>
      </c>
      <c r="T48" s="105">
        <f t="shared" si="57"/>
        <v>0</v>
      </c>
      <c r="U48" s="105">
        <f t="shared" si="57"/>
        <v>0</v>
      </c>
      <c r="V48" s="105">
        <f t="shared" si="57"/>
        <v>0</v>
      </c>
      <c r="W48" s="105">
        <f t="shared" si="57"/>
        <v>0</v>
      </c>
      <c r="X48" s="105">
        <f t="shared" si="57"/>
        <v>0</v>
      </c>
      <c r="Y48" s="105">
        <f t="shared" si="57"/>
        <v>0</v>
      </c>
      <c r="Z48" s="105">
        <f t="shared" si="57"/>
        <v>0</v>
      </c>
      <c r="AA48" s="105">
        <f t="shared" si="57"/>
        <v>0</v>
      </c>
      <c r="AB48" s="105">
        <f t="shared" si="57"/>
        <v>0</v>
      </c>
      <c r="AC48" s="105">
        <f t="shared" si="57"/>
        <v>0</v>
      </c>
      <c r="AD48" s="105">
        <f t="shared" si="57"/>
        <v>0</v>
      </c>
      <c r="AE48" s="105">
        <f t="shared" si="57"/>
        <v>0</v>
      </c>
      <c r="AF48" s="105">
        <f t="shared" si="57"/>
        <v>0</v>
      </c>
      <c r="AG48" s="105">
        <f t="shared" si="57"/>
        <v>0</v>
      </c>
      <c r="AH48" s="105">
        <f t="shared" si="57"/>
        <v>0</v>
      </c>
      <c r="AI48" s="105">
        <f t="shared" si="57"/>
        <v>0</v>
      </c>
      <c r="AJ48" s="105">
        <f t="shared" si="57"/>
        <v>0</v>
      </c>
      <c r="AK48" s="105">
        <f t="shared" si="57"/>
        <v>0</v>
      </c>
      <c r="AL48" s="105">
        <f t="shared" si="57"/>
        <v>0</v>
      </c>
      <c r="AM48" s="105">
        <f t="shared" si="57"/>
        <v>0</v>
      </c>
      <c r="AN48" s="105">
        <f t="shared" si="57"/>
        <v>0</v>
      </c>
      <c r="AO48" s="105">
        <f t="shared" si="57"/>
        <v>0</v>
      </c>
      <c r="AP48" s="105">
        <f t="shared" si="57"/>
        <v>0</v>
      </c>
      <c r="AQ48" s="105">
        <f t="shared" si="57"/>
        <v>0</v>
      </c>
      <c r="AR48" s="105">
        <f>AQ48*(1+допущения!$C$36)</f>
        <v>0</v>
      </c>
      <c r="AS48" s="105">
        <f t="shared" si="5"/>
        <v>0</v>
      </c>
      <c r="AT48" s="105">
        <f t="shared" si="5"/>
        <v>0</v>
      </c>
      <c r="AU48" s="105">
        <f t="shared" si="5"/>
        <v>0</v>
      </c>
      <c r="AV48" s="105"/>
      <c r="AW48" s="553">
        <f t="shared" si="6"/>
        <v>0</v>
      </c>
      <c r="AX48" s="406">
        <f t="shared" si="7"/>
        <v>0</v>
      </c>
      <c r="AY48" s="406">
        <f t="shared" si="8"/>
        <v>0</v>
      </c>
      <c r="AZ48" s="406">
        <f t="shared" si="9"/>
        <v>0</v>
      </c>
      <c r="BA48" s="406">
        <f t="shared" si="10"/>
        <v>0</v>
      </c>
      <c r="BB48" s="406">
        <f t="shared" si="11"/>
        <v>0</v>
      </c>
      <c r="BC48" s="406">
        <f t="shared" si="12"/>
        <v>0</v>
      </c>
      <c r="BD48" s="406">
        <f t="shared" si="13"/>
        <v>0</v>
      </c>
      <c r="BE48" s="406">
        <f t="shared" si="14"/>
        <v>0</v>
      </c>
      <c r="BF48" s="406">
        <f t="shared" si="15"/>
        <v>0</v>
      </c>
      <c r="BG48" s="406">
        <f t="shared" si="16"/>
        <v>0</v>
      </c>
    </row>
    <row r="49" spans="1:59" s="397" customFormat="1">
      <c r="A49" s="393" t="s">
        <v>153</v>
      </c>
      <c r="B49" s="394"/>
      <c r="C49" s="395"/>
      <c r="D49" s="394">
        <f>D6+D15+D23+D26+D34+D47</f>
        <v>0</v>
      </c>
      <c r="E49" s="396">
        <f t="shared" ref="E49:AQ49" si="58">E6+E15+E23+E26+E34+E47</f>
        <v>0</v>
      </c>
      <c r="F49" s="396">
        <f t="shared" si="58"/>
        <v>0</v>
      </c>
      <c r="G49" s="396">
        <f t="shared" si="58"/>
        <v>0</v>
      </c>
      <c r="H49" s="396">
        <f>H6+H15+H23+H26+H34+H47</f>
        <v>0</v>
      </c>
      <c r="I49" s="396">
        <f t="shared" si="58"/>
        <v>0</v>
      </c>
      <c r="J49" s="396">
        <f t="shared" si="58"/>
        <v>0</v>
      </c>
      <c r="K49" s="396">
        <f t="shared" si="58"/>
        <v>0</v>
      </c>
      <c r="L49" s="396">
        <f t="shared" si="58"/>
        <v>0</v>
      </c>
      <c r="M49" s="396">
        <f t="shared" si="58"/>
        <v>0</v>
      </c>
      <c r="N49" s="396">
        <f t="shared" si="58"/>
        <v>0</v>
      </c>
      <c r="O49" s="396">
        <f t="shared" si="58"/>
        <v>0</v>
      </c>
      <c r="P49" s="396">
        <f t="shared" si="58"/>
        <v>0</v>
      </c>
      <c r="Q49" s="396">
        <f t="shared" si="58"/>
        <v>0</v>
      </c>
      <c r="R49" s="396">
        <f t="shared" si="58"/>
        <v>0</v>
      </c>
      <c r="S49" s="396">
        <f t="shared" si="58"/>
        <v>0</v>
      </c>
      <c r="T49" s="396">
        <f t="shared" si="58"/>
        <v>9765.7800000000007</v>
      </c>
      <c r="U49" s="396">
        <f t="shared" si="58"/>
        <v>9765.7800000000007</v>
      </c>
      <c r="V49" s="396">
        <f t="shared" si="58"/>
        <v>9765.7800000000007</v>
      </c>
      <c r="W49" s="396">
        <f t="shared" si="58"/>
        <v>9765.7800000000007</v>
      </c>
      <c r="X49" s="396">
        <f t="shared" si="58"/>
        <v>10351.7268</v>
      </c>
      <c r="Y49" s="396">
        <f t="shared" si="58"/>
        <v>10351.7268</v>
      </c>
      <c r="Z49" s="396">
        <f t="shared" si="58"/>
        <v>10351.7268</v>
      </c>
      <c r="AA49" s="396">
        <f t="shared" si="58"/>
        <v>10351.7268</v>
      </c>
      <c r="AB49" s="396">
        <f t="shared" si="58"/>
        <v>10972.830408000002</v>
      </c>
      <c r="AC49" s="396">
        <f t="shared" si="58"/>
        <v>10972.830408000002</v>
      </c>
      <c r="AD49" s="396">
        <f t="shared" si="58"/>
        <v>10972.830408000002</v>
      </c>
      <c r="AE49" s="396">
        <f t="shared" si="58"/>
        <v>10972.830408000002</v>
      </c>
      <c r="AF49" s="396">
        <f t="shared" si="58"/>
        <v>11609.761944480002</v>
      </c>
      <c r="AG49" s="396">
        <f t="shared" si="58"/>
        <v>11609.761944480002</v>
      </c>
      <c r="AH49" s="396">
        <f t="shared" si="58"/>
        <v>11609.761944480002</v>
      </c>
      <c r="AI49" s="396">
        <f t="shared" si="58"/>
        <v>11609.761944480002</v>
      </c>
      <c r="AJ49" s="396">
        <f t="shared" si="58"/>
        <v>12306.3476611488</v>
      </c>
      <c r="AK49" s="396">
        <f t="shared" si="58"/>
        <v>12306.3476611488</v>
      </c>
      <c r="AL49" s="396">
        <f t="shared" si="58"/>
        <v>12306.3476611488</v>
      </c>
      <c r="AM49" s="396">
        <f t="shared" si="58"/>
        <v>12306.3476611488</v>
      </c>
      <c r="AN49" s="396">
        <f t="shared" si="58"/>
        <v>13044.728520817733</v>
      </c>
      <c r="AO49" s="396">
        <f t="shared" si="58"/>
        <v>13044.728520817733</v>
      </c>
      <c r="AP49" s="396">
        <f t="shared" si="58"/>
        <v>13044.728520817733</v>
      </c>
      <c r="AQ49" s="396">
        <f t="shared" si="58"/>
        <v>13044.728520817733</v>
      </c>
      <c r="AR49" s="396">
        <f>AQ49*(1+допущения!$C$36)</f>
        <v>13827.412232066798</v>
      </c>
      <c r="AS49" s="396">
        <f t="shared" si="5"/>
        <v>13827.412232066798</v>
      </c>
      <c r="AT49" s="396">
        <f t="shared" si="5"/>
        <v>13827.412232066798</v>
      </c>
      <c r="AU49" s="396">
        <f t="shared" si="5"/>
        <v>13827.412232066798</v>
      </c>
      <c r="AV49" s="394"/>
      <c r="AW49" s="394">
        <f>AW15</f>
        <v>0</v>
      </c>
      <c r="AX49" s="406">
        <f t="shared" si="7"/>
        <v>0</v>
      </c>
      <c r="AY49" s="406">
        <f t="shared" si="8"/>
        <v>0</v>
      </c>
      <c r="AZ49" s="406">
        <f t="shared" si="9"/>
        <v>0</v>
      </c>
      <c r="BA49" s="406">
        <f t="shared" si="10"/>
        <v>39063.120000000003</v>
      </c>
      <c r="BB49" s="406">
        <f t="shared" si="11"/>
        <v>41406.907200000001</v>
      </c>
      <c r="BC49" s="406">
        <f t="shared" si="12"/>
        <v>43891.321632000007</v>
      </c>
      <c r="BD49" s="406">
        <f t="shared" si="13"/>
        <v>46439.047777920008</v>
      </c>
      <c r="BE49" s="406">
        <f t="shared" si="14"/>
        <v>49225.390644595202</v>
      </c>
      <c r="BF49" s="406">
        <f t="shared" si="15"/>
        <v>52178.914083270931</v>
      </c>
      <c r="BG49" s="406">
        <f t="shared" si="16"/>
        <v>55309.64892826719</v>
      </c>
    </row>
    <row r="50" spans="1:59" s="122" customFormat="1">
      <c r="A50" s="123" t="s">
        <v>154</v>
      </c>
      <c r="B50" s="124"/>
      <c r="C50" s="112"/>
      <c r="D50" s="124"/>
      <c r="E50" s="125"/>
      <c r="F50" s="125"/>
      <c r="G50" s="125">
        <f>SUM(D49:G49)</f>
        <v>0</v>
      </c>
      <c r="H50" s="125"/>
      <c r="I50" s="125"/>
      <c r="J50" s="125"/>
      <c r="K50" s="125">
        <f>SUM(H49:K49)</f>
        <v>0</v>
      </c>
      <c r="L50" s="125"/>
      <c r="M50" s="125"/>
      <c r="N50" s="125"/>
      <c r="O50" s="125">
        <f>SUM(L49:O49)</f>
        <v>0</v>
      </c>
      <c r="P50" s="125"/>
      <c r="Q50" s="125"/>
      <c r="R50" s="125"/>
      <c r="S50" s="125">
        <f>SUM(P49:S49)</f>
        <v>0</v>
      </c>
      <c r="T50" s="125"/>
      <c r="U50" s="125"/>
      <c r="V50" s="125"/>
      <c r="W50" s="125">
        <f t="shared" ref="W50:AI50" si="59">SUM(T49:W49)</f>
        <v>39063.120000000003</v>
      </c>
      <c r="X50" s="125"/>
      <c r="Y50" s="125"/>
      <c r="Z50" s="125"/>
      <c r="AA50" s="125">
        <f t="shared" si="59"/>
        <v>41406.907200000001</v>
      </c>
      <c r="AB50" s="125"/>
      <c r="AC50" s="125"/>
      <c r="AD50" s="125"/>
      <c r="AE50" s="125">
        <f t="shared" si="59"/>
        <v>43891.321632000007</v>
      </c>
      <c r="AF50" s="125"/>
      <c r="AG50" s="125"/>
      <c r="AH50" s="125"/>
      <c r="AI50" s="125">
        <f t="shared" si="59"/>
        <v>46439.047777920008</v>
      </c>
      <c r="AJ50" s="125"/>
      <c r="AK50" s="125"/>
      <c r="AL50" s="125"/>
      <c r="AM50" s="125">
        <f>SUM(AJ49:AM49)</f>
        <v>49225.390644595202</v>
      </c>
      <c r="AN50" s="125"/>
      <c r="AO50" s="125"/>
      <c r="AP50" s="125"/>
      <c r="AQ50" s="125">
        <f>SUM(AN49:AQ49)</f>
        <v>52178.914083270931</v>
      </c>
      <c r="AR50" s="125"/>
      <c r="AS50" s="125"/>
      <c r="AT50" s="125"/>
      <c r="AU50" s="125">
        <f t="shared" ref="AU50" si="60">SUM(AR49:AU49)</f>
        <v>55309.64892826719</v>
      </c>
      <c r="AV50" s="124"/>
      <c r="AW50" s="109">
        <f>AW49</f>
        <v>0</v>
      </c>
      <c r="AX50" s="385">
        <f t="shared" si="7"/>
        <v>0</v>
      </c>
      <c r="AY50" s="385">
        <f t="shared" si="8"/>
        <v>0</v>
      </c>
      <c r="AZ50" s="385">
        <f t="shared" si="9"/>
        <v>0</v>
      </c>
      <c r="BA50" s="385">
        <f t="shared" si="10"/>
        <v>39063.120000000003</v>
      </c>
      <c r="BB50" s="385">
        <f t="shared" si="11"/>
        <v>41406.907200000001</v>
      </c>
      <c r="BC50" s="385">
        <f t="shared" si="12"/>
        <v>43891.321632000007</v>
      </c>
      <c r="BD50" s="385">
        <f t="shared" si="13"/>
        <v>46439.047777920008</v>
      </c>
      <c r="BE50" s="385">
        <f t="shared" si="14"/>
        <v>49225.390644595202</v>
      </c>
      <c r="BF50" s="385">
        <f t="shared" si="15"/>
        <v>52178.914083270931</v>
      </c>
      <c r="BG50" s="385">
        <f t="shared" si="16"/>
        <v>55309.64892826719</v>
      </c>
    </row>
    <row r="51" spans="1:59" s="397" customFormat="1" ht="28.5" customHeight="1">
      <c r="A51" s="393" t="s">
        <v>155</v>
      </c>
      <c r="B51" s="394"/>
      <c r="C51" s="395"/>
      <c r="D51" s="394">
        <f>D7+D16+D24+D27+D35+D48</f>
        <v>0</v>
      </c>
      <c r="E51" s="396">
        <f>E7+E16+E24+E27+E35+E48</f>
        <v>0</v>
      </c>
      <c r="F51" s="396">
        <f>F7+F16+F24+F27+F35+F48</f>
        <v>0</v>
      </c>
      <c r="G51" s="396">
        <f>G7+G16+G24+G27+G35+G48</f>
        <v>0</v>
      </c>
      <c r="H51" s="396">
        <f t="shared" ref="H51:R51" si="61">H7+H16+H24+H27+H35+H48</f>
        <v>0</v>
      </c>
      <c r="I51" s="396">
        <f t="shared" si="61"/>
        <v>0</v>
      </c>
      <c r="J51" s="396">
        <f>J7+J16+J24+J27+J35+J48</f>
        <v>0</v>
      </c>
      <c r="K51" s="396">
        <f t="shared" si="61"/>
        <v>0</v>
      </c>
      <c r="L51" s="396">
        <f t="shared" si="61"/>
        <v>0</v>
      </c>
      <c r="M51" s="396">
        <f t="shared" si="61"/>
        <v>0</v>
      </c>
      <c r="N51" s="396">
        <f t="shared" si="61"/>
        <v>0</v>
      </c>
      <c r="O51" s="396">
        <f t="shared" si="61"/>
        <v>0</v>
      </c>
      <c r="P51" s="396">
        <f t="shared" si="61"/>
        <v>0</v>
      </c>
      <c r="Q51" s="396">
        <f t="shared" si="61"/>
        <v>0</v>
      </c>
      <c r="R51" s="396">
        <f t="shared" si="61"/>
        <v>0</v>
      </c>
      <c r="S51" s="396">
        <f>S7+S16+S24+S27+S35+S48</f>
        <v>0</v>
      </c>
      <c r="T51" s="396">
        <f>T7+T16+T24+T27+T35+T48</f>
        <v>2929.7340000000004</v>
      </c>
      <c r="U51" s="396">
        <f>U7+U16+U24+U27+U35+U48</f>
        <v>2929.7340000000004</v>
      </c>
      <c r="V51" s="396">
        <f>V7+V16+V24+V27+V35+V48</f>
        <v>2929.7340000000004</v>
      </c>
      <c r="W51" s="396">
        <f t="shared" ref="W51:AH51" si="62">W7+W16+W24+W27+W35+W48</f>
        <v>2929.7340000000004</v>
      </c>
      <c r="X51" s="396">
        <f t="shared" si="62"/>
        <v>3105.5180399999999</v>
      </c>
      <c r="Y51" s="396">
        <f t="shared" si="62"/>
        <v>3105.5180399999999</v>
      </c>
      <c r="Z51" s="396">
        <f t="shared" si="62"/>
        <v>3105.5180399999999</v>
      </c>
      <c r="AA51" s="396">
        <f t="shared" si="62"/>
        <v>3105.5180399999999</v>
      </c>
      <c r="AB51" s="396">
        <f t="shared" si="62"/>
        <v>3291.8491223999999</v>
      </c>
      <c r="AC51" s="396">
        <f t="shared" si="62"/>
        <v>3291.8491223999999</v>
      </c>
      <c r="AD51" s="396">
        <f t="shared" si="62"/>
        <v>3291.8491223999999</v>
      </c>
      <c r="AE51" s="396">
        <f t="shared" si="62"/>
        <v>3291.8491223999999</v>
      </c>
      <c r="AF51" s="396">
        <f t="shared" si="62"/>
        <v>3482.9285833440008</v>
      </c>
      <c r="AG51" s="396">
        <f t="shared" si="62"/>
        <v>3482.9285833440008</v>
      </c>
      <c r="AH51" s="396">
        <f t="shared" si="62"/>
        <v>3482.9285833440008</v>
      </c>
      <c r="AI51" s="396">
        <f>AI7+AI16+AI24+AI27+AI35+AI48</f>
        <v>3482.9285833440008</v>
      </c>
      <c r="AJ51" s="396">
        <f t="shared" ref="AJ51:AQ51" si="63">AJ7+AJ16+AJ24+AJ27+AJ35+AJ48</f>
        <v>3691.9042983446402</v>
      </c>
      <c r="AK51" s="396">
        <f t="shared" si="63"/>
        <v>3691.9042983446402</v>
      </c>
      <c r="AL51" s="396">
        <f t="shared" si="63"/>
        <v>3691.9042983446402</v>
      </c>
      <c r="AM51" s="396">
        <f t="shared" si="63"/>
        <v>3691.9042983446402</v>
      </c>
      <c r="AN51" s="396">
        <f t="shared" si="63"/>
        <v>3913.4185562453195</v>
      </c>
      <c r="AO51" s="396">
        <f t="shared" si="63"/>
        <v>3913.4185562453195</v>
      </c>
      <c r="AP51" s="396">
        <f t="shared" si="63"/>
        <v>3913.4185562453195</v>
      </c>
      <c r="AQ51" s="396">
        <f t="shared" si="63"/>
        <v>3913.4185562453195</v>
      </c>
      <c r="AR51" s="396">
        <f>AQ51*(1+допущения!$C$36)</f>
        <v>4148.2236696200389</v>
      </c>
      <c r="AS51" s="396">
        <f t="shared" si="5"/>
        <v>4148.2236696200389</v>
      </c>
      <c r="AT51" s="396">
        <f t="shared" si="5"/>
        <v>4148.2236696200389</v>
      </c>
      <c r="AU51" s="396">
        <f t="shared" si="5"/>
        <v>4148.2236696200389</v>
      </c>
      <c r="AV51" s="394"/>
      <c r="AW51" s="394">
        <f>0.3*AW49</f>
        <v>0</v>
      </c>
      <c r="AX51" s="406">
        <f t="shared" si="7"/>
        <v>0</v>
      </c>
      <c r="AY51" s="406">
        <f t="shared" si="8"/>
        <v>0</v>
      </c>
      <c r="AZ51" s="406">
        <f t="shared" si="9"/>
        <v>0</v>
      </c>
      <c r="BA51" s="406">
        <f t="shared" si="10"/>
        <v>11718.936000000002</v>
      </c>
      <c r="BB51" s="406">
        <f t="shared" si="11"/>
        <v>12422.07216</v>
      </c>
      <c r="BC51" s="406">
        <f t="shared" si="12"/>
        <v>13167.3964896</v>
      </c>
      <c r="BD51" s="406">
        <f t="shared" si="13"/>
        <v>13931.714333376003</v>
      </c>
      <c r="BE51" s="406">
        <f t="shared" si="14"/>
        <v>14767.617193378561</v>
      </c>
      <c r="BF51" s="406">
        <f t="shared" si="15"/>
        <v>15653.674224981278</v>
      </c>
      <c r="BG51" s="406">
        <f t="shared" si="16"/>
        <v>16592.894678480156</v>
      </c>
    </row>
    <row r="52" spans="1:59">
      <c r="A52" s="94" t="s">
        <v>156</v>
      </c>
      <c r="B52" s="83"/>
      <c r="C52" s="112"/>
      <c r="D52" s="83">
        <f>D49+D51</f>
        <v>0</v>
      </c>
      <c r="E52" s="97">
        <f t="shared" ref="E52:T52" si="64">E49+E51</f>
        <v>0</v>
      </c>
      <c r="F52" s="97">
        <f t="shared" si="64"/>
        <v>0</v>
      </c>
      <c r="G52" s="97">
        <f t="shared" si="64"/>
        <v>0</v>
      </c>
      <c r="H52" s="97">
        <f t="shared" si="64"/>
        <v>0</v>
      </c>
      <c r="I52" s="97">
        <f t="shared" si="64"/>
        <v>0</v>
      </c>
      <c r="J52" s="97">
        <f t="shared" si="64"/>
        <v>0</v>
      </c>
      <c r="K52" s="97">
        <f t="shared" si="64"/>
        <v>0</v>
      </c>
      <c r="L52" s="97">
        <f t="shared" si="64"/>
        <v>0</v>
      </c>
      <c r="M52" s="97">
        <f t="shared" si="64"/>
        <v>0</v>
      </c>
      <c r="N52" s="97">
        <f t="shared" si="64"/>
        <v>0</v>
      </c>
      <c r="O52" s="97">
        <f t="shared" si="64"/>
        <v>0</v>
      </c>
      <c r="P52" s="97">
        <f t="shared" si="64"/>
        <v>0</v>
      </c>
      <c r="Q52" s="97">
        <f t="shared" si="64"/>
        <v>0</v>
      </c>
      <c r="R52" s="97">
        <f t="shared" si="64"/>
        <v>0</v>
      </c>
      <c r="S52" s="97">
        <f t="shared" si="64"/>
        <v>0</v>
      </c>
      <c r="T52" s="97">
        <f t="shared" si="64"/>
        <v>12695.514000000001</v>
      </c>
      <c r="U52" s="97">
        <f>U49+U51</f>
        <v>12695.514000000001</v>
      </c>
      <c r="V52" s="97">
        <f>V49+V51</f>
        <v>12695.514000000001</v>
      </c>
      <c r="W52" s="97">
        <f t="shared" ref="W52:AI52" si="65">W49+W51</f>
        <v>12695.514000000001</v>
      </c>
      <c r="X52" s="97">
        <f t="shared" si="65"/>
        <v>13457.244839999999</v>
      </c>
      <c r="Y52" s="97">
        <f t="shared" si="65"/>
        <v>13457.244839999999</v>
      </c>
      <c r="Z52" s="97">
        <f t="shared" si="65"/>
        <v>13457.244839999999</v>
      </c>
      <c r="AA52" s="97">
        <f t="shared" si="65"/>
        <v>13457.244839999999</v>
      </c>
      <c r="AB52" s="97">
        <f t="shared" si="65"/>
        <v>14264.679530400001</v>
      </c>
      <c r="AC52" s="97">
        <f t="shared" si="65"/>
        <v>14264.679530400001</v>
      </c>
      <c r="AD52" s="97">
        <f t="shared" si="65"/>
        <v>14264.679530400001</v>
      </c>
      <c r="AE52" s="97">
        <f t="shared" si="65"/>
        <v>14264.679530400001</v>
      </c>
      <c r="AF52" s="97">
        <f t="shared" si="65"/>
        <v>15092.690527824003</v>
      </c>
      <c r="AG52" s="97">
        <f t="shared" si="65"/>
        <v>15092.690527824003</v>
      </c>
      <c r="AH52" s="97">
        <f t="shared" si="65"/>
        <v>15092.690527824003</v>
      </c>
      <c r="AI52" s="97">
        <f t="shared" si="65"/>
        <v>15092.690527824003</v>
      </c>
      <c r="AJ52" s="97">
        <f t="shared" ref="AJ52:AQ52" si="66">AJ49+AJ51</f>
        <v>15998.25195949344</v>
      </c>
      <c r="AK52" s="97">
        <f t="shared" si="66"/>
        <v>15998.25195949344</v>
      </c>
      <c r="AL52" s="97">
        <f t="shared" si="66"/>
        <v>15998.25195949344</v>
      </c>
      <c r="AM52" s="97">
        <f t="shared" si="66"/>
        <v>15998.25195949344</v>
      </c>
      <c r="AN52" s="97">
        <f t="shared" si="66"/>
        <v>16958.147077063051</v>
      </c>
      <c r="AO52" s="97">
        <f t="shared" si="66"/>
        <v>16958.147077063051</v>
      </c>
      <c r="AP52" s="97">
        <f t="shared" si="66"/>
        <v>16958.147077063051</v>
      </c>
      <c r="AQ52" s="97">
        <f t="shared" si="66"/>
        <v>16958.147077063051</v>
      </c>
      <c r="AR52" s="383">
        <f>AQ52*(1+допущения!$C$36)</f>
        <v>17975.635901686834</v>
      </c>
      <c r="AS52" s="383">
        <f t="shared" si="5"/>
        <v>17975.635901686834</v>
      </c>
      <c r="AT52" s="383">
        <f t="shared" si="5"/>
        <v>17975.635901686834</v>
      </c>
      <c r="AU52" s="383">
        <f t="shared" si="5"/>
        <v>17975.635901686834</v>
      </c>
      <c r="AV52" s="83"/>
      <c r="AW52" s="109">
        <f>AW49+AW51</f>
        <v>0</v>
      </c>
      <c r="AX52" s="385">
        <f t="shared" si="7"/>
        <v>0</v>
      </c>
      <c r="AY52" s="385">
        <f t="shared" si="8"/>
        <v>0</v>
      </c>
      <c r="AZ52" s="385">
        <f t="shared" si="9"/>
        <v>0</v>
      </c>
      <c r="BA52" s="385">
        <f t="shared" si="10"/>
        <v>50782.056000000004</v>
      </c>
      <c r="BB52" s="385">
        <f t="shared" si="11"/>
        <v>53828.979359999998</v>
      </c>
      <c r="BC52" s="385">
        <f t="shared" si="12"/>
        <v>57058.718121600003</v>
      </c>
      <c r="BD52" s="385">
        <f t="shared" si="13"/>
        <v>60370.762111296011</v>
      </c>
      <c r="BE52" s="385">
        <f t="shared" si="14"/>
        <v>63993.007837973761</v>
      </c>
      <c r="BF52" s="385">
        <f t="shared" si="15"/>
        <v>67832.588308252205</v>
      </c>
      <c r="BG52" s="385">
        <f t="shared" si="16"/>
        <v>71902.543606747335</v>
      </c>
    </row>
    <row r="53" spans="1:59" s="402" customFormat="1" ht="28.8">
      <c r="A53" s="398" t="s">
        <v>157</v>
      </c>
      <c r="B53" s="399"/>
      <c r="C53" s="400"/>
      <c r="D53" s="399">
        <f>D49*$B$60</f>
        <v>0</v>
      </c>
      <c r="E53" s="401">
        <f t="shared" ref="E53:AQ53" si="67">E49*$B$60</f>
        <v>0</v>
      </c>
      <c r="F53" s="401">
        <f t="shared" si="67"/>
        <v>0</v>
      </c>
      <c r="G53" s="401">
        <f t="shared" si="67"/>
        <v>0</v>
      </c>
      <c r="H53" s="401">
        <f t="shared" si="67"/>
        <v>0</v>
      </c>
      <c r="I53" s="401">
        <f t="shared" si="67"/>
        <v>0</v>
      </c>
      <c r="J53" s="401">
        <f t="shared" si="67"/>
        <v>0</v>
      </c>
      <c r="K53" s="401">
        <f t="shared" si="67"/>
        <v>0</v>
      </c>
      <c r="L53" s="401">
        <f t="shared" si="67"/>
        <v>0</v>
      </c>
      <c r="M53" s="401">
        <f t="shared" si="67"/>
        <v>0</v>
      </c>
      <c r="N53" s="401">
        <f t="shared" si="67"/>
        <v>0</v>
      </c>
      <c r="O53" s="401">
        <f t="shared" si="67"/>
        <v>0</v>
      </c>
      <c r="P53" s="401">
        <f t="shared" si="67"/>
        <v>0</v>
      </c>
      <c r="Q53" s="401">
        <f t="shared" si="67"/>
        <v>0</v>
      </c>
      <c r="R53" s="401">
        <f t="shared" si="67"/>
        <v>0</v>
      </c>
      <c r="S53" s="401">
        <f t="shared" si="67"/>
        <v>0</v>
      </c>
      <c r="T53" s="401">
        <f t="shared" si="67"/>
        <v>29.297340000000002</v>
      </c>
      <c r="U53" s="401">
        <f t="shared" si="67"/>
        <v>29.297340000000002</v>
      </c>
      <c r="V53" s="401">
        <f t="shared" si="67"/>
        <v>29.297340000000002</v>
      </c>
      <c r="W53" s="401">
        <f t="shared" si="67"/>
        <v>29.297340000000002</v>
      </c>
      <c r="X53" s="401">
        <f t="shared" si="67"/>
        <v>31.055180400000001</v>
      </c>
      <c r="Y53" s="401">
        <f t="shared" si="67"/>
        <v>31.055180400000001</v>
      </c>
      <c r="Z53" s="401">
        <f t="shared" si="67"/>
        <v>31.055180400000001</v>
      </c>
      <c r="AA53" s="401">
        <f t="shared" si="67"/>
        <v>31.055180400000001</v>
      </c>
      <c r="AB53" s="401">
        <f t="shared" si="67"/>
        <v>32.918491224000007</v>
      </c>
      <c r="AC53" s="401">
        <f t="shared" si="67"/>
        <v>32.918491224000007</v>
      </c>
      <c r="AD53" s="401">
        <f t="shared" si="67"/>
        <v>32.918491224000007</v>
      </c>
      <c r="AE53" s="401">
        <f t="shared" si="67"/>
        <v>32.918491224000007</v>
      </c>
      <c r="AF53" s="401">
        <f t="shared" si="67"/>
        <v>34.829285833440004</v>
      </c>
      <c r="AG53" s="401">
        <f t="shared" si="67"/>
        <v>34.829285833440004</v>
      </c>
      <c r="AH53" s="401">
        <f t="shared" si="67"/>
        <v>34.829285833440004</v>
      </c>
      <c r="AI53" s="401">
        <f t="shared" si="67"/>
        <v>34.829285833440004</v>
      </c>
      <c r="AJ53" s="401">
        <f t="shared" si="67"/>
        <v>36.919042983446403</v>
      </c>
      <c r="AK53" s="401">
        <f t="shared" si="67"/>
        <v>36.919042983446403</v>
      </c>
      <c r="AL53" s="401">
        <f t="shared" si="67"/>
        <v>36.919042983446403</v>
      </c>
      <c r="AM53" s="401">
        <f t="shared" si="67"/>
        <v>36.919042983446403</v>
      </c>
      <c r="AN53" s="401">
        <f t="shared" si="67"/>
        <v>39.134185562453197</v>
      </c>
      <c r="AO53" s="401">
        <f t="shared" si="67"/>
        <v>39.134185562453197</v>
      </c>
      <c r="AP53" s="401">
        <f t="shared" si="67"/>
        <v>39.134185562453197</v>
      </c>
      <c r="AQ53" s="401">
        <f t="shared" si="67"/>
        <v>39.134185562453197</v>
      </c>
      <c r="AR53" s="401">
        <f>AQ53*(1+допущения!$C$36)</f>
        <v>41.482236696200388</v>
      </c>
      <c r="AS53" s="401">
        <f t="shared" si="5"/>
        <v>41.482236696200388</v>
      </c>
      <c r="AT53" s="401">
        <f t="shared" si="5"/>
        <v>41.482236696200388</v>
      </c>
      <c r="AU53" s="401">
        <f t="shared" si="5"/>
        <v>41.482236696200388</v>
      </c>
      <c r="AV53" s="399"/>
      <c r="AW53" s="399">
        <f>AW49*0.014</f>
        <v>0</v>
      </c>
      <c r="AX53" s="406">
        <f t="shared" si="7"/>
        <v>0</v>
      </c>
      <c r="AY53" s="406">
        <f t="shared" si="8"/>
        <v>0</v>
      </c>
      <c r="AZ53" s="406">
        <f t="shared" si="9"/>
        <v>0</v>
      </c>
      <c r="BA53" s="406">
        <f t="shared" si="10"/>
        <v>117.18936000000001</v>
      </c>
      <c r="BB53" s="406">
        <f t="shared" si="11"/>
        <v>124.2207216</v>
      </c>
      <c r="BC53" s="406">
        <f t="shared" si="12"/>
        <v>131.67396489600003</v>
      </c>
      <c r="BD53" s="406">
        <f t="shared" si="13"/>
        <v>139.31714333376001</v>
      </c>
      <c r="BE53" s="406">
        <f t="shared" si="14"/>
        <v>147.67617193378561</v>
      </c>
      <c r="BF53" s="406">
        <f t="shared" si="15"/>
        <v>156.53674224981279</v>
      </c>
      <c r="BG53" s="406">
        <f t="shared" si="16"/>
        <v>165.92894678480155</v>
      </c>
    </row>
    <row r="54" spans="1:59">
      <c r="A54" s="94" t="s">
        <v>158</v>
      </c>
      <c r="B54" s="83"/>
      <c r="C54" s="112"/>
      <c r="D54" s="83">
        <f>D52+D53</f>
        <v>0</v>
      </c>
      <c r="E54" s="97">
        <f t="shared" ref="E54:AQ54" si="68">E52+E53</f>
        <v>0</v>
      </c>
      <c r="F54" s="97">
        <f t="shared" si="68"/>
        <v>0</v>
      </c>
      <c r="G54" s="97">
        <f t="shared" si="68"/>
        <v>0</v>
      </c>
      <c r="H54" s="97">
        <f t="shared" si="68"/>
        <v>0</v>
      </c>
      <c r="I54" s="97">
        <f t="shared" si="68"/>
        <v>0</v>
      </c>
      <c r="J54" s="97">
        <f t="shared" si="68"/>
        <v>0</v>
      </c>
      <c r="K54" s="97">
        <f t="shared" si="68"/>
        <v>0</v>
      </c>
      <c r="L54" s="97">
        <f t="shared" si="68"/>
        <v>0</v>
      </c>
      <c r="M54" s="97">
        <f t="shared" si="68"/>
        <v>0</v>
      </c>
      <c r="N54" s="97">
        <f t="shared" si="68"/>
        <v>0</v>
      </c>
      <c r="O54" s="97">
        <f t="shared" si="68"/>
        <v>0</v>
      </c>
      <c r="P54" s="97">
        <f t="shared" si="68"/>
        <v>0</v>
      </c>
      <c r="Q54" s="97">
        <f t="shared" si="68"/>
        <v>0</v>
      </c>
      <c r="R54" s="97">
        <f t="shared" si="68"/>
        <v>0</v>
      </c>
      <c r="S54" s="97">
        <f t="shared" si="68"/>
        <v>0</v>
      </c>
      <c r="T54" s="97">
        <f t="shared" si="68"/>
        <v>12724.81134</v>
      </c>
      <c r="U54" s="97">
        <f t="shared" si="68"/>
        <v>12724.81134</v>
      </c>
      <c r="V54" s="97">
        <f t="shared" si="68"/>
        <v>12724.81134</v>
      </c>
      <c r="W54" s="97">
        <f t="shared" si="68"/>
        <v>12724.81134</v>
      </c>
      <c r="X54" s="97">
        <f t="shared" si="68"/>
        <v>13488.3000204</v>
      </c>
      <c r="Y54" s="97">
        <f t="shared" si="68"/>
        <v>13488.3000204</v>
      </c>
      <c r="Z54" s="97">
        <f t="shared" si="68"/>
        <v>13488.3000204</v>
      </c>
      <c r="AA54" s="97">
        <f t="shared" si="68"/>
        <v>13488.3000204</v>
      </c>
      <c r="AB54" s="97">
        <f t="shared" si="68"/>
        <v>14297.598021624</v>
      </c>
      <c r="AC54" s="97">
        <f t="shared" si="68"/>
        <v>14297.598021624</v>
      </c>
      <c r="AD54" s="97">
        <f t="shared" si="68"/>
        <v>14297.598021624</v>
      </c>
      <c r="AE54" s="97">
        <f t="shared" si="68"/>
        <v>14297.598021624</v>
      </c>
      <c r="AF54" s="97">
        <f t="shared" si="68"/>
        <v>15127.519813657444</v>
      </c>
      <c r="AG54" s="97">
        <f t="shared" si="68"/>
        <v>15127.519813657444</v>
      </c>
      <c r="AH54" s="97">
        <f t="shared" si="68"/>
        <v>15127.519813657444</v>
      </c>
      <c r="AI54" s="97">
        <f t="shared" si="68"/>
        <v>15127.519813657444</v>
      </c>
      <c r="AJ54" s="97">
        <f t="shared" si="68"/>
        <v>16035.171002476887</v>
      </c>
      <c r="AK54" s="97">
        <f t="shared" si="68"/>
        <v>16035.171002476887</v>
      </c>
      <c r="AL54" s="97">
        <f t="shared" si="68"/>
        <v>16035.171002476887</v>
      </c>
      <c r="AM54" s="97">
        <f t="shared" si="68"/>
        <v>16035.171002476887</v>
      </c>
      <c r="AN54" s="97">
        <f t="shared" si="68"/>
        <v>16997.281262625504</v>
      </c>
      <c r="AO54" s="97">
        <f t="shared" si="68"/>
        <v>16997.281262625504</v>
      </c>
      <c r="AP54" s="97">
        <f t="shared" si="68"/>
        <v>16997.281262625504</v>
      </c>
      <c r="AQ54" s="97">
        <f t="shared" si="68"/>
        <v>16997.281262625504</v>
      </c>
      <c r="AR54" s="383">
        <f>AQ54*(1+допущения!$C$36)</f>
        <v>18017.118138383034</v>
      </c>
      <c r="AS54" s="383">
        <f t="shared" si="5"/>
        <v>18017.118138383034</v>
      </c>
      <c r="AT54" s="383">
        <f t="shared" si="5"/>
        <v>18017.118138383034</v>
      </c>
      <c r="AU54" s="383">
        <f t="shared" si="5"/>
        <v>18017.118138383034</v>
      </c>
      <c r="AV54" s="83"/>
      <c r="AW54" s="109">
        <f>AW49+AW51+AW53</f>
        <v>0</v>
      </c>
      <c r="AX54" s="385">
        <f t="shared" si="7"/>
        <v>0</v>
      </c>
      <c r="AY54" s="385">
        <f t="shared" si="8"/>
        <v>0</v>
      </c>
      <c r="AZ54" s="385">
        <f t="shared" si="9"/>
        <v>0</v>
      </c>
      <c r="BA54" s="385">
        <f t="shared" si="10"/>
        <v>50899.245360000001</v>
      </c>
      <c r="BB54" s="385">
        <f t="shared" si="11"/>
        <v>53953.2000816</v>
      </c>
      <c r="BC54" s="385">
        <f t="shared" si="12"/>
        <v>57190.392086496002</v>
      </c>
      <c r="BD54" s="385">
        <f t="shared" si="13"/>
        <v>60510.079254629774</v>
      </c>
      <c r="BE54" s="385">
        <f t="shared" si="14"/>
        <v>64140.684009907549</v>
      </c>
      <c r="BF54" s="385">
        <f t="shared" si="15"/>
        <v>67989.125050502014</v>
      </c>
      <c r="BG54" s="385">
        <f t="shared" si="16"/>
        <v>72068.472553532134</v>
      </c>
    </row>
    <row r="55" spans="1:59">
      <c r="A55" s="94" t="s">
        <v>159</v>
      </c>
      <c r="B55" s="83"/>
      <c r="C55" s="112"/>
      <c r="D55" s="83"/>
      <c r="E55" s="97"/>
      <c r="F55" s="97"/>
      <c r="G55" s="97">
        <f>SUM(D54:G54)</f>
        <v>0</v>
      </c>
      <c r="H55" s="97"/>
      <c r="I55" s="97"/>
      <c r="J55" s="97"/>
      <c r="K55" s="97">
        <f>SUM(H54:K54)</f>
        <v>0</v>
      </c>
      <c r="L55" s="97"/>
      <c r="M55" s="97"/>
      <c r="N55" s="97"/>
      <c r="O55" s="97">
        <f>SUM(L54:O54)</f>
        <v>0</v>
      </c>
      <c r="P55" s="97"/>
      <c r="Q55" s="97"/>
      <c r="R55" s="97"/>
      <c r="S55" s="97">
        <f>SUM(P54:S54)</f>
        <v>0</v>
      </c>
      <c r="T55" s="97"/>
      <c r="U55" s="97"/>
      <c r="V55" s="97"/>
      <c r="W55" s="97">
        <f>SUM(T54:W54)</f>
        <v>50899.245360000001</v>
      </c>
      <c r="X55" s="97"/>
      <c r="Y55" s="97"/>
      <c r="Z55" s="97"/>
      <c r="AA55" s="97">
        <f>SUM(X54:AA54)</f>
        <v>53953.2000816</v>
      </c>
      <c r="AB55" s="97"/>
      <c r="AC55" s="97"/>
      <c r="AD55" s="97"/>
      <c r="AE55" s="97">
        <f t="shared" ref="AE55:AI55" si="69">SUM(AB54:AE54)</f>
        <v>57190.392086496002</v>
      </c>
      <c r="AF55" s="97"/>
      <c r="AG55" s="97"/>
      <c r="AH55" s="97"/>
      <c r="AI55" s="97">
        <f t="shared" si="69"/>
        <v>60510.079254629774</v>
      </c>
      <c r="AJ55" s="97"/>
      <c r="AK55" s="97"/>
      <c r="AL55" s="97"/>
      <c r="AM55" s="97">
        <f>SUM(AJ54:AM54)</f>
        <v>64140.684009907549</v>
      </c>
      <c r="AN55" s="97"/>
      <c r="AO55" s="97"/>
      <c r="AP55" s="97"/>
      <c r="AQ55" s="97">
        <f>SUM(AN54:AQ54)</f>
        <v>67989.125050502014</v>
      </c>
      <c r="AR55" s="383">
        <f>AQ55*(1+допущения!$C$36)</f>
        <v>72068.472553532134</v>
      </c>
      <c r="AS55" s="383">
        <f t="shared" si="5"/>
        <v>72068.472553532134</v>
      </c>
      <c r="AT55" s="383">
        <f t="shared" si="5"/>
        <v>72068.472553532134</v>
      </c>
      <c r="AU55" s="383">
        <f t="shared" si="5"/>
        <v>72068.472553532134</v>
      </c>
      <c r="AV55" s="83"/>
      <c r="AW55" s="83">
        <f>AW51+AW53</f>
        <v>0</v>
      </c>
      <c r="AX55" s="385">
        <f t="shared" si="7"/>
        <v>0</v>
      </c>
      <c r="AY55" s="385">
        <f t="shared" si="8"/>
        <v>0</v>
      </c>
      <c r="AZ55" s="385">
        <f t="shared" si="9"/>
        <v>0</v>
      </c>
      <c r="BA55" s="385">
        <f t="shared" si="10"/>
        <v>50899.245360000001</v>
      </c>
      <c r="BB55" s="385">
        <f t="shared" si="11"/>
        <v>53953.2000816</v>
      </c>
      <c r="BC55" s="385">
        <f t="shared" si="12"/>
        <v>57190.392086496002</v>
      </c>
      <c r="BD55" s="385">
        <f t="shared" si="13"/>
        <v>60510.079254629774</v>
      </c>
      <c r="BE55" s="385">
        <f t="shared" si="14"/>
        <v>64140.684009907549</v>
      </c>
      <c r="BF55" s="385">
        <f t="shared" si="15"/>
        <v>67989.125050502014</v>
      </c>
      <c r="BG55" s="385">
        <f t="shared" si="16"/>
        <v>288273.89021412854</v>
      </c>
    </row>
    <row r="56" spans="1:59">
      <c r="A56" s="94" t="s">
        <v>160</v>
      </c>
      <c r="B56" s="126">
        <v>0.13</v>
      </c>
      <c r="C56" s="83"/>
      <c r="D56" s="626">
        <f>$B$56*D49</f>
        <v>0</v>
      </c>
      <c r="E56" s="626">
        <f t="shared" ref="E56:U56" si="70">$B$56*E49</f>
        <v>0</v>
      </c>
      <c r="F56" s="626">
        <f t="shared" si="70"/>
        <v>0</v>
      </c>
      <c r="G56" s="626">
        <f t="shared" si="70"/>
        <v>0</v>
      </c>
      <c r="H56" s="626">
        <f t="shared" si="70"/>
        <v>0</v>
      </c>
      <c r="I56" s="626">
        <f t="shared" si="70"/>
        <v>0</v>
      </c>
      <c r="J56" s="626">
        <f t="shared" si="70"/>
        <v>0</v>
      </c>
      <c r="K56" s="626">
        <f t="shared" si="70"/>
        <v>0</v>
      </c>
      <c r="L56" s="626">
        <f t="shared" si="70"/>
        <v>0</v>
      </c>
      <c r="M56" s="626">
        <f t="shared" si="70"/>
        <v>0</v>
      </c>
      <c r="N56" s="626">
        <f t="shared" si="70"/>
        <v>0</v>
      </c>
      <c r="O56" s="626">
        <f t="shared" si="70"/>
        <v>0</v>
      </c>
      <c r="P56" s="626">
        <f t="shared" si="70"/>
        <v>0</v>
      </c>
      <c r="Q56" s="626">
        <f t="shared" si="70"/>
        <v>0</v>
      </c>
      <c r="R56" s="626">
        <f t="shared" si="70"/>
        <v>0</v>
      </c>
      <c r="S56" s="626">
        <f t="shared" si="70"/>
        <v>0</v>
      </c>
      <c r="T56" s="626">
        <f t="shared" si="70"/>
        <v>1269.5514000000001</v>
      </c>
      <c r="U56" s="626">
        <f t="shared" si="70"/>
        <v>1269.5514000000001</v>
      </c>
      <c r="V56" s="626">
        <f t="shared" ref="V56:AQ56" si="71">$B$56*V49</f>
        <v>1269.5514000000001</v>
      </c>
      <c r="W56" s="626">
        <f t="shared" si="71"/>
        <v>1269.5514000000001</v>
      </c>
      <c r="X56" s="626">
        <f t="shared" si="71"/>
        <v>1345.7244840000001</v>
      </c>
      <c r="Y56" s="626">
        <f t="shared" si="71"/>
        <v>1345.7244840000001</v>
      </c>
      <c r="Z56" s="626">
        <f t="shared" si="71"/>
        <v>1345.7244840000001</v>
      </c>
      <c r="AA56" s="626">
        <f t="shared" si="71"/>
        <v>1345.7244840000001</v>
      </c>
      <c r="AB56" s="626">
        <f t="shared" si="71"/>
        <v>1426.4679530400003</v>
      </c>
      <c r="AC56" s="626">
        <f t="shared" si="71"/>
        <v>1426.4679530400003</v>
      </c>
      <c r="AD56" s="626">
        <f t="shared" si="71"/>
        <v>1426.4679530400003</v>
      </c>
      <c r="AE56" s="626">
        <f t="shared" si="71"/>
        <v>1426.4679530400003</v>
      </c>
      <c r="AF56" s="626">
        <f t="shared" si="71"/>
        <v>1509.2690527824004</v>
      </c>
      <c r="AG56" s="626">
        <f t="shared" si="71"/>
        <v>1509.2690527824004</v>
      </c>
      <c r="AH56" s="626">
        <f t="shared" si="71"/>
        <v>1509.2690527824004</v>
      </c>
      <c r="AI56" s="626">
        <f t="shared" si="71"/>
        <v>1509.2690527824004</v>
      </c>
      <c r="AJ56" s="626">
        <f t="shared" si="71"/>
        <v>1599.8251959493441</v>
      </c>
      <c r="AK56" s="626">
        <f t="shared" si="71"/>
        <v>1599.8251959493441</v>
      </c>
      <c r="AL56" s="626">
        <f t="shared" si="71"/>
        <v>1599.8251959493441</v>
      </c>
      <c r="AM56" s="626">
        <f t="shared" si="71"/>
        <v>1599.8251959493441</v>
      </c>
      <c r="AN56" s="626">
        <f t="shared" si="71"/>
        <v>1695.8147077063054</v>
      </c>
      <c r="AO56" s="626">
        <f t="shared" si="71"/>
        <v>1695.8147077063054</v>
      </c>
      <c r="AP56" s="626">
        <f t="shared" si="71"/>
        <v>1695.8147077063054</v>
      </c>
      <c r="AQ56" s="626">
        <f t="shared" si="71"/>
        <v>1695.8147077063054</v>
      </c>
      <c r="AR56" s="383">
        <f>AQ56*(1+допущения!$C$36)</f>
        <v>1797.5635901686837</v>
      </c>
      <c r="AS56" s="383">
        <f t="shared" si="5"/>
        <v>1797.5635901686837</v>
      </c>
      <c r="AT56" s="383">
        <f t="shared" si="5"/>
        <v>1797.5635901686837</v>
      </c>
      <c r="AU56" s="383">
        <f t="shared" si="5"/>
        <v>1797.5635901686837</v>
      </c>
      <c r="AV56" s="83"/>
      <c r="AW56" s="83">
        <f t="shared" ref="AW56" si="72">0.13*SUM(AW10:AW12)</f>
        <v>0</v>
      </c>
      <c r="AX56" s="385">
        <f t="shared" si="7"/>
        <v>0</v>
      </c>
      <c r="AY56" s="385">
        <f t="shared" si="8"/>
        <v>0</v>
      </c>
      <c r="AZ56" s="385">
        <f t="shared" si="9"/>
        <v>0</v>
      </c>
      <c r="BA56" s="385">
        <f t="shared" si="10"/>
        <v>5078.2056000000002</v>
      </c>
      <c r="BB56" s="385">
        <f t="shared" si="11"/>
        <v>5382.8979360000003</v>
      </c>
      <c r="BC56" s="385">
        <f t="shared" si="12"/>
        <v>5705.8718121600014</v>
      </c>
      <c r="BD56" s="385">
        <f t="shared" si="13"/>
        <v>6037.0762111296017</v>
      </c>
      <c r="BE56" s="385">
        <f t="shared" si="14"/>
        <v>6399.3007837973764</v>
      </c>
      <c r="BF56" s="385">
        <f t="shared" si="15"/>
        <v>6783.2588308252216</v>
      </c>
      <c r="BG56" s="385">
        <f t="shared" si="16"/>
        <v>7190.2543606747349</v>
      </c>
    </row>
    <row r="57" spans="1:59">
      <c r="A57" s="94" t="s">
        <v>161</v>
      </c>
      <c r="B57" s="126">
        <v>0.3</v>
      </c>
      <c r="C57" s="83"/>
      <c r="D57" s="83">
        <f>$B$57*D13</f>
        <v>0</v>
      </c>
      <c r="E57" s="97">
        <f t="shared" ref="E57:S57" si="73">$B$57*E13</f>
        <v>0</v>
      </c>
      <c r="F57" s="97">
        <f t="shared" si="73"/>
        <v>0</v>
      </c>
      <c r="G57" s="97">
        <f t="shared" si="73"/>
        <v>0</v>
      </c>
      <c r="H57" s="97">
        <f t="shared" si="73"/>
        <v>0</v>
      </c>
      <c r="I57" s="97">
        <f t="shared" si="73"/>
        <v>0</v>
      </c>
      <c r="J57" s="97">
        <f t="shared" si="73"/>
        <v>0</v>
      </c>
      <c r="K57" s="97">
        <f t="shared" si="73"/>
        <v>0</v>
      </c>
      <c r="L57" s="97">
        <f t="shared" si="73"/>
        <v>0</v>
      </c>
      <c r="M57" s="97">
        <f t="shared" si="73"/>
        <v>0</v>
      </c>
      <c r="N57" s="97">
        <f t="shared" si="73"/>
        <v>0</v>
      </c>
      <c r="O57" s="97">
        <f t="shared" si="73"/>
        <v>0</v>
      </c>
      <c r="P57" s="97">
        <f t="shared" si="73"/>
        <v>0</v>
      </c>
      <c r="Q57" s="97">
        <f t="shared" si="73"/>
        <v>0</v>
      </c>
      <c r="R57" s="97">
        <f t="shared" si="73"/>
        <v>0</v>
      </c>
      <c r="S57" s="97">
        <f t="shared" si="73"/>
        <v>0</v>
      </c>
      <c r="T57" s="97"/>
      <c r="U57" s="97"/>
      <c r="V57" s="97"/>
      <c r="W57" s="97"/>
      <c r="X57" s="97"/>
      <c r="Y57" s="97"/>
      <c r="Z57" s="97"/>
      <c r="AA57" s="97"/>
      <c r="AB57" s="97"/>
      <c r="AC57" s="97"/>
      <c r="AD57" s="97"/>
      <c r="AE57" s="97"/>
      <c r="AF57" s="97"/>
      <c r="AG57" s="97"/>
      <c r="AH57" s="97"/>
      <c r="AI57" s="97"/>
      <c r="AJ57" s="97"/>
      <c r="AK57" s="97"/>
      <c r="AL57" s="97"/>
      <c r="AM57" s="97"/>
      <c r="AN57" s="97"/>
      <c r="AO57" s="97"/>
      <c r="AP57" s="97"/>
      <c r="AQ57" s="97"/>
      <c r="AR57" s="383">
        <f>AQ57*(1+допущения!$C$36)</f>
        <v>0</v>
      </c>
      <c r="AS57" s="383">
        <f t="shared" si="5"/>
        <v>0</v>
      </c>
      <c r="AT57" s="383">
        <f t="shared" si="5"/>
        <v>0</v>
      </c>
      <c r="AU57" s="383">
        <f t="shared" si="5"/>
        <v>0</v>
      </c>
      <c r="AV57" s="83"/>
      <c r="AW57" s="83">
        <f>0.3*AW13</f>
        <v>0</v>
      </c>
      <c r="AX57" s="385">
        <f t="shared" si="7"/>
        <v>0</v>
      </c>
      <c r="AY57" s="385">
        <f t="shared" si="8"/>
        <v>0</v>
      </c>
      <c r="AZ57" s="385">
        <f t="shared" si="9"/>
        <v>0</v>
      </c>
      <c r="BA57" s="385">
        <f t="shared" si="10"/>
        <v>0</v>
      </c>
      <c r="BB57" s="385">
        <f t="shared" si="11"/>
        <v>0</v>
      </c>
      <c r="BC57" s="385">
        <f t="shared" si="12"/>
        <v>0</v>
      </c>
      <c r="BD57" s="385">
        <f t="shared" si="13"/>
        <v>0</v>
      </c>
      <c r="BE57" s="385">
        <f t="shared" si="14"/>
        <v>0</v>
      </c>
      <c r="BF57" s="385">
        <f t="shared" si="15"/>
        <v>0</v>
      </c>
      <c r="BG57" s="385">
        <f t="shared" si="16"/>
        <v>0</v>
      </c>
    </row>
    <row r="58" spans="1:59" s="407" customFormat="1">
      <c r="A58" s="403" t="s">
        <v>162</v>
      </c>
      <c r="B58" s="405"/>
      <c r="C58" s="405"/>
      <c r="D58" s="405">
        <f>D56+D57</f>
        <v>0</v>
      </c>
      <c r="E58" s="406">
        <f t="shared" ref="E58:AQ58" si="74">E56+E57</f>
        <v>0</v>
      </c>
      <c r="F58" s="406">
        <f t="shared" si="74"/>
        <v>0</v>
      </c>
      <c r="G58" s="406">
        <f t="shared" si="74"/>
        <v>0</v>
      </c>
      <c r="H58" s="406">
        <f t="shared" si="74"/>
        <v>0</v>
      </c>
      <c r="I58" s="406">
        <f t="shared" si="74"/>
        <v>0</v>
      </c>
      <c r="J58" s="406">
        <f t="shared" si="74"/>
        <v>0</v>
      </c>
      <c r="K58" s="406">
        <f t="shared" si="74"/>
        <v>0</v>
      </c>
      <c r="L58" s="406">
        <f t="shared" si="74"/>
        <v>0</v>
      </c>
      <c r="M58" s="406">
        <f t="shared" si="74"/>
        <v>0</v>
      </c>
      <c r="N58" s="406">
        <f t="shared" si="74"/>
        <v>0</v>
      </c>
      <c r="O58" s="406">
        <f t="shared" si="74"/>
        <v>0</v>
      </c>
      <c r="P58" s="406">
        <f t="shared" si="74"/>
        <v>0</v>
      </c>
      <c r="Q58" s="406">
        <f t="shared" si="74"/>
        <v>0</v>
      </c>
      <c r="R58" s="406">
        <f t="shared" si="74"/>
        <v>0</v>
      </c>
      <c r="S58" s="406">
        <f t="shared" si="74"/>
        <v>0</v>
      </c>
      <c r="T58" s="406">
        <f t="shared" si="74"/>
        <v>1269.5514000000001</v>
      </c>
      <c r="U58" s="406">
        <f t="shared" si="74"/>
        <v>1269.5514000000001</v>
      </c>
      <c r="V58" s="406">
        <f t="shared" si="74"/>
        <v>1269.5514000000001</v>
      </c>
      <c r="W58" s="406">
        <f t="shared" si="74"/>
        <v>1269.5514000000001</v>
      </c>
      <c r="X58" s="406">
        <f t="shared" si="74"/>
        <v>1345.7244840000001</v>
      </c>
      <c r="Y58" s="406">
        <f t="shared" si="74"/>
        <v>1345.7244840000001</v>
      </c>
      <c r="Z58" s="406">
        <f t="shared" si="74"/>
        <v>1345.7244840000001</v>
      </c>
      <c r="AA58" s="406">
        <f t="shared" si="74"/>
        <v>1345.7244840000001</v>
      </c>
      <c r="AB58" s="406">
        <f t="shared" si="74"/>
        <v>1426.4679530400003</v>
      </c>
      <c r="AC58" s="406">
        <f t="shared" si="74"/>
        <v>1426.4679530400003</v>
      </c>
      <c r="AD58" s="406">
        <f t="shared" si="74"/>
        <v>1426.4679530400003</v>
      </c>
      <c r="AE58" s="406">
        <f t="shared" si="74"/>
        <v>1426.4679530400003</v>
      </c>
      <c r="AF58" s="406">
        <f t="shared" si="74"/>
        <v>1509.2690527824004</v>
      </c>
      <c r="AG58" s="406">
        <f t="shared" si="74"/>
        <v>1509.2690527824004</v>
      </c>
      <c r="AH58" s="406">
        <f t="shared" si="74"/>
        <v>1509.2690527824004</v>
      </c>
      <c r="AI58" s="406">
        <f t="shared" si="74"/>
        <v>1509.2690527824004</v>
      </c>
      <c r="AJ58" s="406">
        <f t="shared" si="74"/>
        <v>1599.8251959493441</v>
      </c>
      <c r="AK58" s="406">
        <f t="shared" si="74"/>
        <v>1599.8251959493441</v>
      </c>
      <c r="AL58" s="406">
        <f t="shared" si="74"/>
        <v>1599.8251959493441</v>
      </c>
      <c r="AM58" s="406">
        <f t="shared" si="74"/>
        <v>1599.8251959493441</v>
      </c>
      <c r="AN58" s="406">
        <f t="shared" si="74"/>
        <v>1695.8147077063054</v>
      </c>
      <c r="AO58" s="406">
        <f t="shared" si="74"/>
        <v>1695.8147077063054</v>
      </c>
      <c r="AP58" s="406">
        <f t="shared" si="74"/>
        <v>1695.8147077063054</v>
      </c>
      <c r="AQ58" s="406">
        <f t="shared" si="74"/>
        <v>1695.8147077063054</v>
      </c>
      <c r="AR58" s="406">
        <f>AQ58*(1+допущения!$C$36)</f>
        <v>1797.5635901686837</v>
      </c>
      <c r="AS58" s="406">
        <f t="shared" si="5"/>
        <v>1797.5635901686837</v>
      </c>
      <c r="AT58" s="406">
        <f t="shared" si="5"/>
        <v>1797.5635901686837</v>
      </c>
      <c r="AU58" s="406">
        <f t="shared" si="5"/>
        <v>1797.5635901686837</v>
      </c>
      <c r="AV58" s="405"/>
      <c r="AW58" s="405">
        <f t="shared" ref="AW58" si="75">AW56+AW57</f>
        <v>0</v>
      </c>
      <c r="AX58" s="406">
        <f t="shared" si="7"/>
        <v>0</v>
      </c>
      <c r="AY58" s="406">
        <f t="shared" si="8"/>
        <v>0</v>
      </c>
      <c r="AZ58" s="406">
        <f t="shared" si="9"/>
        <v>0</v>
      </c>
      <c r="BA58" s="406">
        <f t="shared" si="10"/>
        <v>5078.2056000000002</v>
      </c>
      <c r="BB58" s="406">
        <f t="shared" si="11"/>
        <v>5382.8979360000003</v>
      </c>
      <c r="BC58" s="406">
        <f t="shared" si="12"/>
        <v>5705.8718121600014</v>
      </c>
      <c r="BD58" s="406">
        <f t="shared" si="13"/>
        <v>6037.0762111296017</v>
      </c>
      <c r="BE58" s="406">
        <f t="shared" si="14"/>
        <v>6399.3007837973764</v>
      </c>
      <c r="BF58" s="406">
        <f t="shared" si="15"/>
        <v>6783.2588308252216</v>
      </c>
      <c r="BG58" s="406">
        <f t="shared" si="16"/>
        <v>7190.2543606747349</v>
      </c>
    </row>
    <row r="59" spans="1:59" s="117" customFormat="1" ht="28.8">
      <c r="A59" s="118" t="s">
        <v>163</v>
      </c>
      <c r="B59" s="119" t="s">
        <v>164</v>
      </c>
      <c r="C59" s="120"/>
      <c r="D59" s="119" t="str">
        <f>D1</f>
        <v>I кв. 1 г.</v>
      </c>
      <c r="E59" s="121" t="str">
        <f t="shared" ref="E59:AR59" si="76">E1</f>
        <v>II кв. 1 г.</v>
      </c>
      <c r="F59" s="121" t="str">
        <f t="shared" si="76"/>
        <v>III кв. 1 г.</v>
      </c>
      <c r="G59" s="121" t="str">
        <f t="shared" si="76"/>
        <v>IV кв. 1 г.</v>
      </c>
      <c r="H59" s="121" t="str">
        <f t="shared" si="76"/>
        <v>I кв. 2 г.</v>
      </c>
      <c r="I59" s="121" t="str">
        <f t="shared" si="76"/>
        <v>II кв. 2 г.</v>
      </c>
      <c r="J59" s="121" t="str">
        <f t="shared" si="76"/>
        <v>III кв. 2 г.</v>
      </c>
      <c r="K59" s="121" t="str">
        <f t="shared" si="76"/>
        <v>IV кв. 2 г.</v>
      </c>
      <c r="L59" s="121" t="str">
        <f t="shared" si="76"/>
        <v>I кв. 3 г.</v>
      </c>
      <c r="M59" s="121" t="str">
        <f t="shared" si="76"/>
        <v>II кв. 3 г.</v>
      </c>
      <c r="N59" s="121" t="str">
        <f t="shared" si="76"/>
        <v>III кв. 3 г.</v>
      </c>
      <c r="O59" s="121" t="str">
        <f t="shared" si="76"/>
        <v>IV кв. 3 г.</v>
      </c>
      <c r="P59" s="121" t="str">
        <f t="shared" si="76"/>
        <v>I кв. 4 г.</v>
      </c>
      <c r="Q59" s="121" t="str">
        <f t="shared" si="76"/>
        <v>II кв. 4 г.</v>
      </c>
      <c r="R59" s="121" t="str">
        <f t="shared" si="76"/>
        <v>III кв. 4 г.</v>
      </c>
      <c r="S59" s="121" t="str">
        <f t="shared" si="76"/>
        <v>IV кв. 4 г.</v>
      </c>
      <c r="T59" s="121" t="str">
        <f t="shared" si="76"/>
        <v>I кв. 5 г.</v>
      </c>
      <c r="U59" s="121" t="str">
        <f t="shared" si="76"/>
        <v>II кв. 5 г.</v>
      </c>
      <c r="V59" s="121" t="str">
        <f t="shared" si="76"/>
        <v>III кв. 5 г.</v>
      </c>
      <c r="W59" s="121" t="str">
        <f t="shared" si="76"/>
        <v>IV кв. 5 г.</v>
      </c>
      <c r="X59" s="121" t="str">
        <f t="shared" si="76"/>
        <v>I кв. 6 г.</v>
      </c>
      <c r="Y59" s="121" t="str">
        <f t="shared" si="76"/>
        <v>II кв. 6 г.</v>
      </c>
      <c r="Z59" s="121" t="str">
        <f t="shared" si="76"/>
        <v>III кв. 6 г.</v>
      </c>
      <c r="AA59" s="121" t="str">
        <f t="shared" si="76"/>
        <v>IV кв. 6 г.</v>
      </c>
      <c r="AB59" s="121" t="str">
        <f t="shared" si="76"/>
        <v>I кв. 7 г.</v>
      </c>
      <c r="AC59" s="121" t="str">
        <f t="shared" si="76"/>
        <v>II кв. 7 г.</v>
      </c>
      <c r="AD59" s="121" t="str">
        <f t="shared" si="76"/>
        <v>III кв. 7 г.</v>
      </c>
      <c r="AE59" s="121" t="str">
        <f t="shared" si="76"/>
        <v>IV кв. 7 г.</v>
      </c>
      <c r="AF59" s="121" t="str">
        <f t="shared" si="76"/>
        <v>I кв. 8 г.</v>
      </c>
      <c r="AG59" s="121" t="str">
        <f t="shared" si="76"/>
        <v>II кв. 8 г.</v>
      </c>
      <c r="AH59" s="121" t="str">
        <f t="shared" si="76"/>
        <v>III кв. 8 г.</v>
      </c>
      <c r="AI59" s="121" t="str">
        <f t="shared" si="76"/>
        <v>IV кв. 8 г.</v>
      </c>
      <c r="AJ59" s="121" t="str">
        <f t="shared" si="76"/>
        <v>I кв. 9 г.</v>
      </c>
      <c r="AK59" s="121" t="str">
        <f t="shared" si="76"/>
        <v>II кв. 9 г.</v>
      </c>
      <c r="AL59" s="121" t="str">
        <f t="shared" si="76"/>
        <v>III кв. 9 г.</v>
      </c>
      <c r="AM59" s="121" t="str">
        <f t="shared" si="76"/>
        <v>IV кв. 9 г.</v>
      </c>
      <c r="AN59" s="121" t="str">
        <f t="shared" si="76"/>
        <v>I кв. 10 г.</v>
      </c>
      <c r="AO59" s="121" t="str">
        <f t="shared" si="76"/>
        <v>II кв. 10 г.</v>
      </c>
      <c r="AP59" s="121" t="str">
        <f t="shared" si="76"/>
        <v>III кв. 10 г.</v>
      </c>
      <c r="AQ59" s="121" t="str">
        <f t="shared" si="76"/>
        <v>IV кв. 10 г.</v>
      </c>
      <c r="AR59" s="121" t="str">
        <f t="shared" si="76"/>
        <v>I кв. 11 г.</v>
      </c>
      <c r="AS59" s="121" t="str">
        <f t="shared" si="5"/>
        <v>I кв. 11 г.</v>
      </c>
      <c r="AT59" s="121" t="str">
        <f t="shared" si="5"/>
        <v>I кв. 11 г.</v>
      </c>
      <c r="AU59" s="121" t="str">
        <f t="shared" si="5"/>
        <v>I кв. 11 г.</v>
      </c>
    </row>
    <row r="60" spans="1:59" ht="28.8">
      <c r="A60" s="94" t="s">
        <v>165</v>
      </c>
      <c r="B60" s="127">
        <v>3.0000000000000001E-3</v>
      </c>
      <c r="C60" s="112"/>
      <c r="D60" s="83">
        <f>D53</f>
        <v>0</v>
      </c>
      <c r="E60" s="97">
        <f t="shared" ref="E60:AQ60" si="77">E53</f>
        <v>0</v>
      </c>
      <c r="F60" s="97">
        <f t="shared" si="77"/>
        <v>0</v>
      </c>
      <c r="G60" s="97">
        <f t="shared" si="77"/>
        <v>0</v>
      </c>
      <c r="H60" s="97">
        <f t="shared" si="77"/>
        <v>0</v>
      </c>
      <c r="I60" s="97">
        <f t="shared" si="77"/>
        <v>0</v>
      </c>
      <c r="J60" s="97">
        <f t="shared" si="77"/>
        <v>0</v>
      </c>
      <c r="K60" s="97">
        <f t="shared" si="77"/>
        <v>0</v>
      </c>
      <c r="L60" s="97">
        <f t="shared" si="77"/>
        <v>0</v>
      </c>
      <c r="M60" s="97">
        <f t="shared" si="77"/>
        <v>0</v>
      </c>
      <c r="N60" s="97">
        <f t="shared" si="77"/>
        <v>0</v>
      </c>
      <c r="O60" s="97">
        <f t="shared" si="77"/>
        <v>0</v>
      </c>
      <c r="P60" s="97">
        <f t="shared" si="77"/>
        <v>0</v>
      </c>
      <c r="Q60" s="97">
        <f t="shared" si="77"/>
        <v>0</v>
      </c>
      <c r="R60" s="97">
        <f t="shared" si="77"/>
        <v>0</v>
      </c>
      <c r="S60" s="97">
        <f t="shared" si="77"/>
        <v>0</v>
      </c>
      <c r="T60" s="97">
        <f t="shared" si="77"/>
        <v>29.297340000000002</v>
      </c>
      <c r="U60" s="97">
        <f t="shared" si="77"/>
        <v>29.297340000000002</v>
      </c>
      <c r="V60" s="97">
        <f t="shared" si="77"/>
        <v>29.297340000000002</v>
      </c>
      <c r="W60" s="97">
        <f t="shared" si="77"/>
        <v>29.297340000000002</v>
      </c>
      <c r="X60" s="97">
        <f t="shared" si="77"/>
        <v>31.055180400000001</v>
      </c>
      <c r="Y60" s="97">
        <f t="shared" si="77"/>
        <v>31.055180400000001</v>
      </c>
      <c r="Z60" s="97">
        <f t="shared" si="77"/>
        <v>31.055180400000001</v>
      </c>
      <c r="AA60" s="97">
        <f t="shared" si="77"/>
        <v>31.055180400000001</v>
      </c>
      <c r="AB60" s="97">
        <f t="shared" si="77"/>
        <v>32.918491224000007</v>
      </c>
      <c r="AC60" s="97">
        <f t="shared" si="77"/>
        <v>32.918491224000007</v>
      </c>
      <c r="AD60" s="97">
        <f t="shared" si="77"/>
        <v>32.918491224000007</v>
      </c>
      <c r="AE60" s="97">
        <f t="shared" si="77"/>
        <v>32.918491224000007</v>
      </c>
      <c r="AF60" s="97">
        <f t="shared" si="77"/>
        <v>34.829285833440004</v>
      </c>
      <c r="AG60" s="97">
        <f t="shared" si="77"/>
        <v>34.829285833440004</v>
      </c>
      <c r="AH60" s="97">
        <f t="shared" si="77"/>
        <v>34.829285833440004</v>
      </c>
      <c r="AI60" s="97">
        <f t="shared" si="77"/>
        <v>34.829285833440004</v>
      </c>
      <c r="AJ60" s="97">
        <f t="shared" si="77"/>
        <v>36.919042983446403</v>
      </c>
      <c r="AK60" s="97">
        <f t="shared" si="77"/>
        <v>36.919042983446403</v>
      </c>
      <c r="AL60" s="97">
        <f t="shared" si="77"/>
        <v>36.919042983446403</v>
      </c>
      <c r="AM60" s="97">
        <f t="shared" si="77"/>
        <v>36.919042983446403</v>
      </c>
      <c r="AN60" s="97">
        <f t="shared" si="77"/>
        <v>39.134185562453197</v>
      </c>
      <c r="AO60" s="97">
        <f t="shared" si="77"/>
        <v>39.134185562453197</v>
      </c>
      <c r="AP60" s="97">
        <f t="shared" si="77"/>
        <v>39.134185562453197</v>
      </c>
      <c r="AQ60" s="97">
        <f t="shared" si="77"/>
        <v>39.134185562453197</v>
      </c>
      <c r="AR60" s="383">
        <f>AQ60*(1+допущения!$C$36)</f>
        <v>41.482236696200388</v>
      </c>
      <c r="AS60" s="383">
        <f t="shared" si="5"/>
        <v>41.482236696200388</v>
      </c>
      <c r="AT60" s="383">
        <f t="shared" si="5"/>
        <v>41.482236696200388</v>
      </c>
      <c r="AU60" s="383">
        <f t="shared" si="5"/>
        <v>41.482236696200388</v>
      </c>
    </row>
    <row r="61" spans="1:59">
      <c r="A61" s="94" t="s">
        <v>166</v>
      </c>
      <c r="B61" s="128">
        <f>SUM(B63:B65)</f>
        <v>0.3</v>
      </c>
      <c r="C61" s="112"/>
      <c r="D61" s="83">
        <f>D51</f>
        <v>0</v>
      </c>
      <c r="E61" s="97">
        <f t="shared" ref="E61:AQ61" si="78">E51</f>
        <v>0</v>
      </c>
      <c r="F61" s="97">
        <f t="shared" si="78"/>
        <v>0</v>
      </c>
      <c r="G61" s="97">
        <f t="shared" si="78"/>
        <v>0</v>
      </c>
      <c r="H61" s="97">
        <f t="shared" si="78"/>
        <v>0</v>
      </c>
      <c r="I61" s="97">
        <f t="shared" si="78"/>
        <v>0</v>
      </c>
      <c r="J61" s="97">
        <f t="shared" si="78"/>
        <v>0</v>
      </c>
      <c r="K61" s="97">
        <f t="shared" si="78"/>
        <v>0</v>
      </c>
      <c r="L61" s="97">
        <f t="shared" si="78"/>
        <v>0</v>
      </c>
      <c r="M61" s="97">
        <f t="shared" si="78"/>
        <v>0</v>
      </c>
      <c r="N61" s="97">
        <f t="shared" si="78"/>
        <v>0</v>
      </c>
      <c r="O61" s="97">
        <f t="shared" si="78"/>
        <v>0</v>
      </c>
      <c r="P61" s="97">
        <f t="shared" si="78"/>
        <v>0</v>
      </c>
      <c r="Q61" s="97">
        <f t="shared" si="78"/>
        <v>0</v>
      </c>
      <c r="R61" s="97">
        <f t="shared" si="78"/>
        <v>0</v>
      </c>
      <c r="S61" s="97">
        <f t="shared" si="78"/>
        <v>0</v>
      </c>
      <c r="T61" s="97">
        <f t="shared" si="78"/>
        <v>2929.7340000000004</v>
      </c>
      <c r="U61" s="97">
        <f t="shared" si="78"/>
        <v>2929.7340000000004</v>
      </c>
      <c r="V61" s="97">
        <f t="shared" si="78"/>
        <v>2929.7340000000004</v>
      </c>
      <c r="W61" s="97">
        <f t="shared" si="78"/>
        <v>2929.7340000000004</v>
      </c>
      <c r="X61" s="97">
        <f t="shared" si="78"/>
        <v>3105.5180399999999</v>
      </c>
      <c r="Y61" s="97">
        <f t="shared" si="78"/>
        <v>3105.5180399999999</v>
      </c>
      <c r="Z61" s="97">
        <f t="shared" si="78"/>
        <v>3105.5180399999999</v>
      </c>
      <c r="AA61" s="97">
        <f t="shared" si="78"/>
        <v>3105.5180399999999</v>
      </c>
      <c r="AB61" s="97">
        <f t="shared" si="78"/>
        <v>3291.8491223999999</v>
      </c>
      <c r="AC61" s="97">
        <f t="shared" si="78"/>
        <v>3291.8491223999999</v>
      </c>
      <c r="AD61" s="97">
        <f t="shared" si="78"/>
        <v>3291.8491223999999</v>
      </c>
      <c r="AE61" s="97">
        <f t="shared" si="78"/>
        <v>3291.8491223999999</v>
      </c>
      <c r="AF61" s="97">
        <f t="shared" si="78"/>
        <v>3482.9285833440008</v>
      </c>
      <c r="AG61" s="97">
        <f t="shared" si="78"/>
        <v>3482.9285833440008</v>
      </c>
      <c r="AH61" s="97">
        <f t="shared" si="78"/>
        <v>3482.9285833440008</v>
      </c>
      <c r="AI61" s="97">
        <f t="shared" si="78"/>
        <v>3482.9285833440008</v>
      </c>
      <c r="AJ61" s="97">
        <f t="shared" si="78"/>
        <v>3691.9042983446402</v>
      </c>
      <c r="AK61" s="97">
        <f t="shared" si="78"/>
        <v>3691.9042983446402</v>
      </c>
      <c r="AL61" s="97">
        <f t="shared" si="78"/>
        <v>3691.9042983446402</v>
      </c>
      <c r="AM61" s="97">
        <f t="shared" si="78"/>
        <v>3691.9042983446402</v>
      </c>
      <c r="AN61" s="97">
        <f t="shared" si="78"/>
        <v>3913.4185562453195</v>
      </c>
      <c r="AO61" s="97">
        <f t="shared" si="78"/>
        <v>3913.4185562453195</v>
      </c>
      <c r="AP61" s="97">
        <f t="shared" si="78"/>
        <v>3913.4185562453195</v>
      </c>
      <c r="AQ61" s="97">
        <f t="shared" si="78"/>
        <v>3913.4185562453195</v>
      </c>
      <c r="AR61" s="383">
        <f>AQ61*(1+допущения!$C$36)</f>
        <v>4148.2236696200389</v>
      </c>
      <c r="AS61" s="383">
        <f t="shared" si="5"/>
        <v>4148.2236696200389</v>
      </c>
      <c r="AT61" s="383">
        <f t="shared" si="5"/>
        <v>4148.2236696200389</v>
      </c>
      <c r="AU61" s="383">
        <f t="shared" si="5"/>
        <v>4148.2236696200389</v>
      </c>
    </row>
    <row r="62" spans="1:59">
      <c r="A62" s="94" t="s">
        <v>167</v>
      </c>
      <c r="B62" s="109"/>
      <c r="C62" s="112"/>
      <c r="D62" s="83"/>
      <c r="E62" s="83"/>
      <c r="F62" s="83"/>
      <c r="G62" s="83"/>
      <c r="H62" s="83"/>
      <c r="I62" s="83"/>
      <c r="J62" s="83"/>
      <c r="K62" s="83"/>
      <c r="L62" s="83"/>
      <c r="M62" s="83"/>
      <c r="N62" s="83"/>
      <c r="O62" s="83"/>
      <c r="P62" s="83"/>
      <c r="Q62" s="83"/>
      <c r="R62" s="83"/>
      <c r="S62" s="83"/>
      <c r="T62" s="83"/>
      <c r="U62" s="83"/>
      <c r="V62" s="83"/>
      <c r="AR62" s="383"/>
      <c r="AS62" s="383"/>
      <c r="AT62" s="383"/>
      <c r="AU62" s="383"/>
    </row>
    <row r="63" spans="1:59" ht="28.8">
      <c r="A63" s="94" t="s">
        <v>168</v>
      </c>
      <c r="B63" s="127">
        <v>0.22</v>
      </c>
      <c r="C63" s="112"/>
      <c r="D63" s="83">
        <f>D49*$B$63</f>
        <v>0</v>
      </c>
      <c r="E63" s="83">
        <f t="shared" ref="E63:AQ63" si="79">E49*$B$63</f>
        <v>0</v>
      </c>
      <c r="F63" s="83">
        <f t="shared" si="79"/>
        <v>0</v>
      </c>
      <c r="G63" s="83">
        <f t="shared" si="79"/>
        <v>0</v>
      </c>
      <c r="H63" s="83">
        <f t="shared" si="79"/>
        <v>0</v>
      </c>
      <c r="I63" s="83">
        <f t="shared" si="79"/>
        <v>0</v>
      </c>
      <c r="J63" s="83">
        <f t="shared" si="79"/>
        <v>0</v>
      </c>
      <c r="K63" s="83">
        <f t="shared" si="79"/>
        <v>0</v>
      </c>
      <c r="L63" s="83">
        <f t="shared" si="79"/>
        <v>0</v>
      </c>
      <c r="M63" s="83">
        <f t="shared" si="79"/>
        <v>0</v>
      </c>
      <c r="N63" s="83">
        <f t="shared" si="79"/>
        <v>0</v>
      </c>
      <c r="O63" s="83">
        <f t="shared" si="79"/>
        <v>0</v>
      </c>
      <c r="P63" s="83">
        <f t="shared" si="79"/>
        <v>0</v>
      </c>
      <c r="Q63" s="83">
        <f t="shared" si="79"/>
        <v>0</v>
      </c>
      <c r="R63" s="83">
        <f t="shared" si="79"/>
        <v>0</v>
      </c>
      <c r="S63" s="83">
        <f t="shared" si="79"/>
        <v>0</v>
      </c>
      <c r="T63" s="97">
        <f t="shared" si="79"/>
        <v>2148.4716000000003</v>
      </c>
      <c r="U63" s="97">
        <f t="shared" si="79"/>
        <v>2148.4716000000003</v>
      </c>
      <c r="V63" s="97">
        <f t="shared" si="79"/>
        <v>2148.4716000000003</v>
      </c>
      <c r="W63" s="97">
        <f t="shared" si="79"/>
        <v>2148.4716000000003</v>
      </c>
      <c r="X63" s="97">
        <f t="shared" si="79"/>
        <v>2277.3798959999999</v>
      </c>
      <c r="Y63" s="97">
        <f t="shared" si="79"/>
        <v>2277.3798959999999</v>
      </c>
      <c r="Z63" s="383">
        <f t="shared" si="79"/>
        <v>2277.3798959999999</v>
      </c>
      <c r="AA63" s="383">
        <f t="shared" si="79"/>
        <v>2277.3798959999999</v>
      </c>
      <c r="AB63" s="383">
        <f t="shared" si="79"/>
        <v>2414.0226897600005</v>
      </c>
      <c r="AC63" s="383">
        <f t="shared" si="79"/>
        <v>2414.0226897600005</v>
      </c>
      <c r="AD63" s="383">
        <f t="shared" si="79"/>
        <v>2414.0226897600005</v>
      </c>
      <c r="AE63" s="383">
        <f t="shared" si="79"/>
        <v>2414.0226897600005</v>
      </c>
      <c r="AF63" s="383">
        <f t="shared" si="79"/>
        <v>2554.1476277856004</v>
      </c>
      <c r="AG63" s="383">
        <f t="shared" si="79"/>
        <v>2554.1476277856004</v>
      </c>
      <c r="AH63" s="383">
        <f t="shared" si="79"/>
        <v>2554.1476277856004</v>
      </c>
      <c r="AI63" s="383">
        <f t="shared" si="79"/>
        <v>2554.1476277856004</v>
      </c>
      <c r="AJ63" s="383">
        <f t="shared" si="79"/>
        <v>2707.3964854527362</v>
      </c>
      <c r="AK63" s="383">
        <f t="shared" si="79"/>
        <v>2707.3964854527362</v>
      </c>
      <c r="AL63" s="383">
        <f t="shared" si="79"/>
        <v>2707.3964854527362</v>
      </c>
      <c r="AM63" s="383">
        <f t="shared" si="79"/>
        <v>2707.3964854527362</v>
      </c>
      <c r="AN63" s="383">
        <f t="shared" si="79"/>
        <v>2869.8402745799012</v>
      </c>
      <c r="AO63" s="383">
        <f t="shared" si="79"/>
        <v>2869.8402745799012</v>
      </c>
      <c r="AP63" s="383">
        <f t="shared" si="79"/>
        <v>2869.8402745799012</v>
      </c>
      <c r="AQ63" s="383">
        <f t="shared" si="79"/>
        <v>2869.8402745799012</v>
      </c>
      <c r="AR63" s="383">
        <f>AQ63*(1+допущения!$C$36)</f>
        <v>3042.0306910546956</v>
      </c>
      <c r="AS63" s="383">
        <f t="shared" si="5"/>
        <v>3042.0306910546956</v>
      </c>
      <c r="AT63" s="383">
        <f t="shared" si="5"/>
        <v>3042.0306910546956</v>
      </c>
      <c r="AU63" s="383">
        <f t="shared" si="5"/>
        <v>3042.0306910546956</v>
      </c>
    </row>
    <row r="64" spans="1:59" ht="43.2">
      <c r="A64" s="94" t="s">
        <v>169</v>
      </c>
      <c r="B64" s="127">
        <v>2.9000000000000001E-2</v>
      </c>
      <c r="C64" s="112"/>
      <c r="D64" s="83">
        <f>D49*$B$64</f>
        <v>0</v>
      </c>
      <c r="E64" s="83">
        <f t="shared" ref="E64:AQ64" si="80">E49*$B$64</f>
        <v>0</v>
      </c>
      <c r="F64" s="83">
        <f t="shared" si="80"/>
        <v>0</v>
      </c>
      <c r="G64" s="83">
        <f t="shared" si="80"/>
        <v>0</v>
      </c>
      <c r="H64" s="83">
        <f t="shared" si="80"/>
        <v>0</v>
      </c>
      <c r="I64" s="83">
        <f t="shared" si="80"/>
        <v>0</v>
      </c>
      <c r="J64" s="83">
        <f t="shared" si="80"/>
        <v>0</v>
      </c>
      <c r="K64" s="83">
        <f t="shared" si="80"/>
        <v>0</v>
      </c>
      <c r="L64" s="83">
        <f t="shared" si="80"/>
        <v>0</v>
      </c>
      <c r="M64" s="83">
        <f t="shared" si="80"/>
        <v>0</v>
      </c>
      <c r="N64" s="83">
        <f t="shared" si="80"/>
        <v>0</v>
      </c>
      <c r="O64" s="83">
        <f t="shared" si="80"/>
        <v>0</v>
      </c>
      <c r="P64" s="83">
        <f t="shared" si="80"/>
        <v>0</v>
      </c>
      <c r="Q64" s="83">
        <f t="shared" si="80"/>
        <v>0</v>
      </c>
      <c r="R64" s="83">
        <f t="shared" si="80"/>
        <v>0</v>
      </c>
      <c r="S64" s="83">
        <f t="shared" si="80"/>
        <v>0</v>
      </c>
      <c r="T64" s="97">
        <f t="shared" si="80"/>
        <v>283.20762000000002</v>
      </c>
      <c r="U64" s="97">
        <f t="shared" si="80"/>
        <v>283.20762000000002</v>
      </c>
      <c r="V64" s="97">
        <f t="shared" si="80"/>
        <v>283.20762000000002</v>
      </c>
      <c r="W64" s="97">
        <f t="shared" si="80"/>
        <v>283.20762000000002</v>
      </c>
      <c r="X64" s="97">
        <f t="shared" si="80"/>
        <v>300.20007720000001</v>
      </c>
      <c r="Y64" s="97">
        <f t="shared" si="80"/>
        <v>300.20007720000001</v>
      </c>
      <c r="Z64" s="383">
        <f t="shared" si="80"/>
        <v>300.20007720000001</v>
      </c>
      <c r="AA64" s="383">
        <f t="shared" si="80"/>
        <v>300.20007720000001</v>
      </c>
      <c r="AB64" s="383">
        <f t="shared" si="80"/>
        <v>318.21208183200008</v>
      </c>
      <c r="AC64" s="383">
        <f t="shared" si="80"/>
        <v>318.21208183200008</v>
      </c>
      <c r="AD64" s="383">
        <f t="shared" si="80"/>
        <v>318.21208183200008</v>
      </c>
      <c r="AE64" s="383">
        <f t="shared" si="80"/>
        <v>318.21208183200008</v>
      </c>
      <c r="AF64" s="383">
        <f t="shared" si="80"/>
        <v>336.68309638992008</v>
      </c>
      <c r="AG64" s="383">
        <f t="shared" si="80"/>
        <v>336.68309638992008</v>
      </c>
      <c r="AH64" s="383">
        <f t="shared" si="80"/>
        <v>336.68309638992008</v>
      </c>
      <c r="AI64" s="383">
        <f t="shared" si="80"/>
        <v>336.68309638992008</v>
      </c>
      <c r="AJ64" s="383">
        <f t="shared" si="80"/>
        <v>356.88408217331522</v>
      </c>
      <c r="AK64" s="383">
        <f t="shared" si="80"/>
        <v>356.88408217331522</v>
      </c>
      <c r="AL64" s="383">
        <f t="shared" si="80"/>
        <v>356.88408217331522</v>
      </c>
      <c r="AM64" s="383">
        <f t="shared" si="80"/>
        <v>356.88408217331522</v>
      </c>
      <c r="AN64" s="383">
        <f t="shared" si="80"/>
        <v>378.29712710371427</v>
      </c>
      <c r="AO64" s="383">
        <f t="shared" si="80"/>
        <v>378.29712710371427</v>
      </c>
      <c r="AP64" s="383">
        <f t="shared" si="80"/>
        <v>378.29712710371427</v>
      </c>
      <c r="AQ64" s="383">
        <f t="shared" si="80"/>
        <v>378.29712710371427</v>
      </c>
      <c r="AR64" s="383">
        <f>AQ64*(1+допущения!$C$36)</f>
        <v>400.99495472993715</v>
      </c>
      <c r="AS64" s="383">
        <f t="shared" si="5"/>
        <v>400.99495472993715</v>
      </c>
      <c r="AT64" s="383">
        <f t="shared" si="5"/>
        <v>400.99495472993715</v>
      </c>
      <c r="AU64" s="383">
        <f t="shared" si="5"/>
        <v>400.99495472993715</v>
      </c>
    </row>
    <row r="65" spans="1:47" ht="28.8">
      <c r="A65" s="94" t="s">
        <v>170</v>
      </c>
      <c r="B65" s="127">
        <v>5.0999999999999997E-2</v>
      </c>
      <c r="C65" s="112"/>
      <c r="D65" s="83">
        <f>D49*$B$65</f>
        <v>0</v>
      </c>
      <c r="E65" s="83">
        <f t="shared" ref="E65:AQ65" si="81">E49*$B$65</f>
        <v>0</v>
      </c>
      <c r="F65" s="83">
        <f t="shared" si="81"/>
        <v>0</v>
      </c>
      <c r="G65" s="83">
        <f t="shared" si="81"/>
        <v>0</v>
      </c>
      <c r="H65" s="83">
        <f t="shared" si="81"/>
        <v>0</v>
      </c>
      <c r="I65" s="83">
        <f t="shared" si="81"/>
        <v>0</v>
      </c>
      <c r="J65" s="83">
        <f t="shared" si="81"/>
        <v>0</v>
      </c>
      <c r="K65" s="83">
        <f t="shared" si="81"/>
        <v>0</v>
      </c>
      <c r="L65" s="83">
        <f t="shared" si="81"/>
        <v>0</v>
      </c>
      <c r="M65" s="83">
        <f t="shared" si="81"/>
        <v>0</v>
      </c>
      <c r="N65" s="83">
        <f t="shared" si="81"/>
        <v>0</v>
      </c>
      <c r="O65" s="83">
        <f t="shared" si="81"/>
        <v>0</v>
      </c>
      <c r="P65" s="83">
        <f t="shared" si="81"/>
        <v>0</v>
      </c>
      <c r="Q65" s="83">
        <f t="shared" si="81"/>
        <v>0</v>
      </c>
      <c r="R65" s="83">
        <f t="shared" si="81"/>
        <v>0</v>
      </c>
      <c r="S65" s="83">
        <f t="shared" si="81"/>
        <v>0</v>
      </c>
      <c r="T65" s="97">
        <f t="shared" si="81"/>
        <v>498.05477999999999</v>
      </c>
      <c r="U65" s="97">
        <f t="shared" si="81"/>
        <v>498.05477999999999</v>
      </c>
      <c r="V65" s="97">
        <f t="shared" si="81"/>
        <v>498.05477999999999</v>
      </c>
      <c r="W65" s="97">
        <f t="shared" si="81"/>
        <v>498.05477999999999</v>
      </c>
      <c r="X65" s="97">
        <f t="shared" si="81"/>
        <v>527.9380668</v>
      </c>
      <c r="Y65" s="97">
        <f t="shared" si="81"/>
        <v>527.9380668</v>
      </c>
      <c r="Z65" s="383">
        <f t="shared" si="81"/>
        <v>527.9380668</v>
      </c>
      <c r="AA65" s="383">
        <f t="shared" si="81"/>
        <v>527.9380668</v>
      </c>
      <c r="AB65" s="383">
        <f t="shared" si="81"/>
        <v>559.61435080800004</v>
      </c>
      <c r="AC65" s="383">
        <f t="shared" si="81"/>
        <v>559.61435080800004</v>
      </c>
      <c r="AD65" s="383">
        <f t="shared" si="81"/>
        <v>559.61435080800004</v>
      </c>
      <c r="AE65" s="383">
        <f t="shared" si="81"/>
        <v>559.61435080800004</v>
      </c>
      <c r="AF65" s="383">
        <f t="shared" si="81"/>
        <v>592.09785916848011</v>
      </c>
      <c r="AG65" s="383">
        <f t="shared" si="81"/>
        <v>592.09785916848011</v>
      </c>
      <c r="AH65" s="383">
        <f t="shared" si="81"/>
        <v>592.09785916848011</v>
      </c>
      <c r="AI65" s="383">
        <f t="shared" si="81"/>
        <v>592.09785916848011</v>
      </c>
      <c r="AJ65" s="383">
        <f t="shared" si="81"/>
        <v>627.62373071858883</v>
      </c>
      <c r="AK65" s="383">
        <f t="shared" si="81"/>
        <v>627.62373071858883</v>
      </c>
      <c r="AL65" s="383">
        <f t="shared" si="81"/>
        <v>627.62373071858883</v>
      </c>
      <c r="AM65" s="383">
        <f t="shared" si="81"/>
        <v>627.62373071858883</v>
      </c>
      <c r="AN65" s="383">
        <f t="shared" si="81"/>
        <v>665.28115456170428</v>
      </c>
      <c r="AO65" s="383">
        <f t="shared" si="81"/>
        <v>665.28115456170428</v>
      </c>
      <c r="AP65" s="383">
        <f t="shared" si="81"/>
        <v>665.28115456170428</v>
      </c>
      <c r="AQ65" s="383">
        <f t="shared" si="81"/>
        <v>665.28115456170428</v>
      </c>
      <c r="AR65" s="383">
        <f>AQ65*(1+допущения!$C$36)</f>
        <v>705.19802383540662</v>
      </c>
      <c r="AS65" s="383">
        <f t="shared" si="5"/>
        <v>705.19802383540662</v>
      </c>
      <c r="AT65" s="383">
        <f t="shared" si="5"/>
        <v>705.19802383540662</v>
      </c>
      <c r="AU65" s="383">
        <f t="shared" si="5"/>
        <v>705.19802383540662</v>
      </c>
    </row>
    <row r="66" spans="1:47" ht="28.8">
      <c r="A66" s="5" t="s">
        <v>171</v>
      </c>
      <c r="B66" s="129">
        <f>B6+B15+B23+B26+B34+B47</f>
        <v>77</v>
      </c>
      <c r="C66" s="130">
        <f>(B2*C2+B3*C3+B4*C4+B5*C5+B9*C9+B10*C10+B11*C11+B12*C12+B14*C14)/B66</f>
        <v>39.883116883116884</v>
      </c>
    </row>
    <row r="67" spans="1:47">
      <c r="A67" s="118" t="s">
        <v>163</v>
      </c>
      <c r="B67" s="119" t="str">
        <f>'объем работ 100% загр'!C3</f>
        <v>1 год</v>
      </c>
      <c r="C67" s="119" t="str">
        <f>'объем работ 100% загр'!D3</f>
        <v>2 год</v>
      </c>
      <c r="D67" s="119" t="str">
        <f>'объем работ 100% загр'!E3</f>
        <v>3 год</v>
      </c>
      <c r="E67" s="119" t="str">
        <f>'объем работ 100% загр'!F3</f>
        <v>4 год</v>
      </c>
      <c r="F67" s="119" t="str">
        <f>'объем работ 100% загр'!G3</f>
        <v>5 год</v>
      </c>
      <c r="G67" s="119" t="str">
        <f>'объем работ 100% загр'!H3</f>
        <v>6 год</v>
      </c>
      <c r="H67" s="119" t="str">
        <f>'объем работ 100% загр'!I3</f>
        <v>7 год</v>
      </c>
      <c r="I67" s="119" t="str">
        <f>'объем работ 100% загр'!J3</f>
        <v>8 год</v>
      </c>
      <c r="J67" s="119" t="str">
        <f>'объем работ 100% загр'!K3</f>
        <v>9 год</v>
      </c>
      <c r="K67" s="119" t="str">
        <f>'объем работ 100% загр'!L3</f>
        <v>10 год</v>
      </c>
      <c r="L67" s="119" t="str">
        <f>'объем работ 100% загр'!M3</f>
        <v>11 год</v>
      </c>
    </row>
    <row r="68" spans="1:47" ht="28.8">
      <c r="A68" s="94" t="str">
        <f>A60</f>
        <v>Взносы ФСС (нс и пз -0,3%)</v>
      </c>
      <c r="B68" s="131">
        <f t="shared" ref="B68:B73" si="82">SUM(D60:G60)</f>
        <v>0</v>
      </c>
      <c r="C68" s="131">
        <f t="shared" ref="C68:C73" si="83">SUM(H60:K60)</f>
        <v>0</v>
      </c>
      <c r="D68" s="131">
        <f t="shared" ref="D68:D73" si="84">SUM(L60:O60)</f>
        <v>0</v>
      </c>
      <c r="E68" s="131">
        <f t="shared" ref="E68:E73" si="85">SUM(P60:S60)</f>
        <v>0</v>
      </c>
      <c r="F68" s="131">
        <f t="shared" ref="F68:F73" si="86">SUM(T60:W60)</f>
        <v>117.18936000000001</v>
      </c>
      <c r="G68" s="131">
        <f t="shared" ref="G68:G73" si="87">SUM(X60:AA60)</f>
        <v>124.2207216</v>
      </c>
      <c r="H68" s="131">
        <f t="shared" ref="H68:H73" si="88">SUM(AB60:AE60)</f>
        <v>131.67396489600003</v>
      </c>
      <c r="I68" s="131">
        <f t="shared" ref="I68:I73" si="89">SUM(AF60:AI60)</f>
        <v>139.31714333376001</v>
      </c>
      <c r="J68" s="131">
        <f t="shared" ref="J68:J73" si="90">SUM(AJ60:AM60)</f>
        <v>147.67617193378561</v>
      </c>
      <c r="K68" s="131">
        <f t="shared" ref="K68:K73" si="91">SUM(AN60:AQ60)</f>
        <v>156.53674224981279</v>
      </c>
      <c r="L68" s="131">
        <f>SUM(AR60:AU60)</f>
        <v>165.92894678480155</v>
      </c>
    </row>
    <row r="69" spans="1:47">
      <c r="A69" s="94" t="s">
        <v>166</v>
      </c>
      <c r="B69" s="131">
        <f t="shared" si="82"/>
        <v>0</v>
      </c>
      <c r="C69" s="131">
        <f t="shared" si="83"/>
        <v>0</v>
      </c>
      <c r="D69" s="131">
        <f t="shared" si="84"/>
        <v>0</v>
      </c>
      <c r="E69" s="131">
        <f t="shared" si="85"/>
        <v>0</v>
      </c>
      <c r="F69" s="131">
        <f t="shared" si="86"/>
        <v>11718.936000000002</v>
      </c>
      <c r="G69" s="131">
        <f t="shared" si="87"/>
        <v>12422.07216</v>
      </c>
      <c r="H69" s="131">
        <f t="shared" si="88"/>
        <v>13167.3964896</v>
      </c>
      <c r="I69" s="131">
        <f t="shared" si="89"/>
        <v>13931.714333376003</v>
      </c>
      <c r="J69" s="131">
        <f t="shared" si="90"/>
        <v>14767.617193378561</v>
      </c>
      <c r="K69" s="131">
        <f t="shared" si="91"/>
        <v>15653.674224981278</v>
      </c>
      <c r="L69" s="131">
        <f t="shared" ref="L69:L73" si="92">SUM(AR61:AU61)</f>
        <v>16592.894678480156</v>
      </c>
    </row>
    <row r="70" spans="1:47">
      <c r="A70" s="94" t="s">
        <v>167</v>
      </c>
      <c r="B70" s="131"/>
      <c r="C70" s="131"/>
      <c r="D70" s="131"/>
      <c r="E70" s="131"/>
      <c r="F70" s="131"/>
      <c r="G70" s="131"/>
      <c r="H70" s="131"/>
      <c r="I70" s="131"/>
      <c r="J70" s="131"/>
      <c r="K70" s="131"/>
      <c r="L70" s="131"/>
    </row>
    <row r="71" spans="1:47" ht="28.8">
      <c r="A71" s="94" t="s">
        <v>168</v>
      </c>
      <c r="B71" s="131">
        <f t="shared" si="82"/>
        <v>0</v>
      </c>
      <c r="C71" s="131">
        <f t="shared" si="83"/>
        <v>0</v>
      </c>
      <c r="D71" s="131">
        <f t="shared" si="84"/>
        <v>0</v>
      </c>
      <c r="E71" s="131">
        <f t="shared" si="85"/>
        <v>0</v>
      </c>
      <c r="F71" s="131">
        <f t="shared" si="86"/>
        <v>8593.8864000000012</v>
      </c>
      <c r="G71" s="131">
        <f t="shared" si="87"/>
        <v>9109.5195839999997</v>
      </c>
      <c r="H71" s="131">
        <f t="shared" si="88"/>
        <v>9656.090759040002</v>
      </c>
      <c r="I71" s="131">
        <f t="shared" si="89"/>
        <v>10216.590511142402</v>
      </c>
      <c r="J71" s="131">
        <f t="shared" si="90"/>
        <v>10829.585941810945</v>
      </c>
      <c r="K71" s="131">
        <f t="shared" si="91"/>
        <v>11479.361098319605</v>
      </c>
      <c r="L71" s="131">
        <f t="shared" si="92"/>
        <v>12168.122764218782</v>
      </c>
    </row>
    <row r="72" spans="1:47" ht="43.2">
      <c r="A72" s="94" t="s">
        <v>169</v>
      </c>
      <c r="B72" s="131">
        <f t="shared" si="82"/>
        <v>0</v>
      </c>
      <c r="C72" s="131">
        <f t="shared" si="83"/>
        <v>0</v>
      </c>
      <c r="D72" s="131">
        <f t="shared" si="84"/>
        <v>0</v>
      </c>
      <c r="E72" s="131">
        <f t="shared" si="85"/>
        <v>0</v>
      </c>
      <c r="F72" s="131">
        <f t="shared" si="86"/>
        <v>1132.8304800000001</v>
      </c>
      <c r="G72" s="131">
        <f t="shared" si="87"/>
        <v>1200.8003088</v>
      </c>
      <c r="H72" s="131">
        <f t="shared" si="88"/>
        <v>1272.8483273280003</v>
      </c>
      <c r="I72" s="131">
        <f t="shared" si="89"/>
        <v>1346.7323855596803</v>
      </c>
      <c r="J72" s="131">
        <f t="shared" si="90"/>
        <v>1427.5363286932609</v>
      </c>
      <c r="K72" s="131">
        <f t="shared" si="91"/>
        <v>1513.1885084148571</v>
      </c>
      <c r="L72" s="131">
        <f t="shared" si="92"/>
        <v>1603.9798189197486</v>
      </c>
    </row>
    <row r="73" spans="1:47" ht="28.8">
      <c r="A73" s="94" t="s">
        <v>170</v>
      </c>
      <c r="B73" s="131">
        <f t="shared" si="82"/>
        <v>0</v>
      </c>
      <c r="C73" s="131">
        <f t="shared" si="83"/>
        <v>0</v>
      </c>
      <c r="D73" s="131">
        <f t="shared" si="84"/>
        <v>0</v>
      </c>
      <c r="E73" s="131">
        <f t="shared" si="85"/>
        <v>0</v>
      </c>
      <c r="F73" s="131">
        <f t="shared" si="86"/>
        <v>1992.21912</v>
      </c>
      <c r="G73" s="131">
        <f t="shared" si="87"/>
        <v>2111.7522672</v>
      </c>
      <c r="H73" s="131">
        <f t="shared" si="88"/>
        <v>2238.4574032320002</v>
      </c>
      <c r="I73" s="131">
        <f t="shared" si="89"/>
        <v>2368.3914366739205</v>
      </c>
      <c r="J73" s="131">
        <f t="shared" si="90"/>
        <v>2510.4949228743553</v>
      </c>
      <c r="K73" s="131">
        <f t="shared" si="91"/>
        <v>2661.1246182468171</v>
      </c>
      <c r="L73" s="131">
        <f t="shared" si="92"/>
        <v>2820.7920953416265</v>
      </c>
    </row>
    <row r="74" spans="1:47">
      <c r="A74" s="403" t="s">
        <v>18</v>
      </c>
      <c r="B74" s="404">
        <f>B68+B69</f>
        <v>0</v>
      </c>
      <c r="C74" s="404">
        <f>C68+C69</f>
        <v>0</v>
      </c>
      <c r="D74" s="404">
        <f t="shared" ref="D74:L74" si="93">D68+D69</f>
        <v>0</v>
      </c>
      <c r="E74" s="404">
        <f t="shared" si="93"/>
        <v>0</v>
      </c>
      <c r="F74" s="404">
        <f t="shared" si="93"/>
        <v>11836.125360000002</v>
      </c>
      <c r="G74" s="404">
        <f t="shared" si="93"/>
        <v>12546.2928816</v>
      </c>
      <c r="H74" s="404">
        <f t="shared" si="93"/>
        <v>13299.070454495999</v>
      </c>
      <c r="I74" s="404">
        <f t="shared" si="93"/>
        <v>14071.031476709763</v>
      </c>
      <c r="J74" s="404">
        <f t="shared" si="93"/>
        <v>14915.293365312347</v>
      </c>
      <c r="K74" s="404">
        <f t="shared" si="93"/>
        <v>15810.210967231091</v>
      </c>
      <c r="L74" s="404">
        <f t="shared" si="93"/>
        <v>16758.823625264959</v>
      </c>
    </row>
    <row r="77" spans="1:47">
      <c r="A77" s="376" t="s">
        <v>172</v>
      </c>
      <c r="B77" s="376" t="str">
        <f>'объем работ 100% загр'!C22</f>
        <v>1 год</v>
      </c>
      <c r="C77" s="376" t="str">
        <f>'объем работ 100% загр'!D22</f>
        <v>2 год</v>
      </c>
      <c r="D77" s="376" t="str">
        <f>'объем работ 100% загр'!E22</f>
        <v>3 год</v>
      </c>
      <c r="E77" s="376" t="str">
        <f>'объем работ 100% загр'!F22</f>
        <v>4 год</v>
      </c>
      <c r="F77" s="376" t="str">
        <f>'объем работ 100% загр'!G22</f>
        <v>5 год</v>
      </c>
      <c r="G77" s="376" t="str">
        <f>'объем работ 100% загр'!H22</f>
        <v>6 год</v>
      </c>
      <c r="H77" s="376" t="str">
        <f>'объем работ 100% загр'!I22</f>
        <v>7 год</v>
      </c>
      <c r="I77" s="376" t="str">
        <f>'объем работ 100% загр'!J22</f>
        <v>8 год</v>
      </c>
      <c r="J77" s="376" t="str">
        <f>'объем работ 100% загр'!K22</f>
        <v>9 год</v>
      </c>
      <c r="K77" s="376" t="str">
        <f>'объем работ 100% загр'!L22</f>
        <v>10 год</v>
      </c>
      <c r="L77" s="376" t="str">
        <f>'объем работ 100% загр'!M22</f>
        <v>11 год</v>
      </c>
    </row>
    <row r="78" spans="1:47">
      <c r="A78" s="94" t="str">
        <f t="shared" ref="A78:A81" si="94">A2</f>
        <v>Генеральный директор</v>
      </c>
      <c r="B78" s="589"/>
      <c r="C78" s="589"/>
      <c r="D78" s="589"/>
      <c r="E78" s="589"/>
      <c r="F78" s="589">
        <f>B2</f>
        <v>1</v>
      </c>
      <c r="G78" s="589">
        <f t="shared" ref="G78:L78" si="95">F78</f>
        <v>1</v>
      </c>
      <c r="H78" s="589">
        <f t="shared" si="95"/>
        <v>1</v>
      </c>
      <c r="I78" s="589">
        <f t="shared" si="95"/>
        <v>1</v>
      </c>
      <c r="J78" s="589">
        <f t="shared" si="95"/>
        <v>1</v>
      </c>
      <c r="K78" s="589">
        <f t="shared" si="95"/>
        <v>1</v>
      </c>
      <c r="L78" s="589">
        <f t="shared" si="95"/>
        <v>1</v>
      </c>
    </row>
    <row r="79" spans="1:47" ht="28.5" customHeight="1">
      <c r="A79" s="94" t="str">
        <f t="shared" si="94"/>
        <v>Главный инженер</v>
      </c>
      <c r="B79" s="589"/>
      <c r="C79" s="589"/>
      <c r="D79" s="589"/>
      <c r="E79" s="589"/>
      <c r="F79" s="589">
        <f t="shared" ref="F79:F81" si="96">B3</f>
        <v>1</v>
      </c>
      <c r="G79" s="589">
        <f t="shared" ref="C79:L83" si="97">F79</f>
        <v>1</v>
      </c>
      <c r="H79" s="589">
        <f t="shared" si="97"/>
        <v>1</v>
      </c>
      <c r="I79" s="589">
        <f t="shared" si="97"/>
        <v>1</v>
      </c>
      <c r="J79" s="589">
        <f t="shared" si="97"/>
        <v>1</v>
      </c>
      <c r="K79" s="589">
        <f t="shared" si="97"/>
        <v>1</v>
      </c>
      <c r="L79" s="589">
        <f t="shared" si="97"/>
        <v>1</v>
      </c>
      <c r="N79" s="704" t="s">
        <v>173</v>
      </c>
      <c r="O79" s="704"/>
    </row>
    <row r="80" spans="1:47" ht="33" customHeight="1">
      <c r="A80" s="94" t="str">
        <f t="shared" si="94"/>
        <v>Менеджер по продажам</v>
      </c>
      <c r="B80" s="589"/>
      <c r="C80" s="589"/>
      <c r="D80" s="589"/>
      <c r="E80" s="589"/>
      <c r="F80" s="589">
        <f t="shared" si="96"/>
        <v>2</v>
      </c>
      <c r="G80" s="589">
        <f t="shared" si="97"/>
        <v>2</v>
      </c>
      <c r="H80" s="589">
        <f t="shared" si="97"/>
        <v>2</v>
      </c>
      <c r="I80" s="589">
        <f t="shared" si="97"/>
        <v>2</v>
      </c>
      <c r="J80" s="589">
        <f t="shared" si="97"/>
        <v>2</v>
      </c>
      <c r="K80" s="589">
        <f t="shared" si="97"/>
        <v>2</v>
      </c>
      <c r="L80" s="589">
        <f t="shared" si="97"/>
        <v>2</v>
      </c>
      <c r="N80" s="80" t="s">
        <v>174</v>
      </c>
      <c r="O80" s="132">
        <f>K82/K91</f>
        <v>0.11688311688311688</v>
      </c>
    </row>
    <row r="81" spans="1:15" ht="30.75" customHeight="1">
      <c r="A81" s="94" t="str">
        <f t="shared" si="94"/>
        <v>АУП (бухгалтер, юрист, кадровик, СОТ)</v>
      </c>
      <c r="B81" s="589"/>
      <c r="C81" s="589"/>
      <c r="D81" s="589"/>
      <c r="E81" s="589"/>
      <c r="F81" s="589">
        <f t="shared" si="96"/>
        <v>5</v>
      </c>
      <c r="G81" s="589">
        <f t="shared" si="97"/>
        <v>5</v>
      </c>
      <c r="H81" s="589">
        <f t="shared" si="97"/>
        <v>5</v>
      </c>
      <c r="I81" s="589">
        <f t="shared" si="97"/>
        <v>5</v>
      </c>
      <c r="J81" s="589">
        <f t="shared" si="97"/>
        <v>5</v>
      </c>
      <c r="K81" s="589">
        <f t="shared" si="97"/>
        <v>5</v>
      </c>
      <c r="L81" s="589">
        <f t="shared" si="97"/>
        <v>5</v>
      </c>
      <c r="N81" s="80" t="s">
        <v>175</v>
      </c>
      <c r="O81" s="132">
        <f>K90/K91</f>
        <v>0.88311688311688308</v>
      </c>
    </row>
    <row r="82" spans="1:15" ht="30.75" customHeight="1">
      <c r="A82" s="99" t="s">
        <v>176</v>
      </c>
      <c r="B82" s="590">
        <f>SUM(B78:B81)</f>
        <v>0</v>
      </c>
      <c r="C82" s="590">
        <f t="shared" si="97"/>
        <v>0</v>
      </c>
      <c r="D82" s="590">
        <f t="shared" ref="D82:J82" si="98">SUM(D78:D81)</f>
        <v>0</v>
      </c>
      <c r="E82" s="590">
        <f t="shared" si="98"/>
        <v>0</v>
      </c>
      <c r="F82" s="590">
        <f t="shared" si="98"/>
        <v>9</v>
      </c>
      <c r="G82" s="590">
        <f t="shared" si="98"/>
        <v>9</v>
      </c>
      <c r="H82" s="590">
        <f t="shared" si="98"/>
        <v>9</v>
      </c>
      <c r="I82" s="590">
        <f t="shared" si="98"/>
        <v>9</v>
      </c>
      <c r="J82" s="590">
        <f t="shared" si="98"/>
        <v>9</v>
      </c>
      <c r="K82" s="590">
        <f>SUM(K78:K81)</f>
        <v>9</v>
      </c>
      <c r="L82" s="590">
        <f t="shared" ref="L82:L91" si="99">K82</f>
        <v>9</v>
      </c>
    </row>
    <row r="83" spans="1:15">
      <c r="A83" s="408" t="str">
        <f t="shared" ref="A83:A90" si="100">A8</f>
        <v>Подразделение 1:</v>
      </c>
      <c r="B83" s="591"/>
      <c r="C83" s="589">
        <f t="shared" si="97"/>
        <v>0</v>
      </c>
      <c r="D83" s="591"/>
      <c r="E83" s="591"/>
      <c r="F83" s="591"/>
      <c r="G83" s="591"/>
      <c r="H83" s="591"/>
      <c r="I83" s="591"/>
      <c r="J83" s="591"/>
      <c r="K83" s="591"/>
      <c r="L83" s="589">
        <f t="shared" si="99"/>
        <v>0</v>
      </c>
    </row>
    <row r="84" spans="1:15">
      <c r="A84" s="94" t="str">
        <f t="shared" si="100"/>
        <v>Бригадир</v>
      </c>
      <c r="B84" s="589"/>
      <c r="C84" s="589"/>
      <c r="D84" s="589"/>
      <c r="E84" s="589"/>
      <c r="F84" s="589">
        <f>B9</f>
        <v>3</v>
      </c>
      <c r="G84" s="589">
        <f>F84</f>
        <v>3</v>
      </c>
      <c r="H84" s="589">
        <f t="shared" ref="H84:K84" si="101">G84</f>
        <v>3</v>
      </c>
      <c r="I84" s="589">
        <f t="shared" si="101"/>
        <v>3</v>
      </c>
      <c r="J84" s="589">
        <f t="shared" si="101"/>
        <v>3</v>
      </c>
      <c r="K84" s="589">
        <f t="shared" si="101"/>
        <v>3</v>
      </c>
      <c r="L84" s="589">
        <f t="shared" si="99"/>
        <v>3</v>
      </c>
    </row>
    <row r="85" spans="1:15" ht="28.8">
      <c r="A85" s="94" t="str">
        <f t="shared" si="100"/>
        <v>Оператор линии, наладчик</v>
      </c>
      <c r="B85" s="589"/>
      <c r="C85" s="589"/>
      <c r="D85" s="589"/>
      <c r="E85" s="589"/>
      <c r="F85" s="589">
        <f t="shared" ref="F85:F89" si="102">B10</f>
        <v>14</v>
      </c>
      <c r="G85" s="589">
        <f t="shared" ref="G85:L89" si="103">F85</f>
        <v>14</v>
      </c>
      <c r="H85" s="589">
        <f t="shared" si="103"/>
        <v>14</v>
      </c>
      <c r="I85" s="589">
        <f t="shared" si="103"/>
        <v>14</v>
      </c>
      <c r="J85" s="589">
        <f t="shared" si="103"/>
        <v>14</v>
      </c>
      <c r="K85" s="589">
        <f t="shared" si="103"/>
        <v>14</v>
      </c>
      <c r="L85" s="589">
        <f t="shared" si="103"/>
        <v>14</v>
      </c>
    </row>
    <row r="86" spans="1:15">
      <c r="A86" s="94" t="str">
        <f t="shared" si="100"/>
        <v>Водитель</v>
      </c>
      <c r="B86" s="589"/>
      <c r="C86" s="589"/>
      <c r="D86" s="589"/>
      <c r="E86" s="589"/>
      <c r="F86" s="589">
        <f t="shared" si="102"/>
        <v>8</v>
      </c>
      <c r="G86" s="589">
        <f t="shared" si="103"/>
        <v>8</v>
      </c>
      <c r="H86" s="589">
        <f t="shared" si="103"/>
        <v>8</v>
      </c>
      <c r="I86" s="589">
        <f t="shared" si="103"/>
        <v>8</v>
      </c>
      <c r="J86" s="589">
        <f t="shared" si="103"/>
        <v>8</v>
      </c>
      <c r="K86" s="589">
        <f t="shared" si="103"/>
        <v>8</v>
      </c>
      <c r="L86" s="589">
        <f t="shared" si="103"/>
        <v>8</v>
      </c>
    </row>
    <row r="87" spans="1:15">
      <c r="A87" s="94" t="str">
        <f t="shared" si="100"/>
        <v>Зав. Складом</v>
      </c>
      <c r="B87" s="589"/>
      <c r="C87" s="589"/>
      <c r="D87" s="589"/>
      <c r="E87" s="589"/>
      <c r="F87" s="589">
        <f t="shared" si="102"/>
        <v>7</v>
      </c>
      <c r="G87" s="589">
        <f t="shared" si="103"/>
        <v>7</v>
      </c>
      <c r="H87" s="589">
        <f t="shared" si="103"/>
        <v>7</v>
      </c>
      <c r="I87" s="589">
        <f t="shared" si="103"/>
        <v>7</v>
      </c>
      <c r="J87" s="589">
        <f t="shared" si="103"/>
        <v>7</v>
      </c>
      <c r="K87" s="589">
        <f t="shared" si="103"/>
        <v>7</v>
      </c>
      <c r="L87" s="589">
        <f t="shared" si="103"/>
        <v>7</v>
      </c>
    </row>
    <row r="88" spans="1:15" ht="28.8">
      <c r="A88" s="94" t="str">
        <f t="shared" si="100"/>
        <v>ИРС Разнорабочий (уборщик, дворник)</v>
      </c>
      <c r="B88" s="589"/>
      <c r="C88" s="589"/>
      <c r="D88" s="589"/>
      <c r="E88" s="589"/>
      <c r="F88" s="589">
        <f t="shared" si="102"/>
        <v>0</v>
      </c>
      <c r="G88" s="589">
        <f t="shared" si="103"/>
        <v>0</v>
      </c>
      <c r="H88" s="589"/>
      <c r="I88" s="589"/>
      <c r="J88" s="589"/>
      <c r="K88" s="589"/>
      <c r="L88" s="589"/>
    </row>
    <row r="89" spans="1:15" ht="28.8">
      <c r="A89" s="94" t="str">
        <f t="shared" si="100"/>
        <v>Разнорабочий (сортировщик, грузчик)</v>
      </c>
      <c r="B89" s="589"/>
      <c r="C89" s="589"/>
      <c r="D89" s="589"/>
      <c r="E89" s="589"/>
      <c r="F89" s="589">
        <f t="shared" si="102"/>
        <v>36</v>
      </c>
      <c r="G89" s="589">
        <f t="shared" si="103"/>
        <v>36</v>
      </c>
      <c r="H89" s="589">
        <f t="shared" si="103"/>
        <v>36</v>
      </c>
      <c r="I89" s="589">
        <f t="shared" si="103"/>
        <v>36</v>
      </c>
      <c r="J89" s="589">
        <f t="shared" si="103"/>
        <v>36</v>
      </c>
      <c r="K89" s="589">
        <f t="shared" si="103"/>
        <v>36</v>
      </c>
      <c r="L89" s="589">
        <f t="shared" si="103"/>
        <v>36</v>
      </c>
    </row>
    <row r="90" spans="1:15" ht="28.8">
      <c r="A90" s="99" t="str">
        <f t="shared" si="100"/>
        <v>Итого ЗП по направлению:</v>
      </c>
      <c r="B90" s="590">
        <f>SUM(B84:B89)</f>
        <v>0</v>
      </c>
      <c r="C90" s="590">
        <f>SUM(C84:C89)</f>
        <v>0</v>
      </c>
      <c r="D90" s="590">
        <f t="shared" ref="D90:K90" si="104">SUM(D84:D89)</f>
        <v>0</v>
      </c>
      <c r="E90" s="590">
        <f t="shared" si="104"/>
        <v>0</v>
      </c>
      <c r="F90" s="590">
        <f t="shared" si="104"/>
        <v>68</v>
      </c>
      <c r="G90" s="590">
        <f t="shared" si="104"/>
        <v>68</v>
      </c>
      <c r="H90" s="590">
        <f t="shared" si="104"/>
        <v>68</v>
      </c>
      <c r="I90" s="590">
        <f t="shared" si="104"/>
        <v>68</v>
      </c>
      <c r="J90" s="590">
        <f t="shared" si="104"/>
        <v>68</v>
      </c>
      <c r="K90" s="590">
        <f t="shared" si="104"/>
        <v>68</v>
      </c>
      <c r="L90" s="590">
        <f t="shared" si="99"/>
        <v>68</v>
      </c>
    </row>
    <row r="91" spans="1:15">
      <c r="A91" s="94" t="s">
        <v>177</v>
      </c>
      <c r="B91" s="589">
        <f>B82+B90</f>
        <v>0</v>
      </c>
      <c r="C91" s="589">
        <f t="shared" ref="C91:K91" si="105">C82+C90</f>
        <v>0</v>
      </c>
      <c r="D91" s="589">
        <f t="shared" si="105"/>
        <v>0</v>
      </c>
      <c r="E91" s="589">
        <f t="shared" si="105"/>
        <v>0</v>
      </c>
      <c r="F91" s="589">
        <f t="shared" si="105"/>
        <v>77</v>
      </c>
      <c r="G91" s="589">
        <f t="shared" si="105"/>
        <v>77</v>
      </c>
      <c r="H91" s="589">
        <f t="shared" si="105"/>
        <v>77</v>
      </c>
      <c r="I91" s="589">
        <f t="shared" si="105"/>
        <v>77</v>
      </c>
      <c r="J91" s="589">
        <f t="shared" si="105"/>
        <v>77</v>
      </c>
      <c r="K91" s="589">
        <f t="shared" si="105"/>
        <v>77</v>
      </c>
      <c r="L91" s="589">
        <f t="shared" si="99"/>
        <v>77</v>
      </c>
    </row>
  </sheetData>
  <mergeCells count="1">
    <mergeCell ref="N79:O79"/>
  </mergeCells>
  <pageMargins left="0.59055118110236249" right="0.59055118110236249" top="0.98425196850393704" bottom="0.39370078740157477" header="0" footer="0"/>
  <pageSetup paperSize="8" scale="63" firstPageNumber="2147483648" fitToWidth="0" orientation="landscape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28</vt:i4>
      </vt:variant>
      <vt:variant>
        <vt:lpstr>Именованные диапазоны</vt:lpstr>
      </vt:variant>
      <vt:variant>
        <vt:i4>2</vt:i4>
      </vt:variant>
    </vt:vector>
  </HeadingPairs>
  <TitlesOfParts>
    <vt:vector size="30" baseType="lpstr">
      <vt:lpstr>Аннотация</vt:lpstr>
      <vt:lpstr>допущения</vt:lpstr>
      <vt:lpstr>СВОД</vt:lpstr>
      <vt:lpstr>объем работ 100% загр</vt:lpstr>
      <vt:lpstr>выручка по кв и годам</vt:lpstr>
      <vt:lpstr>Расходы на П, строит-во, ввод</vt:lpstr>
      <vt:lpstr>Расходы по займу</vt:lpstr>
      <vt:lpstr>займ</vt:lpstr>
      <vt:lpstr>Расходы на ЗП ОТ</vt:lpstr>
      <vt:lpstr>Расходы на ЗП ТОР</vt:lpstr>
      <vt:lpstr>Расходы ТОР</vt:lpstr>
      <vt:lpstr>Себестоимость</vt:lpstr>
      <vt:lpstr>Налоги ТОР</vt:lpstr>
      <vt:lpstr>Налоги без ТОР</vt:lpstr>
      <vt:lpstr>Фин результат ТОР</vt:lpstr>
      <vt:lpstr>NPV, IRR, DPI ТОР</vt:lpstr>
      <vt:lpstr>выручка 2022г 40% загр</vt:lpstr>
      <vt:lpstr>выручка 2023г 50% загр</vt:lpstr>
      <vt:lpstr>выручка 2024г 60% загр</vt:lpstr>
      <vt:lpstr>выручка 2025г 85% загр1</vt:lpstr>
      <vt:lpstr>выручка 2026г 85% загр1</vt:lpstr>
      <vt:lpstr>выручка 2027</vt:lpstr>
      <vt:lpstr>выручка 2028</vt:lpstr>
      <vt:lpstr>выручка 2029</vt:lpstr>
      <vt:lpstr>выручка 2030</vt:lpstr>
      <vt:lpstr>выручка 2031</vt:lpstr>
      <vt:lpstr>выручка 2032</vt:lpstr>
      <vt:lpstr>обоснования</vt:lpstr>
      <vt:lpstr>'Фин результат ТОР'!_ftn1</vt:lpstr>
      <vt:lpstr>'Фин результат ТОР'!_ftnref1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IRU</dc:creator>
  <cp:lastModifiedBy>Татьяна Уварова</cp:lastModifiedBy>
  <cp:revision>4</cp:revision>
  <dcterms:created xsi:type="dcterms:W3CDTF">2006-09-28T05:33:49Z</dcterms:created>
  <dcterms:modified xsi:type="dcterms:W3CDTF">2023-04-10T15:15:35Z</dcterms:modified>
</cp:coreProperties>
</file>