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6"/>
  <workbookPr hidePivotFieldList="1"/>
  <mc:AlternateContent xmlns:mc="http://schemas.openxmlformats.org/markup-compatibility/2006">
    <mc:Choice Requires="x15">
      <x15ac:absPath xmlns:x15ac="http://schemas.microsoft.com/office/spreadsheetml/2010/11/ac" url="C:\Users\79041\Desktop\ИРКУТСК_ФИНАЛ_ЗАКАЗЧИКУ 2023_04_10\"/>
    </mc:Choice>
  </mc:AlternateContent>
  <xr:revisionPtr revIDLastSave="0" documentId="13_ncr:1_{2704C4A1-BE03-44B2-91C6-049EB75971AB}" xr6:coauthVersionLast="36" xr6:coauthVersionMax="36" xr10:uidLastSave="{00000000-0000-0000-0000-000000000000}"/>
  <bookViews>
    <workbookView xWindow="0" yWindow="0" windowWidth="23040" windowHeight="8940" tabRatio="852" activeTab="2" xr2:uid="{00000000-000D-0000-FFFF-FFFF00000000}"/>
  </bookViews>
  <sheets>
    <sheet name="Аннотация" sheetId="27" r:id="rId1"/>
    <sheet name="допущения" sheetId="1" r:id="rId2"/>
    <sheet name="СВОД" sheetId="2" r:id="rId3"/>
    <sheet name="объем работ 100% загр" sheetId="4" r:id="rId4"/>
    <sheet name="выручка по кв и годам" sheetId="5" r:id="rId5"/>
    <sheet name="Расходы на П, строит-во, ввод" sheetId="3" r:id="rId6"/>
    <sheet name="Расходы на ЗП ОТ" sheetId="6" r:id="rId7"/>
    <sheet name="Расходы на ЗП ТОР" sheetId="7" r:id="rId8"/>
    <sheet name="Расходы ТОР" sheetId="12" r:id="rId9"/>
    <sheet name="Себестоимость" sheetId="29" r:id="rId10"/>
    <sheet name="Налоги ТОР" sheetId="8" r:id="rId11"/>
    <sheet name="Налоги без ТОР" sheetId="9" r:id="rId12"/>
    <sheet name="Расходы по займу" sheetId="10" r:id="rId13"/>
    <sheet name="займ" sheetId="11" r:id="rId14"/>
    <sheet name="Фин результат ТОР" sheetId="13" r:id="rId15"/>
    <sheet name="NPV, IRR, PI ТОР" sheetId="14" r:id="rId16"/>
    <sheet name="выручка 2022г 40% загр" sheetId="15" state="hidden" r:id="rId17"/>
    <sheet name="выручка 2023г 50% загр" sheetId="16" state="hidden" r:id="rId18"/>
    <sheet name="выручка 2024г 60% загр" sheetId="17" state="hidden" r:id="rId19"/>
    <sheet name="выручка 2025г 85% загр1" sheetId="18" state="hidden" r:id="rId20"/>
    <sheet name="выручка 2026г 85% загр1" sheetId="19" state="hidden" r:id="rId21"/>
    <sheet name="выручка 2027" sheetId="20" state="hidden" r:id="rId22"/>
    <sheet name="выручка 2028" sheetId="21" state="hidden" r:id="rId23"/>
    <sheet name="выручка 2029" sheetId="22" state="hidden" r:id="rId24"/>
    <sheet name="выручка 2030" sheetId="23" state="hidden" r:id="rId25"/>
    <sheet name="выручка 2031" sheetId="24" state="hidden" r:id="rId26"/>
    <sheet name="выручка 2032" sheetId="25" state="hidden" r:id="rId27"/>
    <sheet name="обоснования" sheetId="26" r:id="rId28"/>
  </sheets>
  <definedNames>
    <definedName name="_ftn1" localSheetId="14">'Фин результат ТОР'!$B$60</definedName>
    <definedName name="_ftnref1" localSheetId="14">'Фин результат ТОР'!$D$56</definedName>
  </definedNames>
  <calcPr calcId="191029"/>
</workbook>
</file>

<file path=xl/calcChain.xml><?xml version="1.0" encoding="utf-8"?>
<calcChain xmlns="http://schemas.openxmlformats.org/spreadsheetml/2006/main">
  <c r="M27" i="8" l="1"/>
  <c r="M28" i="8"/>
  <c r="M29" i="8"/>
  <c r="M26" i="8"/>
  <c r="N10" i="4" l="1"/>
  <c r="N4" i="4"/>
  <c r="A20" i="2" l="1"/>
  <c r="B25" i="14"/>
  <c r="B27" i="14"/>
  <c r="U17" i="3"/>
  <c r="C17" i="8" l="1"/>
  <c r="D17" i="8"/>
  <c r="E17" i="8"/>
  <c r="F17" i="8"/>
  <c r="G17" i="8"/>
  <c r="H17" i="8"/>
  <c r="I17" i="8"/>
  <c r="J17" i="8"/>
  <c r="K17" i="8"/>
  <c r="L17" i="8"/>
  <c r="B17" i="8"/>
  <c r="AZ8" i="6" l="1"/>
  <c r="AZ13" i="6"/>
  <c r="AZ17" i="6"/>
  <c r="AZ28" i="6"/>
  <c r="AZ36" i="6"/>
  <c r="D32" i="3"/>
  <c r="A37" i="12"/>
  <c r="BG8" i="7" l="1"/>
  <c r="BG17" i="7"/>
  <c r="BG23" i="7"/>
  <c r="BG25" i="7"/>
  <c r="BG28" i="7"/>
  <c r="BG36" i="7"/>
  <c r="BG57" i="7"/>
  <c r="AR57" i="7"/>
  <c r="AS57" i="7"/>
  <c r="AT57" i="7"/>
  <c r="AU57" i="7"/>
  <c r="AU1" i="7"/>
  <c r="AU60" i="7" s="1"/>
  <c r="L70" i="6"/>
  <c r="BG8" i="6"/>
  <c r="BG57" i="6"/>
  <c r="AR17" i="6"/>
  <c r="AS17" i="6" s="1"/>
  <c r="AT17" i="6" s="1"/>
  <c r="AU17" i="6" s="1"/>
  <c r="AR28" i="6"/>
  <c r="AR36" i="6"/>
  <c r="AR37" i="6"/>
  <c r="AR38" i="6"/>
  <c r="AR39" i="6"/>
  <c r="AR39" i="7" s="1"/>
  <c r="AR40" i="6"/>
  <c r="AR41" i="6"/>
  <c r="AR42" i="6"/>
  <c r="AR43" i="6"/>
  <c r="AR43" i="7" s="1"/>
  <c r="AR44" i="6"/>
  <c r="AR45" i="6"/>
  <c r="AS45" i="6" s="1"/>
  <c r="AR1" i="6"/>
  <c r="AR59" i="6" s="1"/>
  <c r="AS1" i="6"/>
  <c r="AS59" i="6" s="1"/>
  <c r="AT1" i="6"/>
  <c r="AT59" i="6" s="1"/>
  <c r="AU1" i="6"/>
  <c r="AU59" i="6" s="1"/>
  <c r="AT1" i="7" l="1"/>
  <c r="AT60" i="7" s="1"/>
  <c r="AS1" i="7"/>
  <c r="AS60" i="7" s="1"/>
  <c r="AS37" i="6"/>
  <c r="AR1" i="7"/>
  <c r="AR60" i="7" s="1"/>
  <c r="AR42" i="7"/>
  <c r="AS42" i="6"/>
  <c r="AS45" i="7"/>
  <c r="AT45" i="6"/>
  <c r="AS37" i="7"/>
  <c r="AT37" i="6"/>
  <c r="AR38" i="7"/>
  <c r="AS38" i="6"/>
  <c r="AR41" i="7"/>
  <c r="AR44" i="7"/>
  <c r="AR40" i="7"/>
  <c r="AS44" i="6"/>
  <c r="AS40" i="6"/>
  <c r="AS36" i="6"/>
  <c r="AT36" i="6" s="1"/>
  <c r="AU36" i="6" s="1"/>
  <c r="AS28" i="6"/>
  <c r="AT28" i="6" s="1"/>
  <c r="AU28" i="6" s="1"/>
  <c r="AR45" i="7"/>
  <c r="AR37" i="7"/>
  <c r="BG17" i="6"/>
  <c r="AS41" i="6"/>
  <c r="AS43" i="6"/>
  <c r="AS39" i="6"/>
  <c r="BG28" i="6" l="1"/>
  <c r="AT37" i="7"/>
  <c r="AU37" i="6"/>
  <c r="AS39" i="7"/>
  <c r="AT39" i="6"/>
  <c r="AS42" i="7"/>
  <c r="AT42" i="6"/>
  <c r="AS43" i="7"/>
  <c r="AT43" i="6"/>
  <c r="AS40" i="7"/>
  <c r="AT40" i="6"/>
  <c r="AT45" i="7"/>
  <c r="AU45" i="6"/>
  <c r="AS38" i="7"/>
  <c r="AT38" i="6"/>
  <c r="AS41" i="7"/>
  <c r="AT41" i="6"/>
  <c r="AS44" i="7"/>
  <c r="AT44" i="6"/>
  <c r="BG36" i="6"/>
  <c r="AU37" i="7" l="1"/>
  <c r="BG37" i="6"/>
  <c r="AT43" i="7"/>
  <c r="AU43" i="6"/>
  <c r="AT39" i="7"/>
  <c r="AU39" i="6"/>
  <c r="AT41" i="7"/>
  <c r="BG41" i="7" s="1"/>
  <c r="AU41" i="6"/>
  <c r="AU41" i="7" s="1"/>
  <c r="AU45" i="7"/>
  <c r="BG45" i="7" s="1"/>
  <c r="BG45" i="6"/>
  <c r="AT38" i="7"/>
  <c r="AU38" i="6"/>
  <c r="AU38" i="7" s="1"/>
  <c r="AT40" i="7"/>
  <c r="BG40" i="7" s="1"/>
  <c r="AU40" i="6"/>
  <c r="AU40" i="7" s="1"/>
  <c r="AT42" i="7"/>
  <c r="AU42" i="6"/>
  <c r="AU42" i="7" s="1"/>
  <c r="BG38" i="6"/>
  <c r="AT44" i="7"/>
  <c r="BG44" i="7" s="1"/>
  <c r="AU44" i="6"/>
  <c r="AU44" i="7" s="1"/>
  <c r="BG44" i="6"/>
  <c r="AU39" i="7" l="1"/>
  <c r="BG39" i="7" s="1"/>
  <c r="BG39" i="6"/>
  <c r="BG42" i="7"/>
  <c r="BG38" i="7"/>
  <c r="BG37" i="7"/>
  <c r="BG40" i="6"/>
  <c r="BG41" i="6"/>
  <c r="AU43" i="7"/>
  <c r="BG43" i="7" s="1"/>
  <c r="BG43" i="6"/>
  <c r="BG42" i="6"/>
  <c r="E38" i="1" l="1"/>
  <c r="L27" i="13" l="1"/>
  <c r="K27" i="13"/>
  <c r="J27" i="13"/>
  <c r="I27" i="13"/>
  <c r="H27" i="13"/>
  <c r="H23" i="13"/>
  <c r="L23" i="13"/>
  <c r="K23" i="13"/>
  <c r="J23" i="13"/>
  <c r="BF8" i="6" l="1"/>
  <c r="BF17" i="6"/>
  <c r="BF28" i="6"/>
  <c r="BF36" i="6"/>
  <c r="BF37" i="6"/>
  <c r="BF38" i="6"/>
  <c r="BF39" i="6"/>
  <c r="BF40" i="6"/>
  <c r="BF41" i="6"/>
  <c r="BF42" i="6"/>
  <c r="BF43" i="6"/>
  <c r="BF44" i="6"/>
  <c r="BF45" i="6"/>
  <c r="BF57" i="6"/>
  <c r="BE8" i="6"/>
  <c r="BE17" i="6"/>
  <c r="BE28" i="6"/>
  <c r="BE36" i="6"/>
  <c r="BE37" i="6"/>
  <c r="BE38" i="6"/>
  <c r="BE39" i="6"/>
  <c r="BE40" i="6"/>
  <c r="BE41" i="6"/>
  <c r="BE42" i="6"/>
  <c r="BE43" i="6"/>
  <c r="BE44" i="6"/>
  <c r="BE45" i="6"/>
  <c r="BE57" i="6"/>
  <c r="BD8" i="6"/>
  <c r="BD17" i="6"/>
  <c r="BD28" i="6"/>
  <c r="BD36" i="6"/>
  <c r="BD57" i="6"/>
  <c r="BC8" i="6"/>
  <c r="BC17" i="6"/>
  <c r="BC28" i="6"/>
  <c r="BC36" i="6"/>
  <c r="BC57" i="6"/>
  <c r="BB8" i="6"/>
  <c r="BB17" i="6"/>
  <c r="BB28" i="6"/>
  <c r="BB36" i="6"/>
  <c r="BB57" i="6"/>
  <c r="BA8" i="6"/>
  <c r="BA17" i="6"/>
  <c r="BA28" i="6"/>
  <c r="BA36" i="6"/>
  <c r="BA57" i="6"/>
  <c r="AY8" i="6"/>
  <c r="AY13" i="6"/>
  <c r="AY17" i="6"/>
  <c r="AY28" i="6"/>
  <c r="AY36" i="6"/>
  <c r="AX8" i="6"/>
  <c r="AX13" i="6"/>
  <c r="AX17" i="6"/>
  <c r="AX28" i="6"/>
  <c r="AX36" i="6"/>
  <c r="AW2" i="6"/>
  <c r="D4" i="4"/>
  <c r="C40" i="12"/>
  <c r="H16" i="4"/>
  <c r="I16" i="4" s="1"/>
  <c r="J16" i="4" s="1"/>
  <c r="K16" i="4" s="1"/>
  <c r="K32" i="29" l="1"/>
  <c r="K40" i="29" s="1"/>
  <c r="L32" i="29"/>
  <c r="L40" i="29" s="1"/>
  <c r="C32" i="29"/>
  <c r="C40" i="29" s="1"/>
  <c r="D32" i="29"/>
  <c r="D40" i="29" s="1"/>
  <c r="E32" i="29"/>
  <c r="E40" i="29" s="1"/>
  <c r="F32" i="29"/>
  <c r="F40" i="29" s="1"/>
  <c r="G32" i="29"/>
  <c r="G40" i="29" s="1"/>
  <c r="H32" i="29"/>
  <c r="H40" i="29" s="1"/>
  <c r="I32" i="29"/>
  <c r="I40" i="29" s="1"/>
  <c r="J32" i="29"/>
  <c r="J40" i="29" s="1"/>
  <c r="B32" i="29"/>
  <c r="B40" i="29" s="1"/>
  <c r="A39" i="29"/>
  <c r="A47" i="29"/>
  <c r="A49" i="29"/>
  <c r="A40" i="29"/>
  <c r="A33" i="29"/>
  <c r="A36" i="29"/>
  <c r="A37" i="29"/>
  <c r="A38" i="29"/>
  <c r="A32" i="29"/>
  <c r="E27" i="3"/>
  <c r="E30" i="3" s="1"/>
  <c r="F30" i="3" s="1"/>
  <c r="G30" i="3" s="1"/>
  <c r="H30" i="3" s="1"/>
  <c r="I30" i="3" s="1"/>
  <c r="J30" i="3" s="1"/>
  <c r="K30" i="3" s="1"/>
  <c r="L30" i="3" s="1"/>
  <c r="M30" i="3" s="1"/>
  <c r="N30" i="3" s="1"/>
  <c r="O30" i="3" s="1"/>
  <c r="P30" i="3" s="1"/>
  <c r="Q30" i="3" s="1"/>
  <c r="R30" i="3" s="1"/>
  <c r="S30" i="3" s="1"/>
  <c r="T30" i="3" s="1"/>
  <c r="U30" i="3" s="1"/>
  <c r="V30" i="3" s="1"/>
  <c r="W30" i="3" s="1"/>
  <c r="X30" i="3" s="1"/>
  <c r="Y30" i="3" s="1"/>
  <c r="Z30" i="3" s="1"/>
  <c r="AA30" i="3" s="1"/>
  <c r="AB30" i="3" s="1"/>
  <c r="AC30" i="3" s="1"/>
  <c r="AD30" i="3" s="1"/>
  <c r="AE30" i="3" s="1"/>
  <c r="AF30" i="3" s="1"/>
  <c r="AG30" i="3" s="1"/>
  <c r="AH30" i="3" s="1"/>
  <c r="AI30" i="3" s="1"/>
  <c r="AJ30" i="3" s="1"/>
  <c r="AK30" i="3" s="1"/>
  <c r="AL30" i="3" s="1"/>
  <c r="AM30" i="3" s="1"/>
  <c r="AN30" i="3" s="1"/>
  <c r="AO30" i="3" s="1"/>
  <c r="AP30" i="3" s="1"/>
  <c r="AQ30" i="3" s="1"/>
  <c r="AR30" i="3" s="1"/>
  <c r="AS30" i="3" s="1"/>
  <c r="D2" i="12"/>
  <c r="D22" i="29" l="1"/>
  <c r="E22" i="29"/>
  <c r="C22" i="29"/>
  <c r="A22" i="29"/>
  <c r="A41" i="29" s="1"/>
  <c r="E5" i="3" l="1"/>
  <c r="E29" i="3" s="1"/>
  <c r="D27" i="29"/>
  <c r="E27" i="29"/>
  <c r="F27" i="29"/>
  <c r="G27" i="29"/>
  <c r="H27" i="29"/>
  <c r="I27" i="29"/>
  <c r="J27" i="29"/>
  <c r="C27" i="29"/>
  <c r="A27" i="29"/>
  <c r="A46" i="29" s="1"/>
  <c r="D25" i="29"/>
  <c r="E25" i="29"/>
  <c r="F25" i="29"/>
  <c r="C25" i="29"/>
  <c r="D24" i="29"/>
  <c r="E24" i="29"/>
  <c r="F24" i="29"/>
  <c r="C24" i="29"/>
  <c r="D23" i="29"/>
  <c r="E23" i="29"/>
  <c r="F23" i="29"/>
  <c r="C23" i="29"/>
  <c r="A26" i="29"/>
  <c r="A45" i="29" s="1"/>
  <c r="A25" i="29"/>
  <c r="A44" i="29" s="1"/>
  <c r="A24" i="29"/>
  <c r="A43" i="29" s="1"/>
  <c r="A23" i="29"/>
  <c r="A42" i="29" s="1"/>
  <c r="B46" i="29" l="1"/>
  <c r="C46" i="29"/>
  <c r="B42" i="29"/>
  <c r="B43" i="29"/>
  <c r="B44" i="29"/>
  <c r="D16" i="29"/>
  <c r="E16" i="29"/>
  <c r="F16" i="29"/>
  <c r="C16" i="29"/>
  <c r="D15" i="29"/>
  <c r="E15" i="29"/>
  <c r="F15" i="29"/>
  <c r="C15" i="29"/>
  <c r="D14" i="29"/>
  <c r="E14" i="29"/>
  <c r="F14" i="29"/>
  <c r="C14" i="29"/>
  <c r="D13" i="29"/>
  <c r="E13" i="29"/>
  <c r="F13" i="29"/>
  <c r="C13" i="29"/>
  <c r="A14" i="29"/>
  <c r="A35" i="29" s="1"/>
  <c r="A13" i="29"/>
  <c r="A34" i="29" s="1"/>
  <c r="B34" i="29" l="1"/>
  <c r="B37" i="29"/>
  <c r="B36" i="29"/>
  <c r="B35" i="29"/>
  <c r="E4" i="4"/>
  <c r="F4" i="4" s="1"/>
  <c r="G4" i="4" s="1"/>
  <c r="H4" i="4" s="1"/>
  <c r="I4" i="4" s="1"/>
  <c r="J4" i="4" s="1"/>
  <c r="K4" i="4" s="1"/>
  <c r="L4" i="4" s="1"/>
  <c r="M4" i="4" s="1"/>
  <c r="C6" i="12"/>
  <c r="C21" i="12" s="1"/>
  <c r="E6" i="12"/>
  <c r="E21" i="12" s="1"/>
  <c r="D6" i="12"/>
  <c r="D21" i="12" s="1"/>
  <c r="B6" i="12"/>
  <c r="B21" i="12" s="1"/>
  <c r="V49" i="3"/>
  <c r="F29" i="3"/>
  <c r="G29" i="3" s="1"/>
  <c r="H29" i="3" s="1"/>
  <c r="I29" i="3" s="1"/>
  <c r="J29" i="3" s="1"/>
  <c r="K29" i="3" s="1"/>
  <c r="L29" i="3" s="1"/>
  <c r="M29" i="3" s="1"/>
  <c r="N29" i="3" s="1"/>
  <c r="O29" i="3" s="1"/>
  <c r="P29" i="3" s="1"/>
  <c r="Q29" i="3" s="1"/>
  <c r="R29" i="3" s="1"/>
  <c r="S29" i="3" s="1"/>
  <c r="T29" i="3" s="1"/>
  <c r="U29" i="3" s="1"/>
  <c r="V29" i="3" s="1"/>
  <c r="W29" i="3" s="1"/>
  <c r="X29" i="3" s="1"/>
  <c r="Y29" i="3" s="1"/>
  <c r="Z29" i="3" s="1"/>
  <c r="AA29" i="3" s="1"/>
  <c r="AB29" i="3" s="1"/>
  <c r="AC29" i="3" s="1"/>
  <c r="AD29" i="3" s="1"/>
  <c r="AE29" i="3" s="1"/>
  <c r="AF29" i="3" s="1"/>
  <c r="AG29" i="3" s="1"/>
  <c r="AH29" i="3" s="1"/>
  <c r="AI29" i="3" s="1"/>
  <c r="AJ29" i="3" s="1"/>
  <c r="AK29" i="3" s="1"/>
  <c r="AL29" i="3" s="1"/>
  <c r="AM29" i="3" s="1"/>
  <c r="AN29" i="3" s="1"/>
  <c r="AO29" i="3" s="1"/>
  <c r="AP29" i="3" s="1"/>
  <c r="AQ29" i="3" s="1"/>
  <c r="AR29" i="3" s="1"/>
  <c r="AS29" i="3" s="1"/>
  <c r="T13" i="6"/>
  <c r="C78" i="1"/>
  <c r="E4" i="3" s="1"/>
  <c r="D3" i="3"/>
  <c r="D24" i="3" s="1"/>
  <c r="D2" i="3"/>
  <c r="C3" i="29"/>
  <c r="C6" i="29" s="1"/>
  <c r="C12" i="29" s="1"/>
  <c r="AT2" i="29"/>
  <c r="AT11" i="29" s="1"/>
  <c r="AT21" i="29" s="1"/>
  <c r="D2" i="29"/>
  <c r="D11" i="29" s="1"/>
  <c r="D21" i="29" s="1"/>
  <c r="E2" i="29"/>
  <c r="E11" i="29" s="1"/>
  <c r="E21" i="29" s="1"/>
  <c r="F2" i="29"/>
  <c r="F11" i="29" s="1"/>
  <c r="F21" i="29" s="1"/>
  <c r="G2" i="29"/>
  <c r="G11" i="29" s="1"/>
  <c r="G21" i="29" s="1"/>
  <c r="H2" i="29"/>
  <c r="H11" i="29" s="1"/>
  <c r="H21" i="29" s="1"/>
  <c r="I2" i="29"/>
  <c r="I11" i="29" s="1"/>
  <c r="I21" i="29" s="1"/>
  <c r="J2" i="29"/>
  <c r="J11" i="29" s="1"/>
  <c r="J21" i="29" s="1"/>
  <c r="K2" i="29"/>
  <c r="K11" i="29" s="1"/>
  <c r="K21" i="29" s="1"/>
  <c r="L2" i="29"/>
  <c r="L11" i="29" s="1"/>
  <c r="L21" i="29" s="1"/>
  <c r="M2" i="29"/>
  <c r="M11" i="29" s="1"/>
  <c r="M21" i="29" s="1"/>
  <c r="N2" i="29"/>
  <c r="N11" i="29" s="1"/>
  <c r="N21" i="29" s="1"/>
  <c r="O2" i="29"/>
  <c r="O11" i="29" s="1"/>
  <c r="O21" i="29" s="1"/>
  <c r="P2" i="29"/>
  <c r="P11" i="29" s="1"/>
  <c r="P21" i="29" s="1"/>
  <c r="Q2" i="29"/>
  <c r="Q11" i="29" s="1"/>
  <c r="Q21" i="29" s="1"/>
  <c r="R2" i="29"/>
  <c r="R11" i="29" s="1"/>
  <c r="R21" i="29" s="1"/>
  <c r="S2" i="29"/>
  <c r="S11" i="29" s="1"/>
  <c r="S21" i="29" s="1"/>
  <c r="T2" i="29"/>
  <c r="T11" i="29" s="1"/>
  <c r="T21" i="29" s="1"/>
  <c r="U2" i="29"/>
  <c r="U11" i="29" s="1"/>
  <c r="U21" i="29" s="1"/>
  <c r="V2" i="29"/>
  <c r="V11" i="29" s="1"/>
  <c r="V21" i="29" s="1"/>
  <c r="W2" i="29"/>
  <c r="W11" i="29" s="1"/>
  <c r="W21" i="29" s="1"/>
  <c r="X2" i="29"/>
  <c r="X11" i="29" s="1"/>
  <c r="X21" i="29" s="1"/>
  <c r="Y2" i="29"/>
  <c r="Y11" i="29" s="1"/>
  <c r="Y21" i="29" s="1"/>
  <c r="Z2" i="29"/>
  <c r="Z11" i="29" s="1"/>
  <c r="Z21" i="29" s="1"/>
  <c r="AA2" i="29"/>
  <c r="AA11" i="29" s="1"/>
  <c r="AA21" i="29" s="1"/>
  <c r="AB2" i="29"/>
  <c r="AB11" i="29" s="1"/>
  <c r="AB21" i="29" s="1"/>
  <c r="AC2" i="29"/>
  <c r="AC11" i="29" s="1"/>
  <c r="AC21" i="29" s="1"/>
  <c r="AD2" i="29"/>
  <c r="AD11" i="29" s="1"/>
  <c r="AD21" i="29" s="1"/>
  <c r="AE2" i="29"/>
  <c r="AE11" i="29" s="1"/>
  <c r="AE21" i="29" s="1"/>
  <c r="AF2" i="29"/>
  <c r="AF11" i="29" s="1"/>
  <c r="AF21" i="29" s="1"/>
  <c r="AG2" i="29"/>
  <c r="AG11" i="29" s="1"/>
  <c r="AG21" i="29" s="1"/>
  <c r="AH2" i="29"/>
  <c r="AH11" i="29" s="1"/>
  <c r="AH21" i="29" s="1"/>
  <c r="AI2" i="29"/>
  <c r="AI11" i="29" s="1"/>
  <c r="AI21" i="29" s="1"/>
  <c r="AJ2" i="29"/>
  <c r="AJ11" i="29" s="1"/>
  <c r="AJ21" i="29" s="1"/>
  <c r="AK2" i="29"/>
  <c r="AK11" i="29" s="1"/>
  <c r="AK21" i="29" s="1"/>
  <c r="AL2" i="29"/>
  <c r="AL11" i="29" s="1"/>
  <c r="AL21" i="29" s="1"/>
  <c r="AM2" i="29"/>
  <c r="AM11" i="29" s="1"/>
  <c r="AM21" i="29" s="1"/>
  <c r="AN2" i="29"/>
  <c r="AN11" i="29" s="1"/>
  <c r="AN21" i="29" s="1"/>
  <c r="AO2" i="29"/>
  <c r="AO11" i="29" s="1"/>
  <c r="AO21" i="29" s="1"/>
  <c r="AP2" i="29"/>
  <c r="AP11" i="29" s="1"/>
  <c r="AP21" i="29" s="1"/>
  <c r="AQ2" i="29"/>
  <c r="AQ11" i="29" s="1"/>
  <c r="AQ21" i="29" s="1"/>
  <c r="AR2" i="29"/>
  <c r="AR11" i="29" s="1"/>
  <c r="AR21" i="29" s="1"/>
  <c r="AS2" i="29"/>
  <c r="AS11" i="29" s="1"/>
  <c r="AS21" i="29" s="1"/>
  <c r="C2" i="29"/>
  <c r="C11" i="29" s="1"/>
  <c r="C21" i="29" s="1"/>
  <c r="B18" i="5"/>
  <c r="B17" i="5"/>
  <c r="D15" i="5"/>
  <c r="L83" i="6"/>
  <c r="E28" i="3" l="1"/>
  <c r="E24" i="3"/>
  <c r="C17" i="29"/>
  <c r="D3" i="29"/>
  <c r="P4" i="9"/>
  <c r="P5" i="9"/>
  <c r="P6" i="9"/>
  <c r="P7" i="9"/>
  <c r="P8" i="9"/>
  <c r="P9" i="9"/>
  <c r="P10" i="9"/>
  <c r="P11" i="9"/>
  <c r="P12" i="9"/>
  <c r="P13" i="9"/>
  <c r="P14" i="9"/>
  <c r="P15" i="9"/>
  <c r="P16" i="9"/>
  <c r="P17" i="9"/>
  <c r="P18" i="9"/>
  <c r="P3" i="9"/>
  <c r="D25" i="25"/>
  <c r="C25" i="25"/>
  <c r="E25" i="25" s="1"/>
  <c r="D24" i="25"/>
  <c r="C24" i="25"/>
  <c r="D23" i="25"/>
  <c r="E23" i="25" s="1"/>
  <c r="C23" i="25"/>
  <c r="D22" i="25"/>
  <c r="C22" i="25"/>
  <c r="E22" i="25" s="1"/>
  <c r="D21" i="25"/>
  <c r="C21" i="25"/>
  <c r="D20" i="25"/>
  <c r="C20" i="25"/>
  <c r="D19" i="25"/>
  <c r="C19" i="25"/>
  <c r="D18" i="25"/>
  <c r="C18" i="25"/>
  <c r="E18" i="25" s="1"/>
  <c r="D17" i="25"/>
  <c r="C17" i="25"/>
  <c r="D16" i="25"/>
  <c r="C16" i="25"/>
  <c r="D15" i="25"/>
  <c r="E15" i="25" s="1"/>
  <c r="C15" i="25"/>
  <c r="D14" i="25"/>
  <c r="C14" i="25"/>
  <c r="D13" i="25"/>
  <c r="C13" i="25"/>
  <c r="E13" i="25" s="1"/>
  <c r="G13" i="25" s="1"/>
  <c r="D12" i="25"/>
  <c r="C12" i="25"/>
  <c r="D11" i="25"/>
  <c r="E11" i="25" s="1"/>
  <c r="C11" i="25"/>
  <c r="D10" i="25"/>
  <c r="C10" i="25"/>
  <c r="E10" i="25" s="1"/>
  <c r="D9" i="25"/>
  <c r="C9" i="25"/>
  <c r="D8" i="25"/>
  <c r="C8" i="25"/>
  <c r="D7" i="25"/>
  <c r="C7" i="25"/>
  <c r="D6" i="25"/>
  <c r="C6" i="25"/>
  <c r="E6" i="25" s="1"/>
  <c r="D5" i="25"/>
  <c r="C5" i="25"/>
  <c r="C4" i="25"/>
  <c r="D25" i="24"/>
  <c r="C25" i="24"/>
  <c r="E25" i="24" s="1"/>
  <c r="D24" i="24"/>
  <c r="C24" i="24"/>
  <c r="D23" i="24"/>
  <c r="C23" i="24"/>
  <c r="D22" i="24"/>
  <c r="C22" i="24"/>
  <c r="D21" i="24"/>
  <c r="C21" i="24"/>
  <c r="D20" i="24"/>
  <c r="C20" i="24"/>
  <c r="D19" i="24"/>
  <c r="C19" i="24"/>
  <c r="D18" i="24"/>
  <c r="C18" i="24"/>
  <c r="D17" i="24"/>
  <c r="C17" i="24"/>
  <c r="E17" i="24" s="1"/>
  <c r="D16" i="24"/>
  <c r="C16" i="24"/>
  <c r="D15" i="24"/>
  <c r="C15" i="24"/>
  <c r="D14" i="24"/>
  <c r="C14" i="24"/>
  <c r="D13" i="24"/>
  <c r="C13" i="24"/>
  <c r="D12" i="24"/>
  <c r="C12" i="24"/>
  <c r="D11" i="24"/>
  <c r="C11" i="24"/>
  <c r="D10" i="24"/>
  <c r="C10" i="24"/>
  <c r="D9" i="24"/>
  <c r="C9" i="24"/>
  <c r="D8" i="24"/>
  <c r="C8" i="24"/>
  <c r="D7" i="24"/>
  <c r="E7" i="24" s="1"/>
  <c r="C7" i="24"/>
  <c r="D6" i="24"/>
  <c r="C6" i="24"/>
  <c r="E6" i="24" s="1"/>
  <c r="D5" i="24"/>
  <c r="C5" i="24"/>
  <c r="D25" i="23"/>
  <c r="C25" i="23"/>
  <c r="E25" i="23" s="1"/>
  <c r="G25" i="23" s="1"/>
  <c r="D24" i="23"/>
  <c r="C24" i="23"/>
  <c r="D23" i="23"/>
  <c r="C23" i="23"/>
  <c r="D22" i="23"/>
  <c r="C22" i="23"/>
  <c r="D21" i="23"/>
  <c r="C21" i="23"/>
  <c r="E21" i="23" s="1"/>
  <c r="F21" i="23" s="1"/>
  <c r="D20" i="23"/>
  <c r="C20" i="23"/>
  <c r="D19" i="23"/>
  <c r="C19" i="23"/>
  <c r="D18" i="23"/>
  <c r="C18" i="23"/>
  <c r="D17" i="23"/>
  <c r="C17" i="23"/>
  <c r="E17" i="23" s="1"/>
  <c r="G17" i="23" s="1"/>
  <c r="D16" i="23"/>
  <c r="C16" i="23"/>
  <c r="E16" i="23" s="1"/>
  <c r="D15" i="23"/>
  <c r="C15" i="23"/>
  <c r="D14" i="23"/>
  <c r="C14" i="23"/>
  <c r="D13" i="23"/>
  <c r="C13" i="23"/>
  <c r="D12" i="23"/>
  <c r="C12" i="23"/>
  <c r="E12" i="23" s="1"/>
  <c r="F12" i="23" s="1"/>
  <c r="D11" i="23"/>
  <c r="C11" i="23"/>
  <c r="D10" i="23"/>
  <c r="C10" i="23"/>
  <c r="D9" i="23"/>
  <c r="C9" i="23"/>
  <c r="D8" i="23"/>
  <c r="C8" i="23"/>
  <c r="E8" i="23" s="1"/>
  <c r="D7" i="23"/>
  <c r="C7" i="23"/>
  <c r="D6" i="23"/>
  <c r="C6" i="23"/>
  <c r="D5" i="23"/>
  <c r="C5" i="23"/>
  <c r="E5" i="23" s="1"/>
  <c r="F5" i="23" s="1"/>
  <c r="D25" i="22"/>
  <c r="C25" i="22"/>
  <c r="E25" i="22" s="1"/>
  <c r="G25" i="22" s="1"/>
  <c r="D24" i="22"/>
  <c r="C24" i="22"/>
  <c r="D23" i="22"/>
  <c r="C23" i="22"/>
  <c r="D22" i="22"/>
  <c r="C22" i="22"/>
  <c r="E22" i="22" s="1"/>
  <c r="G22" i="22" s="1"/>
  <c r="D21" i="22"/>
  <c r="C21" i="22"/>
  <c r="D20" i="22"/>
  <c r="C20" i="22"/>
  <c r="E20" i="22" s="1"/>
  <c r="F20" i="22" s="1"/>
  <c r="D19" i="22"/>
  <c r="E19" i="22" s="1"/>
  <c r="C19" i="22"/>
  <c r="D18" i="22"/>
  <c r="C18" i="22"/>
  <c r="E18" i="22" s="1"/>
  <c r="D17" i="22"/>
  <c r="C17" i="22"/>
  <c r="D16" i="22"/>
  <c r="C16" i="22"/>
  <c r="D15" i="22"/>
  <c r="C15" i="22"/>
  <c r="D14" i="22"/>
  <c r="C14" i="22"/>
  <c r="D13" i="22"/>
  <c r="C13" i="22"/>
  <c r="D12" i="22"/>
  <c r="C12" i="22"/>
  <c r="D11" i="22"/>
  <c r="C11" i="22"/>
  <c r="D10" i="22"/>
  <c r="C10" i="22"/>
  <c r="E10" i="22" s="1"/>
  <c r="D9" i="22"/>
  <c r="C9" i="22"/>
  <c r="D8" i="22"/>
  <c r="C8" i="22"/>
  <c r="D7" i="22"/>
  <c r="C7" i="22"/>
  <c r="D6" i="22"/>
  <c r="C6" i="22"/>
  <c r="D5" i="22"/>
  <c r="C5" i="22"/>
  <c r="D25" i="21"/>
  <c r="C25" i="21"/>
  <c r="E25" i="21" s="1"/>
  <c r="F25" i="21" s="1"/>
  <c r="D24" i="21"/>
  <c r="C24" i="21"/>
  <c r="D23" i="21"/>
  <c r="C23" i="21"/>
  <c r="D22" i="21"/>
  <c r="E22" i="21" s="1"/>
  <c r="G22" i="21" s="1"/>
  <c r="C22" i="21"/>
  <c r="D21" i="21"/>
  <c r="C21" i="21"/>
  <c r="E21" i="21" s="1"/>
  <c r="F21" i="21" s="1"/>
  <c r="D20" i="21"/>
  <c r="C20" i="21"/>
  <c r="D19" i="21"/>
  <c r="C19" i="21"/>
  <c r="D18" i="21"/>
  <c r="C18" i="21"/>
  <c r="D17" i="21"/>
  <c r="C17" i="21"/>
  <c r="D16" i="21"/>
  <c r="C16" i="21"/>
  <c r="D15" i="21"/>
  <c r="C15" i="21"/>
  <c r="D14" i="21"/>
  <c r="E14" i="21" s="1"/>
  <c r="G14" i="21" s="1"/>
  <c r="C14" i="21"/>
  <c r="D13" i="21"/>
  <c r="C13" i="21"/>
  <c r="D12" i="21"/>
  <c r="C12" i="21"/>
  <c r="D11" i="21"/>
  <c r="C11" i="21"/>
  <c r="D10" i="21"/>
  <c r="C10" i="21"/>
  <c r="E10" i="21" s="1"/>
  <c r="G10" i="21" s="1"/>
  <c r="D9" i="21"/>
  <c r="C9" i="21"/>
  <c r="D8" i="21"/>
  <c r="C8" i="21"/>
  <c r="D7" i="21"/>
  <c r="C7" i="21"/>
  <c r="E7" i="21" s="1"/>
  <c r="D6" i="21"/>
  <c r="C6" i="21"/>
  <c r="D5" i="21"/>
  <c r="C5" i="21"/>
  <c r="D25" i="20"/>
  <c r="C25" i="20"/>
  <c r="D24" i="20"/>
  <c r="C24" i="20"/>
  <c r="D23" i="20"/>
  <c r="C23" i="20"/>
  <c r="D22" i="20"/>
  <c r="C22" i="20"/>
  <c r="D21" i="20"/>
  <c r="C21" i="20"/>
  <c r="E21" i="20" s="1"/>
  <c r="F21" i="20" s="1"/>
  <c r="D20" i="20"/>
  <c r="C20" i="20"/>
  <c r="D19" i="20"/>
  <c r="C19" i="20"/>
  <c r="E19" i="20" s="1"/>
  <c r="D18" i="20"/>
  <c r="C18" i="20"/>
  <c r="D17" i="20"/>
  <c r="C17" i="20"/>
  <c r="D16" i="20"/>
  <c r="C16" i="20"/>
  <c r="D15" i="20"/>
  <c r="C15" i="20"/>
  <c r="E15" i="20" s="1"/>
  <c r="D14" i="20"/>
  <c r="C14" i="20"/>
  <c r="D13" i="20"/>
  <c r="C13" i="20"/>
  <c r="E13" i="20" s="1"/>
  <c r="D12" i="20"/>
  <c r="C12" i="20"/>
  <c r="D11" i="20"/>
  <c r="C11" i="20"/>
  <c r="D10" i="20"/>
  <c r="C10" i="20"/>
  <c r="D9" i="20"/>
  <c r="C9" i="20"/>
  <c r="E9" i="20" s="1"/>
  <c r="D8" i="20"/>
  <c r="C8" i="20"/>
  <c r="D7" i="20"/>
  <c r="C7" i="20"/>
  <c r="E7" i="20" s="1"/>
  <c r="D6" i="20"/>
  <c r="C6" i="20"/>
  <c r="D5" i="20"/>
  <c r="C5" i="20"/>
  <c r="D25" i="19"/>
  <c r="C25" i="19"/>
  <c r="E25" i="19" s="1"/>
  <c r="F25" i="19" s="1"/>
  <c r="D24" i="19"/>
  <c r="C24" i="19"/>
  <c r="D23" i="19"/>
  <c r="C23" i="19"/>
  <c r="D22" i="19"/>
  <c r="C22" i="19"/>
  <c r="D21" i="19"/>
  <c r="C21" i="19"/>
  <c r="D20" i="19"/>
  <c r="C20" i="19"/>
  <c r="D19" i="19"/>
  <c r="C19" i="19"/>
  <c r="D18" i="19"/>
  <c r="C18" i="19"/>
  <c r="D17" i="19"/>
  <c r="C17" i="19"/>
  <c r="D16" i="19"/>
  <c r="C16" i="19"/>
  <c r="D15" i="19"/>
  <c r="C15" i="19"/>
  <c r="D14" i="19"/>
  <c r="C14" i="19"/>
  <c r="D13" i="19"/>
  <c r="C13" i="19"/>
  <c r="D12" i="19"/>
  <c r="C12" i="19"/>
  <c r="E12" i="19" s="1"/>
  <c r="D11" i="19"/>
  <c r="C11" i="19"/>
  <c r="D10" i="19"/>
  <c r="C10" i="19"/>
  <c r="E10" i="19" s="1"/>
  <c r="F10" i="19" s="1"/>
  <c r="D9" i="19"/>
  <c r="C9" i="19"/>
  <c r="D8" i="19"/>
  <c r="C8" i="19"/>
  <c r="D7" i="19"/>
  <c r="C7" i="19"/>
  <c r="D6" i="19"/>
  <c r="C6" i="19"/>
  <c r="D5" i="19"/>
  <c r="C5" i="19"/>
  <c r="E5" i="19" s="1"/>
  <c r="D25" i="18"/>
  <c r="C25" i="18"/>
  <c r="E24" i="18"/>
  <c r="D24" i="18"/>
  <c r="C24" i="18"/>
  <c r="D23" i="18"/>
  <c r="C23" i="18"/>
  <c r="D22" i="18"/>
  <c r="C22" i="18"/>
  <c r="D21" i="18"/>
  <c r="C21" i="18"/>
  <c r="D20" i="18"/>
  <c r="C20" i="18"/>
  <c r="D19" i="18"/>
  <c r="C19" i="18"/>
  <c r="D18" i="18"/>
  <c r="C18" i="18"/>
  <c r="D17" i="18"/>
  <c r="C17" i="18"/>
  <c r="E17" i="18" s="1"/>
  <c r="D16" i="18"/>
  <c r="C16" i="18"/>
  <c r="E16" i="18" s="1"/>
  <c r="D15" i="18"/>
  <c r="C15" i="18"/>
  <c r="D14" i="18"/>
  <c r="C14" i="18"/>
  <c r="D13" i="18"/>
  <c r="C13" i="18"/>
  <c r="D12" i="18"/>
  <c r="C12" i="18"/>
  <c r="E12" i="18" s="1"/>
  <c r="G12" i="18" s="1"/>
  <c r="D11" i="18"/>
  <c r="C11" i="18"/>
  <c r="D10" i="18"/>
  <c r="C10" i="18"/>
  <c r="D9" i="18"/>
  <c r="C9" i="18"/>
  <c r="E9" i="18" s="1"/>
  <c r="D8" i="18"/>
  <c r="C8" i="18"/>
  <c r="D7" i="18"/>
  <c r="C7" i="18"/>
  <c r="D6" i="18"/>
  <c r="C6" i="18"/>
  <c r="D5" i="18"/>
  <c r="C5" i="18"/>
  <c r="D25" i="17"/>
  <c r="C25" i="17"/>
  <c r="E25" i="17" s="1"/>
  <c r="D24" i="17"/>
  <c r="C24" i="17"/>
  <c r="D23" i="17"/>
  <c r="C23" i="17"/>
  <c r="D22" i="17"/>
  <c r="C22" i="17"/>
  <c r="D21" i="17"/>
  <c r="C21" i="17"/>
  <c r="D20" i="17"/>
  <c r="C20" i="17"/>
  <c r="D19" i="17"/>
  <c r="C19" i="17"/>
  <c r="D18" i="17"/>
  <c r="C18" i="17"/>
  <c r="D17" i="17"/>
  <c r="C17" i="17"/>
  <c r="D16" i="17"/>
  <c r="C16" i="17"/>
  <c r="D15" i="17"/>
  <c r="C15" i="17"/>
  <c r="D14" i="17"/>
  <c r="C14" i="17"/>
  <c r="D13" i="17"/>
  <c r="C13" i="17"/>
  <c r="D12" i="17"/>
  <c r="C12" i="17"/>
  <c r="D11" i="17"/>
  <c r="C11" i="17"/>
  <c r="D10" i="17"/>
  <c r="C10" i="17"/>
  <c r="D9" i="17"/>
  <c r="C9" i="17"/>
  <c r="E9" i="17" s="1"/>
  <c r="D8" i="17"/>
  <c r="C8" i="17"/>
  <c r="D7" i="17"/>
  <c r="C7" i="17"/>
  <c r="D6" i="17"/>
  <c r="C6" i="17"/>
  <c r="D5" i="17"/>
  <c r="C5" i="17"/>
  <c r="J26" i="16"/>
  <c r="D25" i="16"/>
  <c r="C25" i="16"/>
  <c r="E25" i="16" s="1"/>
  <c r="G25" i="16" s="1"/>
  <c r="D24" i="16"/>
  <c r="C24" i="16"/>
  <c r="E24" i="16" s="1"/>
  <c r="D23" i="16"/>
  <c r="C23" i="16"/>
  <c r="D22" i="16"/>
  <c r="E22" i="16" s="1"/>
  <c r="C22" i="16"/>
  <c r="D21" i="16"/>
  <c r="C21" i="16"/>
  <c r="D20" i="16"/>
  <c r="C20" i="16"/>
  <c r="D19" i="16"/>
  <c r="C19" i="16"/>
  <c r="D18" i="16"/>
  <c r="E18" i="16" s="1"/>
  <c r="C18" i="16"/>
  <c r="D17" i="16"/>
  <c r="C17" i="16"/>
  <c r="E17" i="16" s="1"/>
  <c r="D16" i="16"/>
  <c r="C16" i="16"/>
  <c r="D15" i="16"/>
  <c r="C15" i="16"/>
  <c r="D14" i="16"/>
  <c r="C14" i="16"/>
  <c r="E14" i="16" s="1"/>
  <c r="D13" i="16"/>
  <c r="C13" i="16"/>
  <c r="D12" i="16"/>
  <c r="C12" i="16"/>
  <c r="D11" i="16"/>
  <c r="C11" i="16"/>
  <c r="E11" i="16" s="1"/>
  <c r="F11" i="16" s="1"/>
  <c r="D10" i="16"/>
  <c r="C10" i="16"/>
  <c r="E10" i="16" s="1"/>
  <c r="D9" i="16"/>
  <c r="C9" i="16"/>
  <c r="D8" i="16"/>
  <c r="C8" i="16"/>
  <c r="D7" i="16"/>
  <c r="C7" i="16"/>
  <c r="E7" i="16" s="1"/>
  <c r="D6" i="16"/>
  <c r="C6" i="16"/>
  <c r="D5" i="16"/>
  <c r="C5" i="16"/>
  <c r="D25" i="15"/>
  <c r="E25" i="15" s="1"/>
  <c r="C25" i="15"/>
  <c r="D24" i="15"/>
  <c r="C24" i="15"/>
  <c r="E24" i="15" s="1"/>
  <c r="G24" i="15" s="1"/>
  <c r="D23" i="15"/>
  <c r="C23" i="15"/>
  <c r="D22" i="15"/>
  <c r="C22" i="15"/>
  <c r="D21" i="15"/>
  <c r="E21" i="15" s="1"/>
  <c r="G21" i="15" s="1"/>
  <c r="C21" i="15"/>
  <c r="D20" i="15"/>
  <c r="C20" i="15"/>
  <c r="D19" i="15"/>
  <c r="C19" i="15"/>
  <c r="D18" i="15"/>
  <c r="C18" i="15"/>
  <c r="E18" i="15" s="1"/>
  <c r="D17" i="15"/>
  <c r="C17" i="15"/>
  <c r="D16" i="15"/>
  <c r="C16" i="15"/>
  <c r="D15" i="15"/>
  <c r="C15" i="15"/>
  <c r="D14" i="15"/>
  <c r="C14" i="15"/>
  <c r="D13" i="15"/>
  <c r="C13" i="15"/>
  <c r="D12" i="15"/>
  <c r="C12" i="15"/>
  <c r="E12" i="15" s="1"/>
  <c r="G12" i="15" s="1"/>
  <c r="D11" i="15"/>
  <c r="C11" i="15"/>
  <c r="D10" i="15"/>
  <c r="C10" i="15"/>
  <c r="D9" i="15"/>
  <c r="C9" i="15"/>
  <c r="D8" i="15"/>
  <c r="C8" i="15"/>
  <c r="D7" i="15"/>
  <c r="C7" i="15"/>
  <c r="E7" i="15" s="1"/>
  <c r="F7" i="15" s="1"/>
  <c r="D6" i="15"/>
  <c r="C6" i="15"/>
  <c r="D5" i="15"/>
  <c r="C5" i="15"/>
  <c r="C4" i="15"/>
  <c r="L9" i="14"/>
  <c r="K9" i="14"/>
  <c r="J9" i="14"/>
  <c r="I9" i="14"/>
  <c r="H9" i="14"/>
  <c r="G9" i="14"/>
  <c r="A9" i="14"/>
  <c r="A8" i="14"/>
  <c r="A7" i="14"/>
  <c r="A6" i="14"/>
  <c r="A5" i="14"/>
  <c r="B4" i="14"/>
  <c r="B33" i="14" s="1"/>
  <c r="B37" i="14" s="1"/>
  <c r="C3" i="14"/>
  <c r="D3" i="14" s="1"/>
  <c r="E3" i="14" s="1"/>
  <c r="I23" i="13"/>
  <c r="F21" i="13"/>
  <c r="F9" i="14" s="1"/>
  <c r="L18" i="13"/>
  <c r="L4" i="14" s="1"/>
  <c r="L33" i="14" s="1"/>
  <c r="L37" i="14" s="1"/>
  <c r="K18" i="13"/>
  <c r="K4" i="14" s="1"/>
  <c r="K33" i="14" s="1"/>
  <c r="K37" i="14" s="1"/>
  <c r="J18" i="13"/>
  <c r="J4" i="14" s="1"/>
  <c r="J33" i="14" s="1"/>
  <c r="J37" i="14" s="1"/>
  <c r="I18" i="13"/>
  <c r="I4" i="14" s="1"/>
  <c r="I33" i="14" s="1"/>
  <c r="I37" i="14" s="1"/>
  <c r="H18" i="13"/>
  <c r="H4" i="14" s="1"/>
  <c r="H33" i="14" s="1"/>
  <c r="H37" i="14" s="1"/>
  <c r="G18" i="13"/>
  <c r="G4" i="14" s="1"/>
  <c r="G33" i="14" s="1"/>
  <c r="G37" i="14" s="1"/>
  <c r="F18" i="13"/>
  <c r="F4" i="14" s="1"/>
  <c r="F33" i="14" s="1"/>
  <c r="F37" i="14" s="1"/>
  <c r="E18" i="13"/>
  <c r="E4" i="14" s="1"/>
  <c r="E33" i="14" s="1"/>
  <c r="E37" i="14" s="1"/>
  <c r="D18" i="13"/>
  <c r="D4" i="14" s="1"/>
  <c r="D33" i="14" s="1"/>
  <c r="D37" i="14" s="1"/>
  <c r="C18" i="13"/>
  <c r="C4" i="14" s="1"/>
  <c r="C33" i="14" s="1"/>
  <c r="C37" i="14" s="1"/>
  <c r="B18" i="13"/>
  <c r="AO14" i="13"/>
  <c r="AD14" i="13"/>
  <c r="C14" i="13"/>
  <c r="C15" i="13" s="1"/>
  <c r="B14" i="13"/>
  <c r="B15" i="13" s="1"/>
  <c r="C13" i="13"/>
  <c r="B13" i="13"/>
  <c r="AS14" i="13"/>
  <c r="AR14" i="13"/>
  <c r="AQ14" i="13"/>
  <c r="AP14" i="13"/>
  <c r="AN14" i="13"/>
  <c r="AM14" i="13"/>
  <c r="AL14" i="13"/>
  <c r="AK14" i="13"/>
  <c r="K8" i="14"/>
  <c r="AI14" i="13"/>
  <c r="AH14" i="13"/>
  <c r="AG14" i="13"/>
  <c r="AE14" i="13"/>
  <c r="AC14" i="13"/>
  <c r="AA14" i="13"/>
  <c r="Z14" i="13"/>
  <c r="Y14" i="13"/>
  <c r="C5" i="13"/>
  <c r="B5" i="13"/>
  <c r="AS2" i="13"/>
  <c r="AR2" i="13"/>
  <c r="AQ2" i="13"/>
  <c r="AP2" i="13"/>
  <c r="A41" i="12"/>
  <c r="B40" i="12"/>
  <c r="A40" i="12"/>
  <c r="A39" i="12"/>
  <c r="A38" i="12"/>
  <c r="A36" i="12"/>
  <c r="A35" i="12"/>
  <c r="L34" i="12"/>
  <c r="K34" i="12"/>
  <c r="J34" i="12"/>
  <c r="I34" i="12"/>
  <c r="H34" i="12"/>
  <c r="G34" i="12"/>
  <c r="F34" i="12"/>
  <c r="E34" i="12"/>
  <c r="D34" i="12"/>
  <c r="C34" i="12"/>
  <c r="B34" i="12"/>
  <c r="A34" i="12"/>
  <c r="B33" i="12"/>
  <c r="A33" i="12"/>
  <c r="E32" i="12"/>
  <c r="D32" i="12"/>
  <c r="C32" i="12"/>
  <c r="B32" i="12"/>
  <c r="A32" i="12"/>
  <c r="A31" i="12"/>
  <c r="B30" i="12"/>
  <c r="A30" i="12"/>
  <c r="B29" i="12"/>
  <c r="A29" i="12"/>
  <c r="B28" i="12"/>
  <c r="A28" i="12"/>
  <c r="B27" i="12"/>
  <c r="A27" i="12"/>
  <c r="A26" i="12"/>
  <c r="A25" i="12"/>
  <c r="D15" i="12"/>
  <c r="C15" i="12"/>
  <c r="B15" i="12"/>
  <c r="S9" i="12"/>
  <c r="T9" i="12" s="1"/>
  <c r="U9" i="12" s="1"/>
  <c r="V9" i="12" s="1"/>
  <c r="B31" i="12"/>
  <c r="AS1" i="12"/>
  <c r="AR1" i="12"/>
  <c r="AQ1" i="12"/>
  <c r="AP1" i="12"/>
  <c r="AO1" i="12"/>
  <c r="AN1" i="12"/>
  <c r="AM1" i="12"/>
  <c r="AL1" i="12"/>
  <c r="AK1" i="12"/>
  <c r="AJ1" i="12"/>
  <c r="AI1" i="12"/>
  <c r="AH1" i="12"/>
  <c r="AG1" i="12"/>
  <c r="AF1" i="12"/>
  <c r="AE1" i="12"/>
  <c r="AD1" i="12"/>
  <c r="AC1" i="12"/>
  <c r="AB1" i="12"/>
  <c r="AA1" i="12"/>
  <c r="Z1" i="12"/>
  <c r="Y1" i="12"/>
  <c r="X1" i="12"/>
  <c r="W1" i="12"/>
  <c r="V1" i="12"/>
  <c r="U1" i="12"/>
  <c r="T1" i="12"/>
  <c r="S1" i="12"/>
  <c r="R1" i="12"/>
  <c r="Q1" i="12"/>
  <c r="P1" i="12"/>
  <c r="O1" i="12"/>
  <c r="N1" i="12"/>
  <c r="M1" i="12"/>
  <c r="L1" i="12"/>
  <c r="K1" i="12"/>
  <c r="J1" i="12"/>
  <c r="I1" i="12"/>
  <c r="H1" i="12"/>
  <c r="G1" i="12"/>
  <c r="F1" i="12"/>
  <c r="E1" i="12"/>
  <c r="D1" i="12"/>
  <c r="C1" i="12"/>
  <c r="B1" i="12"/>
  <c r="G69" i="11"/>
  <c r="I62" i="11"/>
  <c r="I63" i="11" s="1"/>
  <c r="I64" i="11" s="1"/>
  <c r="I65" i="11" s="1"/>
  <c r="I66" i="11" s="1"/>
  <c r="I67" i="11" s="1"/>
  <c r="I68" i="11" s="1"/>
  <c r="A58" i="1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I50" i="11"/>
  <c r="I51" i="11" s="1"/>
  <c r="I52" i="11" s="1"/>
  <c r="I53" i="11" s="1"/>
  <c r="I54" i="11" s="1"/>
  <c r="I55" i="11" s="1"/>
  <c r="I56" i="11" s="1"/>
  <c r="I57" i="11" s="1"/>
  <c r="I58" i="11" s="1"/>
  <c r="I59" i="11" s="1"/>
  <c r="I60" i="11" s="1"/>
  <c r="A46" i="1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I38" i="11"/>
  <c r="I39" i="11" s="1"/>
  <c r="I40" i="11" s="1"/>
  <c r="I41" i="11" s="1"/>
  <c r="I42" i="11" s="1"/>
  <c r="I43" i="11" s="1"/>
  <c r="I44" i="11" s="1"/>
  <c r="I45" i="11" s="1"/>
  <c r="I46" i="11" s="1"/>
  <c r="I47" i="11" s="1"/>
  <c r="I48" i="11" s="1"/>
  <c r="A34" i="1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I26" i="11"/>
  <c r="I27" i="11" s="1"/>
  <c r="I28" i="11" s="1"/>
  <c r="I29" i="11" s="1"/>
  <c r="I30" i="11" s="1"/>
  <c r="I31" i="11" s="1"/>
  <c r="I32" i="11" s="1"/>
  <c r="I33" i="11" s="1"/>
  <c r="I34" i="11" s="1"/>
  <c r="I35" i="11" s="1"/>
  <c r="I36" i="11" s="1"/>
  <c r="A22" i="1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I14" i="11"/>
  <c r="I15" i="11" s="1"/>
  <c r="I16" i="11" s="1"/>
  <c r="I17" i="11" s="1"/>
  <c r="I18" i="11" s="1"/>
  <c r="I19" i="11" s="1"/>
  <c r="I20" i="11" s="1"/>
  <c r="I21" i="11" s="1"/>
  <c r="I22" i="11" s="1"/>
  <c r="I23" i="11" s="1"/>
  <c r="I24" i="11" s="1"/>
  <c r="I10" i="11"/>
  <c r="I11" i="11" s="1"/>
  <c r="I12" i="11" s="1"/>
  <c r="A10" i="1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L8" i="11"/>
  <c r="K8" i="11"/>
  <c r="J8" i="11"/>
  <c r="B2" i="11"/>
  <c r="P3" i="10"/>
  <c r="Q3" i="10" s="1"/>
  <c r="R3" i="10" s="1"/>
  <c r="S3" i="10" s="1"/>
  <c r="T3" i="10" s="1"/>
  <c r="U3" i="10" s="1"/>
  <c r="V3" i="10" s="1"/>
  <c r="W3" i="10" s="1"/>
  <c r="X3" i="10" s="1"/>
  <c r="Y3" i="10" s="1"/>
  <c r="Z3" i="10" s="1"/>
  <c r="AA3" i="10" s="1"/>
  <c r="AB3" i="10" s="1"/>
  <c r="AC3" i="10" s="1"/>
  <c r="AD3" i="10" s="1"/>
  <c r="AE3" i="10" s="1"/>
  <c r="AF3" i="10" s="1"/>
  <c r="AG3" i="10" s="1"/>
  <c r="AH3" i="10" s="1"/>
  <c r="AI3" i="10" s="1"/>
  <c r="AJ3" i="10" s="1"/>
  <c r="AK3" i="10" s="1"/>
  <c r="AL3" i="10" s="1"/>
  <c r="AM3" i="10" s="1"/>
  <c r="AN3" i="10" s="1"/>
  <c r="AO3" i="10" s="1"/>
  <c r="AP3" i="10" s="1"/>
  <c r="AQ3" i="10" s="1"/>
  <c r="AR3" i="10" s="1"/>
  <c r="AS3" i="10" s="1"/>
  <c r="D3" i="10"/>
  <c r="E3" i="10" s="1"/>
  <c r="F3" i="10" s="1"/>
  <c r="G3" i="10" s="1"/>
  <c r="H3" i="10" s="1"/>
  <c r="I3" i="10" s="1"/>
  <c r="J3" i="10" s="1"/>
  <c r="K3" i="10" s="1"/>
  <c r="L3" i="10" s="1"/>
  <c r="M3" i="10" s="1"/>
  <c r="N3" i="10" s="1"/>
  <c r="O3" i="10" s="1"/>
  <c r="AS1" i="10"/>
  <c r="AR1" i="10"/>
  <c r="AQ1" i="10"/>
  <c r="AP1" i="10"/>
  <c r="AO1" i="10"/>
  <c r="AN1" i="10"/>
  <c r="AM1" i="10"/>
  <c r="AL1" i="10"/>
  <c r="AK1" i="10"/>
  <c r="AJ1" i="10"/>
  <c r="AI1" i="10"/>
  <c r="AH1" i="10"/>
  <c r="AG1" i="10"/>
  <c r="AF1" i="10"/>
  <c r="AE1" i="10"/>
  <c r="AD1" i="10"/>
  <c r="AC1" i="10"/>
  <c r="AB1" i="10"/>
  <c r="AA1" i="10"/>
  <c r="Z1" i="10"/>
  <c r="Y1" i="10"/>
  <c r="X1" i="10"/>
  <c r="W1" i="10"/>
  <c r="V1" i="10"/>
  <c r="U1" i="10"/>
  <c r="T1" i="10"/>
  <c r="S1" i="10"/>
  <c r="R1" i="10"/>
  <c r="Q1" i="10"/>
  <c r="P1" i="10"/>
  <c r="O1" i="10"/>
  <c r="N1" i="10"/>
  <c r="M1" i="10"/>
  <c r="L1" i="10"/>
  <c r="K1" i="10"/>
  <c r="J1" i="10"/>
  <c r="I1" i="10"/>
  <c r="H1" i="10"/>
  <c r="G1" i="10"/>
  <c r="F1" i="10"/>
  <c r="E1" i="10"/>
  <c r="D1" i="10"/>
  <c r="C1" i="10"/>
  <c r="B1" i="10"/>
  <c r="B46" i="9"/>
  <c r="B42" i="9"/>
  <c r="A19" i="9"/>
  <c r="Q13" i="9"/>
  <c r="G9" i="9"/>
  <c r="U9" i="8" s="1"/>
  <c r="L8" i="9"/>
  <c r="Z8" i="8" s="1"/>
  <c r="K8" i="9"/>
  <c r="J8" i="9"/>
  <c r="I8" i="9"/>
  <c r="H8" i="9"/>
  <c r="V8" i="8" s="1"/>
  <c r="C30" i="8"/>
  <c r="O23" i="8"/>
  <c r="L23" i="8"/>
  <c r="K23" i="8"/>
  <c r="J23" i="8"/>
  <c r="I23" i="8"/>
  <c r="H23" i="8"/>
  <c r="G23" i="8"/>
  <c r="F23" i="8"/>
  <c r="E23" i="8"/>
  <c r="D23" i="8"/>
  <c r="C23" i="8"/>
  <c r="B23" i="8"/>
  <c r="O22" i="8"/>
  <c r="B22" i="8"/>
  <c r="O21" i="8"/>
  <c r="O20" i="8"/>
  <c r="A19" i="8"/>
  <c r="O19" i="8" s="1"/>
  <c r="O18" i="8"/>
  <c r="O17" i="8"/>
  <c r="O16" i="8"/>
  <c r="O15" i="8"/>
  <c r="O14" i="8"/>
  <c r="Z13" i="8"/>
  <c r="Y13" i="8"/>
  <c r="X13" i="8"/>
  <c r="W13" i="8"/>
  <c r="V13" i="8"/>
  <c r="U13" i="8"/>
  <c r="T13" i="8"/>
  <c r="S13" i="8"/>
  <c r="R13" i="8"/>
  <c r="Q13" i="8"/>
  <c r="P13" i="8"/>
  <c r="O13" i="8"/>
  <c r="O12" i="8"/>
  <c r="O11" i="8"/>
  <c r="O10" i="8"/>
  <c r="Z9" i="8"/>
  <c r="Y9" i="8"/>
  <c r="X9" i="8"/>
  <c r="W9" i="8"/>
  <c r="V9" i="8"/>
  <c r="O9" i="8"/>
  <c r="Y8" i="8"/>
  <c r="X8" i="8"/>
  <c r="W8" i="8"/>
  <c r="U8" i="8"/>
  <c r="O8" i="8"/>
  <c r="O7" i="8"/>
  <c r="O6" i="8"/>
  <c r="O5" i="8"/>
  <c r="C5" i="8"/>
  <c r="D5" i="8" s="1"/>
  <c r="O4" i="8"/>
  <c r="C4" i="8"/>
  <c r="D4" i="8" s="1"/>
  <c r="O3" i="8"/>
  <c r="L2" i="8"/>
  <c r="K2" i="8"/>
  <c r="J2" i="8"/>
  <c r="I2" i="8"/>
  <c r="H2" i="8"/>
  <c r="G2" i="8"/>
  <c r="F2" i="8"/>
  <c r="E2" i="8"/>
  <c r="D2" i="8"/>
  <c r="C2" i="8"/>
  <c r="B2" i="8"/>
  <c r="B62" i="7"/>
  <c r="B61" i="7"/>
  <c r="C58" i="7"/>
  <c r="A58" i="7"/>
  <c r="AV58" i="7" s="1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C57" i="7"/>
  <c r="B57" i="7"/>
  <c r="A57" i="7"/>
  <c r="AV57" i="7" s="1"/>
  <c r="C56" i="7"/>
  <c r="B56" i="7"/>
  <c r="A56" i="7"/>
  <c r="AV56" i="7" s="1"/>
  <c r="AV54" i="7"/>
  <c r="AV53" i="7"/>
  <c r="AV52" i="7"/>
  <c r="AV51" i="7"/>
  <c r="AV50" i="7"/>
  <c r="AV49" i="7"/>
  <c r="C46" i="7"/>
  <c r="B46" i="7"/>
  <c r="AQ45" i="7"/>
  <c r="AP45" i="7"/>
  <c r="AO45" i="7"/>
  <c r="AN45" i="7"/>
  <c r="AM45" i="7"/>
  <c r="AL45" i="7"/>
  <c r="AK45" i="7"/>
  <c r="AJ45" i="7"/>
  <c r="C45" i="7"/>
  <c r="B45" i="7"/>
  <c r="AQ44" i="7"/>
  <c r="AP44" i="7"/>
  <c r="AO44" i="7"/>
  <c r="AN44" i="7"/>
  <c r="AM44" i="7"/>
  <c r="AL44" i="7"/>
  <c r="AK44" i="7"/>
  <c r="AJ44" i="7"/>
  <c r="C44" i="7"/>
  <c r="B44" i="7"/>
  <c r="AQ43" i="7"/>
  <c r="AP43" i="7"/>
  <c r="AO43" i="7"/>
  <c r="AN43" i="7"/>
  <c r="AM43" i="7"/>
  <c r="AL43" i="7"/>
  <c r="AK43" i="7"/>
  <c r="AJ43" i="7"/>
  <c r="C43" i="7"/>
  <c r="B43" i="7"/>
  <c r="AQ42" i="7"/>
  <c r="AP42" i="7"/>
  <c r="AO42" i="7"/>
  <c r="AN42" i="7"/>
  <c r="AM42" i="7"/>
  <c r="AL42" i="7"/>
  <c r="AK42" i="7"/>
  <c r="AJ42" i="7"/>
  <c r="C42" i="7"/>
  <c r="B42" i="7"/>
  <c r="AQ41" i="7"/>
  <c r="AP41" i="7"/>
  <c r="AO41" i="7"/>
  <c r="AN41" i="7"/>
  <c r="AM41" i="7"/>
  <c r="AL41" i="7"/>
  <c r="AK41" i="7"/>
  <c r="AJ41" i="7"/>
  <c r="C41" i="7"/>
  <c r="B41" i="7"/>
  <c r="AQ40" i="7"/>
  <c r="AP40" i="7"/>
  <c r="AO40" i="7"/>
  <c r="AN40" i="7"/>
  <c r="AM40" i="7"/>
  <c r="AL40" i="7"/>
  <c r="AK40" i="7"/>
  <c r="AJ40" i="7"/>
  <c r="C40" i="7"/>
  <c r="B40" i="7"/>
  <c r="AQ39" i="7"/>
  <c r="AP39" i="7"/>
  <c r="AO39" i="7"/>
  <c r="AN39" i="7"/>
  <c r="AM39" i="7"/>
  <c r="AL39" i="7"/>
  <c r="AK39" i="7"/>
  <c r="AJ39" i="7"/>
  <c r="C39" i="7"/>
  <c r="B39" i="7"/>
  <c r="AQ38" i="7"/>
  <c r="AP38" i="7"/>
  <c r="AO38" i="7"/>
  <c r="AN38" i="7"/>
  <c r="AM38" i="7"/>
  <c r="AL38" i="7"/>
  <c r="AK38" i="7"/>
  <c r="AJ38" i="7"/>
  <c r="C38" i="7"/>
  <c r="B38" i="7"/>
  <c r="AQ37" i="7"/>
  <c r="AP37" i="7"/>
  <c r="AO37" i="7"/>
  <c r="AN37" i="7"/>
  <c r="AM37" i="7"/>
  <c r="AL37" i="7"/>
  <c r="AK37" i="7"/>
  <c r="AJ37" i="7"/>
  <c r="C37" i="7"/>
  <c r="B37" i="7"/>
  <c r="BF36" i="7"/>
  <c r="BE36" i="7"/>
  <c r="BD36" i="7"/>
  <c r="BC36" i="7"/>
  <c r="BB36" i="7"/>
  <c r="BA36" i="7"/>
  <c r="AZ36" i="7"/>
  <c r="AY36" i="7"/>
  <c r="AX36" i="7"/>
  <c r="AW36" i="7"/>
  <c r="C35" i="7"/>
  <c r="B35" i="7"/>
  <c r="C34" i="7"/>
  <c r="B34" i="7"/>
  <c r="C33" i="7"/>
  <c r="B33" i="7"/>
  <c r="C32" i="7"/>
  <c r="B32" i="7"/>
  <c r="C31" i="7"/>
  <c r="B31" i="7"/>
  <c r="C30" i="7"/>
  <c r="B30" i="7"/>
  <c r="C29" i="7"/>
  <c r="B29" i="7"/>
  <c r="BF28" i="7"/>
  <c r="BE28" i="7"/>
  <c r="BD28" i="7"/>
  <c r="BC28" i="7"/>
  <c r="BB28" i="7"/>
  <c r="BA28" i="7"/>
  <c r="AZ28" i="7"/>
  <c r="AY28" i="7"/>
  <c r="AX28" i="7"/>
  <c r="AW28" i="7"/>
  <c r="C27" i="7"/>
  <c r="B27" i="7"/>
  <c r="C26" i="7"/>
  <c r="B26" i="7"/>
  <c r="BF25" i="7"/>
  <c r="BE25" i="7"/>
  <c r="BD25" i="7"/>
  <c r="BC25" i="7"/>
  <c r="BB25" i="7"/>
  <c r="BA25" i="7"/>
  <c r="AZ25" i="7"/>
  <c r="AY25" i="7"/>
  <c r="AX25" i="7"/>
  <c r="AW25" i="7"/>
  <c r="C24" i="7"/>
  <c r="B24" i="7"/>
  <c r="BF23" i="7"/>
  <c r="BE23" i="7"/>
  <c r="C23" i="7"/>
  <c r="C22" i="7"/>
  <c r="B22" i="7"/>
  <c r="C21" i="7"/>
  <c r="B21" i="7"/>
  <c r="C20" i="7"/>
  <c r="B20" i="7"/>
  <c r="G19" i="7"/>
  <c r="E19" i="7"/>
  <c r="C19" i="7"/>
  <c r="B19" i="7"/>
  <c r="E18" i="7"/>
  <c r="C18" i="7"/>
  <c r="B18" i="7"/>
  <c r="BF17" i="7"/>
  <c r="BE17" i="7"/>
  <c r="BD17" i="7"/>
  <c r="BC17" i="7"/>
  <c r="BB17" i="7"/>
  <c r="BA17" i="7"/>
  <c r="AZ17" i="7"/>
  <c r="AY17" i="7"/>
  <c r="AX17" i="7"/>
  <c r="AW17" i="7"/>
  <c r="C17" i="7"/>
  <c r="B17" i="7"/>
  <c r="C16" i="7"/>
  <c r="B16" i="7"/>
  <c r="C15" i="7"/>
  <c r="G14" i="7"/>
  <c r="G15" i="7" s="1"/>
  <c r="F14" i="7"/>
  <c r="E14" i="7"/>
  <c r="D14" i="7"/>
  <c r="C14" i="7"/>
  <c r="B14" i="7"/>
  <c r="A14" i="7"/>
  <c r="S13" i="7"/>
  <c r="R13" i="7"/>
  <c r="Q13" i="7"/>
  <c r="P13" i="7"/>
  <c r="O13" i="7"/>
  <c r="N13" i="7"/>
  <c r="M13" i="7"/>
  <c r="L13" i="7"/>
  <c r="K13" i="7"/>
  <c r="J13" i="7"/>
  <c r="I13" i="7"/>
  <c r="H13" i="7"/>
  <c r="F13" i="7"/>
  <c r="E13" i="7"/>
  <c r="D13" i="7"/>
  <c r="C13" i="7"/>
  <c r="B13" i="7"/>
  <c r="A13" i="7"/>
  <c r="F12" i="7"/>
  <c r="E12" i="7"/>
  <c r="D12" i="7"/>
  <c r="C12" i="7"/>
  <c r="B12" i="7"/>
  <c r="A12" i="7"/>
  <c r="F11" i="7"/>
  <c r="E11" i="7"/>
  <c r="D11" i="7"/>
  <c r="C11" i="7"/>
  <c r="B11" i="7"/>
  <c r="A11" i="7"/>
  <c r="F10" i="7"/>
  <c r="E10" i="7"/>
  <c r="D10" i="7"/>
  <c r="C10" i="7"/>
  <c r="B10" i="7"/>
  <c r="A10" i="7"/>
  <c r="F9" i="7"/>
  <c r="E9" i="7"/>
  <c r="D9" i="7"/>
  <c r="C9" i="7"/>
  <c r="B9" i="7"/>
  <c r="A9" i="7"/>
  <c r="BF8" i="7"/>
  <c r="BE8" i="7"/>
  <c r="BD8" i="7"/>
  <c r="BC8" i="7"/>
  <c r="BB8" i="7"/>
  <c r="BA8" i="7"/>
  <c r="AZ8" i="7"/>
  <c r="AY8" i="7"/>
  <c r="AX8" i="7"/>
  <c r="AW8" i="7"/>
  <c r="C7" i="7"/>
  <c r="B7" i="7"/>
  <c r="G6" i="7"/>
  <c r="C6" i="7"/>
  <c r="F5" i="7"/>
  <c r="E5" i="7"/>
  <c r="D5" i="7"/>
  <c r="C5" i="7"/>
  <c r="B5" i="7"/>
  <c r="A5" i="7"/>
  <c r="F4" i="7"/>
  <c r="E4" i="7"/>
  <c r="D4" i="7"/>
  <c r="C4" i="7"/>
  <c r="B4" i="7"/>
  <c r="A4" i="7"/>
  <c r="F3" i="7"/>
  <c r="E3" i="7"/>
  <c r="D3" i="7"/>
  <c r="C3" i="7"/>
  <c r="B3" i="7"/>
  <c r="A3" i="7"/>
  <c r="F2" i="7"/>
  <c r="E2" i="7"/>
  <c r="D2" i="7"/>
  <c r="C2" i="7"/>
  <c r="B2" i="7"/>
  <c r="A2" i="7"/>
  <c r="A90" i="6"/>
  <c r="B89" i="6"/>
  <c r="A89" i="6"/>
  <c r="A88" i="6"/>
  <c r="B87" i="6"/>
  <c r="A87" i="6"/>
  <c r="B86" i="6"/>
  <c r="A86" i="6"/>
  <c r="B85" i="6"/>
  <c r="A85" i="6"/>
  <c r="B84" i="6"/>
  <c r="A84" i="6"/>
  <c r="A83" i="6"/>
  <c r="B81" i="6"/>
  <c r="A81" i="6"/>
  <c r="B80" i="6"/>
  <c r="A80" i="6"/>
  <c r="B79" i="6"/>
  <c r="A79" i="6"/>
  <c r="B78" i="6"/>
  <c r="A78" i="6"/>
  <c r="A68" i="6"/>
  <c r="L67" i="6"/>
  <c r="K67" i="6"/>
  <c r="J67" i="6"/>
  <c r="I67" i="6"/>
  <c r="H67" i="6"/>
  <c r="G67" i="6"/>
  <c r="F67" i="6"/>
  <c r="E67" i="6"/>
  <c r="D67" i="6"/>
  <c r="C67" i="6"/>
  <c r="B67" i="6"/>
  <c r="B61" i="6"/>
  <c r="S57" i="6"/>
  <c r="S57" i="7" s="1"/>
  <c r="R57" i="6"/>
  <c r="R57" i="7" s="1"/>
  <c r="Q57" i="6"/>
  <c r="Q57" i="7" s="1"/>
  <c r="P57" i="6"/>
  <c r="O57" i="6"/>
  <c r="O57" i="7" s="1"/>
  <c r="N57" i="6"/>
  <c r="N57" i="7" s="1"/>
  <c r="M57" i="6"/>
  <c r="M57" i="7" s="1"/>
  <c r="L57" i="6"/>
  <c r="K57" i="6"/>
  <c r="J57" i="6"/>
  <c r="J57" i="7" s="1"/>
  <c r="I57" i="6"/>
  <c r="I57" i="7" s="1"/>
  <c r="H57" i="6"/>
  <c r="G57" i="6"/>
  <c r="G57" i="7" s="1"/>
  <c r="F57" i="6"/>
  <c r="F57" i="7" s="1"/>
  <c r="E57" i="6"/>
  <c r="E57" i="7" s="1"/>
  <c r="D57" i="6"/>
  <c r="D57" i="7" s="1"/>
  <c r="C47" i="6"/>
  <c r="C47" i="7" s="1"/>
  <c r="B47" i="6"/>
  <c r="B47" i="7" s="1"/>
  <c r="AQ46" i="6"/>
  <c r="AP46" i="6"/>
  <c r="AO46" i="6"/>
  <c r="AO47" i="6" s="1"/>
  <c r="AN46" i="6"/>
  <c r="AN47" i="6" s="1"/>
  <c r="AM46" i="6"/>
  <c r="AL46" i="6"/>
  <c r="AK46" i="6"/>
  <c r="AK47" i="6" s="1"/>
  <c r="AJ46" i="6"/>
  <c r="AJ47" i="6" s="1"/>
  <c r="AI46" i="6"/>
  <c r="AI46" i="7" s="1"/>
  <c r="AH46" i="6"/>
  <c r="AH46" i="7" s="1"/>
  <c r="AG46" i="6"/>
  <c r="AG46" i="7" s="1"/>
  <c r="AF46" i="6"/>
  <c r="AE46" i="6"/>
  <c r="AE46" i="7" s="1"/>
  <c r="AD46" i="6"/>
  <c r="AD46" i="7" s="1"/>
  <c r="AC46" i="6"/>
  <c r="AB46" i="6"/>
  <c r="AA46" i="6"/>
  <c r="AA46" i="7" s="1"/>
  <c r="Z46" i="6"/>
  <c r="Z46" i="7" s="1"/>
  <c r="Y46" i="6"/>
  <c r="Y46" i="7" s="1"/>
  <c r="X46" i="6"/>
  <c r="W46" i="6"/>
  <c r="W46" i="7" s="1"/>
  <c r="V46" i="6"/>
  <c r="V46" i="7" s="1"/>
  <c r="U46" i="6"/>
  <c r="U46" i="7" s="1"/>
  <c r="T46" i="6"/>
  <c r="S46" i="6"/>
  <c r="S46" i="7" s="1"/>
  <c r="R46" i="6"/>
  <c r="R46" i="7" s="1"/>
  <c r="Q46" i="6"/>
  <c r="Q46" i="7" s="1"/>
  <c r="P46" i="6"/>
  <c r="O46" i="6"/>
  <c r="O46" i="7" s="1"/>
  <c r="N46" i="6"/>
  <c r="N46" i="7" s="1"/>
  <c r="M46" i="6"/>
  <c r="L46" i="6"/>
  <c r="K46" i="6"/>
  <c r="J46" i="6"/>
  <c r="J46" i="7" s="1"/>
  <c r="I46" i="6"/>
  <c r="I46" i="7" s="1"/>
  <c r="H46" i="6"/>
  <c r="G46" i="6"/>
  <c r="G46" i="7" s="1"/>
  <c r="F46" i="6"/>
  <c r="F46" i="7" s="1"/>
  <c r="E46" i="6"/>
  <c r="E46" i="7" s="1"/>
  <c r="D46" i="6"/>
  <c r="D46" i="7" s="1"/>
  <c r="AI45" i="6"/>
  <c r="AI45" i="7" s="1"/>
  <c r="AH45" i="6"/>
  <c r="AH45" i="7" s="1"/>
  <c r="AG45" i="6"/>
  <c r="AG45" i="7" s="1"/>
  <c r="AF45" i="6"/>
  <c r="AE45" i="6"/>
  <c r="AE45" i="7" s="1"/>
  <c r="AD45" i="6"/>
  <c r="AD45" i="7" s="1"/>
  <c r="AC45" i="6"/>
  <c r="AC45" i="7" s="1"/>
  <c r="AB45" i="6"/>
  <c r="AA45" i="6"/>
  <c r="AA45" i="7" s="1"/>
  <c r="Z45" i="6"/>
  <c r="Z45" i="7" s="1"/>
  <c r="Y45" i="6"/>
  <c r="Y45" i="7" s="1"/>
  <c r="X45" i="6"/>
  <c r="W45" i="6"/>
  <c r="W45" i="7" s="1"/>
  <c r="V45" i="6"/>
  <c r="V45" i="7" s="1"/>
  <c r="U45" i="6"/>
  <c r="U45" i="7" s="1"/>
  <c r="T45" i="6"/>
  <c r="S45" i="6"/>
  <c r="S45" i="7" s="1"/>
  <c r="R45" i="6"/>
  <c r="R45" i="7" s="1"/>
  <c r="Q45" i="6"/>
  <c r="Q45" i="7" s="1"/>
  <c r="P45" i="6"/>
  <c r="O45" i="6"/>
  <c r="O45" i="7" s="1"/>
  <c r="N45" i="6"/>
  <c r="N45" i="7" s="1"/>
  <c r="M45" i="6"/>
  <c r="M45" i="7" s="1"/>
  <c r="L45" i="6"/>
  <c r="K45" i="6"/>
  <c r="J45" i="6"/>
  <c r="J45" i="7" s="1"/>
  <c r="I45" i="6"/>
  <c r="I45" i="7" s="1"/>
  <c r="H45" i="6"/>
  <c r="G45" i="6"/>
  <c r="G45" i="7" s="1"/>
  <c r="F45" i="6"/>
  <c r="F45" i="7" s="1"/>
  <c r="E45" i="6"/>
  <c r="E45" i="7" s="1"/>
  <c r="D45" i="6"/>
  <c r="D45" i="7" s="1"/>
  <c r="AI44" i="6"/>
  <c r="AI44" i="7" s="1"/>
  <c r="AH44" i="6"/>
  <c r="AH44" i="7" s="1"/>
  <c r="AG44" i="6"/>
  <c r="AG44" i="7" s="1"/>
  <c r="AF44" i="6"/>
  <c r="AE44" i="6"/>
  <c r="AE44" i="7" s="1"/>
  <c r="AD44" i="6"/>
  <c r="AD44" i="7" s="1"/>
  <c r="AC44" i="6"/>
  <c r="AC44" i="7" s="1"/>
  <c r="AB44" i="6"/>
  <c r="AA44" i="6"/>
  <c r="AA44" i="7" s="1"/>
  <c r="Z44" i="6"/>
  <c r="Z44" i="7" s="1"/>
  <c r="Y44" i="6"/>
  <c r="Y44" i="7" s="1"/>
  <c r="X44" i="6"/>
  <c r="W44" i="6"/>
  <c r="W44" i="7" s="1"/>
  <c r="V44" i="6"/>
  <c r="V44" i="7" s="1"/>
  <c r="U44" i="6"/>
  <c r="U44" i="7" s="1"/>
  <c r="T44" i="6"/>
  <c r="S44" i="6"/>
  <c r="S44" i="7" s="1"/>
  <c r="R44" i="6"/>
  <c r="R44" i="7" s="1"/>
  <c r="Q44" i="6"/>
  <c r="Q44" i="7" s="1"/>
  <c r="P44" i="6"/>
  <c r="O44" i="6"/>
  <c r="O44" i="7" s="1"/>
  <c r="N44" i="6"/>
  <c r="N44" i="7" s="1"/>
  <c r="M44" i="6"/>
  <c r="M44" i="7" s="1"/>
  <c r="L44" i="6"/>
  <c r="K44" i="6"/>
  <c r="J44" i="6"/>
  <c r="J44" i="7" s="1"/>
  <c r="I44" i="6"/>
  <c r="I44" i="7" s="1"/>
  <c r="H44" i="6"/>
  <c r="G44" i="6"/>
  <c r="G44" i="7" s="1"/>
  <c r="F44" i="6"/>
  <c r="F44" i="7" s="1"/>
  <c r="E44" i="6"/>
  <c r="E44" i="7" s="1"/>
  <c r="D44" i="6"/>
  <c r="D44" i="7" s="1"/>
  <c r="AI43" i="6"/>
  <c r="AI43" i="7" s="1"/>
  <c r="AH43" i="6"/>
  <c r="AG43" i="6"/>
  <c r="AG43" i="7" s="1"/>
  <c r="AF43" i="6"/>
  <c r="AE43" i="6"/>
  <c r="AE43" i="7" s="1"/>
  <c r="AD43" i="6"/>
  <c r="AD43" i="7" s="1"/>
  <c r="AC43" i="6"/>
  <c r="AC43" i="7" s="1"/>
  <c r="AB43" i="6"/>
  <c r="AA43" i="6"/>
  <c r="AA43" i="7" s="1"/>
  <c r="Z43" i="6"/>
  <c r="Z43" i="7" s="1"/>
  <c r="Y43" i="6"/>
  <c r="Y43" i="7" s="1"/>
  <c r="X43" i="6"/>
  <c r="W43" i="6"/>
  <c r="W43" i="7" s="1"/>
  <c r="V43" i="6"/>
  <c r="V43" i="7" s="1"/>
  <c r="U43" i="6"/>
  <c r="U43" i="7" s="1"/>
  <c r="T43" i="6"/>
  <c r="S43" i="6"/>
  <c r="S43" i="7" s="1"/>
  <c r="R43" i="6"/>
  <c r="Q43" i="6"/>
  <c r="Q43" i="7" s="1"/>
  <c r="P43" i="6"/>
  <c r="O43" i="6"/>
  <c r="O43" i="7" s="1"/>
  <c r="N43" i="6"/>
  <c r="N43" i="7" s="1"/>
  <c r="M43" i="6"/>
  <c r="M43" i="7" s="1"/>
  <c r="L43" i="6"/>
  <c r="K43" i="6"/>
  <c r="J43" i="6"/>
  <c r="J43" i="7" s="1"/>
  <c r="I43" i="6"/>
  <c r="I43" i="7" s="1"/>
  <c r="H43" i="6"/>
  <c r="G43" i="6"/>
  <c r="G43" i="7" s="1"/>
  <c r="F43" i="6"/>
  <c r="F43" i="7" s="1"/>
  <c r="E43" i="6"/>
  <c r="E43" i="7" s="1"/>
  <c r="D43" i="6"/>
  <c r="D43" i="7" s="1"/>
  <c r="AI42" i="6"/>
  <c r="AI42" i="7" s="1"/>
  <c r="AH42" i="6"/>
  <c r="AH42" i="7" s="1"/>
  <c r="AG42" i="6"/>
  <c r="AG42" i="7" s="1"/>
  <c r="AF42" i="6"/>
  <c r="AE42" i="6"/>
  <c r="AE42" i="7" s="1"/>
  <c r="AD42" i="6"/>
  <c r="AD42" i="7" s="1"/>
  <c r="AC42" i="6"/>
  <c r="AB42" i="6"/>
  <c r="AA42" i="6"/>
  <c r="AA42" i="7" s="1"/>
  <c r="Z42" i="6"/>
  <c r="Z42" i="7" s="1"/>
  <c r="Y42" i="6"/>
  <c r="Y42" i="7" s="1"/>
  <c r="X42" i="6"/>
  <c r="W42" i="6"/>
  <c r="W42" i="7" s="1"/>
  <c r="V42" i="6"/>
  <c r="V42" i="7" s="1"/>
  <c r="U42" i="6"/>
  <c r="U42" i="7" s="1"/>
  <c r="T42" i="6"/>
  <c r="S42" i="6"/>
  <c r="S42" i="7" s="1"/>
  <c r="R42" i="6"/>
  <c r="R42" i="7" s="1"/>
  <c r="Q42" i="6"/>
  <c r="Q42" i="7" s="1"/>
  <c r="P42" i="6"/>
  <c r="O42" i="6"/>
  <c r="O42" i="7" s="1"/>
  <c r="N42" i="6"/>
  <c r="N42" i="7" s="1"/>
  <c r="M42" i="6"/>
  <c r="L42" i="6"/>
  <c r="K42" i="6"/>
  <c r="J42" i="6"/>
  <c r="J42" i="7" s="1"/>
  <c r="I42" i="6"/>
  <c r="I42" i="7" s="1"/>
  <c r="H42" i="6"/>
  <c r="G42" i="6"/>
  <c r="G42" i="7" s="1"/>
  <c r="F42" i="6"/>
  <c r="F42" i="7" s="1"/>
  <c r="E42" i="6"/>
  <c r="E42" i="7" s="1"/>
  <c r="D42" i="6"/>
  <c r="D42" i="7" s="1"/>
  <c r="AI41" i="6"/>
  <c r="AI41" i="7" s="1"/>
  <c r="AH41" i="6"/>
  <c r="AH41" i="7" s="1"/>
  <c r="AG41" i="6"/>
  <c r="AG41" i="7" s="1"/>
  <c r="AF41" i="6"/>
  <c r="AE41" i="6"/>
  <c r="AE41" i="7" s="1"/>
  <c r="AD41" i="6"/>
  <c r="AD41" i="7" s="1"/>
  <c r="AC41" i="6"/>
  <c r="AC41" i="7" s="1"/>
  <c r="AB41" i="6"/>
  <c r="AA41" i="6"/>
  <c r="AA41" i="7" s="1"/>
  <c r="Z41" i="6"/>
  <c r="Z41" i="7" s="1"/>
  <c r="Y41" i="6"/>
  <c r="Y41" i="7" s="1"/>
  <c r="X41" i="6"/>
  <c r="W41" i="6"/>
  <c r="W41" i="7" s="1"/>
  <c r="V41" i="6"/>
  <c r="V41" i="7" s="1"/>
  <c r="U41" i="6"/>
  <c r="U41" i="7" s="1"/>
  <c r="T41" i="6"/>
  <c r="S41" i="6"/>
  <c r="S41" i="7" s="1"/>
  <c r="R41" i="6"/>
  <c r="R41" i="7" s="1"/>
  <c r="Q41" i="6"/>
  <c r="Q41" i="7" s="1"/>
  <c r="P41" i="6"/>
  <c r="O41" i="6"/>
  <c r="O41" i="7" s="1"/>
  <c r="N41" i="6"/>
  <c r="N41" i="7" s="1"/>
  <c r="M41" i="6"/>
  <c r="M41" i="7" s="1"/>
  <c r="L41" i="6"/>
  <c r="K41" i="6"/>
  <c r="J41" i="6"/>
  <c r="J41" i="7" s="1"/>
  <c r="I41" i="6"/>
  <c r="I41" i="7" s="1"/>
  <c r="H41" i="6"/>
  <c r="G41" i="6"/>
  <c r="G41" i="7" s="1"/>
  <c r="F41" i="6"/>
  <c r="F41" i="7" s="1"/>
  <c r="E41" i="6"/>
  <c r="E41" i="7" s="1"/>
  <c r="D41" i="6"/>
  <c r="D41" i="7" s="1"/>
  <c r="AI40" i="6"/>
  <c r="AI40" i="7" s="1"/>
  <c r="AH40" i="6"/>
  <c r="AH40" i="7" s="1"/>
  <c r="AG40" i="6"/>
  <c r="AG40" i="7" s="1"/>
  <c r="AF40" i="6"/>
  <c r="AE40" i="6"/>
  <c r="AE40" i="7" s="1"/>
  <c r="AD40" i="6"/>
  <c r="AD40" i="7" s="1"/>
  <c r="AC40" i="6"/>
  <c r="AC40" i="7" s="1"/>
  <c r="AB40" i="6"/>
  <c r="AA40" i="6"/>
  <c r="AA40" i="7" s="1"/>
  <c r="Z40" i="6"/>
  <c r="Z40" i="7" s="1"/>
  <c r="Y40" i="6"/>
  <c r="Y40" i="7" s="1"/>
  <c r="X40" i="6"/>
  <c r="W40" i="6"/>
  <c r="W40" i="7" s="1"/>
  <c r="V40" i="6"/>
  <c r="V40" i="7" s="1"/>
  <c r="U40" i="6"/>
  <c r="U40" i="7" s="1"/>
  <c r="T40" i="6"/>
  <c r="S40" i="6"/>
  <c r="S40" i="7" s="1"/>
  <c r="R40" i="6"/>
  <c r="R40" i="7" s="1"/>
  <c r="Q40" i="6"/>
  <c r="Q40" i="7" s="1"/>
  <c r="P40" i="6"/>
  <c r="O40" i="6"/>
  <c r="O40" i="7" s="1"/>
  <c r="N40" i="6"/>
  <c r="N40" i="7" s="1"/>
  <c r="M40" i="6"/>
  <c r="M40" i="7" s="1"/>
  <c r="L40" i="6"/>
  <c r="K40" i="6"/>
  <c r="J40" i="6"/>
  <c r="J40" i="7" s="1"/>
  <c r="I40" i="6"/>
  <c r="I40" i="7" s="1"/>
  <c r="H40" i="6"/>
  <c r="G40" i="6"/>
  <c r="G40" i="7" s="1"/>
  <c r="F40" i="6"/>
  <c r="F40" i="7" s="1"/>
  <c r="E40" i="6"/>
  <c r="E40" i="7" s="1"/>
  <c r="D40" i="6"/>
  <c r="D40" i="7" s="1"/>
  <c r="AI39" i="6"/>
  <c r="AI39" i="7" s="1"/>
  <c r="AH39" i="6"/>
  <c r="AG39" i="6"/>
  <c r="AG39" i="7" s="1"/>
  <c r="AF39" i="6"/>
  <c r="AE39" i="6"/>
  <c r="AE39" i="7" s="1"/>
  <c r="AD39" i="6"/>
  <c r="AD39" i="7" s="1"/>
  <c r="AC39" i="6"/>
  <c r="AC39" i="7" s="1"/>
  <c r="AB39" i="6"/>
  <c r="AB39" i="7" s="1"/>
  <c r="AA39" i="6"/>
  <c r="AA39" i="7" s="1"/>
  <c r="Z39" i="6"/>
  <c r="Z39" i="7" s="1"/>
  <c r="Y39" i="6"/>
  <c r="Y39" i="7" s="1"/>
  <c r="X39" i="6"/>
  <c r="W39" i="6"/>
  <c r="W39" i="7" s="1"/>
  <c r="V39" i="6"/>
  <c r="V39" i="7" s="1"/>
  <c r="U39" i="6"/>
  <c r="U39" i="7" s="1"/>
  <c r="T39" i="6"/>
  <c r="S39" i="6"/>
  <c r="S39" i="7" s="1"/>
  <c r="R39" i="6"/>
  <c r="Q39" i="6"/>
  <c r="Q39" i="7" s="1"/>
  <c r="P39" i="6"/>
  <c r="O39" i="6"/>
  <c r="O39" i="7" s="1"/>
  <c r="N39" i="6"/>
  <c r="N39" i="7" s="1"/>
  <c r="M39" i="6"/>
  <c r="M39" i="7" s="1"/>
  <c r="L39" i="6"/>
  <c r="K39" i="6"/>
  <c r="J39" i="6"/>
  <c r="J39" i="7" s="1"/>
  <c r="I39" i="6"/>
  <c r="I39" i="7" s="1"/>
  <c r="H39" i="6"/>
  <c r="G39" i="6"/>
  <c r="G39" i="7" s="1"/>
  <c r="F39" i="6"/>
  <c r="F39" i="7" s="1"/>
  <c r="E39" i="6"/>
  <c r="E39" i="7" s="1"/>
  <c r="D39" i="6"/>
  <c r="D39" i="7" s="1"/>
  <c r="AI38" i="6"/>
  <c r="AI38" i="7" s="1"/>
  <c r="AH38" i="6"/>
  <c r="AH38" i="7" s="1"/>
  <c r="AG38" i="6"/>
  <c r="AG38" i="7" s="1"/>
  <c r="AF38" i="6"/>
  <c r="AE38" i="6"/>
  <c r="AE38" i="7" s="1"/>
  <c r="AD38" i="6"/>
  <c r="AD38" i="7" s="1"/>
  <c r="AC38" i="6"/>
  <c r="AB38" i="6"/>
  <c r="AA38" i="6"/>
  <c r="AA38" i="7" s="1"/>
  <c r="Z38" i="6"/>
  <c r="Z38" i="7" s="1"/>
  <c r="Y38" i="6"/>
  <c r="Y38" i="7" s="1"/>
  <c r="X38" i="6"/>
  <c r="W38" i="6"/>
  <c r="W38" i="7" s="1"/>
  <c r="V38" i="6"/>
  <c r="V38" i="7" s="1"/>
  <c r="U38" i="6"/>
  <c r="U38" i="7" s="1"/>
  <c r="T38" i="6"/>
  <c r="S38" i="6"/>
  <c r="S38" i="7" s="1"/>
  <c r="R38" i="6"/>
  <c r="R38" i="7" s="1"/>
  <c r="Q38" i="6"/>
  <c r="Q38" i="7" s="1"/>
  <c r="P38" i="6"/>
  <c r="O38" i="6"/>
  <c r="O38" i="7" s="1"/>
  <c r="N38" i="6"/>
  <c r="N38" i="7" s="1"/>
  <c r="M38" i="6"/>
  <c r="L38" i="6"/>
  <c r="K38" i="6"/>
  <c r="J38" i="6"/>
  <c r="J38" i="7" s="1"/>
  <c r="I38" i="6"/>
  <c r="I38" i="7" s="1"/>
  <c r="H38" i="6"/>
  <c r="G38" i="6"/>
  <c r="G38" i="7" s="1"/>
  <c r="F38" i="6"/>
  <c r="F38" i="7" s="1"/>
  <c r="E38" i="6"/>
  <c r="E38" i="7" s="1"/>
  <c r="D38" i="6"/>
  <c r="D38" i="7" s="1"/>
  <c r="AI37" i="6"/>
  <c r="AH37" i="6"/>
  <c r="AG37" i="6"/>
  <c r="AF37" i="6"/>
  <c r="AF47" i="6" s="1"/>
  <c r="AE37" i="6"/>
  <c r="AD37" i="6"/>
  <c r="AC37" i="6"/>
  <c r="AB37" i="6"/>
  <c r="AB47" i="6" s="1"/>
  <c r="AA37" i="6"/>
  <c r="Z37" i="6"/>
  <c r="Y37" i="6"/>
  <c r="X37" i="6"/>
  <c r="X47" i="6" s="1"/>
  <c r="W37" i="6"/>
  <c r="V37" i="6"/>
  <c r="U37" i="6"/>
  <c r="T37" i="6"/>
  <c r="T47" i="6" s="1"/>
  <c r="S37" i="6"/>
  <c r="R37" i="6"/>
  <c r="Q37" i="6"/>
  <c r="P37" i="6"/>
  <c r="O37" i="6"/>
  <c r="N37" i="6"/>
  <c r="M37" i="6"/>
  <c r="L37" i="6"/>
  <c r="L47" i="6" s="1"/>
  <c r="K37" i="6"/>
  <c r="K47" i="6" s="1"/>
  <c r="J37" i="6"/>
  <c r="I37" i="6"/>
  <c r="H37" i="6"/>
  <c r="H47" i="6" s="1"/>
  <c r="G37" i="6"/>
  <c r="F37" i="6"/>
  <c r="E37" i="6"/>
  <c r="D37" i="6"/>
  <c r="D37" i="7" s="1"/>
  <c r="AW36" i="6"/>
  <c r="AQ33" i="6"/>
  <c r="AP33" i="6"/>
  <c r="AP33" i="7" s="1"/>
  <c r="AO33" i="6"/>
  <c r="AO33" i="7" s="1"/>
  <c r="AN33" i="6"/>
  <c r="AM33" i="6"/>
  <c r="AM33" i="7" s="1"/>
  <c r="AL33" i="6"/>
  <c r="AL33" i="7" s="1"/>
  <c r="AK33" i="6"/>
  <c r="AK33" i="7" s="1"/>
  <c r="AJ33" i="6"/>
  <c r="AI33" i="6"/>
  <c r="AI33" i="7" s="1"/>
  <c r="AH33" i="6"/>
  <c r="AH33" i="7" s="1"/>
  <c r="AG33" i="6"/>
  <c r="AG33" i="7" s="1"/>
  <c r="AF33" i="6"/>
  <c r="AE33" i="6"/>
  <c r="AE33" i="7" s="1"/>
  <c r="AD33" i="6"/>
  <c r="AD33" i="7" s="1"/>
  <c r="AC33" i="6"/>
  <c r="AC33" i="7" s="1"/>
  <c r="AB33" i="6"/>
  <c r="AA33" i="6"/>
  <c r="AA33" i="7" s="1"/>
  <c r="Z33" i="6"/>
  <c r="Z33" i="7" s="1"/>
  <c r="Y33" i="6"/>
  <c r="Y33" i="7" s="1"/>
  <c r="X33" i="6"/>
  <c r="W33" i="6"/>
  <c r="W33" i="7" s="1"/>
  <c r="V33" i="6"/>
  <c r="V33" i="7" s="1"/>
  <c r="U33" i="6"/>
  <c r="U33" i="7" s="1"/>
  <c r="T33" i="6"/>
  <c r="S33" i="6"/>
  <c r="S33" i="7" s="1"/>
  <c r="R33" i="6"/>
  <c r="R33" i="7" s="1"/>
  <c r="Q33" i="6"/>
  <c r="Q33" i="7" s="1"/>
  <c r="P33" i="6"/>
  <c r="O33" i="6"/>
  <c r="O33" i="7" s="1"/>
  <c r="N33" i="6"/>
  <c r="N33" i="7" s="1"/>
  <c r="M33" i="6"/>
  <c r="M33" i="7" s="1"/>
  <c r="L33" i="6"/>
  <c r="K33" i="6"/>
  <c r="J33" i="6"/>
  <c r="J33" i="7" s="1"/>
  <c r="I33" i="6"/>
  <c r="I33" i="7" s="1"/>
  <c r="H33" i="6"/>
  <c r="G33" i="6"/>
  <c r="G33" i="7" s="1"/>
  <c r="F33" i="6"/>
  <c r="F33" i="7" s="1"/>
  <c r="E33" i="6"/>
  <c r="E33" i="7" s="1"/>
  <c r="D33" i="6"/>
  <c r="D33" i="7" s="1"/>
  <c r="AQ32" i="6"/>
  <c r="AP32" i="6"/>
  <c r="AP32" i="7" s="1"/>
  <c r="AO32" i="6"/>
  <c r="AO32" i="7" s="1"/>
  <c r="AN32" i="6"/>
  <c r="AM32" i="6"/>
  <c r="AM32" i="7" s="1"/>
  <c r="AL32" i="6"/>
  <c r="AL32" i="7" s="1"/>
  <c r="AK32" i="6"/>
  <c r="AK32" i="7" s="1"/>
  <c r="AJ32" i="6"/>
  <c r="AI32" i="6"/>
  <c r="AI32" i="7" s="1"/>
  <c r="AH32" i="6"/>
  <c r="AH32" i="7" s="1"/>
  <c r="AG32" i="6"/>
  <c r="AG32" i="7" s="1"/>
  <c r="AF32" i="6"/>
  <c r="AE32" i="6"/>
  <c r="AE32" i="7" s="1"/>
  <c r="AD32" i="6"/>
  <c r="AD32" i="7" s="1"/>
  <c r="AC32" i="6"/>
  <c r="AC32" i="7" s="1"/>
  <c r="AB32" i="6"/>
  <c r="AA32" i="6"/>
  <c r="AA32" i="7" s="1"/>
  <c r="Z32" i="6"/>
  <c r="Z32" i="7" s="1"/>
  <c r="Y32" i="6"/>
  <c r="Y32" i="7" s="1"/>
  <c r="X32" i="6"/>
  <c r="W32" i="6"/>
  <c r="W32" i="7" s="1"/>
  <c r="V32" i="6"/>
  <c r="V32" i="7" s="1"/>
  <c r="U32" i="6"/>
  <c r="U32" i="7" s="1"/>
  <c r="T32" i="6"/>
  <c r="S32" i="6"/>
  <c r="S32" i="7" s="1"/>
  <c r="R32" i="6"/>
  <c r="R32" i="7" s="1"/>
  <c r="Q32" i="6"/>
  <c r="Q32" i="7" s="1"/>
  <c r="P32" i="6"/>
  <c r="O32" i="6"/>
  <c r="O32" i="7" s="1"/>
  <c r="N32" i="6"/>
  <c r="N32" i="7" s="1"/>
  <c r="M32" i="6"/>
  <c r="M32" i="7" s="1"/>
  <c r="L32" i="6"/>
  <c r="K32" i="6"/>
  <c r="J32" i="6"/>
  <c r="J32" i="7" s="1"/>
  <c r="I32" i="6"/>
  <c r="I32" i="7" s="1"/>
  <c r="H32" i="6"/>
  <c r="G32" i="6"/>
  <c r="G32" i="7" s="1"/>
  <c r="F32" i="6"/>
  <c r="F32" i="7" s="1"/>
  <c r="E32" i="6"/>
  <c r="E32" i="7" s="1"/>
  <c r="D32" i="6"/>
  <c r="D32" i="7" s="1"/>
  <c r="AQ31" i="6"/>
  <c r="AP31" i="6"/>
  <c r="AP31" i="7" s="1"/>
  <c r="AO31" i="6"/>
  <c r="AO31" i="7" s="1"/>
  <c r="AN31" i="6"/>
  <c r="AM31" i="6"/>
  <c r="AM31" i="7" s="1"/>
  <c r="AL31" i="6"/>
  <c r="AL31" i="7" s="1"/>
  <c r="AK31" i="6"/>
  <c r="AK31" i="7" s="1"/>
  <c r="AJ31" i="6"/>
  <c r="AI31" i="6"/>
  <c r="AI31" i="7" s="1"/>
  <c r="AH31" i="6"/>
  <c r="AG31" i="6"/>
  <c r="AG31" i="7" s="1"/>
  <c r="AF31" i="6"/>
  <c r="AE31" i="6"/>
  <c r="AE31" i="7" s="1"/>
  <c r="AD31" i="6"/>
  <c r="AD31" i="7" s="1"/>
  <c r="AC31" i="6"/>
  <c r="AC31" i="7" s="1"/>
  <c r="AB31" i="6"/>
  <c r="AA31" i="6"/>
  <c r="AA31" i="7" s="1"/>
  <c r="Z31" i="6"/>
  <c r="Z31" i="7" s="1"/>
  <c r="Y31" i="6"/>
  <c r="Y31" i="7" s="1"/>
  <c r="X31" i="6"/>
  <c r="W31" i="6"/>
  <c r="W31" i="7" s="1"/>
  <c r="V31" i="6"/>
  <c r="V31" i="7" s="1"/>
  <c r="U31" i="6"/>
  <c r="U31" i="7" s="1"/>
  <c r="T31" i="6"/>
  <c r="S31" i="6"/>
  <c r="S31" i="7" s="1"/>
  <c r="R31" i="6"/>
  <c r="Q31" i="6"/>
  <c r="Q31" i="7" s="1"/>
  <c r="P31" i="6"/>
  <c r="O31" i="6"/>
  <c r="O31" i="7" s="1"/>
  <c r="N31" i="6"/>
  <c r="N31" i="7" s="1"/>
  <c r="M31" i="6"/>
  <c r="M31" i="7" s="1"/>
  <c r="L31" i="6"/>
  <c r="K31" i="6"/>
  <c r="J31" i="6"/>
  <c r="J31" i="7" s="1"/>
  <c r="I31" i="6"/>
  <c r="I31" i="7" s="1"/>
  <c r="H31" i="6"/>
  <c r="G31" i="6"/>
  <c r="G31" i="7" s="1"/>
  <c r="F31" i="6"/>
  <c r="F31" i="7" s="1"/>
  <c r="E31" i="6"/>
  <c r="E31" i="7" s="1"/>
  <c r="D31" i="6"/>
  <c r="D31" i="7" s="1"/>
  <c r="AQ30" i="6"/>
  <c r="AP30" i="6"/>
  <c r="AP30" i="7" s="1"/>
  <c r="AO30" i="6"/>
  <c r="AN30" i="6"/>
  <c r="AM30" i="6"/>
  <c r="AM30" i="7" s="1"/>
  <c r="AL30" i="6"/>
  <c r="AL30" i="7" s="1"/>
  <c r="AK30" i="6"/>
  <c r="AK30" i="7" s="1"/>
  <c r="AJ30" i="6"/>
  <c r="AI30" i="6"/>
  <c r="AI30" i="7" s="1"/>
  <c r="AH30" i="6"/>
  <c r="AH30" i="7" s="1"/>
  <c r="AG30" i="6"/>
  <c r="AG30" i="7" s="1"/>
  <c r="AF30" i="6"/>
  <c r="AE30" i="6"/>
  <c r="AE30" i="7" s="1"/>
  <c r="AD30" i="6"/>
  <c r="AD30" i="7" s="1"/>
  <c r="AC30" i="6"/>
  <c r="AB30" i="6"/>
  <c r="AA30" i="6"/>
  <c r="AA30" i="7" s="1"/>
  <c r="Z30" i="6"/>
  <c r="Z30" i="7" s="1"/>
  <c r="Y30" i="6"/>
  <c r="Y30" i="7" s="1"/>
  <c r="X30" i="6"/>
  <c r="W30" i="6"/>
  <c r="W30" i="7" s="1"/>
  <c r="V30" i="6"/>
  <c r="V30" i="7" s="1"/>
  <c r="U30" i="6"/>
  <c r="U30" i="7" s="1"/>
  <c r="T30" i="6"/>
  <c r="S30" i="6"/>
  <c r="S30" i="7" s="1"/>
  <c r="R30" i="6"/>
  <c r="R30" i="7" s="1"/>
  <c r="Q30" i="6"/>
  <c r="Q30" i="7" s="1"/>
  <c r="P30" i="6"/>
  <c r="O30" i="6"/>
  <c r="O30" i="7" s="1"/>
  <c r="N30" i="6"/>
  <c r="N30" i="7" s="1"/>
  <c r="M30" i="6"/>
  <c r="L30" i="6"/>
  <c r="K30" i="6"/>
  <c r="J30" i="6"/>
  <c r="J30" i="7" s="1"/>
  <c r="I30" i="6"/>
  <c r="I30" i="7" s="1"/>
  <c r="H30" i="6"/>
  <c r="G30" i="6"/>
  <c r="G30" i="7" s="1"/>
  <c r="F30" i="6"/>
  <c r="F30" i="7" s="1"/>
  <c r="E30" i="6"/>
  <c r="E30" i="7" s="1"/>
  <c r="D30" i="6"/>
  <c r="AQ29" i="6"/>
  <c r="AP29" i="6"/>
  <c r="AP29" i="7" s="1"/>
  <c r="AO29" i="6"/>
  <c r="AO29" i="7" s="1"/>
  <c r="AN29" i="6"/>
  <c r="AM29" i="6"/>
  <c r="AM29" i="7" s="1"/>
  <c r="AL29" i="6"/>
  <c r="AL29" i="7" s="1"/>
  <c r="AK29" i="6"/>
  <c r="AK29" i="7" s="1"/>
  <c r="AJ29" i="6"/>
  <c r="AI29" i="6"/>
  <c r="AI29" i="7" s="1"/>
  <c r="AH29" i="6"/>
  <c r="AH29" i="7" s="1"/>
  <c r="AG29" i="6"/>
  <c r="AG29" i="7" s="1"/>
  <c r="AF29" i="6"/>
  <c r="AE29" i="6"/>
  <c r="AE29" i="7" s="1"/>
  <c r="AD29" i="6"/>
  <c r="AD29" i="7" s="1"/>
  <c r="AC29" i="6"/>
  <c r="AC29" i="7" s="1"/>
  <c r="AB29" i="6"/>
  <c r="AA29" i="6"/>
  <c r="AA29" i="7" s="1"/>
  <c r="Z29" i="6"/>
  <c r="Z29" i="7" s="1"/>
  <c r="Y29" i="6"/>
  <c r="Y29" i="7" s="1"/>
  <c r="X29" i="6"/>
  <c r="W29" i="6"/>
  <c r="W29" i="7" s="1"/>
  <c r="V29" i="6"/>
  <c r="V29" i="7" s="1"/>
  <c r="U29" i="6"/>
  <c r="U29" i="7" s="1"/>
  <c r="T29" i="6"/>
  <c r="S29" i="6"/>
  <c r="S29" i="7" s="1"/>
  <c r="R29" i="6"/>
  <c r="R29" i="7" s="1"/>
  <c r="Q29" i="6"/>
  <c r="Q29" i="7" s="1"/>
  <c r="P29" i="6"/>
  <c r="O29" i="6"/>
  <c r="O29" i="7" s="1"/>
  <c r="N29" i="6"/>
  <c r="N29" i="7" s="1"/>
  <c r="M29" i="6"/>
  <c r="M29" i="7" s="1"/>
  <c r="L29" i="6"/>
  <c r="K29" i="6"/>
  <c r="J29" i="6"/>
  <c r="J29" i="7" s="1"/>
  <c r="I29" i="6"/>
  <c r="I29" i="7" s="1"/>
  <c r="H29" i="6"/>
  <c r="G29" i="6"/>
  <c r="G29" i="7" s="1"/>
  <c r="F29" i="6"/>
  <c r="F29" i="7" s="1"/>
  <c r="E29" i="6"/>
  <c r="E29" i="7" s="1"/>
  <c r="D29" i="6"/>
  <c r="AW28" i="6"/>
  <c r="AQ25" i="6"/>
  <c r="AP25" i="6"/>
  <c r="AP26" i="6" s="1"/>
  <c r="AP26" i="7" s="1"/>
  <c r="AO25" i="6"/>
  <c r="AN25" i="6"/>
  <c r="AM25" i="6"/>
  <c r="AM26" i="6" s="1"/>
  <c r="AM26" i="7" s="1"/>
  <c r="AL25" i="6"/>
  <c r="AL26" i="6" s="1"/>
  <c r="AL26" i="7" s="1"/>
  <c r="AK25" i="6"/>
  <c r="AK26" i="6" s="1"/>
  <c r="AJ25" i="6"/>
  <c r="AI25" i="6"/>
  <c r="AI26" i="6" s="1"/>
  <c r="AI26" i="7" s="1"/>
  <c r="AH25" i="6"/>
  <c r="AH26" i="6" s="1"/>
  <c r="AH26" i="7" s="1"/>
  <c r="AG25" i="6"/>
  <c r="AG26" i="6" s="1"/>
  <c r="AF25" i="6"/>
  <c r="AE25" i="6"/>
  <c r="AE26" i="6" s="1"/>
  <c r="AE26" i="7" s="1"/>
  <c r="AD25" i="6"/>
  <c r="AD26" i="6" s="1"/>
  <c r="AD26" i="7" s="1"/>
  <c r="AC25" i="6"/>
  <c r="AC26" i="6" s="1"/>
  <c r="AB25" i="6"/>
  <c r="AA25" i="6"/>
  <c r="AA26" i="6" s="1"/>
  <c r="AA26" i="7" s="1"/>
  <c r="Z25" i="6"/>
  <c r="Z26" i="6" s="1"/>
  <c r="Z26" i="7" s="1"/>
  <c r="Y25" i="6"/>
  <c r="Y26" i="6" s="1"/>
  <c r="X25" i="6"/>
  <c r="W25" i="6"/>
  <c r="W26" i="6" s="1"/>
  <c r="W26" i="7" s="1"/>
  <c r="V25" i="6"/>
  <c r="V26" i="6" s="1"/>
  <c r="V26" i="7" s="1"/>
  <c r="U25" i="6"/>
  <c r="U26" i="6" s="1"/>
  <c r="T25" i="6"/>
  <c r="S25" i="6"/>
  <c r="S26" i="6" s="1"/>
  <c r="S26" i="7" s="1"/>
  <c r="R25" i="6"/>
  <c r="R26" i="6" s="1"/>
  <c r="R26" i="7" s="1"/>
  <c r="Q25" i="6"/>
  <c r="Q26" i="6" s="1"/>
  <c r="P25" i="6"/>
  <c r="AZ25" i="6" s="1"/>
  <c r="O25" i="6"/>
  <c r="O26" i="6" s="1"/>
  <c r="O26" i="7" s="1"/>
  <c r="N25" i="6"/>
  <c r="N26" i="6" s="1"/>
  <c r="N26" i="7" s="1"/>
  <c r="M25" i="6"/>
  <c r="M26" i="6" s="1"/>
  <c r="L25" i="6"/>
  <c r="K25" i="6"/>
  <c r="J25" i="6"/>
  <c r="J26" i="6" s="1"/>
  <c r="J26" i="7" s="1"/>
  <c r="I25" i="6"/>
  <c r="I26" i="6" s="1"/>
  <c r="H25" i="6"/>
  <c r="G25" i="6"/>
  <c r="G26" i="6" s="1"/>
  <c r="G26" i="7" s="1"/>
  <c r="F25" i="6"/>
  <c r="F26" i="6" s="1"/>
  <c r="F26" i="7" s="1"/>
  <c r="E25" i="6"/>
  <c r="E26" i="6" s="1"/>
  <c r="D25" i="6"/>
  <c r="D26" i="6" s="1"/>
  <c r="B23" i="6"/>
  <c r="B23" i="7" s="1"/>
  <c r="D22" i="6"/>
  <c r="E22" i="6" s="1"/>
  <c r="E22" i="7" s="1"/>
  <c r="D21" i="6"/>
  <c r="D21" i="7" s="1"/>
  <c r="D20" i="6"/>
  <c r="D20" i="7" s="1"/>
  <c r="AQ19" i="6"/>
  <c r="AP19" i="6"/>
  <c r="AP19" i="7" s="1"/>
  <c r="AO19" i="6"/>
  <c r="AO19" i="7" s="1"/>
  <c r="AN19" i="6"/>
  <c r="AM19" i="6"/>
  <c r="AM19" i="7" s="1"/>
  <c r="AL19" i="6"/>
  <c r="AL19" i="7" s="1"/>
  <c r="AK19" i="6"/>
  <c r="AK19" i="7" s="1"/>
  <c r="AJ19" i="6"/>
  <c r="AI19" i="6"/>
  <c r="AI19" i="7" s="1"/>
  <c r="AH19" i="6"/>
  <c r="AH19" i="7" s="1"/>
  <c r="AG19" i="6"/>
  <c r="AG19" i="7" s="1"/>
  <c r="AF19" i="6"/>
  <c r="AE19" i="6"/>
  <c r="AE19" i="7" s="1"/>
  <c r="AD19" i="6"/>
  <c r="AD19" i="7" s="1"/>
  <c r="AC19" i="6"/>
  <c r="AC19" i="7" s="1"/>
  <c r="AB19" i="6"/>
  <c r="AA19" i="6"/>
  <c r="AA19" i="7" s="1"/>
  <c r="Z19" i="6"/>
  <c r="Z19" i="7" s="1"/>
  <c r="Y19" i="6"/>
  <c r="Y19" i="7" s="1"/>
  <c r="X19" i="6"/>
  <c r="W19" i="6"/>
  <c r="W19" i="7" s="1"/>
  <c r="V19" i="6"/>
  <c r="V19" i="7" s="1"/>
  <c r="U19" i="6"/>
  <c r="U19" i="7" s="1"/>
  <c r="T19" i="6"/>
  <c r="S19" i="6"/>
  <c r="S19" i="7" s="1"/>
  <c r="R19" i="6"/>
  <c r="R19" i="7" s="1"/>
  <c r="Q19" i="6"/>
  <c r="Q19" i="7" s="1"/>
  <c r="P19" i="6"/>
  <c r="O19" i="6"/>
  <c r="O19" i="7" s="1"/>
  <c r="N19" i="6"/>
  <c r="N19" i="7" s="1"/>
  <c r="M19" i="6"/>
  <c r="M19" i="7" s="1"/>
  <c r="L19" i="6"/>
  <c r="K19" i="6"/>
  <c r="J19" i="6"/>
  <c r="J19" i="7" s="1"/>
  <c r="I19" i="6"/>
  <c r="I19" i="7" s="1"/>
  <c r="H19" i="6"/>
  <c r="F19" i="6"/>
  <c r="F19" i="7" s="1"/>
  <c r="D19" i="6"/>
  <c r="D19" i="7" s="1"/>
  <c r="AQ18" i="6"/>
  <c r="AP18" i="6"/>
  <c r="AP18" i="7" s="1"/>
  <c r="AO18" i="6"/>
  <c r="AN18" i="6"/>
  <c r="AM18" i="6"/>
  <c r="AM18" i="7" s="1"/>
  <c r="AL18" i="6"/>
  <c r="AL18" i="7" s="1"/>
  <c r="AK18" i="6"/>
  <c r="AJ18" i="6"/>
  <c r="AI18" i="6"/>
  <c r="AI18" i="7" s="1"/>
  <c r="AH18" i="6"/>
  <c r="AH18" i="7" s="1"/>
  <c r="AG18" i="6"/>
  <c r="AF18" i="6"/>
  <c r="AE18" i="6"/>
  <c r="AE18" i="7" s="1"/>
  <c r="AD18" i="6"/>
  <c r="AD18" i="7" s="1"/>
  <c r="AC18" i="6"/>
  <c r="AB18" i="6"/>
  <c r="AA18" i="6"/>
  <c r="AA18" i="7" s="1"/>
  <c r="Z18" i="6"/>
  <c r="Z18" i="7" s="1"/>
  <c r="Y18" i="6"/>
  <c r="X18" i="6"/>
  <c r="W18" i="6"/>
  <c r="W18" i="7" s="1"/>
  <c r="V18" i="6"/>
  <c r="V18" i="7" s="1"/>
  <c r="U18" i="6"/>
  <c r="T18" i="6"/>
  <c r="S18" i="6"/>
  <c r="S18" i="7" s="1"/>
  <c r="R18" i="6"/>
  <c r="R18" i="7" s="1"/>
  <c r="Q18" i="6"/>
  <c r="P18" i="6"/>
  <c r="O18" i="6"/>
  <c r="O18" i="7" s="1"/>
  <c r="N18" i="6"/>
  <c r="N18" i="7" s="1"/>
  <c r="M18" i="6"/>
  <c r="L18" i="6"/>
  <c r="K18" i="6"/>
  <c r="J18" i="6"/>
  <c r="J18" i="7" s="1"/>
  <c r="I18" i="6"/>
  <c r="H18" i="6"/>
  <c r="G18" i="6"/>
  <c r="G18" i="7" s="1"/>
  <c r="F18" i="6"/>
  <c r="F18" i="7" s="1"/>
  <c r="D18" i="6"/>
  <c r="AW17" i="6"/>
  <c r="G15" i="6"/>
  <c r="F15" i="6"/>
  <c r="F16" i="6" s="1"/>
  <c r="E15" i="6"/>
  <c r="D15" i="6"/>
  <c r="B15" i="6"/>
  <c r="B15" i="7" s="1"/>
  <c r="AW14" i="6"/>
  <c r="H14" i="6"/>
  <c r="AW13" i="6"/>
  <c r="AW57" i="6" s="1"/>
  <c r="AQ13" i="6"/>
  <c r="AR13" i="6" s="1"/>
  <c r="AP13" i="6"/>
  <c r="AO13" i="6"/>
  <c r="AM13" i="6"/>
  <c r="AN13" i="6" s="1"/>
  <c r="AL13" i="6"/>
  <c r="AK13" i="6"/>
  <c r="AI13" i="6"/>
  <c r="AJ13" i="6" s="1"/>
  <c r="AH13" i="6"/>
  <c r="AE13" i="6"/>
  <c r="AF13" i="6" s="1"/>
  <c r="AD13" i="6"/>
  <c r="AC13" i="6"/>
  <c r="AA13" i="6"/>
  <c r="AB13" i="6" s="1"/>
  <c r="Z13" i="6"/>
  <c r="Y13" i="6"/>
  <c r="W13" i="6"/>
  <c r="V13" i="6"/>
  <c r="U13" i="6"/>
  <c r="T13" i="7"/>
  <c r="AW12" i="6"/>
  <c r="H12" i="6"/>
  <c r="AW11" i="6"/>
  <c r="H11" i="6"/>
  <c r="AW10" i="6"/>
  <c r="H10" i="6"/>
  <c r="AW9" i="6"/>
  <c r="H9" i="6"/>
  <c r="AW8" i="6"/>
  <c r="G6" i="6"/>
  <c r="F6" i="6"/>
  <c r="E6" i="6"/>
  <c r="D6" i="6"/>
  <c r="B6" i="6"/>
  <c r="B6" i="7" s="1"/>
  <c r="AW5" i="6"/>
  <c r="H5" i="6"/>
  <c r="AW4" i="6"/>
  <c r="H4" i="6"/>
  <c r="AW3" i="6"/>
  <c r="AW3" i="7" s="1"/>
  <c r="H3" i="6"/>
  <c r="H2" i="6"/>
  <c r="BG1" i="6"/>
  <c r="BG1" i="7" s="1"/>
  <c r="L68" i="7" s="1"/>
  <c r="BF1" i="6"/>
  <c r="BF1" i="7" s="1"/>
  <c r="K68" i="7" s="1"/>
  <c r="BE1" i="6"/>
  <c r="BE1" i="7" s="1"/>
  <c r="J68" i="7" s="1"/>
  <c r="BD1" i="6"/>
  <c r="BD1" i="7" s="1"/>
  <c r="I68" i="7" s="1"/>
  <c r="BC1" i="6"/>
  <c r="BC1" i="7" s="1"/>
  <c r="H68" i="7" s="1"/>
  <c r="BB1" i="6"/>
  <c r="BB1" i="7" s="1"/>
  <c r="G68" i="7" s="1"/>
  <c r="BA1" i="6"/>
  <c r="BA1" i="7" s="1"/>
  <c r="F68" i="7" s="1"/>
  <c r="AZ1" i="6"/>
  <c r="AZ1" i="7" s="1"/>
  <c r="E68" i="7" s="1"/>
  <c r="AY1" i="6"/>
  <c r="AY1" i="7" s="1"/>
  <c r="D68" i="7" s="1"/>
  <c r="AX1" i="6"/>
  <c r="AX1" i="7" s="1"/>
  <c r="C68" i="7" s="1"/>
  <c r="AW1" i="6"/>
  <c r="AW1" i="7" s="1"/>
  <c r="B68" i="7" s="1"/>
  <c r="AQ1" i="6"/>
  <c r="AP1" i="6"/>
  <c r="AP1" i="7" s="1"/>
  <c r="AO1" i="6"/>
  <c r="AO59" i="6" s="1"/>
  <c r="AN1" i="6"/>
  <c r="AM1" i="6"/>
  <c r="AL1" i="6"/>
  <c r="AL1" i="7" s="1"/>
  <c r="AK1" i="6"/>
  <c r="AK1" i="7" s="1"/>
  <c r="AJ1" i="6"/>
  <c r="AI1" i="6"/>
  <c r="AH1" i="6"/>
  <c r="AH1" i="7" s="1"/>
  <c r="AG1" i="6"/>
  <c r="AG59" i="6" s="1"/>
  <c r="AF1" i="6"/>
  <c r="AE1" i="6"/>
  <c r="AD1" i="6"/>
  <c r="AD1" i="7" s="1"/>
  <c r="AC1" i="6"/>
  <c r="AC1" i="7" s="1"/>
  <c r="AB1" i="6"/>
  <c r="AA1" i="6"/>
  <c r="Z1" i="6"/>
  <c r="Z1" i="7" s="1"/>
  <c r="Y1" i="6"/>
  <c r="Y59" i="6" s="1"/>
  <c r="X1" i="6"/>
  <c r="W1" i="6"/>
  <c r="V1" i="6"/>
  <c r="V1" i="7" s="1"/>
  <c r="U1" i="6"/>
  <c r="U1" i="7" s="1"/>
  <c r="T1" i="6"/>
  <c r="S1" i="6"/>
  <c r="R1" i="6"/>
  <c r="R1" i="7" s="1"/>
  <c r="Q1" i="6"/>
  <c r="Q59" i="6" s="1"/>
  <c r="P1" i="6"/>
  <c r="O1" i="6"/>
  <c r="N1" i="6"/>
  <c r="N1" i="7" s="1"/>
  <c r="M1" i="6"/>
  <c r="M1" i="7" s="1"/>
  <c r="L1" i="6"/>
  <c r="K1" i="6"/>
  <c r="J1" i="6"/>
  <c r="J1" i="7" s="1"/>
  <c r="I1" i="6"/>
  <c r="I59" i="6" s="1"/>
  <c r="H1" i="6"/>
  <c r="G1" i="6"/>
  <c r="F1" i="6"/>
  <c r="F1" i="7" s="1"/>
  <c r="E1" i="6"/>
  <c r="E1" i="7" s="1"/>
  <c r="D1" i="6"/>
  <c r="AR4" i="5"/>
  <c r="AS4" i="5" s="1"/>
  <c r="AT4" i="5" s="1"/>
  <c r="AU4" i="5" s="1"/>
  <c r="AP4" i="5"/>
  <c r="AQ4" i="5" s="1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AB4" i="5"/>
  <c r="AR3" i="5"/>
  <c r="AS3" i="5" s="1"/>
  <c r="AT3" i="5" s="1"/>
  <c r="AU3" i="5" s="1"/>
  <c r="AP3" i="5"/>
  <c r="AQ3" i="5" s="1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X4" i="5"/>
  <c r="T4" i="5"/>
  <c r="P4" i="5"/>
  <c r="Q4" i="5" s="1"/>
  <c r="R4" i="5" s="1"/>
  <c r="S4" i="5" s="1"/>
  <c r="L4" i="5"/>
  <c r="M4" i="5" s="1"/>
  <c r="N4" i="5" s="1"/>
  <c r="O4" i="5" s="1"/>
  <c r="H4" i="5"/>
  <c r="D4" i="5"/>
  <c r="B4" i="5"/>
  <c r="X3" i="5"/>
  <c r="Y3" i="5" s="1"/>
  <c r="T3" i="5"/>
  <c r="U3" i="5" s="1"/>
  <c r="V3" i="5" s="1"/>
  <c r="W3" i="5" s="1"/>
  <c r="P3" i="5"/>
  <c r="Q3" i="5" s="1"/>
  <c r="L3" i="5"/>
  <c r="M3" i="5" s="1"/>
  <c r="N3" i="5" s="1"/>
  <c r="O3" i="5" s="1"/>
  <c r="K3" i="5"/>
  <c r="H3" i="5"/>
  <c r="I3" i="5" s="1"/>
  <c r="D3" i="5"/>
  <c r="B3" i="5"/>
  <c r="B2" i="5"/>
  <c r="B16" i="5" s="1"/>
  <c r="I15" i="5"/>
  <c r="G38" i="3" s="1"/>
  <c r="G46" i="3" s="1"/>
  <c r="H15" i="5"/>
  <c r="F38" i="3" s="1"/>
  <c r="F52" i="3" s="1"/>
  <c r="G15" i="5"/>
  <c r="F15" i="5"/>
  <c r="E15" i="5"/>
  <c r="M35" i="4"/>
  <c r="L35" i="4"/>
  <c r="K35" i="4"/>
  <c r="J35" i="4"/>
  <c r="I35" i="4"/>
  <c r="H35" i="4"/>
  <c r="G35" i="4"/>
  <c r="F35" i="4"/>
  <c r="D35" i="4"/>
  <c r="C35" i="4"/>
  <c r="M34" i="4"/>
  <c r="L34" i="4"/>
  <c r="K34" i="4"/>
  <c r="J34" i="4"/>
  <c r="I34" i="4"/>
  <c r="H34" i="4"/>
  <c r="G34" i="4"/>
  <c r="F34" i="4"/>
  <c r="E34" i="4"/>
  <c r="D34" i="4"/>
  <c r="C34" i="4"/>
  <c r="C31" i="4"/>
  <c r="C39" i="4" s="1"/>
  <c r="C23" i="4"/>
  <c r="F2" i="5" s="1"/>
  <c r="M22" i="4"/>
  <c r="L22" i="4"/>
  <c r="M15" i="5" s="1"/>
  <c r="K38" i="3" s="1"/>
  <c r="K46" i="3" s="1"/>
  <c r="K22" i="4"/>
  <c r="J77" i="6" s="1"/>
  <c r="J22" i="4"/>
  <c r="I22" i="4"/>
  <c r="H22" i="4"/>
  <c r="G77" i="6" s="1"/>
  <c r="G22" i="4"/>
  <c r="F77" i="6" s="1"/>
  <c r="F22" i="4"/>
  <c r="E77" i="6" s="1"/>
  <c r="E22" i="4"/>
  <c r="D77" i="6" s="1"/>
  <c r="D22" i="4"/>
  <c r="C77" i="6" s="1"/>
  <c r="C22" i="4"/>
  <c r="B77" i="6" s="1"/>
  <c r="E35" i="4"/>
  <c r="A16" i="4"/>
  <c r="A23" i="4" s="1"/>
  <c r="L10" i="4"/>
  <c r="AM3" i="29" s="1"/>
  <c r="AM9" i="29" s="1"/>
  <c r="A10" i="4"/>
  <c r="A3" i="29" s="1"/>
  <c r="M9" i="4"/>
  <c r="L9" i="4"/>
  <c r="Y9" i="4" s="1"/>
  <c r="K9" i="4"/>
  <c r="X9" i="4" s="1"/>
  <c r="J9" i="4"/>
  <c r="J15" i="4" s="1"/>
  <c r="I9" i="4"/>
  <c r="H9" i="4"/>
  <c r="H15" i="4" s="1"/>
  <c r="G9" i="4"/>
  <c r="T9" i="4" s="1"/>
  <c r="F9" i="4"/>
  <c r="F15" i="4" s="1"/>
  <c r="E9" i="4"/>
  <c r="D9" i="4"/>
  <c r="D15" i="4" s="1"/>
  <c r="C9" i="4"/>
  <c r="P9" i="4" s="1"/>
  <c r="AA4" i="4"/>
  <c r="Z4" i="4"/>
  <c r="Q4" i="4"/>
  <c r="D10" i="4" s="1"/>
  <c r="P4" i="4"/>
  <c r="R3" i="4"/>
  <c r="S3" i="4" s="1"/>
  <c r="Z1" i="4"/>
  <c r="Y1" i="4"/>
  <c r="X1" i="4"/>
  <c r="W1" i="4"/>
  <c r="V1" i="4"/>
  <c r="U1" i="4"/>
  <c r="T1" i="4"/>
  <c r="S1" i="4"/>
  <c r="R1" i="4"/>
  <c r="Q1" i="4"/>
  <c r="P1" i="4"/>
  <c r="A53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B51" i="3"/>
  <c r="AS49" i="3"/>
  <c r="AS16" i="12" s="1"/>
  <c r="AR49" i="3"/>
  <c r="AR16" i="12" s="1"/>
  <c r="AQ49" i="3"/>
  <c r="AQ16" i="12" s="1"/>
  <c r="AP49" i="3"/>
  <c r="AP16" i="12" s="1"/>
  <c r="AO49" i="3"/>
  <c r="AO16" i="12" s="1"/>
  <c r="AN49" i="3"/>
  <c r="AN16" i="12" s="1"/>
  <c r="AM49" i="3"/>
  <c r="AM16" i="12" s="1"/>
  <c r="AL49" i="3"/>
  <c r="AL16" i="12" s="1"/>
  <c r="AK49" i="3"/>
  <c r="AK16" i="12" s="1"/>
  <c r="AJ49" i="3"/>
  <c r="AJ16" i="12" s="1"/>
  <c r="AI49" i="3"/>
  <c r="AI16" i="12" s="1"/>
  <c r="AH49" i="3"/>
  <c r="AH16" i="12" s="1"/>
  <c r="AG49" i="3"/>
  <c r="AG16" i="12" s="1"/>
  <c r="AF49" i="3"/>
  <c r="AF16" i="12" s="1"/>
  <c r="AE49" i="3"/>
  <c r="AE16" i="12" s="1"/>
  <c r="AD49" i="3"/>
  <c r="AD16" i="12" s="1"/>
  <c r="AC49" i="3"/>
  <c r="AC16" i="12" s="1"/>
  <c r="AB49" i="3"/>
  <c r="AB16" i="12" s="1"/>
  <c r="AA49" i="3"/>
  <c r="AA16" i="12" s="1"/>
  <c r="Z49" i="3"/>
  <c r="Z16" i="12" s="1"/>
  <c r="Y49" i="3"/>
  <c r="Y16" i="12" s="1"/>
  <c r="X49" i="3"/>
  <c r="X16" i="12" s="1"/>
  <c r="W49" i="3"/>
  <c r="W16" i="12" s="1"/>
  <c r="V16" i="12"/>
  <c r="U49" i="3"/>
  <c r="U16" i="12" s="1"/>
  <c r="T49" i="3"/>
  <c r="T16" i="12" s="1"/>
  <c r="S49" i="3"/>
  <c r="S16" i="12" s="1"/>
  <c r="R49" i="3"/>
  <c r="R16" i="12" s="1"/>
  <c r="Q49" i="3"/>
  <c r="Q16" i="12" s="1"/>
  <c r="P49" i="3"/>
  <c r="P16" i="12" s="1"/>
  <c r="O49" i="3"/>
  <c r="O16" i="12" s="1"/>
  <c r="N49" i="3"/>
  <c r="N16" i="12" s="1"/>
  <c r="M49" i="3"/>
  <c r="M16" i="12" s="1"/>
  <c r="L49" i="3"/>
  <c r="L16" i="12" s="1"/>
  <c r="K49" i="3"/>
  <c r="K16" i="12" s="1"/>
  <c r="J49" i="3"/>
  <c r="J16" i="12" s="1"/>
  <c r="I49" i="3"/>
  <c r="I16" i="12" s="1"/>
  <c r="H49" i="3"/>
  <c r="H16" i="12" s="1"/>
  <c r="G49" i="3"/>
  <c r="G16" i="12" s="1"/>
  <c r="F49" i="3"/>
  <c r="F16" i="12" s="1"/>
  <c r="E49" i="3"/>
  <c r="E16" i="12" s="1"/>
  <c r="D49" i="3"/>
  <c r="D16" i="12" s="1"/>
  <c r="C49" i="3"/>
  <c r="C16" i="12" s="1"/>
  <c r="B49" i="3"/>
  <c r="B16" i="12" s="1"/>
  <c r="A49" i="3"/>
  <c r="F47" i="3"/>
  <c r="E47" i="3"/>
  <c r="D47" i="3"/>
  <c r="C47" i="3"/>
  <c r="B47" i="3"/>
  <c r="A40" i="3"/>
  <c r="A39" i="3"/>
  <c r="C33" i="3"/>
  <c r="F27" i="3"/>
  <c r="D26" i="3"/>
  <c r="D12" i="12" s="1"/>
  <c r="E26" i="29" s="1"/>
  <c r="E28" i="29" s="1"/>
  <c r="C26" i="3"/>
  <c r="C12" i="12" s="1"/>
  <c r="D26" i="29" s="1"/>
  <c r="D28" i="29" s="1"/>
  <c r="B26" i="3"/>
  <c r="B12" i="12" s="1"/>
  <c r="C26" i="29" s="1"/>
  <c r="C28" i="29" s="1"/>
  <c r="AS25" i="3"/>
  <c r="AR25" i="3"/>
  <c r="AR31" i="3" s="1"/>
  <c r="AQ25" i="3"/>
  <c r="AQ48" i="3" s="1"/>
  <c r="AQ50" i="3" s="1"/>
  <c r="AP25" i="3"/>
  <c r="AP48" i="3" s="1"/>
  <c r="AP50" i="3" s="1"/>
  <c r="AO25" i="3"/>
  <c r="AN25" i="3"/>
  <c r="AN31" i="3" s="1"/>
  <c r="AM25" i="3"/>
  <c r="AM31" i="3" s="1"/>
  <c r="AL25" i="3"/>
  <c r="AL48" i="3" s="1"/>
  <c r="AL50" i="3" s="1"/>
  <c r="AK25" i="3"/>
  <c r="AJ25" i="3"/>
  <c r="AJ31" i="3" s="1"/>
  <c r="AI25" i="3"/>
  <c r="AI48" i="3" s="1"/>
  <c r="AI50" i="3" s="1"/>
  <c r="AH25" i="3"/>
  <c r="AH48" i="3" s="1"/>
  <c r="AH50" i="3" s="1"/>
  <c r="AG25" i="3"/>
  <c r="AF25" i="3"/>
  <c r="AF31" i="3" s="1"/>
  <c r="AE25" i="3"/>
  <c r="AE31" i="3" s="1"/>
  <c r="AD25" i="3"/>
  <c r="AD48" i="3" s="1"/>
  <c r="AD50" i="3" s="1"/>
  <c r="AC25" i="3"/>
  <c r="AB25" i="3"/>
  <c r="AB31" i="3" s="1"/>
  <c r="AA25" i="3"/>
  <c r="AA48" i="3" s="1"/>
  <c r="AA50" i="3" s="1"/>
  <c r="Z25" i="3"/>
  <c r="Z48" i="3" s="1"/>
  <c r="Z50" i="3" s="1"/>
  <c r="Y25" i="3"/>
  <c r="X25" i="3"/>
  <c r="X31" i="3" s="1"/>
  <c r="W25" i="3"/>
  <c r="W31" i="3" s="1"/>
  <c r="V25" i="3"/>
  <c r="V48" i="3" s="1"/>
  <c r="V50" i="3" s="1"/>
  <c r="U25" i="3"/>
  <c r="T25" i="3"/>
  <c r="T31" i="3" s="1"/>
  <c r="S25" i="3"/>
  <c r="S48" i="3" s="1"/>
  <c r="S50" i="3" s="1"/>
  <c r="R25" i="3"/>
  <c r="R48" i="3" s="1"/>
  <c r="R50" i="3" s="1"/>
  <c r="Q24" i="3"/>
  <c r="P24" i="3"/>
  <c r="O24" i="3"/>
  <c r="N24" i="3"/>
  <c r="M24" i="3"/>
  <c r="L24" i="3"/>
  <c r="K24" i="3"/>
  <c r="J24" i="3"/>
  <c r="I24" i="3"/>
  <c r="H24" i="3"/>
  <c r="G24" i="3"/>
  <c r="F24" i="3"/>
  <c r="C24" i="3"/>
  <c r="B24" i="3"/>
  <c r="Z20" i="3"/>
  <c r="Q12" i="3"/>
  <c r="Q5" i="13" s="1"/>
  <c r="P12" i="3"/>
  <c r="P5" i="13" s="1"/>
  <c r="O12" i="3"/>
  <c r="O5" i="13" s="1"/>
  <c r="N12" i="3"/>
  <c r="N5" i="13" s="1"/>
  <c r="M12" i="3"/>
  <c r="M5" i="13" s="1"/>
  <c r="L12" i="3"/>
  <c r="L5" i="13" s="1"/>
  <c r="K12" i="3"/>
  <c r="K5" i="13" s="1"/>
  <c r="J12" i="3"/>
  <c r="J5" i="13" s="1"/>
  <c r="I12" i="3"/>
  <c r="I5" i="13" s="1"/>
  <c r="H12" i="3"/>
  <c r="H5" i="13" s="1"/>
  <c r="G12" i="3"/>
  <c r="G5" i="13" s="1"/>
  <c r="F12" i="3"/>
  <c r="F5" i="13" s="1"/>
  <c r="E12" i="3"/>
  <c r="E5" i="13" s="1"/>
  <c r="AA11" i="3"/>
  <c r="R11" i="3"/>
  <c r="AA10" i="3"/>
  <c r="R10" i="3"/>
  <c r="AA9" i="3"/>
  <c r="R9" i="3"/>
  <c r="AA8" i="3"/>
  <c r="R8" i="3"/>
  <c r="AA7" i="3"/>
  <c r="R7" i="3"/>
  <c r="AA6" i="3"/>
  <c r="R6" i="3"/>
  <c r="Z5" i="3"/>
  <c r="Y5" i="3"/>
  <c r="X5" i="3"/>
  <c r="W5" i="3"/>
  <c r="V5" i="3"/>
  <c r="R5" i="3"/>
  <c r="Z4" i="3"/>
  <c r="Y4" i="3"/>
  <c r="X4" i="3"/>
  <c r="W4" i="3"/>
  <c r="V4" i="3"/>
  <c r="R4" i="3"/>
  <c r="Z3" i="3"/>
  <c r="Y3" i="3"/>
  <c r="X3" i="3"/>
  <c r="V3" i="3"/>
  <c r="J17" i="12"/>
  <c r="Z2" i="3"/>
  <c r="Y2" i="3"/>
  <c r="X2" i="3"/>
  <c r="W2" i="3"/>
  <c r="V2" i="3"/>
  <c r="R2" i="3"/>
  <c r="Z1" i="3"/>
  <c r="E38" i="3" s="1"/>
  <c r="Y1" i="3"/>
  <c r="D38" i="3" s="1"/>
  <c r="X1" i="3"/>
  <c r="C38" i="3" s="1"/>
  <c r="C46" i="3" s="1"/>
  <c r="W1" i="3"/>
  <c r="B38" i="3" s="1"/>
  <c r="B52" i="3" s="1"/>
  <c r="Q1" i="3"/>
  <c r="Q23" i="3" s="1"/>
  <c r="P1" i="3"/>
  <c r="P25" i="3" s="1"/>
  <c r="P31" i="3" s="1"/>
  <c r="O1" i="3"/>
  <c r="O25" i="3" s="1"/>
  <c r="N1" i="3"/>
  <c r="N25" i="3" s="1"/>
  <c r="N48" i="3" s="1"/>
  <c r="N50" i="3" s="1"/>
  <c r="M1" i="3"/>
  <c r="M23" i="3" s="1"/>
  <c r="L1" i="3"/>
  <c r="L25" i="3" s="1"/>
  <c r="L31" i="3" s="1"/>
  <c r="K1" i="3"/>
  <c r="K25" i="3" s="1"/>
  <c r="J1" i="3"/>
  <c r="J25" i="3" s="1"/>
  <c r="J48" i="3" s="1"/>
  <c r="J50" i="3" s="1"/>
  <c r="I1" i="3"/>
  <c r="I25" i="3" s="1"/>
  <c r="H1" i="3"/>
  <c r="H25" i="3" s="1"/>
  <c r="H31" i="3" s="1"/>
  <c r="G1" i="3"/>
  <c r="G25" i="3" s="1"/>
  <c r="F1" i="3"/>
  <c r="F23" i="3" s="1"/>
  <c r="E1" i="3"/>
  <c r="E23" i="3" s="1"/>
  <c r="D1" i="3"/>
  <c r="D25" i="3" s="1"/>
  <c r="D31" i="3" s="1"/>
  <c r="C1" i="3"/>
  <c r="C25" i="3" s="1"/>
  <c r="B1" i="3"/>
  <c r="B25" i="3" s="1"/>
  <c r="B48" i="3" s="1"/>
  <c r="B50" i="3" s="1"/>
  <c r="A24" i="2"/>
  <c r="A23" i="2"/>
  <c r="A22" i="2"/>
  <c r="A19" i="2"/>
  <c r="A18" i="2"/>
  <c r="A17" i="2"/>
  <c r="A16" i="2"/>
  <c r="A15" i="2"/>
  <c r="A11" i="2"/>
  <c r="A3" i="2"/>
  <c r="C44" i="1"/>
  <c r="B2" i="14" s="1"/>
  <c r="C14" i="14" s="1"/>
  <c r="D14" i="14" s="1"/>
  <c r="E14" i="14" s="1"/>
  <c r="F14" i="14" s="1"/>
  <c r="G14" i="14" s="1"/>
  <c r="H14" i="14" s="1"/>
  <c r="I14" i="14" s="1"/>
  <c r="J14" i="14" s="1"/>
  <c r="K14" i="14" s="1"/>
  <c r="L14" i="14" s="1"/>
  <c r="S37" i="7" l="1"/>
  <c r="S47" i="6"/>
  <c r="AI37" i="7"/>
  <c r="AI47" i="6"/>
  <c r="I2" i="9"/>
  <c r="I27" i="9" s="1"/>
  <c r="I32" i="8"/>
  <c r="AZ18" i="6"/>
  <c r="AY41" i="6"/>
  <c r="BC45" i="6"/>
  <c r="B25" i="8"/>
  <c r="B32" i="8"/>
  <c r="J25" i="8"/>
  <c r="J32" i="8"/>
  <c r="E16" i="15"/>
  <c r="G16" i="15" s="1"/>
  <c r="E8" i="21"/>
  <c r="G8" i="21" s="1"/>
  <c r="E20" i="21"/>
  <c r="G20" i="21" s="1"/>
  <c r="E14" i="22"/>
  <c r="G14" i="22" s="1"/>
  <c r="C15" i="4"/>
  <c r="AA37" i="7"/>
  <c r="AA47" i="6"/>
  <c r="AQ46" i="7"/>
  <c r="AQ47" i="6"/>
  <c r="AQ48" i="6" s="1"/>
  <c r="AR48" i="6" s="1"/>
  <c r="AR46" i="6"/>
  <c r="AQ24" i="7"/>
  <c r="AR24" i="7"/>
  <c r="AS24" i="7"/>
  <c r="AT24" i="7"/>
  <c r="AU24" i="7"/>
  <c r="K15" i="4"/>
  <c r="AQ19" i="7"/>
  <c r="AR19" i="6"/>
  <c r="E37" i="7"/>
  <c r="E47" i="7" s="1"/>
  <c r="E48" i="7" s="1"/>
  <c r="E47" i="6"/>
  <c r="M37" i="7"/>
  <c r="M47" i="6"/>
  <c r="U37" i="7"/>
  <c r="U47" i="6"/>
  <c r="AC37" i="7"/>
  <c r="AC47" i="6"/>
  <c r="C2" i="9"/>
  <c r="C27" i="9" s="1"/>
  <c r="C32" i="8"/>
  <c r="K2" i="9"/>
  <c r="K27" i="9" s="1"/>
  <c r="K32" i="8"/>
  <c r="E16" i="16"/>
  <c r="E5" i="17"/>
  <c r="E8" i="18"/>
  <c r="E7" i="19"/>
  <c r="G7" i="19" s="1"/>
  <c r="E11" i="19"/>
  <c r="G11" i="19" s="1"/>
  <c r="E23" i="19"/>
  <c r="E6" i="20"/>
  <c r="E18" i="20"/>
  <c r="G18" i="20" s="1"/>
  <c r="E22" i="20"/>
  <c r="E13" i="21"/>
  <c r="E6" i="23"/>
  <c r="E10" i="23"/>
  <c r="G10" i="23" s="1"/>
  <c r="E14" i="23"/>
  <c r="G14" i="23" s="1"/>
  <c r="E18" i="23"/>
  <c r="G18" i="23" s="1"/>
  <c r="E22" i="23"/>
  <c r="F37" i="7"/>
  <c r="F47" i="6"/>
  <c r="L2" i="9"/>
  <c r="L27" i="9" s="1"/>
  <c r="L32" i="8"/>
  <c r="U9" i="4"/>
  <c r="AS13" i="6"/>
  <c r="AT13" i="6" s="1"/>
  <c r="AU13" i="6" s="1"/>
  <c r="AQ18" i="7"/>
  <c r="AR18" i="6"/>
  <c r="AZ29" i="6"/>
  <c r="P30" i="7"/>
  <c r="AZ30" i="6"/>
  <c r="P31" i="7"/>
  <c r="AZ31" i="6"/>
  <c r="P32" i="7"/>
  <c r="AZ32" i="6"/>
  <c r="AZ33" i="6"/>
  <c r="G37" i="7"/>
  <c r="G47" i="6"/>
  <c r="O37" i="7"/>
  <c r="O47" i="6"/>
  <c r="O48" i="6" s="1"/>
  <c r="W37" i="7"/>
  <c r="W47" i="6"/>
  <c r="AE37" i="7"/>
  <c r="AE47" i="6"/>
  <c r="AM46" i="7"/>
  <c r="AM47" i="6"/>
  <c r="AM48" i="6" s="1"/>
  <c r="E2" i="9"/>
  <c r="E27" i="9" s="1"/>
  <c r="E32" i="8"/>
  <c r="N37" i="7"/>
  <c r="N47" i="7" s="1"/>
  <c r="N48" i="7" s="1"/>
  <c r="N47" i="6"/>
  <c r="V37" i="7"/>
  <c r="V47" i="6"/>
  <c r="AD37" i="7"/>
  <c r="AD47" i="6"/>
  <c r="AD48" i="6" s="1"/>
  <c r="AL46" i="7"/>
  <c r="AL47" i="6"/>
  <c r="AL48" i="6" s="1"/>
  <c r="D2" i="9"/>
  <c r="D27" i="9" s="1"/>
  <c r="D32" i="8"/>
  <c r="AH27" i="7"/>
  <c r="P47" i="6"/>
  <c r="AZ37" i="6"/>
  <c r="P38" i="7"/>
  <c r="AZ38" i="6"/>
  <c r="P39" i="7"/>
  <c r="AZ39" i="6"/>
  <c r="P40" i="7"/>
  <c r="AZ40" i="6"/>
  <c r="AZ41" i="6"/>
  <c r="P42" i="7"/>
  <c r="AZ42" i="6"/>
  <c r="P43" i="7"/>
  <c r="AZ43" i="6"/>
  <c r="BD43" i="6"/>
  <c r="P44" i="7"/>
  <c r="AZ44" i="6"/>
  <c r="AZ45" i="6"/>
  <c r="P46" i="7"/>
  <c r="AZ46" i="6"/>
  <c r="F25" i="8"/>
  <c r="F32" i="8"/>
  <c r="E14" i="15"/>
  <c r="F14" i="15" s="1"/>
  <c r="E21" i="16"/>
  <c r="G21" i="16" s="1"/>
  <c r="E15" i="17"/>
  <c r="G15" i="17" s="1"/>
  <c r="E23" i="17"/>
  <c r="G23" i="17" s="1"/>
  <c r="E18" i="18"/>
  <c r="F18" i="18" s="1"/>
  <c r="E20" i="19"/>
  <c r="F20" i="19" s="1"/>
  <c r="E11" i="20"/>
  <c r="F11" i="20" s="1"/>
  <c r="E18" i="21"/>
  <c r="G18" i="21" s="1"/>
  <c r="E10" i="24"/>
  <c r="G10" i="24" s="1"/>
  <c r="E14" i="24"/>
  <c r="E18" i="24"/>
  <c r="G18" i="24" s="1"/>
  <c r="AQ26" i="6"/>
  <c r="AR25" i="6"/>
  <c r="I37" i="7"/>
  <c r="I47" i="6"/>
  <c r="I48" i="6" s="1"/>
  <c r="Q37" i="7"/>
  <c r="Q47" i="6"/>
  <c r="Y37" i="7"/>
  <c r="Y47" i="6"/>
  <c r="AG37" i="7"/>
  <c r="AG47" i="6"/>
  <c r="AG48" i="6" s="1"/>
  <c r="G2" i="9"/>
  <c r="G27" i="9" s="1"/>
  <c r="G32" i="8"/>
  <c r="E7" i="6"/>
  <c r="P19" i="7"/>
  <c r="AZ19" i="6"/>
  <c r="AQ29" i="7"/>
  <c r="AR29" i="6"/>
  <c r="AQ30" i="7"/>
  <c r="AQ34" i="7" s="1"/>
  <c r="AQ35" i="7" s="1"/>
  <c r="AR30" i="6"/>
  <c r="AQ31" i="7"/>
  <c r="AR31" i="6"/>
  <c r="AQ32" i="7"/>
  <c r="AR32" i="6"/>
  <c r="AQ33" i="7"/>
  <c r="AR33" i="6"/>
  <c r="J37" i="7"/>
  <c r="J47" i="7" s="1"/>
  <c r="J48" i="7" s="1"/>
  <c r="J47" i="6"/>
  <c r="R37" i="7"/>
  <c r="R47" i="6"/>
  <c r="Z37" i="7"/>
  <c r="Z47" i="6"/>
  <c r="AH37" i="7"/>
  <c r="AH47" i="6"/>
  <c r="AP46" i="7"/>
  <c r="AP47" i="7" s="1"/>
  <c r="AP48" i="7" s="1"/>
  <c r="AP47" i="6"/>
  <c r="P57" i="7"/>
  <c r="AZ57" i="7" s="1"/>
  <c r="AZ57" i="6"/>
  <c r="H2" i="9"/>
  <c r="H27" i="9" s="1"/>
  <c r="H32" i="8"/>
  <c r="E12" i="17"/>
  <c r="G12" i="17" s="1"/>
  <c r="E20" i="17"/>
  <c r="G20" i="17" s="1"/>
  <c r="E11" i="18"/>
  <c r="E23" i="18"/>
  <c r="G23" i="18" s="1"/>
  <c r="E20" i="20"/>
  <c r="G20" i="20" s="1"/>
  <c r="E24" i="20"/>
  <c r="G24" i="20" s="1"/>
  <c r="E15" i="24"/>
  <c r="E19" i="24"/>
  <c r="E23" i="24"/>
  <c r="N27" i="7"/>
  <c r="Z27" i="7"/>
  <c r="AL27" i="7"/>
  <c r="G16" i="7"/>
  <c r="F27" i="7"/>
  <c r="R27" i="7"/>
  <c r="AD27" i="7"/>
  <c r="BE39" i="7"/>
  <c r="F7" i="6"/>
  <c r="AW18" i="6"/>
  <c r="AW11" i="7"/>
  <c r="G16" i="6"/>
  <c r="BF13" i="6"/>
  <c r="BA13" i="6"/>
  <c r="BC57" i="7"/>
  <c r="BE38" i="7"/>
  <c r="BC37" i="6"/>
  <c r="AX41" i="6"/>
  <c r="BD41" i="6"/>
  <c r="AY45" i="6"/>
  <c r="BB45" i="6"/>
  <c r="E20" i="6"/>
  <c r="F20" i="6" s="1"/>
  <c r="AY25" i="6"/>
  <c r="AW6" i="6"/>
  <c r="BE13" i="6"/>
  <c r="E16" i="6"/>
  <c r="AY18" i="6"/>
  <c r="BB18" i="6"/>
  <c r="BE18" i="6"/>
  <c r="BF57" i="7"/>
  <c r="AJ48" i="6"/>
  <c r="AX19" i="6"/>
  <c r="T19" i="7"/>
  <c r="BA19" i="7" s="1"/>
  <c r="BA19" i="6"/>
  <c r="AF19" i="7"/>
  <c r="BD19" i="7" s="1"/>
  <c r="BD19" i="6"/>
  <c r="AY29" i="6"/>
  <c r="BB29" i="6"/>
  <c r="BE29" i="6"/>
  <c r="H30" i="7"/>
  <c r="AX30" i="6"/>
  <c r="BA30" i="6"/>
  <c r="AF30" i="7"/>
  <c r="BD30" i="7" s="1"/>
  <c r="BD30" i="6"/>
  <c r="AB31" i="7"/>
  <c r="BC31" i="7" s="1"/>
  <c r="BC31" i="6"/>
  <c r="AN31" i="7"/>
  <c r="BF31" i="6"/>
  <c r="L32" i="7"/>
  <c r="AY32" i="7" s="1"/>
  <c r="AY32" i="6"/>
  <c r="X32" i="7"/>
  <c r="BB32" i="7" s="1"/>
  <c r="BB32" i="6"/>
  <c r="AJ32" i="7"/>
  <c r="BE32" i="7" s="1"/>
  <c r="BE32" i="6"/>
  <c r="AX33" i="6"/>
  <c r="T33" i="7"/>
  <c r="BA33" i="7" s="1"/>
  <c r="BA33" i="6"/>
  <c r="BD33" i="6"/>
  <c r="K39" i="7"/>
  <c r="K42" i="7"/>
  <c r="K45" i="7"/>
  <c r="AW5" i="7"/>
  <c r="BE42" i="7"/>
  <c r="E6" i="15"/>
  <c r="F6" i="15" s="1"/>
  <c r="E13" i="16"/>
  <c r="G13" i="16" s="1"/>
  <c r="E8" i="17"/>
  <c r="G8" i="17" s="1"/>
  <c r="E19" i="17"/>
  <c r="F19" i="17" s="1"/>
  <c r="E24" i="17"/>
  <c r="G24" i="17" s="1"/>
  <c r="E20" i="18"/>
  <c r="F20" i="18" s="1"/>
  <c r="E22" i="19"/>
  <c r="E9" i="21"/>
  <c r="E13" i="24"/>
  <c r="G13" i="24" s="1"/>
  <c r="E9" i="25"/>
  <c r="F9" i="25" s="1"/>
  <c r="E21" i="25"/>
  <c r="G21" i="25" s="1"/>
  <c r="AB40" i="7"/>
  <c r="BC40" i="7" s="1"/>
  <c r="BC40" i="6"/>
  <c r="AB46" i="7"/>
  <c r="BC46" i="6"/>
  <c r="K19" i="7"/>
  <c r="E21" i="6"/>
  <c r="E21" i="7" s="1"/>
  <c r="K30" i="7"/>
  <c r="K33" i="7"/>
  <c r="H12" i="7"/>
  <c r="H38" i="7"/>
  <c r="AX38" i="6"/>
  <c r="T44" i="7"/>
  <c r="BA44" i="7" s="1"/>
  <c r="BA44" i="6"/>
  <c r="G15" i="4"/>
  <c r="AY19" i="6"/>
  <c r="BB19" i="6"/>
  <c r="AJ19" i="7"/>
  <c r="BE19" i="7" s="1"/>
  <c r="BE19" i="6"/>
  <c r="BC29" i="6"/>
  <c r="BF29" i="6"/>
  <c r="L30" i="7"/>
  <c r="AY30" i="6"/>
  <c r="X30" i="7"/>
  <c r="BB30" i="7" s="1"/>
  <c r="BB30" i="6"/>
  <c r="AJ30" i="7"/>
  <c r="BE30" i="7" s="1"/>
  <c r="BE30" i="6"/>
  <c r="H31" i="7"/>
  <c r="AX31" i="6"/>
  <c r="T31" i="7"/>
  <c r="BA31" i="7" s="1"/>
  <c r="BA31" i="6"/>
  <c r="AF31" i="7"/>
  <c r="BD31" i="6"/>
  <c r="AB32" i="7"/>
  <c r="BC32" i="7" s="1"/>
  <c r="BC32" i="6"/>
  <c r="AN32" i="7"/>
  <c r="BF32" i="7" s="1"/>
  <c r="BF32" i="6"/>
  <c r="AY33" i="6"/>
  <c r="BB33" i="6"/>
  <c r="AJ33" i="7"/>
  <c r="BE33" i="7" s="1"/>
  <c r="BE33" i="6"/>
  <c r="K38" i="7"/>
  <c r="K41" i="7"/>
  <c r="K44" i="7"/>
  <c r="AW12" i="7"/>
  <c r="E8" i="15"/>
  <c r="E19" i="15"/>
  <c r="E9" i="16"/>
  <c r="G9" i="16" s="1"/>
  <c r="E20" i="16"/>
  <c r="G20" i="16" s="1"/>
  <c r="E5" i="18"/>
  <c r="G5" i="18" s="1"/>
  <c r="E5" i="21"/>
  <c r="F5" i="21" s="1"/>
  <c r="E16" i="21"/>
  <c r="F16" i="21" s="1"/>
  <c r="E11" i="22"/>
  <c r="E9" i="24"/>
  <c r="E5" i="25"/>
  <c r="G5" i="25" s="1"/>
  <c r="E17" i="25"/>
  <c r="F17" i="25" s="1"/>
  <c r="AB43" i="7"/>
  <c r="BC43" i="7" s="1"/>
  <c r="BC43" i="6"/>
  <c r="H2" i="7"/>
  <c r="AX37" i="6"/>
  <c r="T37" i="7"/>
  <c r="BA37" i="6"/>
  <c r="BD37" i="6"/>
  <c r="L38" i="7"/>
  <c r="AY38" i="6"/>
  <c r="X38" i="7"/>
  <c r="BB38" i="7" s="1"/>
  <c r="BB38" i="6"/>
  <c r="BC39" i="6"/>
  <c r="H40" i="7"/>
  <c r="AX40" i="6"/>
  <c r="T40" i="7"/>
  <c r="BA40" i="6"/>
  <c r="AF40" i="7"/>
  <c r="BD40" i="7" s="1"/>
  <c r="BD40" i="6"/>
  <c r="BB41" i="6"/>
  <c r="AB42" i="7"/>
  <c r="BC42" i="6"/>
  <c r="H43" i="7"/>
  <c r="AX43" i="6"/>
  <c r="T43" i="7"/>
  <c r="BA43" i="7" s="1"/>
  <c r="BA43" i="6"/>
  <c r="L44" i="7"/>
  <c r="AY44" i="7" s="1"/>
  <c r="AY44" i="6"/>
  <c r="X44" i="7"/>
  <c r="BB44" i="7" s="1"/>
  <c r="BB44" i="6"/>
  <c r="H46" i="7"/>
  <c r="AX46" i="6"/>
  <c r="T46" i="7"/>
  <c r="BA46" i="7" s="1"/>
  <c r="BA46" i="6"/>
  <c r="AF46" i="7"/>
  <c r="BD46" i="7" s="1"/>
  <c r="BD46" i="6"/>
  <c r="H57" i="7"/>
  <c r="AX57" i="6"/>
  <c r="F15" i="17"/>
  <c r="G21" i="21"/>
  <c r="AN3" i="29"/>
  <c r="AM4" i="12" s="1"/>
  <c r="K18" i="7"/>
  <c r="AF38" i="7"/>
  <c r="BD38" i="7" s="1"/>
  <c r="BD38" i="6"/>
  <c r="T41" i="7"/>
  <c r="BA41" i="7" s="1"/>
  <c r="BA41" i="6"/>
  <c r="H44" i="7"/>
  <c r="AX44" i="7" s="1"/>
  <c r="AX44" i="6"/>
  <c r="AJ26" i="6"/>
  <c r="BE26" i="6" s="1"/>
  <c r="BE25" i="6"/>
  <c r="I2" i="6"/>
  <c r="I2" i="7" s="1"/>
  <c r="BC18" i="6"/>
  <c r="BF18" i="6"/>
  <c r="BC25" i="6"/>
  <c r="AN26" i="6"/>
  <c r="AN27" i="6" s="1"/>
  <c r="BF25" i="6"/>
  <c r="E9" i="15"/>
  <c r="G9" i="15" s="1"/>
  <c r="E20" i="15"/>
  <c r="F20" i="15" s="1"/>
  <c r="E16" i="17"/>
  <c r="G16" i="17" s="1"/>
  <c r="E19" i="19"/>
  <c r="F19" i="19" s="1"/>
  <c r="E6" i="22"/>
  <c r="G6" i="22" s="1"/>
  <c r="E12" i="22"/>
  <c r="F12" i="22" s="1"/>
  <c r="E7" i="23"/>
  <c r="G7" i="23" s="1"/>
  <c r="E19" i="23"/>
  <c r="G19" i="23" s="1"/>
  <c r="K29" i="7"/>
  <c r="K32" i="7"/>
  <c r="K26" i="6"/>
  <c r="K27" i="6" s="1"/>
  <c r="T38" i="7"/>
  <c r="BA38" i="7" s="1"/>
  <c r="BA38" i="6"/>
  <c r="AF44" i="7"/>
  <c r="BD44" i="7" s="1"/>
  <c r="BD44" i="6"/>
  <c r="E15" i="22"/>
  <c r="G15" i="22" s="1"/>
  <c r="E23" i="23"/>
  <c r="F23" i="23" s="1"/>
  <c r="H3" i="7"/>
  <c r="G34" i="7"/>
  <c r="G35" i="7" s="1"/>
  <c r="K31" i="7"/>
  <c r="E5" i="24"/>
  <c r="G5" i="24" s="1"/>
  <c r="E22" i="24"/>
  <c r="L39" i="7"/>
  <c r="AY39" i="7" s="1"/>
  <c r="AY39" i="6"/>
  <c r="L42" i="7"/>
  <c r="AY42" i="6"/>
  <c r="Q9" i="4"/>
  <c r="BC19" i="6"/>
  <c r="BF19" i="6"/>
  <c r="AX29" i="6"/>
  <c r="BA29" i="6"/>
  <c r="BD29" i="6"/>
  <c r="AW30" i="6"/>
  <c r="AZ30" i="7"/>
  <c r="AB30" i="7"/>
  <c r="BC30" i="6"/>
  <c r="AN30" i="7"/>
  <c r="BF30" i="6"/>
  <c r="L31" i="7"/>
  <c r="AY31" i="7" s="1"/>
  <c r="AY31" i="6"/>
  <c r="X31" i="7"/>
  <c r="BB31" i="7" s="1"/>
  <c r="BB31" i="6"/>
  <c r="AJ31" i="7"/>
  <c r="BE31" i="7" s="1"/>
  <c r="BE31" i="6"/>
  <c r="H32" i="7"/>
  <c r="AX32" i="6"/>
  <c r="T32" i="7"/>
  <c r="BA32" i="7" s="1"/>
  <c r="BA32" i="6"/>
  <c r="AF32" i="7"/>
  <c r="BD32" i="7" s="1"/>
  <c r="BD32" i="6"/>
  <c r="AW33" i="7"/>
  <c r="BC33" i="6"/>
  <c r="BF33" i="6"/>
  <c r="K37" i="7"/>
  <c r="K40" i="7"/>
  <c r="K43" i="7"/>
  <c r="K46" i="7"/>
  <c r="K57" i="7"/>
  <c r="E10" i="15"/>
  <c r="F10" i="15" s="1"/>
  <c r="E5" i="16"/>
  <c r="G5" i="16" s="1"/>
  <c r="E17" i="17"/>
  <c r="E8" i="19"/>
  <c r="E14" i="19"/>
  <c r="G14" i="19" s="1"/>
  <c r="E23" i="22"/>
  <c r="X39" i="7"/>
  <c r="BB39" i="7" s="1"/>
  <c r="BB39" i="6"/>
  <c r="AN46" i="7"/>
  <c r="AN47" i="7" s="1"/>
  <c r="BF46" i="6"/>
  <c r="S9" i="4"/>
  <c r="BC13" i="6"/>
  <c r="AY37" i="6"/>
  <c r="BB37" i="6"/>
  <c r="AB38" i="7"/>
  <c r="BC38" i="6"/>
  <c r="H39" i="7"/>
  <c r="AX39" i="6"/>
  <c r="T39" i="7"/>
  <c r="BA39" i="7" s="1"/>
  <c r="BA39" i="6"/>
  <c r="AF39" i="7"/>
  <c r="BD39" i="6"/>
  <c r="L40" i="7"/>
  <c r="AY40" i="7" s="1"/>
  <c r="AY40" i="6"/>
  <c r="X40" i="7"/>
  <c r="BB40" i="7" s="1"/>
  <c r="BB40" i="6"/>
  <c r="BC41" i="6"/>
  <c r="H42" i="7"/>
  <c r="AX42" i="6"/>
  <c r="T42" i="7"/>
  <c r="BA42" i="7" s="1"/>
  <c r="BA42" i="6"/>
  <c r="AF42" i="7"/>
  <c r="BD42" i="7" s="1"/>
  <c r="BD42" i="6"/>
  <c r="L43" i="7"/>
  <c r="AY43" i="7" s="1"/>
  <c r="AY43" i="6"/>
  <c r="X43" i="7"/>
  <c r="BB43" i="6"/>
  <c r="AB44" i="7"/>
  <c r="BC44" i="7" s="1"/>
  <c r="BC44" i="6"/>
  <c r="AX45" i="6"/>
  <c r="T45" i="7"/>
  <c r="BA45" i="7" s="1"/>
  <c r="BA45" i="6"/>
  <c r="BD45" i="6"/>
  <c r="L46" i="7"/>
  <c r="AY46" i="6"/>
  <c r="X46" i="7"/>
  <c r="BB46" i="7" s="1"/>
  <c r="BB46" i="6"/>
  <c r="AJ46" i="7"/>
  <c r="AJ47" i="7" s="1"/>
  <c r="AJ48" i="7" s="1"/>
  <c r="BE46" i="6"/>
  <c r="L57" i="7"/>
  <c r="AY57" i="7" s="1"/>
  <c r="AY57" i="6"/>
  <c r="BB57" i="7"/>
  <c r="BE57" i="7"/>
  <c r="G11" i="16"/>
  <c r="E19" i="18"/>
  <c r="G19" i="18" s="1"/>
  <c r="E17" i="20"/>
  <c r="F17" i="20" s="1"/>
  <c r="E11" i="24"/>
  <c r="F11" i="24" s="1"/>
  <c r="E7" i="25"/>
  <c r="G7" i="25" s="1"/>
  <c r="E19" i="25"/>
  <c r="G19" i="25" s="1"/>
  <c r="H11" i="7"/>
  <c r="X42" i="7"/>
  <c r="BB42" i="7" s="1"/>
  <c r="BB42" i="6"/>
  <c r="X26" i="6"/>
  <c r="BB26" i="6" s="1"/>
  <c r="BB25" i="6"/>
  <c r="J18" i="5"/>
  <c r="H14" i="7"/>
  <c r="AX18" i="6"/>
  <c r="BA18" i="6"/>
  <c r="BD18" i="6"/>
  <c r="H26" i="6"/>
  <c r="H26" i="7" s="1"/>
  <c r="AX25" i="6"/>
  <c r="T26" i="6"/>
  <c r="BA26" i="6" s="1"/>
  <c r="BA25" i="6"/>
  <c r="BD25" i="6"/>
  <c r="AF43" i="7"/>
  <c r="E11" i="15"/>
  <c r="E12" i="16"/>
  <c r="G12" i="16" s="1"/>
  <c r="E18" i="17"/>
  <c r="F18" i="17" s="1"/>
  <c r="E14" i="18"/>
  <c r="F14" i="18" s="1"/>
  <c r="E15" i="19"/>
  <c r="F15" i="19" s="1"/>
  <c r="E21" i="19"/>
  <c r="F21" i="19" s="1"/>
  <c r="E23" i="20"/>
  <c r="F23" i="20" s="1"/>
  <c r="E14" i="25"/>
  <c r="G14" i="25"/>
  <c r="F14" i="25"/>
  <c r="G22" i="23"/>
  <c r="F22" i="23"/>
  <c r="G6" i="23"/>
  <c r="F6" i="23"/>
  <c r="G20" i="18"/>
  <c r="G22" i="25"/>
  <c r="F22" i="25"/>
  <c r="G6" i="25"/>
  <c r="F6" i="25"/>
  <c r="G18" i="25"/>
  <c r="F18" i="25"/>
  <c r="F14" i="23"/>
  <c r="G10" i="25"/>
  <c r="F10" i="25"/>
  <c r="O27" i="7"/>
  <c r="E23" i="21"/>
  <c r="F25" i="22"/>
  <c r="G12" i="23"/>
  <c r="L15" i="4"/>
  <c r="AG34" i="6"/>
  <c r="AG35" i="6" s="1"/>
  <c r="AJ24" i="7"/>
  <c r="BF43" i="7"/>
  <c r="AA13" i="8"/>
  <c r="E8" i="16"/>
  <c r="E13" i="18"/>
  <c r="G13" i="18" s="1"/>
  <c r="E6" i="19"/>
  <c r="G10" i="19"/>
  <c r="F14" i="19"/>
  <c r="E12" i="20"/>
  <c r="G21" i="20"/>
  <c r="E6" i="21"/>
  <c r="G6" i="21" s="1"/>
  <c r="E11" i="21"/>
  <c r="F11" i="21" s="1"/>
  <c r="E15" i="21"/>
  <c r="G15" i="21" s="1"/>
  <c r="E19" i="21"/>
  <c r="G19" i="21" s="1"/>
  <c r="E24" i="21"/>
  <c r="E7" i="22"/>
  <c r="G7" i="22" s="1"/>
  <c r="E17" i="22"/>
  <c r="E21" i="22"/>
  <c r="E9" i="23"/>
  <c r="E13" i="23"/>
  <c r="F25" i="23"/>
  <c r="F5" i="25"/>
  <c r="F13" i="25"/>
  <c r="AM27" i="7"/>
  <c r="E15" i="7"/>
  <c r="E16" i="7" s="1"/>
  <c r="AK24" i="7"/>
  <c r="F24" i="15"/>
  <c r="F17" i="23"/>
  <c r="G21" i="23"/>
  <c r="F13" i="24"/>
  <c r="I11" i="6"/>
  <c r="I11" i="7" s="1"/>
  <c r="V27" i="7"/>
  <c r="W9" i="4"/>
  <c r="G7" i="6"/>
  <c r="W34" i="7"/>
  <c r="W35" i="7" s="1"/>
  <c r="B82" i="6"/>
  <c r="F15" i="7"/>
  <c r="F16" i="7" s="1"/>
  <c r="AZ13" i="7"/>
  <c r="AL24" i="7"/>
  <c r="D30" i="7"/>
  <c r="AW30" i="7" s="1"/>
  <c r="BF42" i="7"/>
  <c r="E13" i="17"/>
  <c r="F13" i="17" s="1"/>
  <c r="E6" i="18"/>
  <c r="F6" i="18" s="1"/>
  <c r="E10" i="18"/>
  <c r="E24" i="19"/>
  <c r="G24" i="19" s="1"/>
  <c r="E12" i="21"/>
  <c r="F12" i="21" s="1"/>
  <c r="C37" i="4"/>
  <c r="G27" i="7"/>
  <c r="S27" i="7"/>
  <c r="AE27" i="7"/>
  <c r="AW45" i="7"/>
  <c r="AM24" i="7"/>
  <c r="T30" i="7"/>
  <c r="BA30" i="7" s="1"/>
  <c r="E15" i="18"/>
  <c r="G18" i="18"/>
  <c r="E8" i="20"/>
  <c r="G8" i="20" s="1"/>
  <c r="E14" i="20"/>
  <c r="G16" i="21"/>
  <c r="E9" i="22"/>
  <c r="E13" i="22"/>
  <c r="G13" i="22" s="1"/>
  <c r="G5" i="23"/>
  <c r="C38" i="4"/>
  <c r="D16" i="6"/>
  <c r="B90" i="6"/>
  <c r="AX13" i="7"/>
  <c r="AN24" i="7"/>
  <c r="G6" i="15"/>
  <c r="F23" i="17"/>
  <c r="E7" i="18"/>
  <c r="F18" i="20"/>
  <c r="E17" i="21"/>
  <c r="F5" i="24"/>
  <c r="AY13" i="7"/>
  <c r="E13" i="15"/>
  <c r="F13" i="15" s="1"/>
  <c r="E21" i="17"/>
  <c r="G21" i="17" s="1"/>
  <c r="E21" i="18"/>
  <c r="F21" i="18" s="1"/>
  <c r="E3" i="5"/>
  <c r="F3" i="5" s="1"/>
  <c r="G3" i="5" s="1"/>
  <c r="L31" i="4"/>
  <c r="L37" i="4" s="1"/>
  <c r="X13" i="6"/>
  <c r="BB13" i="6" s="1"/>
  <c r="I34" i="6"/>
  <c r="I35" i="6" s="1"/>
  <c r="AW41" i="7"/>
  <c r="D22" i="7"/>
  <c r="AO24" i="7"/>
  <c r="BE37" i="7"/>
  <c r="E16" i="19"/>
  <c r="G25" i="19"/>
  <c r="G25" i="21"/>
  <c r="X12" i="3"/>
  <c r="X14" i="3" s="1"/>
  <c r="X20" i="3" s="1"/>
  <c r="F12" i="18"/>
  <c r="E16" i="20"/>
  <c r="AA27" i="7"/>
  <c r="AG34" i="7"/>
  <c r="AG35" i="7" s="1"/>
  <c r="F10" i="21"/>
  <c r="N15" i="5"/>
  <c r="L38" i="3" s="1"/>
  <c r="L46" i="3" s="1"/>
  <c r="L77" i="6"/>
  <c r="AM8" i="29"/>
  <c r="AM15" i="29" s="1"/>
  <c r="AM7" i="29"/>
  <c r="AM14" i="29" s="1"/>
  <c r="AL4" i="12"/>
  <c r="AO26" i="6"/>
  <c r="AO26" i="7" s="1"/>
  <c r="AO27" i="7" s="1"/>
  <c r="AM34" i="7"/>
  <c r="AM35" i="7" s="1"/>
  <c r="Y34" i="6"/>
  <c r="Y35" i="6" s="1"/>
  <c r="AP24" i="7"/>
  <c r="BF39" i="7"/>
  <c r="BF40" i="7"/>
  <c r="BD57" i="7"/>
  <c r="E22" i="15"/>
  <c r="E10" i="17"/>
  <c r="E17" i="19"/>
  <c r="E5" i="20"/>
  <c r="E10" i="20"/>
  <c r="F10" i="20" s="1"/>
  <c r="E5" i="22"/>
  <c r="G5" i="22" s="1"/>
  <c r="W27" i="7"/>
  <c r="AI27" i="7"/>
  <c r="J27" i="7"/>
  <c r="AP27" i="7"/>
  <c r="AO34" i="6"/>
  <c r="AO35" i="6" s="1"/>
  <c r="AW14" i="7"/>
  <c r="BA57" i="7"/>
  <c r="M10" i="4"/>
  <c r="M31" i="4" s="1"/>
  <c r="AW56" i="6"/>
  <c r="AW58" i="6" s="1"/>
  <c r="B10" i="9" s="1"/>
  <c r="B39" i="9" s="1"/>
  <c r="Q34" i="7"/>
  <c r="Q35" i="7" s="1"/>
  <c r="M34" i="6"/>
  <c r="M35" i="6" s="1"/>
  <c r="BF38" i="7"/>
  <c r="BE43" i="7"/>
  <c r="E17" i="15"/>
  <c r="E23" i="15"/>
  <c r="E6" i="16"/>
  <c r="F6" i="16" s="1"/>
  <c r="E15" i="16"/>
  <c r="E23" i="16"/>
  <c r="E7" i="17"/>
  <c r="E11" i="17"/>
  <c r="G11" i="17" s="1"/>
  <c r="E13" i="19"/>
  <c r="F13" i="19" s="1"/>
  <c r="E18" i="19"/>
  <c r="E25" i="20"/>
  <c r="F25" i="20" s="1"/>
  <c r="E11" i="23"/>
  <c r="G11" i="23" s="1"/>
  <c r="E15" i="23"/>
  <c r="E20" i="23"/>
  <c r="E24" i="23"/>
  <c r="E21" i="24"/>
  <c r="E8" i="25"/>
  <c r="E12" i="25"/>
  <c r="F12" i="25" s="1"/>
  <c r="E16" i="25"/>
  <c r="E20" i="25"/>
  <c r="F20" i="25" s="1"/>
  <c r="E24" i="25"/>
  <c r="AM6" i="29"/>
  <c r="AM12" i="29" s="1"/>
  <c r="G3" i="29"/>
  <c r="D23" i="4"/>
  <c r="K17" i="12"/>
  <c r="K27" i="29"/>
  <c r="C26" i="4"/>
  <c r="AN8" i="29"/>
  <c r="AN15" i="29" s="1"/>
  <c r="G2" i="5"/>
  <c r="D16" i="5" s="1"/>
  <c r="D6" i="29"/>
  <c r="D12" i="29" s="1"/>
  <c r="E3" i="29"/>
  <c r="E26" i="3"/>
  <c r="E12" i="12" s="1"/>
  <c r="J17" i="5"/>
  <c r="K17" i="5"/>
  <c r="K18" i="5"/>
  <c r="L18" i="5"/>
  <c r="X48" i="3"/>
  <c r="X50" i="3" s="1"/>
  <c r="M18" i="5"/>
  <c r="AF48" i="3"/>
  <c r="AF50" i="3" s="1"/>
  <c r="F46" i="3"/>
  <c r="AN48" i="3"/>
  <c r="AN50" i="3" s="1"/>
  <c r="AC59" i="6"/>
  <c r="I1" i="7"/>
  <c r="G2" i="13" s="1"/>
  <c r="AO1" i="7"/>
  <c r="AM2" i="13" s="1"/>
  <c r="AJ14" i="13"/>
  <c r="J30" i="13" s="1"/>
  <c r="E25" i="3"/>
  <c r="E48" i="3" s="1"/>
  <c r="E50" i="3" s="1"/>
  <c r="S31" i="3"/>
  <c r="AA31" i="3"/>
  <c r="AI31" i="3"/>
  <c r="Y12" i="3"/>
  <c r="Y14" i="3" s="1"/>
  <c r="Y20" i="3" s="1"/>
  <c r="W3" i="3"/>
  <c r="AA3" i="3" s="1"/>
  <c r="AA5" i="3"/>
  <c r="D12" i="3"/>
  <c r="D5" i="13" s="1"/>
  <c r="M25" i="3"/>
  <c r="M31" i="3" s="1"/>
  <c r="F28" i="3"/>
  <c r="G28" i="3" s="1"/>
  <c r="H28" i="3" s="1"/>
  <c r="I28" i="3" s="1"/>
  <c r="J28" i="3" s="1"/>
  <c r="K28" i="3" s="1"/>
  <c r="L28" i="3" s="1"/>
  <c r="M28" i="3" s="1"/>
  <c r="N28" i="3" s="1"/>
  <c r="O28" i="3" s="1"/>
  <c r="P28" i="3" s="1"/>
  <c r="Q28" i="3" s="1"/>
  <c r="R28" i="3" s="1"/>
  <c r="S28" i="3" s="1"/>
  <c r="T28" i="3" s="1"/>
  <c r="U28" i="3" s="1"/>
  <c r="V28" i="3" s="1"/>
  <c r="W28" i="3" s="1"/>
  <c r="X28" i="3" s="1"/>
  <c r="Y28" i="3" s="1"/>
  <c r="Z28" i="3" s="1"/>
  <c r="AA28" i="3" s="1"/>
  <c r="AB28" i="3" s="1"/>
  <c r="AC28" i="3" s="1"/>
  <c r="AD28" i="3" s="1"/>
  <c r="AE28" i="3" s="1"/>
  <c r="AF28" i="3" s="1"/>
  <c r="AG28" i="3" s="1"/>
  <c r="AH28" i="3" s="1"/>
  <c r="AI28" i="3" s="1"/>
  <c r="AJ28" i="3" s="1"/>
  <c r="AK28" i="3" s="1"/>
  <c r="AL28" i="3" s="1"/>
  <c r="AM28" i="3" s="1"/>
  <c r="AN28" i="3" s="1"/>
  <c r="AO28" i="3" s="1"/>
  <c r="AP28" i="3" s="1"/>
  <c r="AQ28" i="3" s="1"/>
  <c r="AR28" i="3" s="1"/>
  <c r="AS28" i="3" s="1"/>
  <c r="V31" i="3"/>
  <c r="AD31" i="3"/>
  <c r="AL31" i="3"/>
  <c r="W48" i="3"/>
  <c r="W50" i="3" s="1"/>
  <c r="AE48" i="3"/>
  <c r="AE50" i="3" s="1"/>
  <c r="AM48" i="3"/>
  <c r="AM50" i="3" s="1"/>
  <c r="AQ31" i="3"/>
  <c r="Z12" i="3"/>
  <c r="Q25" i="3"/>
  <c r="Q31" i="3" s="1"/>
  <c r="B31" i="3"/>
  <c r="C52" i="3"/>
  <c r="AA4" i="3"/>
  <c r="R31" i="3"/>
  <c r="Z31" i="3"/>
  <c r="AH31" i="3"/>
  <c r="AP31" i="3"/>
  <c r="T48" i="3"/>
  <c r="T50" i="3" s="1"/>
  <c r="AB48" i="3"/>
  <c r="AB50" i="3" s="1"/>
  <c r="AJ48" i="3"/>
  <c r="AJ50" i="3" s="1"/>
  <c r="AR48" i="3"/>
  <c r="AR50" i="3" s="1"/>
  <c r="C51" i="3"/>
  <c r="D51" i="3" s="1"/>
  <c r="E51" i="3" s="1"/>
  <c r="I31" i="3"/>
  <c r="I48" i="3"/>
  <c r="I50" i="3" s="1"/>
  <c r="E46" i="3"/>
  <c r="E52" i="3"/>
  <c r="D46" i="3"/>
  <c r="D52" i="3"/>
  <c r="D48" i="3"/>
  <c r="D50" i="3" s="1"/>
  <c r="C4" i="16"/>
  <c r="I23" i="3"/>
  <c r="H48" i="3"/>
  <c r="H50" i="3" s="1"/>
  <c r="G52" i="3"/>
  <c r="J3" i="5"/>
  <c r="E17" i="5" s="1"/>
  <c r="E4" i="5"/>
  <c r="F4" i="5" s="1"/>
  <c r="G4" i="5" s="1"/>
  <c r="D5" i="5"/>
  <c r="B22" i="12" s="1"/>
  <c r="B14" i="12" s="1"/>
  <c r="E26" i="7"/>
  <c r="E27" i="7" s="1"/>
  <c r="E27" i="6"/>
  <c r="M26" i="7"/>
  <c r="M27" i="7" s="1"/>
  <c r="M27" i="6"/>
  <c r="U26" i="7"/>
  <c r="U27" i="7" s="1"/>
  <c r="U27" i="6"/>
  <c r="AC26" i="7"/>
  <c r="AC27" i="7" s="1"/>
  <c r="AC27" i="6"/>
  <c r="AK26" i="7"/>
  <c r="AK27" i="7" s="1"/>
  <c r="AK27" i="6"/>
  <c r="G27" i="3"/>
  <c r="J31" i="3"/>
  <c r="B46" i="3"/>
  <c r="G47" i="3"/>
  <c r="L48" i="3"/>
  <c r="L50" i="3" s="1"/>
  <c r="K52" i="3"/>
  <c r="T3" i="4"/>
  <c r="S4" i="4"/>
  <c r="R9" i="4"/>
  <c r="E15" i="4"/>
  <c r="V9" i="4"/>
  <c r="I15" i="4"/>
  <c r="Z9" i="4"/>
  <c r="M15" i="4"/>
  <c r="I77" i="6"/>
  <c r="K15" i="5"/>
  <c r="I38" i="3" s="1"/>
  <c r="D31" i="4"/>
  <c r="D37" i="4" s="1"/>
  <c r="R3" i="5"/>
  <c r="S3" i="5" s="1"/>
  <c r="Z3" i="5"/>
  <c r="AA3" i="5" s="1"/>
  <c r="G18" i="5"/>
  <c r="C48" i="3"/>
  <c r="C50" i="3" s="1"/>
  <c r="C31" i="3"/>
  <c r="G48" i="3"/>
  <c r="G50" i="3" s="1"/>
  <c r="G31" i="3"/>
  <c r="K48" i="3"/>
  <c r="K50" i="3" s="1"/>
  <c r="K31" i="3"/>
  <c r="O48" i="3"/>
  <c r="O50" i="3" s="1"/>
  <c r="O31" i="3"/>
  <c r="Q48" i="3"/>
  <c r="Q50" i="3" s="1"/>
  <c r="U31" i="3"/>
  <c r="U48" i="3"/>
  <c r="U50" i="3" s="1"/>
  <c r="Y31" i="3"/>
  <c r="Y48" i="3"/>
  <c r="Y50" i="3" s="1"/>
  <c r="AC31" i="3"/>
  <c r="AC48" i="3"/>
  <c r="AC50" i="3" s="1"/>
  <c r="AG31" i="3"/>
  <c r="AG48" i="3"/>
  <c r="AG50" i="3" s="1"/>
  <c r="AK31" i="3"/>
  <c r="AK48" i="3"/>
  <c r="AK50" i="3" s="1"/>
  <c r="AO31" i="3"/>
  <c r="AO48" i="3"/>
  <c r="AO50" i="3" s="1"/>
  <c r="AS31" i="3"/>
  <c r="AS48" i="3"/>
  <c r="AS50" i="3" s="1"/>
  <c r="N31" i="3"/>
  <c r="P48" i="3"/>
  <c r="P50" i="3" s="1"/>
  <c r="E5" i="5"/>
  <c r="F17" i="5"/>
  <c r="U4" i="5"/>
  <c r="V4" i="5" s="1"/>
  <c r="W4" i="5" s="1"/>
  <c r="D59" i="6"/>
  <c r="D1" i="7"/>
  <c r="H59" i="6"/>
  <c r="H1" i="7"/>
  <c r="L59" i="6"/>
  <c r="L1" i="7"/>
  <c r="P59" i="6"/>
  <c r="P1" i="7"/>
  <c r="T59" i="6"/>
  <c r="T1" i="7"/>
  <c r="X59" i="6"/>
  <c r="X1" i="7"/>
  <c r="AG13" i="6"/>
  <c r="BD13" i="6" s="1"/>
  <c r="AF48" i="6"/>
  <c r="E20" i="7"/>
  <c r="H33" i="7"/>
  <c r="L33" i="7"/>
  <c r="AY33" i="7" s="1"/>
  <c r="AB33" i="7"/>
  <c r="BC33" i="7" s="1"/>
  <c r="AN33" i="7"/>
  <c r="BF33" i="7" s="1"/>
  <c r="H37" i="7"/>
  <c r="P37" i="7"/>
  <c r="AB37" i="7"/>
  <c r="R39" i="7"/>
  <c r="AB41" i="7"/>
  <c r="BC41" i="7" s="1"/>
  <c r="R43" i="7"/>
  <c r="AB45" i="7"/>
  <c r="BC45" i="7" s="1"/>
  <c r="AW45" i="6"/>
  <c r="AW4" i="7"/>
  <c r="D6" i="7"/>
  <c r="AB59" i="6"/>
  <c r="AB1" i="7"/>
  <c r="AJ59" i="6"/>
  <c r="AJ1" i="7"/>
  <c r="AN59" i="6"/>
  <c r="AN1" i="7"/>
  <c r="S27" i="6"/>
  <c r="AI27" i="6"/>
  <c r="AQ27" i="6"/>
  <c r="AR27" i="6" s="1"/>
  <c r="X33" i="7"/>
  <c r="BB33" i="7" s="1"/>
  <c r="AF33" i="7"/>
  <c r="BD33" i="7" s="1"/>
  <c r="AW33" i="6"/>
  <c r="AW37" i="6"/>
  <c r="AH39" i="7"/>
  <c r="H41" i="7"/>
  <c r="P41" i="7"/>
  <c r="AZ41" i="7" s="1"/>
  <c r="AW41" i="6"/>
  <c r="H45" i="7"/>
  <c r="P45" i="7"/>
  <c r="AZ45" i="7" s="1"/>
  <c r="X45" i="7"/>
  <c r="BB45" i="7" s="1"/>
  <c r="AF45" i="7"/>
  <c r="BD45" i="7" s="1"/>
  <c r="B23" i="3"/>
  <c r="J23" i="3"/>
  <c r="N23" i="3"/>
  <c r="F25" i="3"/>
  <c r="R4" i="4"/>
  <c r="E10" i="4" s="1"/>
  <c r="K3" i="29" s="1"/>
  <c r="L15" i="5"/>
  <c r="J38" i="3" s="1"/>
  <c r="C2" i="13"/>
  <c r="E60" i="7"/>
  <c r="AI2" i="13"/>
  <c r="AK60" i="7"/>
  <c r="H5" i="7"/>
  <c r="F22" i="6"/>
  <c r="D26" i="7"/>
  <c r="AW26" i="6"/>
  <c r="D27" i="6"/>
  <c r="L26" i="6"/>
  <c r="AY26" i="6" s="1"/>
  <c r="T26" i="7"/>
  <c r="T27" i="6"/>
  <c r="AB26" i="6"/>
  <c r="BC26" i="6" s="1"/>
  <c r="AW25" i="6"/>
  <c r="I26" i="7"/>
  <c r="I27" i="7" s="1"/>
  <c r="I27" i="6"/>
  <c r="Y26" i="7"/>
  <c r="Y27" i="7" s="1"/>
  <c r="Y27" i="6"/>
  <c r="F27" i="6"/>
  <c r="V27" i="6"/>
  <c r="AL27" i="6"/>
  <c r="H29" i="7"/>
  <c r="H34" i="6"/>
  <c r="P29" i="7"/>
  <c r="P34" i="6"/>
  <c r="X29" i="7"/>
  <c r="X34" i="6"/>
  <c r="AF29" i="7"/>
  <c r="AF34" i="6"/>
  <c r="AN29" i="7"/>
  <c r="AN34" i="6"/>
  <c r="AC30" i="7"/>
  <c r="AH31" i="7"/>
  <c r="AH34" i="7" s="1"/>
  <c r="AH35" i="7" s="1"/>
  <c r="AC34" i="6"/>
  <c r="AC35" i="6" s="1"/>
  <c r="E59" i="6"/>
  <c r="AK59" i="6"/>
  <c r="K77" i="6"/>
  <c r="Q1" i="7"/>
  <c r="P33" i="7"/>
  <c r="AZ33" i="7" s="1"/>
  <c r="AF59" i="6"/>
  <c r="AF1" i="7"/>
  <c r="AW15" i="6"/>
  <c r="AA27" i="6"/>
  <c r="D47" i="7"/>
  <c r="L37" i="7"/>
  <c r="X37" i="7"/>
  <c r="AF37" i="7"/>
  <c r="L41" i="7"/>
  <c r="AY41" i="7" s="1"/>
  <c r="X41" i="7"/>
  <c r="BB41" i="7" s="1"/>
  <c r="AF41" i="7"/>
  <c r="BD41" i="7" s="1"/>
  <c r="AH43" i="7"/>
  <c r="L45" i="7"/>
  <c r="AY45" i="7" s="1"/>
  <c r="K2" i="13"/>
  <c r="M60" i="7"/>
  <c r="S2" i="13"/>
  <c r="U60" i="7"/>
  <c r="AA2" i="13"/>
  <c r="AC60" i="7"/>
  <c r="H4" i="7"/>
  <c r="I4" i="6"/>
  <c r="P26" i="6"/>
  <c r="AZ26" i="6" s="1"/>
  <c r="AF26" i="6"/>
  <c r="BD26" i="6" s="1"/>
  <c r="Q26" i="7"/>
  <c r="Q27" i="7" s="1"/>
  <c r="Q27" i="6"/>
  <c r="AG26" i="7"/>
  <c r="AG27" i="7" s="1"/>
  <c r="AG27" i="6"/>
  <c r="N27" i="6"/>
  <c r="AD27" i="6"/>
  <c r="D29" i="7"/>
  <c r="D34" i="6"/>
  <c r="L29" i="7"/>
  <c r="L34" i="6"/>
  <c r="T29" i="7"/>
  <c r="T34" i="6"/>
  <c r="AB29" i="7"/>
  <c r="AB34" i="6"/>
  <c r="AJ29" i="7"/>
  <c r="AJ34" i="6"/>
  <c r="AW29" i="6"/>
  <c r="M30" i="7"/>
  <c r="M34" i="7" s="1"/>
  <c r="M35" i="7" s="1"/>
  <c r="AO30" i="7"/>
  <c r="AO34" i="7" s="1"/>
  <c r="AO35" i="7" s="1"/>
  <c r="R31" i="7"/>
  <c r="AZ31" i="7" s="1"/>
  <c r="R3" i="3"/>
  <c r="B14" i="3" s="1"/>
  <c r="C21" i="13"/>
  <c r="C9" i="14" s="1"/>
  <c r="C11" i="14" s="1"/>
  <c r="D21" i="13"/>
  <c r="D9" i="14" s="1"/>
  <c r="D11" i="14" s="1"/>
  <c r="E21" i="13"/>
  <c r="E9" i="14" s="1"/>
  <c r="E11" i="14" s="1"/>
  <c r="C23" i="3"/>
  <c r="G23" i="3"/>
  <c r="K23" i="3"/>
  <c r="O23" i="3"/>
  <c r="D33" i="3"/>
  <c r="N17" i="5"/>
  <c r="I5" i="6"/>
  <c r="D7" i="6"/>
  <c r="H6" i="6"/>
  <c r="H10" i="7"/>
  <c r="I14" i="6"/>
  <c r="H15" i="6"/>
  <c r="H18" i="7"/>
  <c r="L18" i="7"/>
  <c r="P18" i="7"/>
  <c r="X18" i="7"/>
  <c r="AB18" i="7"/>
  <c r="AF18" i="7"/>
  <c r="AN18" i="7"/>
  <c r="H19" i="7"/>
  <c r="L19" i="7"/>
  <c r="AY19" i="7" s="1"/>
  <c r="AZ19" i="7"/>
  <c r="X19" i="7"/>
  <c r="BB19" i="7" s="1"/>
  <c r="AB19" i="7"/>
  <c r="BC19" i="7" s="1"/>
  <c r="AN19" i="7"/>
  <c r="BF19" i="7" s="1"/>
  <c r="AW19" i="6"/>
  <c r="G27" i="6"/>
  <c r="O27" i="6"/>
  <c r="W27" i="6"/>
  <c r="AE27" i="6"/>
  <c r="AM27" i="6"/>
  <c r="E34" i="7"/>
  <c r="E35" i="7" s="1"/>
  <c r="I34" i="7"/>
  <c r="I35" i="7" s="1"/>
  <c r="U34" i="7"/>
  <c r="U35" i="7" s="1"/>
  <c r="Y34" i="7"/>
  <c r="Y35" i="7" s="1"/>
  <c r="AK34" i="7"/>
  <c r="AK35" i="7" s="1"/>
  <c r="Q34" i="6"/>
  <c r="Q35" i="6" s="1"/>
  <c r="F47" i="7"/>
  <c r="F48" i="7" s="1"/>
  <c r="V47" i="7"/>
  <c r="V48" i="7" s="1"/>
  <c r="M38" i="7"/>
  <c r="AC38" i="7"/>
  <c r="M42" i="7"/>
  <c r="AC42" i="7"/>
  <c r="BC42" i="7" s="1"/>
  <c r="M46" i="7"/>
  <c r="AC46" i="7"/>
  <c r="AK46" i="7"/>
  <c r="AK48" i="6"/>
  <c r="AO46" i="7"/>
  <c r="AO47" i="7" s="1"/>
  <c r="AO48" i="7" s="1"/>
  <c r="D47" i="6"/>
  <c r="M59" i="6"/>
  <c r="Y1" i="7"/>
  <c r="T18" i="7"/>
  <c r="BC39" i="7"/>
  <c r="AA2" i="3"/>
  <c r="D23" i="3"/>
  <c r="H23" i="3"/>
  <c r="L23" i="3"/>
  <c r="P23" i="3"/>
  <c r="B39" i="12"/>
  <c r="C39" i="12"/>
  <c r="D39" i="12"/>
  <c r="E39" i="12"/>
  <c r="F39" i="12"/>
  <c r="G39" i="12"/>
  <c r="H39" i="12"/>
  <c r="I39" i="12"/>
  <c r="J39" i="12"/>
  <c r="K39" i="12"/>
  <c r="L39" i="12"/>
  <c r="H77" i="6"/>
  <c r="J15" i="5"/>
  <c r="H38" i="3" s="1"/>
  <c r="H17" i="5"/>
  <c r="I4" i="5"/>
  <c r="J4" i="5" s="1"/>
  <c r="K4" i="5" s="1"/>
  <c r="Y4" i="5"/>
  <c r="Z4" i="5" s="1"/>
  <c r="AA4" i="5" s="1"/>
  <c r="F18" i="5"/>
  <c r="L17" i="5"/>
  <c r="M17" i="5"/>
  <c r="N18" i="5"/>
  <c r="H9" i="7"/>
  <c r="I9" i="6"/>
  <c r="I10" i="6"/>
  <c r="U13" i="7"/>
  <c r="V13" i="7" s="1"/>
  <c r="W13" i="7" s="1"/>
  <c r="X13" i="7" s="1"/>
  <c r="D18" i="7"/>
  <c r="D23" i="6"/>
  <c r="D49" i="6" s="1"/>
  <c r="D56" i="6" s="1"/>
  <c r="D58" i="6" s="1"/>
  <c r="I18" i="7"/>
  <c r="M18" i="7"/>
  <c r="Q18" i="7"/>
  <c r="U18" i="7"/>
  <c r="Y18" i="7"/>
  <c r="AC18" i="7"/>
  <c r="AG18" i="7"/>
  <c r="AK18" i="7"/>
  <c r="AO18" i="7"/>
  <c r="J27" i="6"/>
  <c r="R27" i="6"/>
  <c r="Z27" i="6"/>
  <c r="AH27" i="6"/>
  <c r="AP27" i="6"/>
  <c r="E34" i="6"/>
  <c r="E35" i="6" s="1"/>
  <c r="U34" i="6"/>
  <c r="U35" i="6" s="1"/>
  <c r="AK34" i="6"/>
  <c r="AK35" i="6" s="1"/>
  <c r="AN48" i="6"/>
  <c r="U59" i="6"/>
  <c r="AG1" i="7"/>
  <c r="F6" i="7"/>
  <c r="AW2" i="7"/>
  <c r="AJ18" i="7"/>
  <c r="AW32" i="7"/>
  <c r="AZ32" i="7"/>
  <c r="AW32" i="6"/>
  <c r="F34" i="6"/>
  <c r="F35" i="6" s="1"/>
  <c r="J34" i="6"/>
  <c r="J35" i="6" s="1"/>
  <c r="N34" i="6"/>
  <c r="N35" i="6" s="1"/>
  <c r="R34" i="6"/>
  <c r="R35" i="6" s="1"/>
  <c r="V34" i="6"/>
  <c r="V35" i="6" s="1"/>
  <c r="Z34" i="6"/>
  <c r="Z35" i="6" s="1"/>
  <c r="AD34" i="6"/>
  <c r="AD35" i="6" s="1"/>
  <c r="AH34" i="6"/>
  <c r="AH35" i="6" s="1"/>
  <c r="AL34" i="6"/>
  <c r="AL35" i="6" s="1"/>
  <c r="AP34" i="6"/>
  <c r="AP35" i="6" s="1"/>
  <c r="I47" i="7"/>
  <c r="I48" i="7" s="1"/>
  <c r="Q47" i="7"/>
  <c r="Q48" i="7" s="1"/>
  <c r="U47" i="7"/>
  <c r="U48" i="7" s="1"/>
  <c r="Y47" i="7"/>
  <c r="Y48" i="7" s="1"/>
  <c r="AG47" i="7"/>
  <c r="AG48" i="7" s="1"/>
  <c r="AW40" i="7"/>
  <c r="AZ40" i="7"/>
  <c r="AW40" i="6"/>
  <c r="AW44" i="7"/>
  <c r="AZ44" i="7"/>
  <c r="AW44" i="6"/>
  <c r="E48" i="6"/>
  <c r="M48" i="6"/>
  <c r="Q48" i="6"/>
  <c r="U48" i="6"/>
  <c r="Y48" i="6"/>
  <c r="AC48" i="6"/>
  <c r="AW57" i="7"/>
  <c r="F59" i="6"/>
  <c r="N59" i="6"/>
  <c r="V59" i="6"/>
  <c r="AD59" i="6"/>
  <c r="AL59" i="6"/>
  <c r="B66" i="6"/>
  <c r="AW10" i="7"/>
  <c r="D15" i="7"/>
  <c r="D2" i="13"/>
  <c r="F60" i="7"/>
  <c r="H2" i="13"/>
  <c r="J60" i="7"/>
  <c r="L2" i="13"/>
  <c r="N60" i="7"/>
  <c r="P2" i="13"/>
  <c r="R60" i="7"/>
  <c r="T2" i="13"/>
  <c r="V60" i="7"/>
  <c r="X2" i="13"/>
  <c r="Z60" i="7"/>
  <c r="AB2" i="13"/>
  <c r="AD60" i="7"/>
  <c r="AF2" i="13"/>
  <c r="AH60" i="7"/>
  <c r="AJ2" i="13"/>
  <c r="AL60" i="7"/>
  <c r="AN2" i="13"/>
  <c r="AP60" i="7"/>
  <c r="F34" i="7"/>
  <c r="F35" i="7" s="1"/>
  <c r="J34" i="7"/>
  <c r="J35" i="7" s="1"/>
  <c r="N34" i="7"/>
  <c r="N35" i="7" s="1"/>
  <c r="V34" i="7"/>
  <c r="V35" i="7" s="1"/>
  <c r="Z34" i="7"/>
  <c r="Z35" i="7" s="1"/>
  <c r="AD34" i="7"/>
  <c r="AD35" i="7" s="1"/>
  <c r="AL34" i="7"/>
  <c r="AL35" i="7" s="1"/>
  <c r="AP34" i="7"/>
  <c r="AP35" i="7" s="1"/>
  <c r="AW31" i="7"/>
  <c r="AW31" i="6"/>
  <c r="G34" i="6"/>
  <c r="G35" i="6" s="1"/>
  <c r="K34" i="6"/>
  <c r="O34" i="6"/>
  <c r="O35" i="6" s="1"/>
  <c r="S34" i="6"/>
  <c r="S35" i="6" s="1"/>
  <c r="W34" i="6"/>
  <c r="W35" i="6" s="1"/>
  <c r="AA34" i="6"/>
  <c r="AA35" i="6" s="1"/>
  <c r="AE34" i="6"/>
  <c r="AE35" i="6" s="1"/>
  <c r="AI34" i="6"/>
  <c r="AI35" i="6" s="1"/>
  <c r="AM34" i="6"/>
  <c r="AM35" i="6" s="1"/>
  <c r="AQ34" i="6"/>
  <c r="Z47" i="7"/>
  <c r="Z48" i="7" s="1"/>
  <c r="AD47" i="7"/>
  <c r="AD48" i="7" s="1"/>
  <c r="AW39" i="7"/>
  <c r="AW39" i="6"/>
  <c r="AW43" i="7"/>
  <c r="BB43" i="7"/>
  <c r="AW43" i="6"/>
  <c r="F48" i="6"/>
  <c r="J48" i="6"/>
  <c r="N48" i="6"/>
  <c r="R48" i="6"/>
  <c r="V48" i="6"/>
  <c r="Z48" i="6"/>
  <c r="AH48" i="6"/>
  <c r="AP48" i="6"/>
  <c r="AW13" i="7"/>
  <c r="G1" i="7"/>
  <c r="G59" i="6"/>
  <c r="K1" i="7"/>
  <c r="K59" i="6"/>
  <c r="O1" i="7"/>
  <c r="O59" i="6"/>
  <c r="S1" i="7"/>
  <c r="S59" i="6"/>
  <c r="W1" i="7"/>
  <c r="W59" i="6"/>
  <c r="AA1" i="7"/>
  <c r="AA59" i="6"/>
  <c r="AE1" i="7"/>
  <c r="AE59" i="6"/>
  <c r="AI1" i="7"/>
  <c r="AI59" i="6"/>
  <c r="AM1" i="7"/>
  <c r="AM59" i="6"/>
  <c r="AQ1" i="7"/>
  <c r="AQ59" i="6"/>
  <c r="I3" i="6"/>
  <c r="I12" i="6"/>
  <c r="AW19" i="7"/>
  <c r="O34" i="7"/>
  <c r="O35" i="7" s="1"/>
  <c r="S34" i="7"/>
  <c r="S35" i="7" s="1"/>
  <c r="AA34" i="7"/>
  <c r="AA35" i="7" s="1"/>
  <c r="AE34" i="7"/>
  <c r="AE35" i="7" s="1"/>
  <c r="AI34" i="7"/>
  <c r="AI35" i="7" s="1"/>
  <c r="G47" i="7"/>
  <c r="G48" i="7" s="1"/>
  <c r="O47" i="7"/>
  <c r="O48" i="7" s="1"/>
  <c r="S47" i="7"/>
  <c r="S48" i="7" s="1"/>
  <c r="W47" i="7"/>
  <c r="W48" i="7" s="1"/>
  <c r="AA47" i="7"/>
  <c r="AA48" i="7" s="1"/>
  <c r="AE47" i="7"/>
  <c r="AE48" i="7" s="1"/>
  <c r="AI47" i="7"/>
  <c r="AI48" i="7" s="1"/>
  <c r="AW38" i="7"/>
  <c r="AZ38" i="7"/>
  <c r="AW38" i="6"/>
  <c r="AW42" i="7"/>
  <c r="AZ42" i="7"/>
  <c r="AW42" i="6"/>
  <c r="AW46" i="7"/>
  <c r="AZ46" i="7"/>
  <c r="AW46" i="6"/>
  <c r="G48" i="6"/>
  <c r="S48" i="6"/>
  <c r="W48" i="6"/>
  <c r="AA48" i="6"/>
  <c r="AE48" i="6"/>
  <c r="AI48" i="6"/>
  <c r="J59" i="6"/>
  <c r="R59" i="6"/>
  <c r="Z59" i="6"/>
  <c r="AH59" i="6"/>
  <c r="AP59" i="6"/>
  <c r="E6" i="7"/>
  <c r="G7" i="7"/>
  <c r="AW9" i="7"/>
  <c r="AK47" i="7"/>
  <c r="AK48" i="7" s="1"/>
  <c r="E4" i="8"/>
  <c r="AL47" i="7"/>
  <c r="AL48" i="7" s="1"/>
  <c r="BE44" i="7"/>
  <c r="BE45" i="7"/>
  <c r="BF45" i="7"/>
  <c r="AM47" i="7"/>
  <c r="AM48" i="7" s="1"/>
  <c r="AQ47" i="7"/>
  <c r="AQ48" i="7" s="1"/>
  <c r="BE40" i="7"/>
  <c r="BE41" i="7"/>
  <c r="BF41" i="7"/>
  <c r="BF44" i="7"/>
  <c r="BF37" i="7"/>
  <c r="E5" i="8"/>
  <c r="C25" i="8"/>
  <c r="G25" i="8"/>
  <c r="K25" i="8"/>
  <c r="B2" i="9"/>
  <c r="B27" i="9" s="1"/>
  <c r="F2" i="9"/>
  <c r="F27" i="9" s="1"/>
  <c r="J2" i="9"/>
  <c r="J27" i="9" s="1"/>
  <c r="D25" i="8"/>
  <c r="H25" i="8"/>
  <c r="L25" i="8"/>
  <c r="E25" i="8"/>
  <c r="I25" i="8"/>
  <c r="E2" i="12"/>
  <c r="W9" i="12"/>
  <c r="X9" i="12" s="1"/>
  <c r="Y9" i="12" s="1"/>
  <c r="Z9" i="12" s="1"/>
  <c r="B9" i="11"/>
  <c r="C9" i="11" s="1"/>
  <c r="J9" i="11" s="1"/>
  <c r="E9" i="11"/>
  <c r="D2" i="10"/>
  <c r="F32" i="12"/>
  <c r="F3" i="14"/>
  <c r="G3" i="14" s="1"/>
  <c r="H3" i="14" s="1"/>
  <c r="I3" i="14" s="1"/>
  <c r="J3" i="14" s="1"/>
  <c r="K3" i="14" s="1"/>
  <c r="L3" i="14" s="1"/>
  <c r="G25" i="15"/>
  <c r="F25" i="15"/>
  <c r="F10" i="16"/>
  <c r="G10" i="16"/>
  <c r="G17" i="16"/>
  <c r="F17" i="16"/>
  <c r="G5" i="17"/>
  <c r="F5" i="17"/>
  <c r="G19" i="17"/>
  <c r="G9" i="18"/>
  <c r="F9" i="18"/>
  <c r="F11" i="18"/>
  <c r="G11" i="18"/>
  <c r="G14" i="24"/>
  <c r="F14" i="24"/>
  <c r="G23" i="24"/>
  <c r="F23" i="24"/>
  <c r="G8" i="15"/>
  <c r="F8" i="15"/>
  <c r="G13" i="15"/>
  <c r="F22" i="15"/>
  <c r="G22" i="15"/>
  <c r="G7" i="16"/>
  <c r="F7" i="16"/>
  <c r="G16" i="16"/>
  <c r="F16" i="16"/>
  <c r="G24" i="16"/>
  <c r="F24" i="16"/>
  <c r="F5" i="19"/>
  <c r="G5" i="19"/>
  <c r="F16" i="23"/>
  <c r="G16" i="23"/>
  <c r="F11" i="14"/>
  <c r="G19" i="15"/>
  <c r="F19" i="15"/>
  <c r="F14" i="16"/>
  <c r="G14" i="16"/>
  <c r="F18" i="16"/>
  <c r="G18" i="16"/>
  <c r="G25" i="17"/>
  <c r="F25" i="17"/>
  <c r="G24" i="18"/>
  <c r="F24" i="18"/>
  <c r="K30" i="13"/>
  <c r="F13" i="16"/>
  <c r="G17" i="18"/>
  <c r="F17" i="18"/>
  <c r="F19" i="18"/>
  <c r="I8" i="14"/>
  <c r="J8" i="14"/>
  <c r="AF14" i="13"/>
  <c r="I30" i="13" s="1"/>
  <c r="L30" i="13"/>
  <c r="L8" i="14"/>
  <c r="G17" i="15"/>
  <c r="F17" i="15"/>
  <c r="G22" i="16"/>
  <c r="F22" i="16"/>
  <c r="G17" i="17"/>
  <c r="F17" i="17"/>
  <c r="G8" i="18"/>
  <c r="F8" i="18"/>
  <c r="G16" i="18"/>
  <c r="F16" i="18"/>
  <c r="F23" i="18"/>
  <c r="G8" i="19"/>
  <c r="F8" i="19"/>
  <c r="G18" i="22"/>
  <c r="F18" i="22"/>
  <c r="G23" i="22"/>
  <c r="F23" i="22"/>
  <c r="F8" i="23"/>
  <c r="G8" i="23"/>
  <c r="G9" i="24"/>
  <c r="F9" i="24"/>
  <c r="G22" i="24"/>
  <c r="F22" i="24"/>
  <c r="AB14" i="13"/>
  <c r="H30" i="13" s="1"/>
  <c r="F18" i="15"/>
  <c r="G18" i="15"/>
  <c r="F21" i="16"/>
  <c r="F23" i="16"/>
  <c r="G23" i="16"/>
  <c r="G9" i="17"/>
  <c r="F9" i="17"/>
  <c r="B21" i="13"/>
  <c r="B9" i="14" s="1"/>
  <c r="E5" i="15"/>
  <c r="G7" i="15"/>
  <c r="F9" i="15"/>
  <c r="G10" i="15"/>
  <c r="F12" i="15"/>
  <c r="F21" i="15"/>
  <c r="F10" i="17"/>
  <c r="G10" i="17"/>
  <c r="G13" i="17"/>
  <c r="F9" i="20"/>
  <c r="G9" i="20"/>
  <c r="F15" i="20"/>
  <c r="G15" i="20"/>
  <c r="F9" i="21"/>
  <c r="G9" i="21"/>
  <c r="G23" i="21"/>
  <c r="F23" i="21"/>
  <c r="E15" i="15"/>
  <c r="E19" i="16"/>
  <c r="F25" i="16"/>
  <c r="E6" i="17"/>
  <c r="F12" i="17"/>
  <c r="E14" i="17"/>
  <c r="F20" i="17"/>
  <c r="E22" i="17"/>
  <c r="F17" i="19"/>
  <c r="G17" i="19"/>
  <c r="G6" i="20"/>
  <c r="F6" i="20"/>
  <c r="F13" i="20"/>
  <c r="G13" i="20"/>
  <c r="F20" i="20"/>
  <c r="G22" i="20"/>
  <c r="F22" i="20"/>
  <c r="F7" i="21"/>
  <c r="G7" i="21"/>
  <c r="E25" i="18"/>
  <c r="E9" i="19"/>
  <c r="G20" i="19"/>
  <c r="F7" i="20"/>
  <c r="G7" i="20"/>
  <c r="G16" i="20"/>
  <c r="F16" i="20"/>
  <c r="G11" i="21"/>
  <c r="F7" i="22"/>
  <c r="G11" i="22"/>
  <c r="F11" i="22"/>
  <c r="G21" i="22"/>
  <c r="F21" i="22"/>
  <c r="G7" i="24"/>
  <c r="F7" i="24"/>
  <c r="G17" i="24"/>
  <c r="F17" i="24"/>
  <c r="E22" i="18"/>
  <c r="G12" i="19"/>
  <c r="F12" i="19"/>
  <c r="G16" i="19"/>
  <c r="F16" i="19"/>
  <c r="F23" i="19"/>
  <c r="G23" i="19"/>
  <c r="G12" i="20"/>
  <c r="F12" i="20"/>
  <c r="F19" i="20"/>
  <c r="G19" i="20"/>
  <c r="F8" i="21"/>
  <c r="F20" i="21"/>
  <c r="G10" i="22"/>
  <c r="F10" i="22"/>
  <c r="G19" i="22"/>
  <c r="F19" i="22"/>
  <c r="G15" i="23"/>
  <c r="F15" i="23"/>
  <c r="F24" i="23"/>
  <c r="G24" i="23"/>
  <c r="G6" i="24"/>
  <c r="F6" i="24"/>
  <c r="G15" i="24"/>
  <c r="F15" i="24"/>
  <c r="G25" i="24"/>
  <c r="F25" i="24"/>
  <c r="G11" i="25"/>
  <c r="F11" i="25"/>
  <c r="G15" i="25"/>
  <c r="F15" i="25"/>
  <c r="G23" i="25"/>
  <c r="F23" i="25"/>
  <c r="F14" i="21"/>
  <c r="F22" i="21"/>
  <c r="F18" i="23"/>
  <c r="G19" i="24"/>
  <c r="F19" i="24"/>
  <c r="F24" i="25"/>
  <c r="G24" i="25"/>
  <c r="F6" i="22"/>
  <c r="E8" i="22"/>
  <c r="G12" i="22"/>
  <c r="F14" i="22"/>
  <c r="E16" i="22"/>
  <c r="G20" i="22"/>
  <c r="F22" i="22"/>
  <c r="E24" i="22"/>
  <c r="E12" i="24"/>
  <c r="F18" i="24"/>
  <c r="E20" i="24"/>
  <c r="G25" i="25"/>
  <c r="F25" i="25"/>
  <c r="E8" i="24"/>
  <c r="E16" i="24"/>
  <c r="E24" i="24"/>
  <c r="G19" i="19" l="1"/>
  <c r="G21" i="19"/>
  <c r="AZ34" i="6"/>
  <c r="AZ43" i="7"/>
  <c r="F18" i="21"/>
  <c r="AS33" i="6"/>
  <c r="AR33" i="7"/>
  <c r="AS29" i="6"/>
  <c r="AR29" i="7"/>
  <c r="AQ26" i="7"/>
  <c r="AQ27" i="7" s="1"/>
  <c r="AR26" i="6"/>
  <c r="C3" i="13"/>
  <c r="C22" i="12"/>
  <c r="C14" i="12" s="1"/>
  <c r="C18" i="12" s="1"/>
  <c r="C4" i="13" s="1"/>
  <c r="C6" i="13" s="1"/>
  <c r="C8" i="13" s="1"/>
  <c r="F11" i="23"/>
  <c r="AW37" i="7"/>
  <c r="AR46" i="7"/>
  <c r="AR47" i="7" s="1"/>
  <c r="AS46" i="6"/>
  <c r="AR47" i="6"/>
  <c r="AR30" i="7"/>
  <c r="AS30" i="6"/>
  <c r="F8" i="17"/>
  <c r="AS25" i="6"/>
  <c r="AT25" i="6" s="1"/>
  <c r="AU25" i="6" s="1"/>
  <c r="BG25" i="6"/>
  <c r="F13" i="21"/>
  <c r="G13" i="21"/>
  <c r="F10" i="23"/>
  <c r="F24" i="20"/>
  <c r="F10" i="24"/>
  <c r="F7" i="25"/>
  <c r="F6" i="21"/>
  <c r="G25" i="20"/>
  <c r="F7" i="19"/>
  <c r="F16" i="15"/>
  <c r="G13" i="19"/>
  <c r="G6" i="16"/>
  <c r="G14" i="15"/>
  <c r="G11" i="20"/>
  <c r="F5" i="18"/>
  <c r="AQ35" i="6"/>
  <c r="AR35" i="6" s="1"/>
  <c r="AR34" i="6"/>
  <c r="G17" i="25"/>
  <c r="BF31" i="7"/>
  <c r="AZ47" i="6"/>
  <c r="AR18" i="7"/>
  <c r="AS18" i="6"/>
  <c r="F8" i="20"/>
  <c r="F5" i="16"/>
  <c r="L52" i="3"/>
  <c r="AZ39" i="7"/>
  <c r="G9" i="25"/>
  <c r="F21" i="25"/>
  <c r="F11" i="19"/>
  <c r="AX42" i="7"/>
  <c r="BA37" i="7"/>
  <c r="AS32" i="6"/>
  <c r="AR32" i="7"/>
  <c r="AR31" i="7"/>
  <c r="AS31" i="6"/>
  <c r="G23" i="20"/>
  <c r="AR19" i="7"/>
  <c r="AS19" i="6"/>
  <c r="G11" i="24"/>
  <c r="G20" i="15"/>
  <c r="G14" i="18"/>
  <c r="F16" i="17"/>
  <c r="G10" i="20"/>
  <c r="B18" i="12"/>
  <c r="AS27" i="6"/>
  <c r="AT27" i="6" s="1"/>
  <c r="AU27" i="6" s="1"/>
  <c r="BG27" i="6"/>
  <c r="L39" i="4"/>
  <c r="B91" i="6"/>
  <c r="BG13" i="6"/>
  <c r="BG24" i="7"/>
  <c r="AS48" i="6"/>
  <c r="AT48" i="6" s="1"/>
  <c r="AU48" i="6" s="1"/>
  <c r="AL10" i="12"/>
  <c r="AM16" i="29" s="1"/>
  <c r="AL6" i="12"/>
  <c r="N9" i="14"/>
  <c r="M9" i="14"/>
  <c r="BE46" i="7"/>
  <c r="AX40" i="7"/>
  <c r="BC46" i="7"/>
  <c r="AX19" i="7"/>
  <c r="AX43" i="7"/>
  <c r="H27" i="6"/>
  <c r="AX38" i="7"/>
  <c r="AX30" i="7"/>
  <c r="AX46" i="7"/>
  <c r="AN26" i="7"/>
  <c r="AN27" i="7" s="1"/>
  <c r="BF27" i="7" s="1"/>
  <c r="AH47" i="7"/>
  <c r="AH48" i="7" s="1"/>
  <c r="BC30" i="7"/>
  <c r="AY46" i="7"/>
  <c r="K34" i="7"/>
  <c r="K35" i="7" s="1"/>
  <c r="BC38" i="7"/>
  <c r="AX57" i="7"/>
  <c r="BF46" i="7"/>
  <c r="AJ27" i="6"/>
  <c r="BE27" i="6" s="1"/>
  <c r="E23" i="7"/>
  <c r="E24" i="7" s="1"/>
  <c r="AJ26" i="7"/>
  <c r="BE26" i="7" s="1"/>
  <c r="AX32" i="7"/>
  <c r="BD31" i="7"/>
  <c r="AX27" i="6"/>
  <c r="BD43" i="7"/>
  <c r="BE34" i="6"/>
  <c r="BD39" i="7"/>
  <c r="AX45" i="7"/>
  <c r="AX31" i="7"/>
  <c r="AX39" i="7"/>
  <c r="X26" i="7"/>
  <c r="BB26" i="7" s="1"/>
  <c r="BA27" i="6"/>
  <c r="AX41" i="7"/>
  <c r="BF47" i="6"/>
  <c r="T47" i="7"/>
  <c r="T48" i="7" s="1"/>
  <c r="BA48" i="7" s="1"/>
  <c r="AY42" i="7"/>
  <c r="AX33" i="7"/>
  <c r="BD48" i="6"/>
  <c r="X27" i="6"/>
  <c r="BB27" i="6" s="1"/>
  <c r="J11" i="6"/>
  <c r="F20" i="16"/>
  <c r="K47" i="7"/>
  <c r="K48" i="7" s="1"/>
  <c r="K35" i="6"/>
  <c r="AC34" i="7"/>
  <c r="AC35" i="7" s="1"/>
  <c r="E31" i="3"/>
  <c r="F12" i="16"/>
  <c r="G22" i="19"/>
  <c r="F22" i="19"/>
  <c r="I18" i="5"/>
  <c r="BA40" i="7"/>
  <c r="BC34" i="6"/>
  <c r="AO27" i="6"/>
  <c r="BF27" i="6" s="1"/>
  <c r="G11" i="15"/>
  <c r="F11" i="15"/>
  <c r="G15" i="19"/>
  <c r="J11" i="14"/>
  <c r="F15" i="22"/>
  <c r="G23" i="23"/>
  <c r="K48" i="6"/>
  <c r="BA47" i="6"/>
  <c r="BD34" i="6"/>
  <c r="BD47" i="6"/>
  <c r="G21" i="18"/>
  <c r="F21" i="6"/>
  <c r="F23" i="6" s="1"/>
  <c r="F24" i="6" s="1"/>
  <c r="F51" i="6" s="1"/>
  <c r="F61" i="6" s="1"/>
  <c r="BA34" i="6"/>
  <c r="L48" i="6"/>
  <c r="AY48" i="6" s="1"/>
  <c r="AY47" i="6"/>
  <c r="F21" i="17"/>
  <c r="BB47" i="6"/>
  <c r="BB34" i="6"/>
  <c r="AN6" i="29"/>
  <c r="AN12" i="29" s="1"/>
  <c r="BF34" i="6"/>
  <c r="AN7" i="29"/>
  <c r="AN14" i="29" s="1"/>
  <c r="AM6" i="12" s="1"/>
  <c r="G12" i="21"/>
  <c r="AX47" i="6"/>
  <c r="AY34" i="6"/>
  <c r="AO3" i="29"/>
  <c r="AN4" i="12" s="1"/>
  <c r="F19" i="23"/>
  <c r="F9" i="16"/>
  <c r="G18" i="17"/>
  <c r="F24" i="17"/>
  <c r="F7" i="23"/>
  <c r="BC47" i="6"/>
  <c r="AN9" i="29"/>
  <c r="K26" i="7"/>
  <c r="K27" i="7" s="1"/>
  <c r="BE47" i="6"/>
  <c r="F19" i="25"/>
  <c r="G5" i="21"/>
  <c r="J2" i="6"/>
  <c r="J2" i="7" s="1"/>
  <c r="L38" i="4"/>
  <c r="BE48" i="6"/>
  <c r="BF30" i="7"/>
  <c r="AX34" i="6"/>
  <c r="E23" i="6"/>
  <c r="E24" i="6" s="1"/>
  <c r="E51" i="6" s="1"/>
  <c r="E61" i="6" s="1"/>
  <c r="G17" i="20"/>
  <c r="AX26" i="6"/>
  <c r="BF26" i="6"/>
  <c r="M38" i="4"/>
  <c r="M37" i="4"/>
  <c r="M39" i="4"/>
  <c r="AC47" i="7"/>
  <c r="AC48" i="7" s="1"/>
  <c r="G18" i="19"/>
  <c r="F18" i="19"/>
  <c r="G17" i="22"/>
  <c r="F17" i="22"/>
  <c r="H18" i="5"/>
  <c r="F24" i="21"/>
  <c r="G24" i="21"/>
  <c r="B11" i="9"/>
  <c r="B40" i="9" s="1"/>
  <c r="F13" i="18"/>
  <c r="G12" i="25"/>
  <c r="R47" i="7"/>
  <c r="R48" i="7" s="1"/>
  <c r="B12" i="9"/>
  <c r="B22" i="9" s="1"/>
  <c r="P22" i="8" s="1"/>
  <c r="F8" i="25"/>
  <c r="G8" i="25"/>
  <c r="G15" i="16"/>
  <c r="F15" i="16"/>
  <c r="G9" i="22"/>
  <c r="F9" i="22"/>
  <c r="G21" i="24"/>
  <c r="F21" i="24"/>
  <c r="F5" i="20"/>
  <c r="G5" i="20"/>
  <c r="G7" i="18"/>
  <c r="F7" i="18"/>
  <c r="BE24" i="7"/>
  <c r="G20" i="25"/>
  <c r="F8" i="16"/>
  <c r="G8" i="16"/>
  <c r="F19" i="21"/>
  <c r="G6" i="18"/>
  <c r="G11" i="14"/>
  <c r="F23" i="15"/>
  <c r="G23" i="15"/>
  <c r="D17" i="5"/>
  <c r="D20" i="5" s="1"/>
  <c r="G14" i="20"/>
  <c r="F14" i="20"/>
  <c r="BE18" i="7"/>
  <c r="F16" i="25"/>
  <c r="G16" i="25"/>
  <c r="F10" i="18"/>
  <c r="G10" i="18"/>
  <c r="K11" i="14"/>
  <c r="F15" i="21"/>
  <c r="F5" i="22"/>
  <c r="F20" i="23"/>
  <c r="G20" i="23"/>
  <c r="AQ3" i="29"/>
  <c r="M23" i="4"/>
  <c r="AR2" i="5" s="1"/>
  <c r="F17" i="21"/>
  <c r="G17" i="21"/>
  <c r="BF24" i="7"/>
  <c r="F13" i="23"/>
  <c r="G13" i="23"/>
  <c r="D18" i="5"/>
  <c r="M47" i="7"/>
  <c r="M48" i="7" s="1"/>
  <c r="F13" i="22"/>
  <c r="F11" i="17"/>
  <c r="G15" i="18"/>
  <c r="F15" i="18"/>
  <c r="G9" i="23"/>
  <c r="F9" i="23"/>
  <c r="F7" i="17"/>
  <c r="G7" i="17"/>
  <c r="F24" i="19"/>
  <c r="I17" i="5"/>
  <c r="G6" i="19"/>
  <c r="F6" i="19"/>
  <c r="D17" i="29"/>
  <c r="G8" i="29"/>
  <c r="G15" i="29" s="1"/>
  <c r="G7" i="29"/>
  <c r="G14" i="29" s="1"/>
  <c r="G9" i="29"/>
  <c r="F4" i="12"/>
  <c r="H3" i="29"/>
  <c r="G6" i="29"/>
  <c r="G12" i="29" s="1"/>
  <c r="K8" i="29"/>
  <c r="K15" i="29" s="1"/>
  <c r="K7" i="29"/>
  <c r="K14" i="29" s="1"/>
  <c r="J4" i="12"/>
  <c r="K6" i="29"/>
  <c r="K12" i="29" s="1"/>
  <c r="L3" i="29"/>
  <c r="K9" i="29"/>
  <c r="F22" i="29"/>
  <c r="B41" i="29" s="1"/>
  <c r="B25" i="12"/>
  <c r="B24" i="8" s="1"/>
  <c r="L17" i="12"/>
  <c r="L27" i="29"/>
  <c r="B35" i="12"/>
  <c r="F26" i="29"/>
  <c r="B45" i="29" s="1"/>
  <c r="AO8" i="29"/>
  <c r="AO15" i="29" s="1"/>
  <c r="AO7" i="29"/>
  <c r="AO14" i="29" s="1"/>
  <c r="AM10" i="12"/>
  <c r="AN16" i="29" s="1"/>
  <c r="AP3" i="29"/>
  <c r="AO4" i="12" s="1"/>
  <c r="AO9" i="29"/>
  <c r="AO6" i="29"/>
  <c r="AO12" i="29" s="1"/>
  <c r="F3" i="29"/>
  <c r="F6" i="29" s="1"/>
  <c r="F12" i="29" s="1"/>
  <c r="F17" i="29" s="1"/>
  <c r="E6" i="29"/>
  <c r="E12" i="29" s="1"/>
  <c r="E17" i="29" s="1"/>
  <c r="F26" i="3"/>
  <c r="F12" i="12" s="1"/>
  <c r="G26" i="29" s="1"/>
  <c r="BA13" i="7"/>
  <c r="W12" i="3"/>
  <c r="G5" i="5"/>
  <c r="AO60" i="7"/>
  <c r="I60" i="7"/>
  <c r="M48" i="3"/>
  <c r="M50" i="3" s="1"/>
  <c r="B53" i="3"/>
  <c r="D34" i="3"/>
  <c r="E36" i="3" s="1"/>
  <c r="E33" i="3"/>
  <c r="D4" i="10"/>
  <c r="F2" i="12"/>
  <c r="G22" i="29" s="1"/>
  <c r="BF47" i="7"/>
  <c r="AN48" i="7"/>
  <c r="BF48" i="7" s="1"/>
  <c r="AY38" i="7"/>
  <c r="I3" i="7"/>
  <c r="J3" i="6"/>
  <c r="K3" i="6" s="1"/>
  <c r="L3" i="6" s="1"/>
  <c r="AK2" i="13"/>
  <c r="AM60" i="7"/>
  <c r="AC2" i="13"/>
  <c r="AE60" i="7"/>
  <c r="U2" i="13"/>
  <c r="W60" i="7"/>
  <c r="M2" i="13"/>
  <c r="O60" i="7"/>
  <c r="E2" i="13"/>
  <c r="G60" i="7"/>
  <c r="W2" i="13"/>
  <c r="Y60" i="7"/>
  <c r="T48" i="6"/>
  <c r="BA48" i="6" s="1"/>
  <c r="AO48" i="6"/>
  <c r="BF48" i="6" s="1"/>
  <c r="BD18" i="7"/>
  <c r="BB18" i="7"/>
  <c r="AY18" i="7"/>
  <c r="I14" i="7"/>
  <c r="J14" i="6"/>
  <c r="I5" i="7"/>
  <c r="J5" i="6"/>
  <c r="AJ34" i="7"/>
  <c r="BE29" i="7"/>
  <c r="T35" i="6"/>
  <c r="BA35" i="6" s="1"/>
  <c r="L34" i="7"/>
  <c r="AY29" i="7"/>
  <c r="H27" i="7"/>
  <c r="AX27" i="7" s="1"/>
  <c r="L11" i="14"/>
  <c r="D48" i="7"/>
  <c r="AW48" i="7" s="1"/>
  <c r="AW47" i="7"/>
  <c r="AY30" i="7"/>
  <c r="BE47" i="7"/>
  <c r="X35" i="6"/>
  <c r="BB35" i="6" s="1"/>
  <c r="P34" i="7"/>
  <c r="AZ29" i="7"/>
  <c r="AW27" i="6"/>
  <c r="J52" i="3"/>
  <c r="J46" i="3"/>
  <c r="E23" i="4"/>
  <c r="E31" i="4"/>
  <c r="AH2" i="13"/>
  <c r="AJ60" i="7"/>
  <c r="D7" i="7"/>
  <c r="AW6" i="7"/>
  <c r="D39" i="4"/>
  <c r="D38" i="4"/>
  <c r="H2" i="5"/>
  <c r="D26" i="4"/>
  <c r="BB37" i="7"/>
  <c r="X47" i="7"/>
  <c r="AD2" i="13"/>
  <c r="AF60" i="7"/>
  <c r="BE48" i="7"/>
  <c r="AF35" i="6"/>
  <c r="BD35" i="6" s="1"/>
  <c r="X34" i="7"/>
  <c r="BB29" i="7"/>
  <c r="T27" i="7"/>
  <c r="BA27" i="7" s="1"/>
  <c r="BA26" i="7"/>
  <c r="F48" i="3"/>
  <c r="F50" i="3" s="1"/>
  <c r="F31" i="3"/>
  <c r="AB47" i="7"/>
  <c r="BC37" i="7"/>
  <c r="AX37" i="7"/>
  <c r="H47" i="7"/>
  <c r="V2" i="13"/>
  <c r="X60" i="7"/>
  <c r="N2" i="13"/>
  <c r="P60" i="7"/>
  <c r="F2" i="13"/>
  <c r="H60" i="7"/>
  <c r="B3" i="13"/>
  <c r="F12" i="24"/>
  <c r="G12" i="24"/>
  <c r="F8" i="22"/>
  <c r="G8" i="22"/>
  <c r="F25" i="18"/>
  <c r="G25" i="18"/>
  <c r="G15" i="15"/>
  <c r="F15" i="15"/>
  <c r="F24" i="24"/>
  <c r="G24" i="24"/>
  <c r="F16" i="22"/>
  <c r="G16" i="22"/>
  <c r="F22" i="17"/>
  <c r="G22" i="17"/>
  <c r="F6" i="17"/>
  <c r="G6" i="17"/>
  <c r="F16" i="24"/>
  <c r="G16" i="24"/>
  <c r="F20" i="24"/>
  <c r="G20" i="24"/>
  <c r="F24" i="22"/>
  <c r="G24" i="22"/>
  <c r="G22" i="18"/>
  <c r="F22" i="18"/>
  <c r="F5" i="15"/>
  <c r="G5" i="15"/>
  <c r="F5" i="8"/>
  <c r="C66" i="6"/>
  <c r="B6" i="2" s="1"/>
  <c r="B5" i="2"/>
  <c r="X48" i="6"/>
  <c r="BB48" i="6" s="1"/>
  <c r="J10" i="6"/>
  <c r="I10" i="7"/>
  <c r="H15" i="7"/>
  <c r="D48" i="6"/>
  <c r="AW48" i="6" s="1"/>
  <c r="AW47" i="6"/>
  <c r="AZ18" i="7"/>
  <c r="AX18" i="7"/>
  <c r="H7" i="6"/>
  <c r="T34" i="7"/>
  <c r="BA29" i="7"/>
  <c r="AW34" i="6"/>
  <c r="D35" i="6"/>
  <c r="AW35" i="6" s="1"/>
  <c r="F8" i="24"/>
  <c r="G8" i="24"/>
  <c r="F9" i="19"/>
  <c r="G9" i="19"/>
  <c r="F14" i="17"/>
  <c r="G14" i="17"/>
  <c r="F19" i="16"/>
  <c r="G19" i="16"/>
  <c r="B11" i="14"/>
  <c r="AA9" i="12"/>
  <c r="AB9" i="12" s="1"/>
  <c r="AC9" i="12" s="1"/>
  <c r="AD9" i="12" s="1"/>
  <c r="E7" i="7"/>
  <c r="I12" i="7"/>
  <c r="J12" i="6"/>
  <c r="AO2" i="13"/>
  <c r="AQ60" i="7"/>
  <c r="AG2" i="13"/>
  <c r="AI60" i="7"/>
  <c r="Y2" i="13"/>
  <c r="AA60" i="7"/>
  <c r="Q2" i="13"/>
  <c r="S60" i="7"/>
  <c r="I2" i="13"/>
  <c r="K60" i="7"/>
  <c r="R34" i="7"/>
  <c r="R35" i="7" s="1"/>
  <c r="F7" i="7"/>
  <c r="H48" i="6"/>
  <c r="D24" i="6"/>
  <c r="I6" i="6"/>
  <c r="H6" i="7"/>
  <c r="H46" i="3"/>
  <c r="H52" i="3"/>
  <c r="AB35" i="6"/>
  <c r="BC35" i="6" s="1"/>
  <c r="D34" i="7"/>
  <c r="AW29" i="7"/>
  <c r="AF26" i="7"/>
  <c r="AF27" i="6"/>
  <c r="BD27" i="6" s="1"/>
  <c r="P26" i="7"/>
  <c r="P27" i="6"/>
  <c r="AZ27" i="6" s="1"/>
  <c r="B4" i="13"/>
  <c r="H11" i="14"/>
  <c r="AN35" i="6"/>
  <c r="BF35" i="6" s="1"/>
  <c r="AF34" i="7"/>
  <c r="BD29" i="7"/>
  <c r="H35" i="6"/>
  <c r="AB26" i="7"/>
  <c r="AB27" i="6"/>
  <c r="BC27" i="6" s="1"/>
  <c r="D27" i="7"/>
  <c r="AW27" i="7" s="1"/>
  <c r="AW26" i="7"/>
  <c r="P12" i="8"/>
  <c r="AL2" i="13"/>
  <c r="AN60" i="7"/>
  <c r="Z2" i="13"/>
  <c r="AB60" i="7"/>
  <c r="AB48" i="6"/>
  <c r="BC48" i="6" s="1"/>
  <c r="G20" i="6"/>
  <c r="F20" i="7"/>
  <c r="G17" i="5"/>
  <c r="D4" i="25"/>
  <c r="E4" i="25" s="1"/>
  <c r="D4" i="23"/>
  <c r="D4" i="22"/>
  <c r="D4" i="18"/>
  <c r="D4" i="19"/>
  <c r="D4" i="20"/>
  <c r="D4" i="24"/>
  <c r="D4" i="21"/>
  <c r="F10" i="4"/>
  <c r="O3" i="29" s="1"/>
  <c r="H18" i="9"/>
  <c r="V18" i="8" s="1"/>
  <c r="H47" i="3"/>
  <c r="G26" i="3"/>
  <c r="G12" i="12" s="1"/>
  <c r="H26" i="29" s="1"/>
  <c r="H27" i="3"/>
  <c r="R12" i="3"/>
  <c r="D9" i="11"/>
  <c r="E10" i="11"/>
  <c r="L9" i="11"/>
  <c r="G32" i="12"/>
  <c r="F4" i="8"/>
  <c r="D16" i="7"/>
  <c r="AW16" i="7" s="1"/>
  <c r="AW15" i="7"/>
  <c r="AE2" i="13"/>
  <c r="AG60" i="7"/>
  <c r="D23" i="7"/>
  <c r="AW18" i="7"/>
  <c r="Y13" i="7"/>
  <c r="Z13" i="7" s="1"/>
  <c r="AA13" i="7" s="1"/>
  <c r="AB13" i="7" s="1"/>
  <c r="I9" i="7"/>
  <c r="J9" i="6"/>
  <c r="I15" i="6"/>
  <c r="I16" i="6" s="1"/>
  <c r="E18" i="5"/>
  <c r="AA12" i="3"/>
  <c r="BA18" i="7"/>
  <c r="BF18" i="7"/>
  <c r="BC18" i="7"/>
  <c r="H16" i="6"/>
  <c r="AW7" i="6"/>
  <c r="B15" i="3"/>
  <c r="AJ35" i="6"/>
  <c r="BE35" i="6" s="1"/>
  <c r="AB34" i="7"/>
  <c r="BC29" i="7"/>
  <c r="L35" i="6"/>
  <c r="AY35" i="6" s="1"/>
  <c r="I4" i="7"/>
  <c r="J4" i="6"/>
  <c r="I11" i="14"/>
  <c r="BD37" i="7"/>
  <c r="AF47" i="7"/>
  <c r="L47" i="7"/>
  <c r="AY37" i="7"/>
  <c r="AW16" i="6"/>
  <c r="AW49" i="6"/>
  <c r="O2" i="13"/>
  <c r="Q60" i="7"/>
  <c r="P48" i="6"/>
  <c r="AZ48" i="6" s="1"/>
  <c r="AN34" i="7"/>
  <c r="BF29" i="7"/>
  <c r="P35" i="6"/>
  <c r="AZ35" i="6" s="1"/>
  <c r="H34" i="7"/>
  <c r="AX29" i="7"/>
  <c r="L26" i="7"/>
  <c r="L27" i="6"/>
  <c r="AY27" i="6" s="1"/>
  <c r="F22" i="7"/>
  <c r="G22" i="6"/>
  <c r="AZ37" i="7"/>
  <c r="P47" i="7"/>
  <c r="R2" i="13"/>
  <c r="T60" i="7"/>
  <c r="J2" i="13"/>
  <c r="L60" i="7"/>
  <c r="B2" i="13"/>
  <c r="D60" i="7"/>
  <c r="F5" i="5"/>
  <c r="I46" i="3"/>
  <c r="I52" i="3"/>
  <c r="T4" i="4"/>
  <c r="U3" i="4"/>
  <c r="C4" i="17"/>
  <c r="B16" i="3" l="1"/>
  <c r="B33" i="8"/>
  <c r="E3" i="13"/>
  <c r="E22" i="12"/>
  <c r="E14" i="12" s="1"/>
  <c r="B20" i="8"/>
  <c r="B34" i="8"/>
  <c r="AS33" i="7"/>
  <c r="AT33" i="6"/>
  <c r="AT19" i="6"/>
  <c r="AS19" i="7"/>
  <c r="AS26" i="6"/>
  <c r="AR26" i="7"/>
  <c r="BG48" i="6"/>
  <c r="AT32" i="6"/>
  <c r="AS32" i="7"/>
  <c r="AS34" i="6"/>
  <c r="AT34" i="6" s="1"/>
  <c r="AU34" i="6" s="1"/>
  <c r="BG34" i="6"/>
  <c r="AS30" i="7"/>
  <c r="AT30" i="6"/>
  <c r="B37" i="12"/>
  <c r="AR48" i="7"/>
  <c r="AR34" i="7"/>
  <c r="AT31" i="6"/>
  <c r="AS31" i="7"/>
  <c r="B41" i="9"/>
  <c r="AS35" i="6"/>
  <c r="AT35" i="6" s="1"/>
  <c r="AU35" i="6" s="1"/>
  <c r="AS47" i="6"/>
  <c r="AT46" i="6"/>
  <c r="AS46" i="7"/>
  <c r="AS47" i="7" s="1"/>
  <c r="AS48" i="7" s="1"/>
  <c r="D3" i="13"/>
  <c r="D6" i="13" s="1"/>
  <c r="D22" i="12"/>
  <c r="D14" i="12" s="1"/>
  <c r="D18" i="12" s="1"/>
  <c r="D4" i="13" s="1"/>
  <c r="E51" i="7"/>
  <c r="E62" i="7" s="1"/>
  <c r="AS18" i="7"/>
  <c r="AT18" i="6"/>
  <c r="AT29" i="6"/>
  <c r="AS29" i="7"/>
  <c r="J10" i="12"/>
  <c r="K16" i="29" s="1"/>
  <c r="F10" i="12"/>
  <c r="G16" i="29" s="1"/>
  <c r="M11" i="14"/>
  <c r="N11" i="14"/>
  <c r="B47" i="29"/>
  <c r="E49" i="7"/>
  <c r="BF26" i="7"/>
  <c r="AJ27" i="7"/>
  <c r="BE27" i="7" s="1"/>
  <c r="X27" i="7"/>
  <c r="BB27" i="7" s="1"/>
  <c r="E49" i="6"/>
  <c r="AX26" i="7"/>
  <c r="AX48" i="6"/>
  <c r="F49" i="6"/>
  <c r="F56" i="6" s="1"/>
  <c r="F58" i="6" s="1"/>
  <c r="BA47" i="7"/>
  <c r="P11" i="8"/>
  <c r="F58" i="7"/>
  <c r="F56" i="7"/>
  <c r="J6" i="6"/>
  <c r="J7" i="6" s="1"/>
  <c r="K11" i="6"/>
  <c r="J11" i="7"/>
  <c r="AX35" i="6"/>
  <c r="D56" i="7"/>
  <c r="D58" i="7"/>
  <c r="K2" i="6"/>
  <c r="AX2" i="6" s="1"/>
  <c r="G21" i="6"/>
  <c r="G21" i="7" s="1"/>
  <c r="AX3" i="6"/>
  <c r="H32" i="12"/>
  <c r="D51" i="6"/>
  <c r="D61" i="6" s="1"/>
  <c r="F21" i="7"/>
  <c r="F23" i="7" s="1"/>
  <c r="E34" i="3"/>
  <c r="F36" i="3" s="1"/>
  <c r="AQ8" i="29"/>
  <c r="AQ15" i="29" s="1"/>
  <c r="AQ7" i="29"/>
  <c r="AQ14" i="29" s="1"/>
  <c r="AP4" i="12"/>
  <c r="AQ6" i="29"/>
  <c r="AQ12" i="29" s="1"/>
  <c r="AQ9" i="29"/>
  <c r="AR3" i="29"/>
  <c r="B33" i="29"/>
  <c r="B38" i="29" s="1"/>
  <c r="G4" i="12"/>
  <c r="H6" i="29"/>
  <c r="H12" i="29" s="1"/>
  <c r="I3" i="29"/>
  <c r="H8" i="29"/>
  <c r="H15" i="29" s="1"/>
  <c r="H9" i="29"/>
  <c r="H7" i="29"/>
  <c r="H14" i="29" s="1"/>
  <c r="F6" i="12"/>
  <c r="O7" i="29"/>
  <c r="O14" i="29" s="1"/>
  <c r="O8" i="29"/>
  <c r="O15" i="29" s="1"/>
  <c r="N4" i="12"/>
  <c r="O6" i="29"/>
  <c r="O12" i="29" s="1"/>
  <c r="P3" i="29"/>
  <c r="O9" i="29"/>
  <c r="K4" i="12"/>
  <c r="M3" i="29"/>
  <c r="L9" i="29"/>
  <c r="L7" i="29"/>
  <c r="L14" i="29" s="1"/>
  <c r="L6" i="29"/>
  <c r="L12" i="29" s="1"/>
  <c r="L8" i="29"/>
  <c r="L15" i="29" s="1"/>
  <c r="J6" i="12"/>
  <c r="I15" i="7"/>
  <c r="I16" i="7" s="1"/>
  <c r="F28" i="29"/>
  <c r="AN6" i="12"/>
  <c r="M17" i="12"/>
  <c r="D40" i="12" s="1"/>
  <c r="M27" i="29"/>
  <c r="AP7" i="29"/>
  <c r="AP14" i="29" s="1"/>
  <c r="K35" i="29" s="1"/>
  <c r="AP8" i="29"/>
  <c r="AP15" i="29" s="1"/>
  <c r="K36" i="29" s="1"/>
  <c r="AN10" i="12"/>
  <c r="AO16" i="29" s="1"/>
  <c r="AP9" i="29"/>
  <c r="AP6" i="29"/>
  <c r="AP12" i="29" s="1"/>
  <c r="K33" i="29" s="1"/>
  <c r="B19" i="9"/>
  <c r="C53" i="3"/>
  <c r="D24" i="7"/>
  <c r="D51" i="7" s="1"/>
  <c r="I18" i="9"/>
  <c r="W18" i="8" s="1"/>
  <c r="I47" i="3"/>
  <c r="T35" i="7"/>
  <c r="BA35" i="7" s="1"/>
  <c r="BA34" i="7"/>
  <c r="AX47" i="7"/>
  <c r="H48" i="7"/>
  <c r="AX48" i="7" s="1"/>
  <c r="C42" i="12"/>
  <c r="P35" i="7"/>
  <c r="AZ35" i="7" s="1"/>
  <c r="AZ34" i="7"/>
  <c r="J5" i="7"/>
  <c r="K5" i="6"/>
  <c r="AX5" i="6" s="1"/>
  <c r="AW21" i="6"/>
  <c r="D7" i="13"/>
  <c r="D35" i="7"/>
  <c r="AW35" i="7" s="1"/>
  <c r="AW34" i="7"/>
  <c r="B6" i="13"/>
  <c r="E26" i="4"/>
  <c r="L2" i="5"/>
  <c r="L35" i="7"/>
  <c r="AY35" i="7" s="1"/>
  <c r="AY34" i="7"/>
  <c r="J14" i="7"/>
  <c r="K14" i="6"/>
  <c r="I6" i="7"/>
  <c r="V3" i="4"/>
  <c r="U4" i="4"/>
  <c r="E65" i="6"/>
  <c r="E64" i="6"/>
  <c r="E63" i="6"/>
  <c r="E52" i="6"/>
  <c r="E53" i="6"/>
  <c r="E60" i="6" s="1"/>
  <c r="K9" i="11"/>
  <c r="B10" i="11"/>
  <c r="H7" i="7"/>
  <c r="C4" i="18"/>
  <c r="E4" i="18" s="1"/>
  <c r="D4" i="17"/>
  <c r="E4" i="17" s="1"/>
  <c r="G10" i="4"/>
  <c r="S3" i="29" s="1"/>
  <c r="AW50" i="6"/>
  <c r="AW51" i="6"/>
  <c r="AW52" i="6"/>
  <c r="AW53" i="6"/>
  <c r="AY47" i="7"/>
  <c r="L48" i="7"/>
  <c r="AY48" i="7" s="1"/>
  <c r="J4" i="7"/>
  <c r="K4" i="6"/>
  <c r="AB35" i="7"/>
  <c r="BC35" i="7" s="1"/>
  <c r="BC34" i="7"/>
  <c r="BB13" i="7"/>
  <c r="H26" i="3"/>
  <c r="H12" i="12" s="1"/>
  <c r="I26" i="29" s="1"/>
  <c r="I27" i="3"/>
  <c r="F31" i="4"/>
  <c r="F23" i="4"/>
  <c r="F4" i="25"/>
  <c r="F27" i="25" s="1"/>
  <c r="G4" i="25"/>
  <c r="G27" i="25" s="1"/>
  <c r="AF27" i="7"/>
  <c r="BD27" i="7" s="1"/>
  <c r="BD26" i="7"/>
  <c r="I7" i="6"/>
  <c r="E66" i="7"/>
  <c r="E65" i="7"/>
  <c r="E64" i="7"/>
  <c r="E53" i="7"/>
  <c r="E61" i="7" s="1"/>
  <c r="E52" i="7"/>
  <c r="E54" i="7" s="1"/>
  <c r="H16" i="7"/>
  <c r="H5" i="5"/>
  <c r="F22" i="12" s="1"/>
  <c r="I2" i="5"/>
  <c r="AW7" i="7"/>
  <c r="G2" i="12"/>
  <c r="H22" i="29" s="1"/>
  <c r="F33" i="3"/>
  <c r="F65" i="6"/>
  <c r="F64" i="6"/>
  <c r="F63" i="6"/>
  <c r="AB27" i="7"/>
  <c r="BC27" i="7" s="1"/>
  <c r="BC26" i="7"/>
  <c r="D65" i="6"/>
  <c r="D64" i="6"/>
  <c r="D63" i="6"/>
  <c r="D53" i="6"/>
  <c r="D60" i="6" s="1"/>
  <c r="BC47" i="7"/>
  <c r="AB48" i="7"/>
  <c r="BC48" i="7" s="1"/>
  <c r="AJ35" i="7"/>
  <c r="BE35" i="7" s="1"/>
  <c r="BE34" i="7"/>
  <c r="AC13" i="7"/>
  <c r="AD13" i="7" s="1"/>
  <c r="AE13" i="7" s="1"/>
  <c r="AF13" i="7" s="1"/>
  <c r="AF35" i="7"/>
  <c r="BD35" i="7" s="1"/>
  <c r="BD34" i="7"/>
  <c r="P48" i="7"/>
  <c r="AZ48" i="7" s="1"/>
  <c r="AZ47" i="7"/>
  <c r="G22" i="7"/>
  <c r="AW22" i="7" s="1"/>
  <c r="H22" i="6"/>
  <c r="AW22" i="6"/>
  <c r="L27" i="7"/>
  <c r="AY27" i="7" s="1"/>
  <c r="AY26" i="7"/>
  <c r="H35" i="7"/>
  <c r="AX35" i="7" s="1"/>
  <c r="AX34" i="7"/>
  <c r="AN35" i="7"/>
  <c r="BF35" i="7" s="1"/>
  <c r="BF34" i="7"/>
  <c r="AF48" i="7"/>
  <c r="BD48" i="7" s="1"/>
  <c r="BD47" i="7"/>
  <c r="J9" i="7"/>
  <c r="J15" i="6"/>
  <c r="K9" i="6"/>
  <c r="E11" i="11"/>
  <c r="G20" i="7"/>
  <c r="H20" i="6"/>
  <c r="G23" i="6"/>
  <c r="AW20" i="6"/>
  <c r="P27" i="7"/>
  <c r="AZ27" i="7" s="1"/>
  <c r="AZ26" i="7"/>
  <c r="J12" i="7"/>
  <c r="K12" i="6"/>
  <c r="AE9" i="12"/>
  <c r="AF9" i="12" s="1"/>
  <c r="AG9" i="12" s="1"/>
  <c r="AH9" i="12" s="1"/>
  <c r="J10" i="7"/>
  <c r="K10" i="6"/>
  <c r="AX10" i="6" s="1"/>
  <c r="G6" i="5"/>
  <c r="C9" i="13"/>
  <c r="C10" i="13" s="1"/>
  <c r="C12" i="13" s="1"/>
  <c r="X35" i="7"/>
  <c r="BB35" i="7" s="1"/>
  <c r="BB34" i="7"/>
  <c r="BB47" i="7"/>
  <c r="X48" i="7"/>
  <c r="BB48" i="7" s="1"/>
  <c r="D49" i="7"/>
  <c r="E39" i="4"/>
  <c r="E38" i="4"/>
  <c r="E37" i="4"/>
  <c r="J3" i="7"/>
  <c r="E35" i="3"/>
  <c r="B40" i="3"/>
  <c r="B6" i="9" s="1"/>
  <c r="AT31" i="7" l="1"/>
  <c r="AU31" i="6"/>
  <c r="AU31" i="7" s="1"/>
  <c r="AT18" i="7"/>
  <c r="AU18" i="6"/>
  <c r="AU18" i="7" s="1"/>
  <c r="BG18" i="7" s="1"/>
  <c r="BG18" i="6"/>
  <c r="AU29" i="6"/>
  <c r="AU29" i="7" s="1"/>
  <c r="AT29" i="7"/>
  <c r="BG29" i="6"/>
  <c r="AT47" i="6"/>
  <c r="AU46" i="6"/>
  <c r="AT46" i="7"/>
  <c r="AR35" i="7"/>
  <c r="AT26" i="6"/>
  <c r="AS26" i="7"/>
  <c r="AS27" i="7" s="1"/>
  <c r="BG35" i="6"/>
  <c r="AT32" i="7"/>
  <c r="BG32" i="7" s="1"/>
  <c r="AU32" i="6"/>
  <c r="AU32" i="7" s="1"/>
  <c r="BG32" i="6"/>
  <c r="BG31" i="6"/>
  <c r="AT19" i="7"/>
  <c r="AU19" i="6"/>
  <c r="AU19" i="7" s="1"/>
  <c r="BG19" i="6"/>
  <c r="B35" i="8"/>
  <c r="AT30" i="7"/>
  <c r="AU30" i="6"/>
  <c r="AU30" i="7" s="1"/>
  <c r="BG30" i="6"/>
  <c r="AU33" i="6"/>
  <c r="AU33" i="7" s="1"/>
  <c r="BG33" i="7" s="1"/>
  <c r="AT33" i="7"/>
  <c r="AS34" i="7"/>
  <c r="AS35" i="7" s="1"/>
  <c r="AR27" i="7"/>
  <c r="B16" i="9"/>
  <c r="B16" i="8"/>
  <c r="E56" i="6"/>
  <c r="B19" i="13"/>
  <c r="B5" i="14" s="1"/>
  <c r="BG46" i="6"/>
  <c r="F35" i="3"/>
  <c r="G10" i="12"/>
  <c r="H16" i="29" s="1"/>
  <c r="N10" i="12"/>
  <c r="O16" i="29" s="1"/>
  <c r="AP10" i="12"/>
  <c r="AQ16" i="29" s="1"/>
  <c r="K10" i="12"/>
  <c r="L16" i="29" s="1"/>
  <c r="B48" i="29"/>
  <c r="F53" i="6"/>
  <c r="F60" i="6" s="1"/>
  <c r="F52" i="6"/>
  <c r="L2" i="6"/>
  <c r="L2" i="7" s="1"/>
  <c r="K2" i="7"/>
  <c r="H21" i="6"/>
  <c r="H23" i="6" s="1"/>
  <c r="L11" i="6"/>
  <c r="K11" i="7"/>
  <c r="AX11" i="7" s="1"/>
  <c r="C86" i="6"/>
  <c r="AX11" i="6"/>
  <c r="L14" i="6"/>
  <c r="L4" i="6"/>
  <c r="AX14" i="6"/>
  <c r="L10" i="6"/>
  <c r="L9" i="6"/>
  <c r="L12" i="6"/>
  <c r="AX4" i="6"/>
  <c r="AX12" i="6"/>
  <c r="D52" i="6"/>
  <c r="D54" i="6" s="1"/>
  <c r="AW21" i="7"/>
  <c r="AP6" i="12"/>
  <c r="AX9" i="6"/>
  <c r="C78" i="6"/>
  <c r="BC13" i="7"/>
  <c r="L5" i="6"/>
  <c r="AQ4" i="12"/>
  <c r="AR6" i="29"/>
  <c r="AR12" i="29" s="1"/>
  <c r="AR9" i="29"/>
  <c r="AR8" i="29"/>
  <c r="AR15" i="29" s="1"/>
  <c r="AS3" i="29"/>
  <c r="AR7" i="29"/>
  <c r="AR14" i="29" s="1"/>
  <c r="G23" i="7"/>
  <c r="G49" i="7" s="1"/>
  <c r="F34" i="3"/>
  <c r="G36" i="3" s="1"/>
  <c r="AW54" i="6"/>
  <c r="G6" i="12"/>
  <c r="J6" i="7"/>
  <c r="J7" i="7" s="1"/>
  <c r="S7" i="29"/>
  <c r="S14" i="29" s="1"/>
  <c r="S8" i="29"/>
  <c r="S15" i="29" s="1"/>
  <c r="R4" i="12"/>
  <c r="S6" i="29"/>
  <c r="S12" i="29" s="1"/>
  <c r="T3" i="29"/>
  <c r="S9" i="29"/>
  <c r="H4" i="12"/>
  <c r="J3" i="29"/>
  <c r="I8" i="29"/>
  <c r="I15" i="29" s="1"/>
  <c r="I9" i="29"/>
  <c r="I7" i="29"/>
  <c r="I14" i="29" s="1"/>
  <c r="I6" i="29"/>
  <c r="I12" i="29" s="1"/>
  <c r="N6" i="12"/>
  <c r="O4" i="12"/>
  <c r="P7" i="29"/>
  <c r="P14" i="29" s="1"/>
  <c r="P6" i="29"/>
  <c r="P12" i="29" s="1"/>
  <c r="P8" i="29"/>
  <c r="P15" i="29" s="1"/>
  <c r="P9" i="29"/>
  <c r="Q3" i="29"/>
  <c r="K6" i="12"/>
  <c r="L4" i="12"/>
  <c r="M7" i="29"/>
  <c r="M14" i="29" s="1"/>
  <c r="N3" i="29"/>
  <c r="M6" i="29"/>
  <c r="M12" i="29" s="1"/>
  <c r="M8" i="29"/>
  <c r="M15" i="29" s="1"/>
  <c r="M9" i="29"/>
  <c r="N17" i="12"/>
  <c r="N27" i="29"/>
  <c r="D46" i="29" s="1"/>
  <c r="AO6" i="12"/>
  <c r="F8" i="12"/>
  <c r="G25" i="29" s="1"/>
  <c r="F7" i="12"/>
  <c r="AO10" i="12"/>
  <c r="AP16" i="29" s="1"/>
  <c r="K37" i="29" s="1"/>
  <c r="D8" i="13"/>
  <c r="D9" i="13" s="1"/>
  <c r="D10" i="13" s="1"/>
  <c r="C19" i="9"/>
  <c r="D53" i="3"/>
  <c r="B38" i="9"/>
  <c r="B37" i="9" s="1"/>
  <c r="P19" i="8"/>
  <c r="B18" i="9"/>
  <c r="P18" i="8" s="1"/>
  <c r="B23" i="9"/>
  <c r="P23" i="8" s="1"/>
  <c r="D66" i="7"/>
  <c r="D65" i="7"/>
  <c r="D64" i="7"/>
  <c r="D53" i="7"/>
  <c r="D52" i="7"/>
  <c r="C87" i="6"/>
  <c r="K12" i="7"/>
  <c r="AX12" i="7" s="1"/>
  <c r="E12" i="11"/>
  <c r="F12" i="11" s="1"/>
  <c r="G9" i="11"/>
  <c r="G4" i="17"/>
  <c r="G26" i="17" s="1"/>
  <c r="F4" i="17"/>
  <c r="F26" i="17" s="1"/>
  <c r="D62" i="7"/>
  <c r="AW20" i="7"/>
  <c r="C79" i="6"/>
  <c r="K3" i="7"/>
  <c r="AX3" i="7" s="1"/>
  <c r="K9" i="7"/>
  <c r="C84" i="6"/>
  <c r="K15" i="6"/>
  <c r="AG13" i="7"/>
  <c r="AH13" i="7" s="1"/>
  <c r="AI13" i="7" s="1"/>
  <c r="AJ13" i="7" s="1"/>
  <c r="B34" i="9"/>
  <c r="B33" i="9" s="1"/>
  <c r="B7" i="9"/>
  <c r="H20" i="7"/>
  <c r="I20" i="6"/>
  <c r="J15" i="7"/>
  <c r="J2" i="5"/>
  <c r="I5" i="5"/>
  <c r="G22" i="12" s="1"/>
  <c r="F24" i="7"/>
  <c r="F51" i="7" s="1"/>
  <c r="F62" i="7" s="1"/>
  <c r="F49" i="7"/>
  <c r="F39" i="4"/>
  <c r="F38" i="4"/>
  <c r="F37" i="4"/>
  <c r="D4" i="16"/>
  <c r="E4" i="16" s="1"/>
  <c r="H10" i="4"/>
  <c r="W3" i="29" s="1"/>
  <c r="AW55" i="6"/>
  <c r="C4" i="19"/>
  <c r="E4" i="19" s="1"/>
  <c r="C10" i="11"/>
  <c r="E54" i="6"/>
  <c r="W3" i="4"/>
  <c r="V4" i="4"/>
  <c r="K14" i="7"/>
  <c r="AX14" i="7" s="1"/>
  <c r="C89" i="6"/>
  <c r="B8" i="13"/>
  <c r="J27" i="3"/>
  <c r="I26" i="3"/>
  <c r="I12" i="12" s="1"/>
  <c r="G31" i="4"/>
  <c r="G23" i="4"/>
  <c r="G4" i="18"/>
  <c r="G26" i="18" s="1"/>
  <c r="F4" i="18"/>
  <c r="F26" i="18" s="1"/>
  <c r="D5" i="10"/>
  <c r="I7" i="7"/>
  <c r="M2" i="5"/>
  <c r="L5" i="5"/>
  <c r="J22" i="12" s="1"/>
  <c r="K5" i="7"/>
  <c r="AX5" i="7" s="1"/>
  <c r="C81" i="6"/>
  <c r="AX2" i="7"/>
  <c r="E15" i="12"/>
  <c r="B38" i="12" s="1"/>
  <c r="B8" i="9" s="1"/>
  <c r="B39" i="3"/>
  <c r="B7" i="8" s="1"/>
  <c r="AI9" i="12"/>
  <c r="AJ9" i="12" s="1"/>
  <c r="AK9" i="12" s="1"/>
  <c r="AL9" i="12" s="1"/>
  <c r="F3" i="13"/>
  <c r="K10" i="7"/>
  <c r="AX10" i="7" s="1"/>
  <c r="C85" i="6"/>
  <c r="I32" i="12"/>
  <c r="G24" i="6"/>
  <c r="G49" i="6"/>
  <c r="G56" i="6" s="1"/>
  <c r="G58" i="6" s="1"/>
  <c r="AW23" i="6"/>
  <c r="J16" i="6"/>
  <c r="I22" i="6"/>
  <c r="H22" i="7"/>
  <c r="F54" i="6"/>
  <c r="F15" i="12"/>
  <c r="H2" i="12"/>
  <c r="I22" i="29" s="1"/>
  <c r="E63" i="7"/>
  <c r="F26" i="4"/>
  <c r="P2" i="5"/>
  <c r="K4" i="7"/>
  <c r="AX4" i="7" s="1"/>
  <c r="C80" i="6"/>
  <c r="K6" i="6"/>
  <c r="D42" i="12"/>
  <c r="J18" i="9"/>
  <c r="X18" i="8" s="1"/>
  <c r="J47" i="3"/>
  <c r="K27" i="12"/>
  <c r="B17" i="9" l="1"/>
  <c r="B28" i="9"/>
  <c r="P16" i="8"/>
  <c r="BG30" i="7"/>
  <c r="AU46" i="7"/>
  <c r="AU47" i="7" s="1"/>
  <c r="AU48" i="7" s="1"/>
  <c r="AU47" i="6"/>
  <c r="BG47" i="6" s="1"/>
  <c r="AT47" i="7"/>
  <c r="BG31" i="7"/>
  <c r="BG33" i="6"/>
  <c r="AT34" i="7"/>
  <c r="E58" i="6"/>
  <c r="E58" i="7" s="1"/>
  <c r="E56" i="7"/>
  <c r="BG19" i="7"/>
  <c r="AU26" i="6"/>
  <c r="AU26" i="7" s="1"/>
  <c r="AU27" i="7" s="1"/>
  <c r="AT26" i="7"/>
  <c r="AT27" i="7" s="1"/>
  <c r="BG27" i="7" s="1"/>
  <c r="BG26" i="6"/>
  <c r="BG29" i="7"/>
  <c r="AU34" i="7"/>
  <c r="AU35" i="7" s="1"/>
  <c r="G35" i="3"/>
  <c r="G15" i="12" s="1"/>
  <c r="R10" i="12"/>
  <c r="S16" i="29" s="1"/>
  <c r="O10" i="12"/>
  <c r="P16" i="29" s="1"/>
  <c r="AQ10" i="12"/>
  <c r="AR16" i="29" s="1"/>
  <c r="L10" i="12"/>
  <c r="M16" i="29" s="1"/>
  <c r="G33" i="3"/>
  <c r="G34" i="3" s="1"/>
  <c r="H36" i="3" s="1"/>
  <c r="M2" i="6"/>
  <c r="M2" i="7" s="1"/>
  <c r="I21" i="6"/>
  <c r="H21" i="7"/>
  <c r="G56" i="7"/>
  <c r="AW56" i="7" s="1"/>
  <c r="G58" i="7"/>
  <c r="L11" i="7"/>
  <c r="M11" i="6"/>
  <c r="G24" i="7"/>
  <c r="G51" i="7" s="1"/>
  <c r="G62" i="7" s="1"/>
  <c r="B70" i="7" s="1"/>
  <c r="K16" i="6"/>
  <c r="AX15" i="6"/>
  <c r="AX6" i="6"/>
  <c r="AW23" i="7"/>
  <c r="AR4" i="12"/>
  <c r="AS7" i="29"/>
  <c r="AS14" i="29" s="1"/>
  <c r="AS8" i="29"/>
  <c r="AS15" i="29" s="1"/>
  <c r="AS9" i="29"/>
  <c r="AT3" i="29"/>
  <c r="AS6" i="29"/>
  <c r="AS12" i="29" s="1"/>
  <c r="C82" i="6"/>
  <c r="AQ6" i="12"/>
  <c r="N2" i="6"/>
  <c r="O6" i="12"/>
  <c r="H6" i="12"/>
  <c r="W8" i="29"/>
  <c r="W15" i="29" s="1"/>
  <c r="W7" i="29"/>
  <c r="W14" i="29" s="1"/>
  <c r="V4" i="12"/>
  <c r="X3" i="29"/>
  <c r="W9" i="29"/>
  <c r="W6" i="29"/>
  <c r="W12" i="29" s="1"/>
  <c r="R6" i="12"/>
  <c r="S4" i="12"/>
  <c r="T8" i="29"/>
  <c r="T15" i="29" s="1"/>
  <c r="T9" i="29"/>
  <c r="T6" i="29"/>
  <c r="T12" i="29" s="1"/>
  <c r="T7" i="29"/>
  <c r="T14" i="29" s="1"/>
  <c r="U3" i="29"/>
  <c r="I4" i="12"/>
  <c r="J8" i="29"/>
  <c r="J15" i="29" s="1"/>
  <c r="J9" i="29"/>
  <c r="J7" i="29"/>
  <c r="J14" i="29" s="1"/>
  <c r="C35" i="29" s="1"/>
  <c r="J6" i="29"/>
  <c r="J12" i="29" s="1"/>
  <c r="C33" i="29" s="1"/>
  <c r="H10" i="12"/>
  <c r="I16" i="29" s="1"/>
  <c r="P4" i="12"/>
  <c r="Q7" i="29"/>
  <c r="Q14" i="29" s="1"/>
  <c r="Q6" i="29"/>
  <c r="Q12" i="29" s="1"/>
  <c r="Q9" i="29"/>
  <c r="Q8" i="29"/>
  <c r="Q15" i="29" s="1"/>
  <c r="R3" i="29"/>
  <c r="M4" i="12"/>
  <c r="N8" i="29"/>
  <c r="N15" i="29" s="1"/>
  <c r="D36" i="29" s="1"/>
  <c r="N9" i="29"/>
  <c r="N7" i="29"/>
  <c r="N14" i="29" s="1"/>
  <c r="D35" i="29" s="1"/>
  <c r="N6" i="29"/>
  <c r="N12" i="29" s="1"/>
  <c r="D33" i="29" s="1"/>
  <c r="L6" i="12"/>
  <c r="K6" i="7"/>
  <c r="K7" i="7" s="1"/>
  <c r="AX7" i="7" s="1"/>
  <c r="G24" i="29"/>
  <c r="O17" i="12"/>
  <c r="O27" i="29"/>
  <c r="C35" i="12"/>
  <c r="J26" i="29"/>
  <c r="C45" i="29" s="1"/>
  <c r="J8" i="12"/>
  <c r="K25" i="29" s="1"/>
  <c r="J7" i="12"/>
  <c r="K24" i="29" s="1"/>
  <c r="G8" i="12"/>
  <c r="H25" i="29" s="1"/>
  <c r="G7" i="12"/>
  <c r="H24" i="29" s="1"/>
  <c r="BD13" i="7"/>
  <c r="D19" i="9"/>
  <c r="E53" i="3"/>
  <c r="Q19" i="8"/>
  <c r="C23" i="9"/>
  <c r="Q23" i="8" s="1"/>
  <c r="C38" i="9"/>
  <c r="C37" i="9" s="1"/>
  <c r="C18" i="9"/>
  <c r="Q18" i="8" s="1"/>
  <c r="K7" i="6"/>
  <c r="AM9" i="12"/>
  <c r="AN9" i="12" s="1"/>
  <c r="AO9" i="12" s="1"/>
  <c r="AP9" i="12" s="1"/>
  <c r="D4" i="15"/>
  <c r="E4" i="15" s="1"/>
  <c r="I10" i="4"/>
  <c r="AA3" i="29" s="1"/>
  <c r="D10" i="11"/>
  <c r="G4" i="19"/>
  <c r="G27" i="19" s="1"/>
  <c r="F4" i="19"/>
  <c r="F27" i="19" s="1"/>
  <c r="F66" i="7"/>
  <c r="F65" i="7"/>
  <c r="F64" i="7"/>
  <c r="F53" i="7"/>
  <c r="F61" i="7" s="1"/>
  <c r="F52" i="7"/>
  <c r="J5" i="5"/>
  <c r="H22" i="12" s="1"/>
  <c r="K2" i="5"/>
  <c r="H23" i="7"/>
  <c r="L3" i="7"/>
  <c r="M3" i="6"/>
  <c r="G65" i="7"/>
  <c r="G66" i="7"/>
  <c r="G64" i="7"/>
  <c r="G53" i="7"/>
  <c r="G61" i="7" s="1"/>
  <c r="G50" i="7"/>
  <c r="AW50" i="7" s="1"/>
  <c r="G65" i="6"/>
  <c r="B73" i="6" s="1"/>
  <c r="G64" i="6"/>
  <c r="B72" i="6" s="1"/>
  <c r="G63" i="6"/>
  <c r="B71" i="6" s="1"/>
  <c r="G53" i="6"/>
  <c r="G60" i="6" s="1"/>
  <c r="B68" i="6" s="1"/>
  <c r="G50" i="6"/>
  <c r="L10" i="7"/>
  <c r="M10" i="6"/>
  <c r="J32" i="12"/>
  <c r="B21" i="8"/>
  <c r="B6" i="8"/>
  <c r="P6" i="8" s="1"/>
  <c r="B48" i="12" s="1"/>
  <c r="L5" i="7"/>
  <c r="M5" i="6"/>
  <c r="D11" i="13"/>
  <c r="D7" i="10"/>
  <c r="D6" i="10"/>
  <c r="T2" i="5"/>
  <c r="G26" i="4"/>
  <c r="L6" i="6"/>
  <c r="K27" i="3"/>
  <c r="J26" i="3"/>
  <c r="J12" i="12" s="1"/>
  <c r="K26" i="29" s="1"/>
  <c r="L14" i="7"/>
  <c r="M14" i="6"/>
  <c r="X3" i="4"/>
  <c r="X4" i="4" s="1"/>
  <c r="K10" i="4" s="1"/>
  <c r="AI3" i="29" s="1"/>
  <c r="W4" i="4"/>
  <c r="J10" i="4" s="1"/>
  <c r="AE3" i="29" s="1"/>
  <c r="I21" i="7"/>
  <c r="J21" i="6"/>
  <c r="H24" i="6"/>
  <c r="H49" i="6"/>
  <c r="H56" i="6" s="1"/>
  <c r="H58" i="6" s="1"/>
  <c r="P7" i="8"/>
  <c r="C90" i="6"/>
  <c r="D54" i="7"/>
  <c r="D63" i="7"/>
  <c r="L4" i="7"/>
  <c r="M4" i="6"/>
  <c r="P5" i="5"/>
  <c r="N22" i="12" s="1"/>
  <c r="Q2" i="5"/>
  <c r="I2" i="12"/>
  <c r="I22" i="7"/>
  <c r="J22" i="6"/>
  <c r="G51" i="6"/>
  <c r="G61" i="6" s="1"/>
  <c r="B69" i="6" s="1"/>
  <c r="AW24" i="6"/>
  <c r="B9" i="9"/>
  <c r="P8" i="8"/>
  <c r="J3" i="13"/>
  <c r="H23" i="4"/>
  <c r="H31" i="4"/>
  <c r="J16" i="7"/>
  <c r="AK13" i="7"/>
  <c r="AL13" i="7" s="1"/>
  <c r="AM13" i="7" s="1"/>
  <c r="AN13" i="7" s="1"/>
  <c r="K15" i="7"/>
  <c r="K16" i="7" s="1"/>
  <c r="AX9" i="7"/>
  <c r="E13" i="11"/>
  <c r="D61" i="7"/>
  <c r="K18" i="9"/>
  <c r="Y18" i="8" s="1"/>
  <c r="K47" i="3"/>
  <c r="E42" i="12"/>
  <c r="N2" i="5"/>
  <c r="M5" i="5"/>
  <c r="K22" i="12" s="1"/>
  <c r="G37" i="4"/>
  <c r="G38" i="4"/>
  <c r="G39" i="4"/>
  <c r="B9" i="13"/>
  <c r="B10" i="13" s="1"/>
  <c r="C4" i="20"/>
  <c r="E4" i="20" s="1"/>
  <c r="G4" i="16"/>
  <c r="G26" i="16" s="1"/>
  <c r="F4" i="16"/>
  <c r="F26" i="16" s="1"/>
  <c r="G3" i="13"/>
  <c r="L10" i="11"/>
  <c r="I20" i="7"/>
  <c r="J20" i="6"/>
  <c r="I23" i="6"/>
  <c r="L9" i="7"/>
  <c r="M9" i="6"/>
  <c r="L15" i="6"/>
  <c r="L12" i="7"/>
  <c r="M12" i="6"/>
  <c r="AW49" i="7"/>
  <c r="AW51" i="7" l="1"/>
  <c r="B14" i="8" s="1"/>
  <c r="P14" i="8" s="1"/>
  <c r="AW58" i="7"/>
  <c r="B10" i="8" s="1"/>
  <c r="P10" i="8" s="1"/>
  <c r="BG46" i="7"/>
  <c r="AT35" i="7"/>
  <c r="BG35" i="7" s="1"/>
  <c r="BG34" i="7"/>
  <c r="AW24" i="7"/>
  <c r="BG26" i="7"/>
  <c r="AT48" i="7"/>
  <c r="BG48" i="7" s="1"/>
  <c r="BG47" i="7"/>
  <c r="P17" i="8"/>
  <c r="B29" i="9"/>
  <c r="H64" i="6"/>
  <c r="H65" i="6"/>
  <c r="H63" i="6"/>
  <c r="P10" i="12"/>
  <c r="Q16" i="29" s="1"/>
  <c r="S10" i="12"/>
  <c r="T16" i="29" s="1"/>
  <c r="V10" i="12"/>
  <c r="W16" i="29" s="1"/>
  <c r="I10" i="12"/>
  <c r="J16" i="29" s="1"/>
  <c r="F54" i="7"/>
  <c r="B69" i="7"/>
  <c r="B75" i="7" s="1"/>
  <c r="C91" i="6"/>
  <c r="M11" i="7"/>
  <c r="N11" i="6"/>
  <c r="B72" i="7"/>
  <c r="H56" i="7"/>
  <c r="H58" i="7"/>
  <c r="AW53" i="7"/>
  <c r="B15" i="8" s="1"/>
  <c r="P15" i="8" s="1"/>
  <c r="L6" i="7"/>
  <c r="L7" i="7" s="1"/>
  <c r="B74" i="7"/>
  <c r="M6" i="6"/>
  <c r="M7" i="6" s="1"/>
  <c r="AX16" i="6"/>
  <c r="AX7" i="6"/>
  <c r="H35" i="3"/>
  <c r="H15" i="12" s="1"/>
  <c r="G52" i="7"/>
  <c r="AW52" i="7" s="1"/>
  <c r="I23" i="7"/>
  <c r="I24" i="7" s="1"/>
  <c r="I51" i="7" s="1"/>
  <c r="I62" i="7" s="1"/>
  <c r="H33" i="3"/>
  <c r="H34" i="3" s="1"/>
  <c r="I36" i="3" s="1"/>
  <c r="C40" i="3" s="1"/>
  <c r="B73" i="7"/>
  <c r="AR10" i="12"/>
  <c r="AS16" i="29" s="1"/>
  <c r="AR6" i="12"/>
  <c r="O2" i="6"/>
  <c r="AY2" i="6" s="1"/>
  <c r="N2" i="7"/>
  <c r="C27" i="12"/>
  <c r="C37" i="29"/>
  <c r="AS4" i="12"/>
  <c r="AT9" i="29"/>
  <c r="AT8" i="29"/>
  <c r="AT15" i="29" s="1"/>
  <c r="L36" i="29" s="1"/>
  <c r="AT6" i="29"/>
  <c r="AT12" i="29" s="1"/>
  <c r="L33" i="29" s="1"/>
  <c r="AT7" i="29"/>
  <c r="AT14" i="29" s="1"/>
  <c r="L35" i="29" s="1"/>
  <c r="G63" i="7"/>
  <c r="AX6" i="7"/>
  <c r="I6" i="12"/>
  <c r="C36" i="29"/>
  <c r="S6" i="12"/>
  <c r="AI7" i="29"/>
  <c r="AI14" i="29" s="1"/>
  <c r="AH4" i="12"/>
  <c r="AI8" i="29"/>
  <c r="AI15" i="29" s="1"/>
  <c r="AI6" i="29"/>
  <c r="AI12" i="29" s="1"/>
  <c r="AI9" i="29"/>
  <c r="AJ3" i="29"/>
  <c r="AE8" i="29"/>
  <c r="AE15" i="29" s="1"/>
  <c r="AE7" i="29"/>
  <c r="AE14" i="29" s="1"/>
  <c r="AD4" i="12"/>
  <c r="AE9" i="29"/>
  <c r="AF3" i="29"/>
  <c r="AE6" i="29"/>
  <c r="AE12" i="29" s="1"/>
  <c r="AA8" i="29"/>
  <c r="AA15" i="29" s="1"/>
  <c r="AA7" i="29"/>
  <c r="AA14" i="29" s="1"/>
  <c r="Z4" i="12"/>
  <c r="AB3" i="29"/>
  <c r="AA6" i="29"/>
  <c r="AA12" i="29" s="1"/>
  <c r="AA9" i="29"/>
  <c r="W4" i="12"/>
  <c r="X6" i="29"/>
  <c r="X12" i="29" s="1"/>
  <c r="X7" i="29"/>
  <c r="X14" i="29" s="1"/>
  <c r="X9" i="29"/>
  <c r="X8" i="29"/>
  <c r="X15" i="29" s="1"/>
  <c r="Y3" i="29"/>
  <c r="V6" i="12"/>
  <c r="T4" i="12"/>
  <c r="U8" i="29"/>
  <c r="U15" i="29" s="1"/>
  <c r="V3" i="29"/>
  <c r="U6" i="29"/>
  <c r="U12" i="29" s="1"/>
  <c r="U9" i="29"/>
  <c r="U7" i="29"/>
  <c r="U14" i="29" s="1"/>
  <c r="C33" i="12"/>
  <c r="P6" i="12"/>
  <c r="Q4" i="12"/>
  <c r="R9" i="29"/>
  <c r="R8" i="29"/>
  <c r="R15" i="29" s="1"/>
  <c r="E36" i="29" s="1"/>
  <c r="R6" i="29"/>
  <c r="R12" i="29" s="1"/>
  <c r="E33" i="29" s="1"/>
  <c r="R7" i="29"/>
  <c r="R14" i="29" s="1"/>
  <c r="E35" i="29" s="1"/>
  <c r="M6" i="12"/>
  <c r="D27" i="12"/>
  <c r="M10" i="12"/>
  <c r="AX15" i="7"/>
  <c r="AX16" i="7"/>
  <c r="C25" i="12"/>
  <c r="C24" i="8" s="1"/>
  <c r="J22" i="29"/>
  <c r="C41" i="29" s="1"/>
  <c r="P17" i="12"/>
  <c r="P27" i="29"/>
  <c r="N8" i="12"/>
  <c r="O25" i="29" s="1"/>
  <c r="N7" i="12"/>
  <c r="O24" i="29" s="1"/>
  <c r="K5" i="5"/>
  <c r="E16" i="5"/>
  <c r="E20" i="5" s="1"/>
  <c r="C34" i="8" s="1"/>
  <c r="K8" i="12"/>
  <c r="L25" i="29" s="1"/>
  <c r="K7" i="12"/>
  <c r="L24" i="29" s="1"/>
  <c r="H8" i="12"/>
  <c r="I25" i="29" s="1"/>
  <c r="H7" i="12"/>
  <c r="I24" i="29" s="1"/>
  <c r="D12" i="13"/>
  <c r="E19" i="9"/>
  <c r="F53" i="3"/>
  <c r="D23" i="9"/>
  <c r="R23" i="8" s="1"/>
  <c r="R19" i="8"/>
  <c r="D18" i="9"/>
  <c r="R18" i="8" s="1"/>
  <c r="D38" i="9"/>
  <c r="D37" i="9" s="1"/>
  <c r="B12" i="13"/>
  <c r="I24" i="6"/>
  <c r="I51" i="6" s="1"/>
  <c r="I61" i="6" s="1"/>
  <c r="I49" i="6"/>
  <c r="I56" i="6" s="1"/>
  <c r="I58" i="6" s="1"/>
  <c r="J20" i="7"/>
  <c r="K20" i="6"/>
  <c r="J23" i="6"/>
  <c r="C4" i="21"/>
  <c r="E4" i="21" s="1"/>
  <c r="J23" i="4"/>
  <c r="E14" i="11"/>
  <c r="G12" i="11" s="1"/>
  <c r="X2" i="5"/>
  <c r="H26" i="4"/>
  <c r="J2" i="12"/>
  <c r="K22" i="29" s="1"/>
  <c r="H53" i="6"/>
  <c r="U2" i="5"/>
  <c r="T5" i="5"/>
  <c r="R22" i="12" s="1"/>
  <c r="B74" i="6"/>
  <c r="M3" i="7"/>
  <c r="N3" i="6"/>
  <c r="H24" i="7"/>
  <c r="H49" i="7"/>
  <c r="G4" i="15"/>
  <c r="G26" i="15" s="1"/>
  <c r="F4" i="15"/>
  <c r="F26" i="15" s="1"/>
  <c r="AQ9" i="12"/>
  <c r="AR9" i="12" s="1"/>
  <c r="AS9" i="12" s="1"/>
  <c r="L16" i="6"/>
  <c r="M9" i="7"/>
  <c r="N9" i="6"/>
  <c r="M15" i="6"/>
  <c r="M12" i="7"/>
  <c r="N12" i="6"/>
  <c r="L15" i="7"/>
  <c r="G4" i="20"/>
  <c r="G27" i="20" s="1"/>
  <c r="F4" i="20"/>
  <c r="F27" i="20" s="1"/>
  <c r="K3" i="13"/>
  <c r="J22" i="7"/>
  <c r="K22" i="6"/>
  <c r="N4" i="6"/>
  <c r="M4" i="7"/>
  <c r="H51" i="6"/>
  <c r="J31" i="4"/>
  <c r="K26" i="3"/>
  <c r="K12" i="12" s="1"/>
  <c r="L26" i="29" s="1"/>
  <c r="L27" i="3"/>
  <c r="N5" i="6"/>
  <c r="M5" i="7"/>
  <c r="F63" i="7"/>
  <c r="B11" i="11"/>
  <c r="K32" i="12"/>
  <c r="N5" i="5"/>
  <c r="L22" i="12" s="1"/>
  <c r="O2" i="5"/>
  <c r="O5" i="5" s="1"/>
  <c r="M22" i="12" s="1"/>
  <c r="L18" i="9"/>
  <c r="Z18" i="8" s="1"/>
  <c r="L47" i="3"/>
  <c r="BE13" i="7"/>
  <c r="P9" i="8"/>
  <c r="R2" i="5"/>
  <c r="Q5" i="5"/>
  <c r="O22" i="12" s="1"/>
  <c r="K31" i="4"/>
  <c r="L7" i="6"/>
  <c r="N10" i="6"/>
  <c r="M10" i="7"/>
  <c r="H3" i="13"/>
  <c r="AO13" i="7"/>
  <c r="AP13" i="7" s="1"/>
  <c r="AQ13" i="7" s="1"/>
  <c r="AR13" i="7" s="1"/>
  <c r="H38" i="4"/>
  <c r="N38" i="4" s="1"/>
  <c r="H39" i="4"/>
  <c r="N39" i="4" s="1"/>
  <c r="H37" i="4"/>
  <c r="N37" i="4" s="1"/>
  <c r="B8" i="2" s="1"/>
  <c r="N3" i="13"/>
  <c r="J21" i="7"/>
  <c r="K21" i="6"/>
  <c r="M14" i="7"/>
  <c r="N14" i="6"/>
  <c r="F42" i="12"/>
  <c r="D13" i="13"/>
  <c r="D14" i="13"/>
  <c r="G52" i="6"/>
  <c r="G54" i="6" s="1"/>
  <c r="G55" i="6" s="1"/>
  <c r="I23" i="4"/>
  <c r="I31" i="4"/>
  <c r="B2" i="2"/>
  <c r="H66" i="7" l="1"/>
  <c r="H64" i="7"/>
  <c r="I3" i="13"/>
  <c r="C19" i="13" s="1"/>
  <c r="C5" i="14" s="1"/>
  <c r="I22" i="12"/>
  <c r="T10" i="12"/>
  <c r="U16" i="29" s="1"/>
  <c r="AD10" i="12"/>
  <c r="AE16" i="29" s="1"/>
  <c r="AH10" i="12"/>
  <c r="AI16" i="29" s="1"/>
  <c r="W10" i="12"/>
  <c r="X16" i="29" s="1"/>
  <c r="Z10" i="12"/>
  <c r="AA16" i="29" s="1"/>
  <c r="AS10" i="12"/>
  <c r="AT16" i="29" s="1"/>
  <c r="AS13" i="7"/>
  <c r="AT13" i="7" s="1"/>
  <c r="AU13" i="7" s="1"/>
  <c r="I56" i="7"/>
  <c r="I49" i="7"/>
  <c r="N11" i="7"/>
  <c r="O11" i="6"/>
  <c r="AX22" i="6"/>
  <c r="AX20" i="6"/>
  <c r="I33" i="3"/>
  <c r="I34" i="3" s="1"/>
  <c r="H60" i="6"/>
  <c r="M16" i="6"/>
  <c r="G54" i="7"/>
  <c r="G55" i="7" s="1"/>
  <c r="AW55" i="7" s="1"/>
  <c r="I35" i="3"/>
  <c r="I15" i="12" s="1"/>
  <c r="C38" i="12" s="1"/>
  <c r="C48" i="12" s="1"/>
  <c r="L37" i="29"/>
  <c r="H61" i="6"/>
  <c r="AX21" i="6"/>
  <c r="L27" i="12"/>
  <c r="P2" i="6"/>
  <c r="O2" i="7"/>
  <c r="AY2" i="7" s="1"/>
  <c r="AS6" i="12"/>
  <c r="AH6" i="12"/>
  <c r="AI4" i="12"/>
  <c r="AJ8" i="29"/>
  <c r="AJ15" i="29" s="1"/>
  <c r="AJ7" i="29"/>
  <c r="AJ14" i="29" s="1"/>
  <c r="AK3" i="29"/>
  <c r="AJ9" i="29"/>
  <c r="AJ6" i="29"/>
  <c r="AJ12" i="29" s="1"/>
  <c r="AE4" i="12"/>
  <c r="AG3" i="29"/>
  <c r="AF6" i="29"/>
  <c r="AF12" i="29" s="1"/>
  <c r="AF7" i="29"/>
  <c r="AF14" i="29" s="1"/>
  <c r="AF8" i="29"/>
  <c r="AF15" i="29" s="1"/>
  <c r="AF9" i="29"/>
  <c r="AD6" i="12"/>
  <c r="AA4" i="12"/>
  <c r="AB8" i="29"/>
  <c r="AB15" i="29" s="1"/>
  <c r="AB6" i="29"/>
  <c r="AB12" i="29" s="1"/>
  <c r="AB7" i="29"/>
  <c r="AB14" i="29" s="1"/>
  <c r="AC3" i="29"/>
  <c r="AB9" i="29"/>
  <c r="Z6" i="12"/>
  <c r="X4" i="12"/>
  <c r="Y8" i="29"/>
  <c r="Y15" i="29" s="1"/>
  <c r="Y9" i="29"/>
  <c r="Y7" i="29"/>
  <c r="Y14" i="29" s="1"/>
  <c r="Y6" i="29"/>
  <c r="Y12" i="29" s="1"/>
  <c r="Z3" i="29"/>
  <c r="W6" i="12"/>
  <c r="T6" i="12"/>
  <c r="U4" i="12"/>
  <c r="V8" i="29"/>
  <c r="V15" i="29" s="1"/>
  <c r="F36" i="29" s="1"/>
  <c r="V7" i="29"/>
  <c r="V14" i="29" s="1"/>
  <c r="F35" i="29" s="1"/>
  <c r="V6" i="29"/>
  <c r="V12" i="29" s="1"/>
  <c r="F33" i="29" s="1"/>
  <c r="V9" i="29"/>
  <c r="Q10" i="12"/>
  <c r="E27" i="12"/>
  <c r="Q6" i="12"/>
  <c r="N16" i="29"/>
  <c r="D37" i="29" s="1"/>
  <c r="D33" i="12"/>
  <c r="Q17" i="12"/>
  <c r="E40" i="12" s="1"/>
  <c r="Q27" i="29"/>
  <c r="K6" i="5"/>
  <c r="O8" i="12"/>
  <c r="P25" i="29" s="1"/>
  <c r="O7" i="12"/>
  <c r="P24" i="29" s="1"/>
  <c r="L8" i="12"/>
  <c r="M25" i="29" s="1"/>
  <c r="L7" i="12"/>
  <c r="M24" i="29" s="1"/>
  <c r="D29" i="12"/>
  <c r="I8" i="12"/>
  <c r="I7" i="12"/>
  <c r="C29" i="12"/>
  <c r="F16" i="5"/>
  <c r="F20" i="5" s="1"/>
  <c r="D34" i="8" s="1"/>
  <c r="R8" i="12"/>
  <c r="S25" i="29" s="1"/>
  <c r="R7" i="12"/>
  <c r="S24" i="29" s="1"/>
  <c r="M8" i="12"/>
  <c r="N25" i="29" s="1"/>
  <c r="M7" i="12"/>
  <c r="N24" i="29" s="1"/>
  <c r="M6" i="7"/>
  <c r="M7" i="7" s="1"/>
  <c r="F19" i="9"/>
  <c r="G53" i="3"/>
  <c r="E38" i="9"/>
  <c r="E37" i="9" s="1"/>
  <c r="E23" i="9"/>
  <c r="S23" i="8" s="1"/>
  <c r="E18" i="9"/>
  <c r="S18" i="8" s="1"/>
  <c r="S19" i="8"/>
  <c r="K38" i="4"/>
  <c r="K39" i="4"/>
  <c r="K37" i="4"/>
  <c r="O3" i="13"/>
  <c r="L3" i="13"/>
  <c r="L26" i="3"/>
  <c r="L12" i="12" s="1"/>
  <c r="M26" i="29" s="1"/>
  <c r="M27" i="3"/>
  <c r="J39" i="4"/>
  <c r="J38" i="4"/>
  <c r="J37" i="4"/>
  <c r="N12" i="7"/>
  <c r="O12" i="6"/>
  <c r="P12" i="6" s="1"/>
  <c r="M15" i="7"/>
  <c r="M16" i="7" s="1"/>
  <c r="N3" i="7"/>
  <c r="O3" i="6"/>
  <c r="P3" i="6" s="1"/>
  <c r="R3" i="13"/>
  <c r="H52" i="6"/>
  <c r="K2" i="12"/>
  <c r="L22" i="29" s="1"/>
  <c r="N6" i="6"/>
  <c r="E15" i="11"/>
  <c r="L13" i="11" s="1"/>
  <c r="J23" i="7"/>
  <c r="D15" i="13"/>
  <c r="K21" i="7"/>
  <c r="AX21" i="7" s="1"/>
  <c r="L21" i="6"/>
  <c r="BF13" i="7"/>
  <c r="R5" i="5"/>
  <c r="P22" i="12" s="1"/>
  <c r="S2" i="5"/>
  <c r="S5" i="5" s="1"/>
  <c r="Q22" i="12" s="1"/>
  <c r="B26" i="12"/>
  <c r="E18" i="12"/>
  <c r="N4" i="7"/>
  <c r="O4" i="6"/>
  <c r="P4" i="6" s="1"/>
  <c r="L32" i="12"/>
  <c r="H65" i="7"/>
  <c r="H53" i="7"/>
  <c r="V2" i="5"/>
  <c r="U5" i="5"/>
  <c r="S22" i="12" s="1"/>
  <c r="C4" i="22"/>
  <c r="E4" i="22" s="1"/>
  <c r="I52" i="6"/>
  <c r="I53" i="6"/>
  <c r="I60" i="6" s="1"/>
  <c r="I65" i="6"/>
  <c r="I64" i="6"/>
  <c r="I63" i="6"/>
  <c r="I26" i="4"/>
  <c r="AB2" i="5"/>
  <c r="N10" i="7"/>
  <c r="O10" i="6"/>
  <c r="P10" i="6" s="1"/>
  <c r="O6" i="5"/>
  <c r="C11" i="11"/>
  <c r="N5" i="7"/>
  <c r="O5" i="6"/>
  <c r="P5" i="6" s="1"/>
  <c r="K22" i="7"/>
  <c r="AX22" i="7" s="1"/>
  <c r="L22" i="6"/>
  <c r="G42" i="12"/>
  <c r="G4" i="21"/>
  <c r="G27" i="21" s="1"/>
  <c r="F4" i="21"/>
  <c r="F27" i="21" s="1"/>
  <c r="J24" i="6"/>
  <c r="J49" i="6"/>
  <c r="J56" i="6" s="1"/>
  <c r="J58" i="6" s="1"/>
  <c r="I39" i="4"/>
  <c r="I38" i="4"/>
  <c r="I37" i="4"/>
  <c r="N14" i="7"/>
  <c r="O14" i="6"/>
  <c r="P14" i="6" s="1"/>
  <c r="C7" i="9"/>
  <c r="C6" i="9"/>
  <c r="M3" i="13"/>
  <c r="AF2" i="5"/>
  <c r="J26" i="4"/>
  <c r="L16" i="7"/>
  <c r="N9" i="7"/>
  <c r="N15" i="6"/>
  <c r="O9" i="6"/>
  <c r="P9" i="6" s="1"/>
  <c r="H51" i="7"/>
  <c r="D78" i="6"/>
  <c r="X5" i="5"/>
  <c r="V22" i="12" s="1"/>
  <c r="Y2" i="5"/>
  <c r="I65" i="7"/>
  <c r="K20" i="7"/>
  <c r="L20" i="6"/>
  <c r="K23" i="6"/>
  <c r="AX23" i="6" s="1"/>
  <c r="I64" i="7" l="1"/>
  <c r="I66" i="7"/>
  <c r="I52" i="7"/>
  <c r="X10" i="12"/>
  <c r="Y16" i="29" s="1"/>
  <c r="AI10" i="12"/>
  <c r="AJ16" i="29" s="1"/>
  <c r="AE10" i="12"/>
  <c r="AF16" i="29" s="1"/>
  <c r="U10" i="12"/>
  <c r="AA10" i="12"/>
  <c r="AB16" i="29" s="1"/>
  <c r="BG13" i="7"/>
  <c r="J36" i="3"/>
  <c r="J33" i="3"/>
  <c r="J34" i="3" s="1"/>
  <c r="K36" i="3" s="1"/>
  <c r="C39" i="3"/>
  <c r="C7" i="8" s="1"/>
  <c r="Q7" i="8" s="1"/>
  <c r="D19" i="13"/>
  <c r="I53" i="7"/>
  <c r="I61" i="7" s="1"/>
  <c r="AW54" i="7"/>
  <c r="AY11" i="6"/>
  <c r="O11" i="7"/>
  <c r="AY11" i="7" s="1"/>
  <c r="D86" i="6"/>
  <c r="P11" i="6"/>
  <c r="I58" i="7"/>
  <c r="J56" i="7"/>
  <c r="J58" i="7"/>
  <c r="AY12" i="6"/>
  <c r="H54" i="6"/>
  <c r="AY14" i="6"/>
  <c r="P2" i="7"/>
  <c r="AY3" i="6"/>
  <c r="AY5" i="6"/>
  <c r="AY4" i="6"/>
  <c r="AY10" i="6"/>
  <c r="J35" i="3"/>
  <c r="J15" i="12" s="1"/>
  <c r="AY9" i="6"/>
  <c r="O6" i="6"/>
  <c r="AY6" i="6" s="1"/>
  <c r="D43" i="29"/>
  <c r="D44" i="29"/>
  <c r="X6" i="12"/>
  <c r="AE6" i="12"/>
  <c r="AJ4" i="12"/>
  <c r="AK9" i="29"/>
  <c r="AL3" i="29"/>
  <c r="AK8" i="29"/>
  <c r="AK15" i="29" s="1"/>
  <c r="AK6" i="29"/>
  <c r="AK12" i="29" s="1"/>
  <c r="AK7" i="29"/>
  <c r="AK14" i="29" s="1"/>
  <c r="AI6" i="12"/>
  <c r="AF4" i="12"/>
  <c r="AG7" i="29"/>
  <c r="AG14" i="29" s="1"/>
  <c r="AG9" i="29"/>
  <c r="AG6" i="29"/>
  <c r="AG12" i="29" s="1"/>
  <c r="AG8" i="29"/>
  <c r="AG15" i="29" s="1"/>
  <c r="AH3" i="29"/>
  <c r="AA6" i="12"/>
  <c r="AB4" i="12"/>
  <c r="AC7" i="29"/>
  <c r="AC14" i="29" s="1"/>
  <c r="AC9" i="29"/>
  <c r="AC6" i="29"/>
  <c r="AC12" i="29" s="1"/>
  <c r="AC8" i="29"/>
  <c r="AC15" i="29" s="1"/>
  <c r="AD3" i="29"/>
  <c r="Y4" i="12"/>
  <c r="Z8" i="29"/>
  <c r="Z15" i="29" s="1"/>
  <c r="G36" i="29" s="1"/>
  <c r="Z7" i="29"/>
  <c r="Z14" i="29" s="1"/>
  <c r="G35" i="29" s="1"/>
  <c r="Z9" i="29"/>
  <c r="Z6" i="29"/>
  <c r="Z12" i="29" s="1"/>
  <c r="G33" i="29" s="1"/>
  <c r="U6" i="12"/>
  <c r="F27" i="12"/>
  <c r="R16" i="29"/>
  <c r="E37" i="29" s="1"/>
  <c r="E33" i="12"/>
  <c r="N6" i="7"/>
  <c r="N7" i="7" s="1"/>
  <c r="I54" i="6"/>
  <c r="R17" i="12"/>
  <c r="R27" i="29"/>
  <c r="E46" i="29" s="1"/>
  <c r="C30" i="12"/>
  <c r="J24" i="29"/>
  <c r="C31" i="12"/>
  <c r="C33" i="8" s="1"/>
  <c r="C35" i="8" s="1"/>
  <c r="J25" i="29"/>
  <c r="V8" i="12"/>
  <c r="W25" i="29" s="1"/>
  <c r="V7" i="12"/>
  <c r="W24" i="29" s="1"/>
  <c r="S7" i="12"/>
  <c r="T24" i="29" s="1"/>
  <c r="S8" i="12"/>
  <c r="T25" i="29" s="1"/>
  <c r="P8" i="12"/>
  <c r="Q25" i="29" s="1"/>
  <c r="P7" i="12"/>
  <c r="Q24" i="29" s="1"/>
  <c r="Q8" i="12"/>
  <c r="R25" i="29" s="1"/>
  <c r="Q7" i="12"/>
  <c r="E29" i="12"/>
  <c r="G16" i="5"/>
  <c r="G20" i="5" s="1"/>
  <c r="E34" i="8" s="1"/>
  <c r="D5" i="14"/>
  <c r="H53" i="3"/>
  <c r="G19" i="9"/>
  <c r="T19" i="8"/>
  <c r="F18" i="9"/>
  <c r="F38" i="9"/>
  <c r="F37" i="9" s="1"/>
  <c r="F23" i="9"/>
  <c r="T23" i="8" s="1"/>
  <c r="H62" i="7"/>
  <c r="N15" i="7"/>
  <c r="O14" i="7"/>
  <c r="AY14" i="7" s="1"/>
  <c r="D89" i="6"/>
  <c r="J65" i="6"/>
  <c r="J64" i="6"/>
  <c r="J63" i="6"/>
  <c r="J53" i="6"/>
  <c r="C8" i="9"/>
  <c r="V5" i="5"/>
  <c r="T22" i="12" s="1"/>
  <c r="W2" i="5"/>
  <c r="W5" i="5" s="1"/>
  <c r="U22" i="12" s="1"/>
  <c r="L21" i="7"/>
  <c r="M21" i="6"/>
  <c r="C6" i="8"/>
  <c r="Q6" i="8" s="1"/>
  <c r="J51" i="6"/>
  <c r="D11" i="11"/>
  <c r="AC2" i="5"/>
  <c r="AB5" i="5"/>
  <c r="Z22" i="12" s="1"/>
  <c r="H52" i="7"/>
  <c r="D80" i="6"/>
  <c r="O4" i="7"/>
  <c r="AY4" i="7" s="1"/>
  <c r="Q3" i="13"/>
  <c r="N7" i="6"/>
  <c r="D30" i="12"/>
  <c r="C34" i="9"/>
  <c r="C33" i="9" s="1"/>
  <c r="L20" i="7"/>
  <c r="M20" i="6"/>
  <c r="L23" i="6"/>
  <c r="Q2" i="6"/>
  <c r="Q2" i="7" s="1"/>
  <c r="D84" i="6"/>
  <c r="O9" i="7"/>
  <c r="O15" i="6"/>
  <c r="O16" i="6" s="1"/>
  <c r="M22" i="6"/>
  <c r="L22" i="7"/>
  <c r="O5" i="7"/>
  <c r="AY5" i="7" s="1"/>
  <c r="D81" i="6"/>
  <c r="H42" i="12"/>
  <c r="C4" i="23"/>
  <c r="E4" i="23" s="1"/>
  <c r="K23" i="4"/>
  <c r="E4" i="13"/>
  <c r="B41" i="12"/>
  <c r="E19" i="12"/>
  <c r="P3" i="13"/>
  <c r="S6" i="5"/>
  <c r="J24" i="7"/>
  <c r="J49" i="7"/>
  <c r="E16" i="11"/>
  <c r="D79" i="6"/>
  <c r="O3" i="7"/>
  <c r="D31" i="12"/>
  <c r="D33" i="8" s="1"/>
  <c r="D35" i="8" s="1"/>
  <c r="K24" i="6"/>
  <c r="K49" i="6"/>
  <c r="I63" i="7"/>
  <c r="Z2" i="5"/>
  <c r="Y5" i="5"/>
  <c r="W22" i="12" s="1"/>
  <c r="I42" i="12"/>
  <c r="K23" i="7"/>
  <c r="AX20" i="7"/>
  <c r="V3" i="13"/>
  <c r="N16" i="6"/>
  <c r="AG2" i="5"/>
  <c r="AF5" i="5"/>
  <c r="AD22" i="12" s="1"/>
  <c r="O10" i="7"/>
  <c r="AY10" i="7" s="1"/>
  <c r="D85" i="6"/>
  <c r="F4" i="22"/>
  <c r="F27" i="22" s="1"/>
  <c r="G4" i="22"/>
  <c r="G27" i="22" s="1"/>
  <c r="S3" i="13"/>
  <c r="H61" i="7"/>
  <c r="H63" i="7"/>
  <c r="L2" i="12"/>
  <c r="M22" i="29" s="1"/>
  <c r="D87" i="6"/>
  <c r="O12" i="7"/>
  <c r="AY12" i="7" s="1"/>
  <c r="N27" i="3"/>
  <c r="M26" i="3"/>
  <c r="M12" i="12" s="1"/>
  <c r="K56" i="6" l="1"/>
  <c r="K58" i="6" s="1"/>
  <c r="J64" i="7"/>
  <c r="J66" i="7"/>
  <c r="I54" i="7"/>
  <c r="G3" i="12" s="1"/>
  <c r="AF10" i="12"/>
  <c r="AG16" i="29" s="1"/>
  <c r="AB10" i="12"/>
  <c r="AC16" i="29" s="1"/>
  <c r="V16" i="29"/>
  <c r="F37" i="29" s="1"/>
  <c r="F33" i="12"/>
  <c r="AJ10" i="12"/>
  <c r="AK16" i="29" s="1"/>
  <c r="E19" i="13"/>
  <c r="AY15" i="6"/>
  <c r="AY16" i="6"/>
  <c r="O7" i="6"/>
  <c r="AY7" i="6" s="1"/>
  <c r="K58" i="7"/>
  <c r="AX58" i="7" s="1"/>
  <c r="C10" i="8" s="1"/>
  <c r="P11" i="7"/>
  <c r="Q11" i="6"/>
  <c r="AX49" i="6"/>
  <c r="J61" i="6"/>
  <c r="K51" i="6"/>
  <c r="K52" i="6" s="1"/>
  <c r="J60" i="6"/>
  <c r="K33" i="3"/>
  <c r="K34" i="3" s="1"/>
  <c r="L33" i="3" s="1"/>
  <c r="K35" i="3"/>
  <c r="K15" i="12" s="1"/>
  <c r="AX24" i="6"/>
  <c r="D82" i="6"/>
  <c r="AJ6" i="12"/>
  <c r="AK4" i="12"/>
  <c r="AL8" i="29"/>
  <c r="AL15" i="29" s="1"/>
  <c r="J36" i="29" s="1"/>
  <c r="AL9" i="29"/>
  <c r="AL6" i="29"/>
  <c r="AL12" i="29" s="1"/>
  <c r="J33" i="29" s="1"/>
  <c r="AL7" i="29"/>
  <c r="AL14" i="29" s="1"/>
  <c r="J35" i="29" s="1"/>
  <c r="AF6" i="12"/>
  <c r="AG4" i="12"/>
  <c r="AH7" i="29"/>
  <c r="AH14" i="29" s="1"/>
  <c r="I35" i="29" s="1"/>
  <c r="AH9" i="29"/>
  <c r="AH8" i="29"/>
  <c r="AH15" i="29" s="1"/>
  <c r="AH6" i="29"/>
  <c r="AH12" i="29" s="1"/>
  <c r="I33" i="29" s="1"/>
  <c r="AB6" i="12"/>
  <c r="AC4" i="12"/>
  <c r="AD6" i="29"/>
  <c r="AD12" i="29" s="1"/>
  <c r="H33" i="29" s="1"/>
  <c r="AD9" i="29"/>
  <c r="AD8" i="29"/>
  <c r="AD15" i="29" s="1"/>
  <c r="H36" i="29" s="1"/>
  <c r="AD7" i="29"/>
  <c r="AD14" i="29" s="1"/>
  <c r="H35" i="29" s="1"/>
  <c r="Y6" i="12"/>
  <c r="Y10" i="12"/>
  <c r="G27" i="12"/>
  <c r="C44" i="29"/>
  <c r="C43" i="29"/>
  <c r="E44" i="29"/>
  <c r="G5" i="12"/>
  <c r="H23" i="29"/>
  <c r="H28" i="29" s="1"/>
  <c r="S17" i="12"/>
  <c r="S27" i="29"/>
  <c r="D35" i="12"/>
  <c r="N26" i="29"/>
  <c r="D45" i="29" s="1"/>
  <c r="E30" i="12"/>
  <c r="R24" i="29"/>
  <c r="E43" i="29" s="1"/>
  <c r="W6" i="5"/>
  <c r="H16" i="5"/>
  <c r="H20" i="5" s="1"/>
  <c r="F34" i="8" s="1"/>
  <c r="E5" i="14"/>
  <c r="Z8" i="12"/>
  <c r="AA25" i="29" s="1"/>
  <c r="Z7" i="12"/>
  <c r="AA24" i="29" s="1"/>
  <c r="U8" i="12"/>
  <c r="V25" i="29" s="1"/>
  <c r="U7" i="12"/>
  <c r="V24" i="29" s="1"/>
  <c r="AD8" i="12"/>
  <c r="AE25" i="29" s="1"/>
  <c r="AD7" i="12"/>
  <c r="AE24" i="29" s="1"/>
  <c r="W8" i="12"/>
  <c r="X25" i="29" s="1"/>
  <c r="W7" i="12"/>
  <c r="X24" i="29" s="1"/>
  <c r="T8" i="12"/>
  <c r="T7" i="12"/>
  <c r="U24" i="29" s="1"/>
  <c r="O6" i="7"/>
  <c r="AY6" i="7" s="1"/>
  <c r="AY3" i="7"/>
  <c r="P6" i="6"/>
  <c r="E31" i="12"/>
  <c r="E33" i="8" s="1"/>
  <c r="E35" i="8" s="1"/>
  <c r="T18" i="8"/>
  <c r="G18" i="9"/>
  <c r="U18" i="8" s="1"/>
  <c r="U19" i="8"/>
  <c r="G38" i="9"/>
  <c r="G37" i="9" s="1"/>
  <c r="G23" i="9"/>
  <c r="U23" i="8" s="1"/>
  <c r="H19" i="9"/>
  <c r="I53" i="3"/>
  <c r="O27" i="3"/>
  <c r="N26" i="3"/>
  <c r="N12" i="12" s="1"/>
  <c r="O26" i="29" s="1"/>
  <c r="AH2" i="5"/>
  <c r="AG5" i="5"/>
  <c r="AE22" i="12" s="1"/>
  <c r="K24" i="7"/>
  <c r="K51" i="7" s="1"/>
  <c r="K62" i="7" s="1"/>
  <c r="K49" i="7"/>
  <c r="Z5" i="5"/>
  <c r="X22" i="12" s="1"/>
  <c r="AA2" i="5"/>
  <c r="AA5" i="5" s="1"/>
  <c r="Y22" i="12" s="1"/>
  <c r="K65" i="6"/>
  <c r="C73" i="6" s="1"/>
  <c r="C45" i="9" s="1"/>
  <c r="K64" i="6"/>
  <c r="C72" i="6" s="1"/>
  <c r="C44" i="9" s="1"/>
  <c r="K63" i="6"/>
  <c r="C71" i="6" s="1"/>
  <c r="C43" i="9" s="1"/>
  <c r="K53" i="6"/>
  <c r="AX53" i="6" s="1"/>
  <c r="C15" i="9" s="1"/>
  <c r="C46" i="9" s="1"/>
  <c r="E6" i="13"/>
  <c r="B20" i="13"/>
  <c r="B6" i="14" s="1"/>
  <c r="P5" i="7"/>
  <c r="Q5" i="6"/>
  <c r="AD2" i="5"/>
  <c r="AC5" i="5"/>
  <c r="AA22" i="12" s="1"/>
  <c r="C9" i="9"/>
  <c r="Q8" i="8"/>
  <c r="K50" i="6"/>
  <c r="P10" i="7"/>
  <c r="Q10" i="6"/>
  <c r="P3" i="7"/>
  <c r="Q3" i="6"/>
  <c r="AX23" i="7"/>
  <c r="AJ2" i="5"/>
  <c r="K26" i="4"/>
  <c r="M22" i="7"/>
  <c r="N22" i="6"/>
  <c r="O15" i="7"/>
  <c r="O16" i="7" s="1"/>
  <c r="L23" i="7"/>
  <c r="AY9" i="7"/>
  <c r="P14" i="7"/>
  <c r="Q14" i="6"/>
  <c r="E17" i="11"/>
  <c r="J65" i="7"/>
  <c r="J53" i="7"/>
  <c r="C4" i="24"/>
  <c r="E4" i="24" s="1"/>
  <c r="L23" i="4"/>
  <c r="B4" i="2"/>
  <c r="D90" i="6"/>
  <c r="L24" i="6"/>
  <c r="L49" i="6"/>
  <c r="L56" i="6" s="1"/>
  <c r="L58" i="6" s="1"/>
  <c r="P4" i="7"/>
  <c r="Q4" i="6"/>
  <c r="Z3" i="13"/>
  <c r="U3" i="13"/>
  <c r="J52" i="6"/>
  <c r="N16" i="7"/>
  <c r="P12" i="7"/>
  <c r="Q12" i="6"/>
  <c r="M2" i="12"/>
  <c r="AD3" i="13"/>
  <c r="W3" i="13"/>
  <c r="J51" i="7"/>
  <c r="J52" i="7" s="1"/>
  <c r="F4" i="23"/>
  <c r="F27" i="23" s="1"/>
  <c r="G4" i="23"/>
  <c r="G27" i="23" s="1"/>
  <c r="P9" i="7"/>
  <c r="Q9" i="6"/>
  <c r="P15" i="6"/>
  <c r="R2" i="6"/>
  <c r="R2" i="7" s="1"/>
  <c r="M20" i="7"/>
  <c r="N20" i="6"/>
  <c r="M23" i="6"/>
  <c r="H54" i="7"/>
  <c r="H9" i="11"/>
  <c r="B12" i="11"/>
  <c r="M21" i="7"/>
  <c r="N21" i="6"/>
  <c r="F29" i="12"/>
  <c r="T3" i="13"/>
  <c r="F19" i="13" s="1"/>
  <c r="P7" i="6" l="1"/>
  <c r="K50" i="7"/>
  <c r="AX50" i="7" s="1"/>
  <c r="K64" i="7"/>
  <c r="K66" i="7"/>
  <c r="K56" i="7"/>
  <c r="AX56" i="7" s="1"/>
  <c r="AX56" i="6"/>
  <c r="H13" i="29"/>
  <c r="H17" i="29" s="1"/>
  <c r="H19" i="29" s="1"/>
  <c r="G21" i="12"/>
  <c r="G14" i="12" s="1"/>
  <c r="AG6" i="12"/>
  <c r="D91" i="6"/>
  <c r="AX58" i="6"/>
  <c r="C10" i="9" s="1"/>
  <c r="C11" i="9" s="1"/>
  <c r="R11" i="6"/>
  <c r="Q11" i="7"/>
  <c r="Q10" i="8"/>
  <c r="C39" i="9"/>
  <c r="C12" i="8"/>
  <c r="C22" i="8" s="1"/>
  <c r="C11" i="8"/>
  <c r="C21" i="8" s="1"/>
  <c r="L56" i="7"/>
  <c r="J54" i="6"/>
  <c r="AX52" i="6"/>
  <c r="AX24" i="7"/>
  <c r="K60" i="6"/>
  <c r="C68" i="6" s="1"/>
  <c r="K61" i="6"/>
  <c r="C69" i="6" s="1"/>
  <c r="C14" i="9" s="1"/>
  <c r="AX51" i="6"/>
  <c r="AX50" i="6"/>
  <c r="P6" i="7"/>
  <c r="P7" i="7" s="1"/>
  <c r="AY15" i="7"/>
  <c r="L36" i="3"/>
  <c r="L35" i="3"/>
  <c r="L15" i="12" s="1"/>
  <c r="Q6" i="6"/>
  <c r="Q7" i="6" s="1"/>
  <c r="I36" i="29"/>
  <c r="F43" i="29"/>
  <c r="AK6" i="12"/>
  <c r="AK10" i="12"/>
  <c r="AL16" i="29" s="1"/>
  <c r="J37" i="29" s="1"/>
  <c r="J27" i="12"/>
  <c r="AG10" i="12"/>
  <c r="AH16" i="29" s="1"/>
  <c r="I37" i="29" s="1"/>
  <c r="I27" i="12"/>
  <c r="AC10" i="12"/>
  <c r="H27" i="12"/>
  <c r="AC6" i="12"/>
  <c r="Z16" i="29"/>
  <c r="G37" i="29" s="1"/>
  <c r="G33" i="12"/>
  <c r="L34" i="3"/>
  <c r="M36" i="3" s="1"/>
  <c r="O7" i="7"/>
  <c r="AY7" i="7" s="1"/>
  <c r="G18" i="12"/>
  <c r="G4" i="13" s="1"/>
  <c r="G6" i="13" s="1"/>
  <c r="AX49" i="7"/>
  <c r="D25" i="12"/>
  <c r="D24" i="8" s="1"/>
  <c r="N22" i="29"/>
  <c r="D41" i="29" s="1"/>
  <c r="T17" i="12"/>
  <c r="T27" i="29"/>
  <c r="F31" i="12"/>
  <c r="F33" i="8" s="1"/>
  <c r="F35" i="8" s="1"/>
  <c r="U25" i="29"/>
  <c r="F44" i="29" s="1"/>
  <c r="F5" i="14"/>
  <c r="Y8" i="12"/>
  <c r="Z25" i="29" s="1"/>
  <c r="Y7" i="12"/>
  <c r="Z24" i="29" s="1"/>
  <c r="I16" i="5"/>
  <c r="I20" i="5" s="1"/>
  <c r="G34" i="8" s="1"/>
  <c r="X8" i="12"/>
  <c r="Y25" i="29" s="1"/>
  <c r="X7" i="12"/>
  <c r="Y24" i="29" s="1"/>
  <c r="AA8" i="12"/>
  <c r="AB25" i="29" s="1"/>
  <c r="AA7" i="12"/>
  <c r="AB24" i="29" s="1"/>
  <c r="AE8" i="12"/>
  <c r="AF25" i="29" s="1"/>
  <c r="AE7" i="12"/>
  <c r="AF24" i="29" s="1"/>
  <c r="AY16" i="7"/>
  <c r="F30" i="12"/>
  <c r="AA18" i="8"/>
  <c r="I19" i="9"/>
  <c r="J53" i="3"/>
  <c r="H38" i="9"/>
  <c r="H37" i="9" s="1"/>
  <c r="H23" i="9"/>
  <c r="V23" i="8" s="1"/>
  <c r="V19" i="8"/>
  <c r="Q18" i="9"/>
  <c r="J54" i="7"/>
  <c r="H3" i="12" s="1"/>
  <c r="C12" i="11"/>
  <c r="Q9" i="7"/>
  <c r="R9" i="6"/>
  <c r="Q15" i="6"/>
  <c r="Q16" i="6" s="1"/>
  <c r="AN2" i="5"/>
  <c r="M26" i="4"/>
  <c r="L26" i="4"/>
  <c r="AD5" i="5"/>
  <c r="AB22" i="12" s="1"/>
  <c r="AE2" i="5"/>
  <c r="J16" i="5" s="1"/>
  <c r="B22" i="13"/>
  <c r="X3" i="13"/>
  <c r="AA6" i="5"/>
  <c r="M24" i="6"/>
  <c r="M49" i="6"/>
  <c r="M56" i="6" s="1"/>
  <c r="M58" i="6" s="1"/>
  <c r="F3" i="12"/>
  <c r="O20" i="6"/>
  <c r="AY20" i="6" s="1"/>
  <c r="N23" i="6"/>
  <c r="N20" i="7"/>
  <c r="P15" i="7"/>
  <c r="Q4" i="7"/>
  <c r="R4" i="6"/>
  <c r="E18" i="11"/>
  <c r="G15" i="11"/>
  <c r="J42" i="12"/>
  <c r="Q10" i="7"/>
  <c r="R10" i="6"/>
  <c r="K54" i="6"/>
  <c r="AE3" i="13"/>
  <c r="O26" i="3"/>
  <c r="O12" i="12" s="1"/>
  <c r="P26" i="29" s="1"/>
  <c r="P27" i="3"/>
  <c r="Q12" i="7"/>
  <c r="R12" i="6"/>
  <c r="L65" i="6"/>
  <c r="L64" i="6"/>
  <c r="L63" i="6"/>
  <c r="L53" i="6"/>
  <c r="F4" i="24"/>
  <c r="F27" i="24" s="1"/>
  <c r="G4" i="24"/>
  <c r="G27" i="24" s="1"/>
  <c r="J61" i="7"/>
  <c r="Q14" i="7"/>
  <c r="R14" i="6"/>
  <c r="L24" i="7"/>
  <c r="L49" i="7"/>
  <c r="AK2" i="5"/>
  <c r="AJ5" i="5"/>
  <c r="AH22" i="12" s="1"/>
  <c r="Q3" i="7"/>
  <c r="R3" i="6"/>
  <c r="K65" i="7"/>
  <c r="C73" i="7" s="1"/>
  <c r="K53" i="7"/>
  <c r="K61" i="7" s="1"/>
  <c r="K52" i="7"/>
  <c r="C74" i="7"/>
  <c r="AH5" i="5"/>
  <c r="AF22" i="12" s="1"/>
  <c r="AI2" i="5"/>
  <c r="AI5" i="5" s="1"/>
  <c r="AG22" i="12" s="1"/>
  <c r="M23" i="7"/>
  <c r="N21" i="7"/>
  <c r="O21" i="6"/>
  <c r="AY21" i="6" s="1"/>
  <c r="S2" i="6"/>
  <c r="AZ2" i="6" s="1"/>
  <c r="P16" i="6"/>
  <c r="J62" i="7"/>
  <c r="C70" i="7" s="1"/>
  <c r="AX51" i="7"/>
  <c r="C14" i="8" s="1"/>
  <c r="N2" i="12"/>
  <c r="O22" i="29" s="1"/>
  <c r="L51" i="6"/>
  <c r="J63" i="7"/>
  <c r="N22" i="7"/>
  <c r="O22" i="6"/>
  <c r="AY22" i="6" s="1"/>
  <c r="Q9" i="8"/>
  <c r="AA3" i="13"/>
  <c r="Q5" i="7"/>
  <c r="R5" i="6"/>
  <c r="Y3" i="13"/>
  <c r="AZ12" i="6" l="1"/>
  <c r="AZ14" i="6"/>
  <c r="L66" i="7"/>
  <c r="L64" i="7"/>
  <c r="H29" i="29"/>
  <c r="C12" i="9"/>
  <c r="C22" i="9" s="1"/>
  <c r="Q22" i="8" s="1"/>
  <c r="M35" i="3"/>
  <c r="M33" i="3"/>
  <c r="M34" i="3" s="1"/>
  <c r="G44" i="29"/>
  <c r="G19" i="13"/>
  <c r="D40" i="3"/>
  <c r="D6" i="9" s="1"/>
  <c r="C74" i="6"/>
  <c r="C43" i="12"/>
  <c r="C40" i="9"/>
  <c r="Q11" i="8"/>
  <c r="L58" i="7"/>
  <c r="M58" i="7"/>
  <c r="M56" i="7"/>
  <c r="R11" i="7"/>
  <c r="S11" i="6"/>
  <c r="AZ11" i="6" s="1"/>
  <c r="AX54" i="6"/>
  <c r="L61" i="6"/>
  <c r="M51" i="6"/>
  <c r="M61" i="6" s="1"/>
  <c r="K55" i="6"/>
  <c r="L60" i="6"/>
  <c r="G43" i="29"/>
  <c r="S2" i="7"/>
  <c r="AZ2" i="7" s="1"/>
  <c r="T2" i="6"/>
  <c r="I33" i="12"/>
  <c r="AD16" i="29"/>
  <c r="H37" i="29" s="1"/>
  <c r="H33" i="12"/>
  <c r="H5" i="12"/>
  <c r="I23" i="29"/>
  <c r="I28" i="29" s="1"/>
  <c r="K63" i="7"/>
  <c r="G23" i="29"/>
  <c r="F5" i="12"/>
  <c r="U17" i="12"/>
  <c r="F40" i="12" s="1"/>
  <c r="U27" i="29"/>
  <c r="AH8" i="12"/>
  <c r="AI25" i="29" s="1"/>
  <c r="AH7" i="12"/>
  <c r="AI24" i="29" s="1"/>
  <c r="AG8" i="12"/>
  <c r="AH25" i="29" s="1"/>
  <c r="AG7" i="12"/>
  <c r="AH24" i="29" s="1"/>
  <c r="AB8" i="12"/>
  <c r="AC25" i="29" s="1"/>
  <c r="AB7" i="12"/>
  <c r="AC24" i="29" s="1"/>
  <c r="K16" i="5"/>
  <c r="K20" i="5" s="1"/>
  <c r="I34" i="8" s="1"/>
  <c r="AF8" i="12"/>
  <c r="AG25" i="29" s="1"/>
  <c r="AF7" i="12"/>
  <c r="AG24" i="29" s="1"/>
  <c r="AX53" i="7"/>
  <c r="C15" i="8" s="1"/>
  <c r="Q15" i="8" s="1"/>
  <c r="K54" i="7"/>
  <c r="I3" i="12" s="1"/>
  <c r="C26" i="12" s="1"/>
  <c r="R6" i="6"/>
  <c r="Q6" i="7"/>
  <c r="Q7" i="7" s="1"/>
  <c r="G5" i="14"/>
  <c r="G29" i="12"/>
  <c r="G31" i="12"/>
  <c r="G33" i="8" s="1"/>
  <c r="G35" i="8" s="1"/>
  <c r="G30" i="12"/>
  <c r="K53" i="3"/>
  <c r="J19" i="9"/>
  <c r="W19" i="8"/>
  <c r="I38" i="9"/>
  <c r="I37" i="9" s="1"/>
  <c r="I23" i="9"/>
  <c r="W23" i="8" s="1"/>
  <c r="J33" i="12"/>
  <c r="E78" i="6"/>
  <c r="C72" i="7"/>
  <c r="AF3" i="13"/>
  <c r="AI6" i="5"/>
  <c r="AL2" i="5"/>
  <c r="AK5" i="5"/>
  <c r="AI22" i="12" s="1"/>
  <c r="L65" i="7"/>
  <c r="L53" i="7"/>
  <c r="R14" i="7"/>
  <c r="S14" i="6"/>
  <c r="T14" i="6" s="1"/>
  <c r="C69" i="7"/>
  <c r="C75" i="7" s="1"/>
  <c r="L52" i="6"/>
  <c r="K55" i="7"/>
  <c r="AX55" i="7" s="1"/>
  <c r="AB3" i="13"/>
  <c r="L42" i="12"/>
  <c r="Q15" i="7"/>
  <c r="Q16" i="7" s="1"/>
  <c r="R5" i="7"/>
  <c r="S5" i="6"/>
  <c r="T5" i="6" s="1"/>
  <c r="O21" i="7"/>
  <c r="AY21" i="7" s="1"/>
  <c r="P21" i="6"/>
  <c r="M24" i="7"/>
  <c r="M51" i="7" s="1"/>
  <c r="M62" i="7" s="1"/>
  <c r="M49" i="7"/>
  <c r="R3" i="7"/>
  <c r="S3" i="6"/>
  <c r="T3" i="6" s="1"/>
  <c r="L51" i="7"/>
  <c r="E19" i="11"/>
  <c r="L16" i="11"/>
  <c r="S4" i="6"/>
  <c r="T4" i="6" s="1"/>
  <c r="R4" i="7"/>
  <c r="N23" i="7"/>
  <c r="C42" i="9"/>
  <c r="Q14" i="8"/>
  <c r="AO2" i="5"/>
  <c r="AN5" i="5"/>
  <c r="AL22" i="12" s="1"/>
  <c r="AX52" i="7"/>
  <c r="O2" i="12"/>
  <c r="P22" i="29" s="1"/>
  <c r="M15" i="12"/>
  <c r="D38" i="12" s="1"/>
  <c r="D39" i="3"/>
  <c r="D7" i="8" s="1"/>
  <c r="R12" i="7"/>
  <c r="S12" i="6"/>
  <c r="T12" i="6" s="1"/>
  <c r="R10" i="7"/>
  <c r="S10" i="6"/>
  <c r="P16" i="7"/>
  <c r="N24" i="6"/>
  <c r="N49" i="6"/>
  <c r="N56" i="6" s="1"/>
  <c r="N58" i="6" s="1"/>
  <c r="O22" i="7"/>
  <c r="AY22" i="7" s="1"/>
  <c r="P22" i="6"/>
  <c r="AG3" i="13"/>
  <c r="AH3" i="13"/>
  <c r="P26" i="3"/>
  <c r="P12" i="12" s="1"/>
  <c r="Q26" i="29" s="1"/>
  <c r="Q27" i="3"/>
  <c r="O20" i="7"/>
  <c r="P20" i="6"/>
  <c r="O23" i="6"/>
  <c r="AY23" i="6" s="1"/>
  <c r="M65" i="6"/>
  <c r="M64" i="6"/>
  <c r="M63" i="6"/>
  <c r="M53" i="6"/>
  <c r="AE5" i="5"/>
  <c r="AC22" i="12" s="1"/>
  <c r="J20" i="5"/>
  <c r="H34" i="8" s="1"/>
  <c r="K42" i="12"/>
  <c r="B3" i="2"/>
  <c r="R15" i="6"/>
  <c r="R9" i="7"/>
  <c r="S9" i="6"/>
  <c r="AZ9" i="6" s="1"/>
  <c r="D12" i="11"/>
  <c r="J10" i="11"/>
  <c r="C41" i="9" l="1"/>
  <c r="T10" i="6"/>
  <c r="T10" i="7" s="1"/>
  <c r="AZ10" i="6"/>
  <c r="Q12" i="8"/>
  <c r="AZ4" i="6"/>
  <c r="R7" i="6"/>
  <c r="AZ3" i="6"/>
  <c r="M64" i="7"/>
  <c r="M66" i="7"/>
  <c r="AZ5" i="6"/>
  <c r="N36" i="3"/>
  <c r="N35" i="3"/>
  <c r="D7" i="9"/>
  <c r="R7" i="8" s="1"/>
  <c r="I13" i="29"/>
  <c r="I17" i="29" s="1"/>
  <c r="I19" i="29" s="1"/>
  <c r="H21" i="12"/>
  <c r="H14" i="12" s="1"/>
  <c r="H18" i="12" s="1"/>
  <c r="H4" i="13" s="1"/>
  <c r="H6" i="13" s="1"/>
  <c r="G13" i="29"/>
  <c r="G17" i="29" s="1"/>
  <c r="F21" i="12"/>
  <c r="F14" i="12" s="1"/>
  <c r="C37" i="12" s="1"/>
  <c r="I19" i="13"/>
  <c r="I5" i="14" s="1"/>
  <c r="N56" i="7"/>
  <c r="S11" i="7"/>
  <c r="AZ11" i="7" s="1"/>
  <c r="E86" i="6"/>
  <c r="T11" i="6"/>
  <c r="M52" i="6"/>
  <c r="M54" i="6" s="1"/>
  <c r="T2" i="7"/>
  <c r="AX55" i="6"/>
  <c r="M60" i="6"/>
  <c r="L54" i="6"/>
  <c r="N33" i="3"/>
  <c r="N34" i="3" s="1"/>
  <c r="U5" i="6"/>
  <c r="T5" i="7"/>
  <c r="T3" i="7"/>
  <c r="U3" i="6"/>
  <c r="I44" i="29"/>
  <c r="I43" i="29"/>
  <c r="U2" i="6"/>
  <c r="U2" i="7" s="1"/>
  <c r="T6" i="6"/>
  <c r="G28" i="29"/>
  <c r="U4" i="6"/>
  <c r="T4" i="7"/>
  <c r="R6" i="7"/>
  <c r="R7" i="7" s="1"/>
  <c r="AX54" i="7"/>
  <c r="T9" i="6"/>
  <c r="I29" i="29"/>
  <c r="T14" i="7"/>
  <c r="U14" i="6"/>
  <c r="T12" i="7"/>
  <c r="U12" i="6"/>
  <c r="U10" i="6"/>
  <c r="I5" i="12"/>
  <c r="I21" i="12" s="1"/>
  <c r="I14" i="12" s="1"/>
  <c r="J23" i="29"/>
  <c r="J28" i="29" s="1"/>
  <c r="V17" i="12"/>
  <c r="V27" i="29"/>
  <c r="F46" i="29" s="1"/>
  <c r="AL8" i="12"/>
  <c r="AM25" i="29" s="1"/>
  <c r="AL7" i="12"/>
  <c r="AM24" i="29" s="1"/>
  <c r="AI8" i="12"/>
  <c r="AJ25" i="29" s="1"/>
  <c r="AI7" i="12"/>
  <c r="AJ24" i="29" s="1"/>
  <c r="AE6" i="5"/>
  <c r="AC8" i="12"/>
  <c r="AD25" i="29" s="1"/>
  <c r="H44" i="29" s="1"/>
  <c r="AC7" i="12"/>
  <c r="AD24" i="29" s="1"/>
  <c r="H43" i="29" s="1"/>
  <c r="H29" i="12"/>
  <c r="I29" i="12"/>
  <c r="I31" i="12"/>
  <c r="I33" i="8" s="1"/>
  <c r="I35" i="8" s="1"/>
  <c r="J23" i="9"/>
  <c r="X23" i="8" s="1"/>
  <c r="J38" i="9"/>
  <c r="J37" i="9" s="1"/>
  <c r="X19" i="8"/>
  <c r="K19" i="9"/>
  <c r="L53" i="3"/>
  <c r="L19" i="9" s="1"/>
  <c r="E4" i="10"/>
  <c r="O23" i="7"/>
  <c r="AY23" i="7" s="1"/>
  <c r="AY20" i="7"/>
  <c r="R27" i="3"/>
  <c r="Q26" i="3"/>
  <c r="Q12" i="12" s="1"/>
  <c r="S10" i="7"/>
  <c r="AZ10" i="7" s="1"/>
  <c r="E85" i="6"/>
  <c r="D8" i="9"/>
  <c r="AP2" i="5"/>
  <c r="AO5" i="5"/>
  <c r="AM22" i="12" s="1"/>
  <c r="E20" i="11"/>
  <c r="S5" i="7"/>
  <c r="AZ5" i="7" s="1"/>
  <c r="E81" i="6"/>
  <c r="S14" i="7"/>
  <c r="AZ14" i="7" s="1"/>
  <c r="E89" i="6"/>
  <c r="L61" i="7"/>
  <c r="R16" i="6"/>
  <c r="AZ16" i="6" s="1"/>
  <c r="D48" i="12"/>
  <c r="N24" i="7"/>
  <c r="N51" i="7" s="1"/>
  <c r="N62" i="7" s="1"/>
  <c r="N49" i="7"/>
  <c r="S3" i="7"/>
  <c r="AZ3" i="7" s="1"/>
  <c r="E79" i="6"/>
  <c r="AI3" i="13"/>
  <c r="O24" i="6"/>
  <c r="O51" i="6" s="1"/>
  <c r="O61" i="6" s="1"/>
  <c r="O49" i="6"/>
  <c r="O56" i="6" s="1"/>
  <c r="O58" i="6" s="1"/>
  <c r="N65" i="6"/>
  <c r="N64" i="6"/>
  <c r="N63" i="6"/>
  <c r="N53" i="6"/>
  <c r="N60" i="6" s="1"/>
  <c r="G18" i="11"/>
  <c r="L62" i="7"/>
  <c r="L52" i="7"/>
  <c r="L63" i="7"/>
  <c r="AL5" i="5"/>
  <c r="AJ22" i="12" s="1"/>
  <c r="AM2" i="5"/>
  <c r="AM5" i="5" s="1"/>
  <c r="AK22" i="12" s="1"/>
  <c r="I30" i="12"/>
  <c r="K33" i="12"/>
  <c r="S6" i="6"/>
  <c r="AZ6" i="6" s="1"/>
  <c r="R15" i="7"/>
  <c r="AC3" i="13"/>
  <c r="K10" i="11"/>
  <c r="B13" i="11"/>
  <c r="E84" i="6"/>
  <c r="S9" i="7"/>
  <c r="S15" i="6"/>
  <c r="S16" i="6" s="1"/>
  <c r="P20" i="7"/>
  <c r="Q20" i="6"/>
  <c r="P23" i="6"/>
  <c r="P22" i="7"/>
  <c r="Q22" i="6"/>
  <c r="N51" i="6"/>
  <c r="N61" i="6" s="1"/>
  <c r="E87" i="6"/>
  <c r="S12" i="7"/>
  <c r="AZ12" i="7" s="1"/>
  <c r="D6" i="8"/>
  <c r="R6" i="8" s="1"/>
  <c r="P2" i="12"/>
  <c r="Q22" i="29" s="1"/>
  <c r="D34" i="9"/>
  <c r="D33" i="9" s="1"/>
  <c r="AL3" i="13"/>
  <c r="S4" i="7"/>
  <c r="E80" i="6"/>
  <c r="N15" i="12"/>
  <c r="M65" i="7"/>
  <c r="M53" i="7"/>
  <c r="M61" i="7" s="1"/>
  <c r="M52" i="7"/>
  <c r="P21" i="7"/>
  <c r="Q21" i="6"/>
  <c r="C16" i="9" l="1"/>
  <c r="C16" i="8"/>
  <c r="C20" i="8" s="1"/>
  <c r="N64" i="7"/>
  <c r="N66" i="7"/>
  <c r="H30" i="12"/>
  <c r="F18" i="12"/>
  <c r="AZ15" i="6"/>
  <c r="AY49" i="6"/>
  <c r="O36" i="3"/>
  <c r="O33" i="3"/>
  <c r="O34" i="3" s="1"/>
  <c r="P36" i="3" s="1"/>
  <c r="O35" i="3"/>
  <c r="O15" i="12" s="1"/>
  <c r="U11" i="6"/>
  <c r="T11" i="7"/>
  <c r="O50" i="6"/>
  <c r="AY50" i="6" s="1"/>
  <c r="N58" i="7"/>
  <c r="T7" i="6"/>
  <c r="T15" i="6"/>
  <c r="T16" i="6" s="1"/>
  <c r="AY51" i="6"/>
  <c r="G29" i="29"/>
  <c r="AY24" i="6"/>
  <c r="H19" i="13"/>
  <c r="H5" i="14" s="1"/>
  <c r="G19" i="29"/>
  <c r="U3" i="7"/>
  <c r="V3" i="6"/>
  <c r="U6" i="6"/>
  <c r="U7" i="6" s="1"/>
  <c r="V2" i="6"/>
  <c r="V2" i="7" s="1"/>
  <c r="V5" i="6"/>
  <c r="U5" i="7"/>
  <c r="E82" i="6"/>
  <c r="C42" i="29"/>
  <c r="C47" i="29" s="1"/>
  <c r="T6" i="7"/>
  <c r="T7" i="7" s="1"/>
  <c r="V4" i="6"/>
  <c r="U4" i="7"/>
  <c r="T9" i="7"/>
  <c r="T15" i="7" s="1"/>
  <c r="U9" i="6"/>
  <c r="U14" i="7"/>
  <c r="V14" i="6"/>
  <c r="V12" i="6"/>
  <c r="U12" i="7"/>
  <c r="J13" i="29"/>
  <c r="I18" i="12"/>
  <c r="I4" i="13" s="1"/>
  <c r="I6" i="13" s="1"/>
  <c r="C28" i="12"/>
  <c r="U10" i="7"/>
  <c r="V10" i="6"/>
  <c r="W17" i="12"/>
  <c r="W27" i="29"/>
  <c r="E35" i="12"/>
  <c r="R26" i="29"/>
  <c r="E45" i="29" s="1"/>
  <c r="H31" i="12"/>
  <c r="H33" i="8" s="1"/>
  <c r="H35" i="8" s="1"/>
  <c r="AM8" i="12"/>
  <c r="AN25" i="29" s="1"/>
  <c r="AM7" i="12"/>
  <c r="AN24" i="29" s="1"/>
  <c r="L16" i="5"/>
  <c r="L20" i="5" s="1"/>
  <c r="J34" i="8" s="1"/>
  <c r="AJ8" i="12"/>
  <c r="AK25" i="29" s="1"/>
  <c r="AJ7" i="12"/>
  <c r="AK24" i="29" s="1"/>
  <c r="AK8" i="12"/>
  <c r="AL25" i="29" s="1"/>
  <c r="AK7" i="12"/>
  <c r="AL24" i="29" s="1"/>
  <c r="S15" i="7"/>
  <c r="S16" i="7" s="1"/>
  <c r="S6" i="7"/>
  <c r="S7" i="7" s="1"/>
  <c r="AZ7" i="7" s="1"/>
  <c r="D69" i="6"/>
  <c r="D14" i="9" s="1"/>
  <c r="K38" i="9"/>
  <c r="K37" i="9" s="1"/>
  <c r="Y19" i="8"/>
  <c r="K23" i="9"/>
  <c r="Y23" i="8" s="1"/>
  <c r="Z19" i="8"/>
  <c r="L38" i="9"/>
  <c r="L37" i="9" s="1"/>
  <c r="L23" i="9"/>
  <c r="Z23" i="8" s="1"/>
  <c r="L33" i="12"/>
  <c r="M54" i="7"/>
  <c r="K3" i="12" s="1"/>
  <c r="E90" i="6"/>
  <c r="AZ4" i="7"/>
  <c r="O65" i="6"/>
  <c r="D73" i="6" s="1"/>
  <c r="D45" i="9" s="1"/>
  <c r="O64" i="6"/>
  <c r="D72" i="6" s="1"/>
  <c r="D44" i="9" s="1"/>
  <c r="O63" i="6"/>
  <c r="D71" i="6" s="1"/>
  <c r="D43" i="9" s="1"/>
  <c r="O53" i="6"/>
  <c r="O60" i="6" s="1"/>
  <c r="D68" i="6" s="1"/>
  <c r="O52" i="6"/>
  <c r="AM3" i="13"/>
  <c r="D9" i="9"/>
  <c r="R8" i="8"/>
  <c r="Q21" i="7"/>
  <c r="R21" i="6"/>
  <c r="Q2" i="12"/>
  <c r="P23" i="7"/>
  <c r="AZ9" i="7"/>
  <c r="N52" i="6"/>
  <c r="E21" i="11"/>
  <c r="AP5" i="5"/>
  <c r="AN22" i="12" s="1"/>
  <c r="AQ2" i="5"/>
  <c r="M16" i="5" s="1"/>
  <c r="M63" i="7"/>
  <c r="Q22" i="7"/>
  <c r="R22" i="6"/>
  <c r="P24" i="6"/>
  <c r="P49" i="6"/>
  <c r="C13" i="11"/>
  <c r="R16" i="7"/>
  <c r="S7" i="6"/>
  <c r="AZ7" i="6" s="1"/>
  <c r="AK3" i="13"/>
  <c r="L54" i="7"/>
  <c r="N65" i="7"/>
  <c r="N53" i="7"/>
  <c r="N61" i="7" s="1"/>
  <c r="N52" i="7"/>
  <c r="S27" i="3"/>
  <c r="R26" i="3"/>
  <c r="R12" i="12" s="1"/>
  <c r="S26" i="29" s="1"/>
  <c r="O24" i="7"/>
  <c r="O49" i="7"/>
  <c r="E7" i="13"/>
  <c r="B23" i="13" s="1"/>
  <c r="F4" i="13"/>
  <c r="Q20" i="7"/>
  <c r="R20" i="6"/>
  <c r="Q23" i="6"/>
  <c r="E5" i="10"/>
  <c r="E6" i="10" s="1"/>
  <c r="W13" i="3" s="1"/>
  <c r="AJ3" i="13"/>
  <c r="J19" i="13" s="1"/>
  <c r="AM6" i="5"/>
  <c r="P56" i="6" l="1"/>
  <c r="C17" i="9"/>
  <c r="C28" i="9"/>
  <c r="Q16" i="8"/>
  <c r="O64" i="7"/>
  <c r="O66" i="7"/>
  <c r="U15" i="6"/>
  <c r="U16" i="6" s="1"/>
  <c r="P56" i="7"/>
  <c r="O56" i="7"/>
  <c r="AY56" i="7" s="1"/>
  <c r="AY56" i="6"/>
  <c r="AY53" i="6"/>
  <c r="D15" i="9" s="1"/>
  <c r="D46" i="9" s="1"/>
  <c r="U11" i="7"/>
  <c r="V11" i="6"/>
  <c r="U6" i="7"/>
  <c r="U7" i="7" s="1"/>
  <c r="P35" i="3"/>
  <c r="N54" i="6"/>
  <c r="AY52" i="6"/>
  <c r="P33" i="3"/>
  <c r="P34" i="3" s="1"/>
  <c r="Q36" i="3" s="1"/>
  <c r="E40" i="3" s="1"/>
  <c r="W5" i="6"/>
  <c r="BA5" i="6" s="1"/>
  <c r="V5" i="7"/>
  <c r="E91" i="6"/>
  <c r="V6" i="6"/>
  <c r="Q23" i="7"/>
  <c r="Q24" i="7" s="1"/>
  <c r="Q51" i="7" s="1"/>
  <c r="Q62" i="7" s="1"/>
  <c r="V3" i="7"/>
  <c r="W3" i="6"/>
  <c r="BA3" i="6" s="1"/>
  <c r="W2" i="6"/>
  <c r="J43" i="29"/>
  <c r="C41" i="12"/>
  <c r="J17" i="29"/>
  <c r="C38" i="29" s="1"/>
  <c r="C34" i="29"/>
  <c r="J44" i="29"/>
  <c r="W4" i="6"/>
  <c r="BA4" i="6" s="1"/>
  <c r="V4" i="7"/>
  <c r="AZ16" i="7"/>
  <c r="U9" i="7"/>
  <c r="V9" i="6"/>
  <c r="V14" i="7"/>
  <c r="W14" i="6"/>
  <c r="BA14" i="6" s="1"/>
  <c r="AZ15" i="7"/>
  <c r="W12" i="6"/>
  <c r="BA12" i="6" s="1"/>
  <c r="V12" i="7"/>
  <c r="T16" i="7"/>
  <c r="I19" i="12"/>
  <c r="K5" i="12"/>
  <c r="L23" i="29"/>
  <c r="L28" i="29" s="1"/>
  <c r="V10" i="7"/>
  <c r="W10" i="6"/>
  <c r="BA10" i="6" s="1"/>
  <c r="E25" i="12"/>
  <c r="E24" i="8" s="1"/>
  <c r="R22" i="29"/>
  <c r="E41" i="29" s="1"/>
  <c r="X17" i="12"/>
  <c r="X27" i="29"/>
  <c r="J30" i="12"/>
  <c r="AN8" i="12"/>
  <c r="AO25" i="29" s="1"/>
  <c r="AN7" i="12"/>
  <c r="AO24" i="29" s="1"/>
  <c r="AZ6" i="7"/>
  <c r="J29" i="12"/>
  <c r="J31" i="12"/>
  <c r="J33" i="8" s="1"/>
  <c r="J35" i="8" s="1"/>
  <c r="J5" i="14"/>
  <c r="D74" i="6"/>
  <c r="N54" i="7"/>
  <c r="L3" i="12" s="1"/>
  <c r="M23" i="29" s="1"/>
  <c r="M28" i="29" s="1"/>
  <c r="AA23" i="8"/>
  <c r="AA19" i="8"/>
  <c r="AA13" i="3"/>
  <c r="W14" i="3"/>
  <c r="C20" i="13"/>
  <c r="C6" i="14" s="1"/>
  <c r="F6" i="13"/>
  <c r="E8" i="13"/>
  <c r="S26" i="3"/>
  <c r="S12" i="12" s="1"/>
  <c r="T26" i="29" s="1"/>
  <c r="T27" i="3"/>
  <c r="D13" i="11"/>
  <c r="P51" i="6"/>
  <c r="P24" i="7"/>
  <c r="P49" i="7"/>
  <c r="R9" i="8"/>
  <c r="J3" i="12"/>
  <c r="R22" i="7"/>
  <c r="S22" i="6"/>
  <c r="AZ22" i="6" s="1"/>
  <c r="E22" i="11"/>
  <c r="L19" i="11"/>
  <c r="Q24" i="6"/>
  <c r="Q51" i="6" s="1"/>
  <c r="Q61" i="6" s="1"/>
  <c r="Q49" i="6"/>
  <c r="Q56" i="6" s="1"/>
  <c r="Q58" i="6" s="1"/>
  <c r="S20" i="6"/>
  <c r="AZ20" i="6" s="1"/>
  <c r="R20" i="7"/>
  <c r="R23" i="6"/>
  <c r="D74" i="7"/>
  <c r="D72" i="7"/>
  <c r="O65" i="7"/>
  <c r="D73" i="7" s="1"/>
  <c r="O53" i="7"/>
  <c r="O61" i="7" s="1"/>
  <c r="D69" i="7" s="1"/>
  <c r="O50" i="7"/>
  <c r="AY50" i="7" s="1"/>
  <c r="O51" i="7"/>
  <c r="AY24" i="7"/>
  <c r="N63" i="7"/>
  <c r="P65" i="6"/>
  <c r="P64" i="6"/>
  <c r="P63" i="6"/>
  <c r="P53" i="6"/>
  <c r="AQ5" i="5"/>
  <c r="AO22" i="12" s="1"/>
  <c r="M20" i="5"/>
  <c r="K34" i="8" s="1"/>
  <c r="P15" i="12"/>
  <c r="E11" i="13"/>
  <c r="E7" i="10"/>
  <c r="AY49" i="7"/>
  <c r="D42" i="9"/>
  <c r="AN3" i="13"/>
  <c r="R2" i="12"/>
  <c r="S22" i="29" s="1"/>
  <c r="R21" i="7"/>
  <c r="S21" i="6"/>
  <c r="AZ21" i="6" s="1"/>
  <c r="O54" i="6"/>
  <c r="P58" i="6" l="1"/>
  <c r="P61" i="6"/>
  <c r="Q17" i="8"/>
  <c r="C29" i="9"/>
  <c r="P60" i="6"/>
  <c r="P64" i="7"/>
  <c r="P66" i="7"/>
  <c r="Q33" i="3"/>
  <c r="Q35" i="3"/>
  <c r="Q15" i="12" s="1"/>
  <c r="E38" i="12" s="1"/>
  <c r="L13" i="29"/>
  <c r="L17" i="29" s="1"/>
  <c r="L19" i="29" s="1"/>
  <c r="K21" i="12"/>
  <c r="K14" i="12" s="1"/>
  <c r="U15" i="7"/>
  <c r="U16" i="7" s="1"/>
  <c r="V11" i="7"/>
  <c r="W11" i="6"/>
  <c r="Q49" i="7"/>
  <c r="O58" i="7"/>
  <c r="AY58" i="7" s="1"/>
  <c r="D10" i="8" s="1"/>
  <c r="AY58" i="6"/>
  <c r="D10" i="9" s="1"/>
  <c r="Q56" i="7"/>
  <c r="Q58" i="7"/>
  <c r="V7" i="6"/>
  <c r="AY54" i="6"/>
  <c r="V15" i="6"/>
  <c r="O55" i="6"/>
  <c r="AY55" i="6" s="1"/>
  <c r="W2" i="7"/>
  <c r="BA2" i="7" s="1"/>
  <c r="BA2" i="6"/>
  <c r="X3" i="6"/>
  <c r="W3" i="7"/>
  <c r="BA3" i="7" s="1"/>
  <c r="F79" i="6"/>
  <c r="W6" i="6"/>
  <c r="BA6" i="6" s="1"/>
  <c r="F78" i="6"/>
  <c r="X2" i="6"/>
  <c r="V6" i="7"/>
  <c r="V7" i="7" s="1"/>
  <c r="F81" i="6"/>
  <c r="X5" i="6"/>
  <c r="W5" i="7"/>
  <c r="BA5" i="7" s="1"/>
  <c r="C39" i="29"/>
  <c r="C48" i="29"/>
  <c r="C49" i="29" s="1"/>
  <c r="J29" i="29"/>
  <c r="J19" i="29"/>
  <c r="Q34" i="3"/>
  <c r="R36" i="3" s="1"/>
  <c r="W4" i="7"/>
  <c r="BA4" i="7" s="1"/>
  <c r="X4" i="6"/>
  <c r="F80" i="6"/>
  <c r="V9" i="7"/>
  <c r="V15" i="7" s="1"/>
  <c r="V16" i="7" s="1"/>
  <c r="W9" i="6"/>
  <c r="BA9" i="6" s="1"/>
  <c r="K18" i="12"/>
  <c r="K4" i="13" s="1"/>
  <c r="K6" i="13" s="1"/>
  <c r="X14" i="6"/>
  <c r="W14" i="7"/>
  <c r="BA14" i="7" s="1"/>
  <c r="F89" i="6"/>
  <c r="L29" i="29"/>
  <c r="W12" i="7"/>
  <c r="BA12" i="7" s="1"/>
  <c r="X12" i="6"/>
  <c r="F87" i="6"/>
  <c r="J5" i="12"/>
  <c r="K23" i="29"/>
  <c r="X10" i="6"/>
  <c r="W10" i="7"/>
  <c r="BA10" i="7" s="1"/>
  <c r="F85" i="6"/>
  <c r="Y17" i="12"/>
  <c r="G40" i="12" s="1"/>
  <c r="Y27" i="29"/>
  <c r="AO8" i="12"/>
  <c r="AP25" i="29" s="1"/>
  <c r="K44" i="29" s="1"/>
  <c r="AO7" i="12"/>
  <c r="K29" i="12"/>
  <c r="AQ6" i="5"/>
  <c r="L5" i="12"/>
  <c r="L21" i="12" s="1"/>
  <c r="L14" i="12" s="1"/>
  <c r="E14" i="13"/>
  <c r="E15" i="13" s="1"/>
  <c r="B31" i="13" s="1"/>
  <c r="B27" i="13"/>
  <c r="B8" i="14" s="1"/>
  <c r="P52" i="6"/>
  <c r="O63" i="7"/>
  <c r="E39" i="3"/>
  <c r="E7" i="8" s="1"/>
  <c r="E6" i="8" s="1"/>
  <c r="O62" i="7"/>
  <c r="D70" i="7" s="1"/>
  <c r="D43" i="12" s="1"/>
  <c r="AY51" i="7"/>
  <c r="D14" i="8" s="1"/>
  <c r="R24" i="6"/>
  <c r="R49" i="6"/>
  <c r="AY53" i="7"/>
  <c r="D15" i="8" s="1"/>
  <c r="R15" i="8" s="1"/>
  <c r="S22" i="7"/>
  <c r="AZ22" i="7" s="1"/>
  <c r="T22" i="6"/>
  <c r="P65" i="7"/>
  <c r="P53" i="7"/>
  <c r="T26" i="3"/>
  <c r="T12" i="12" s="1"/>
  <c r="U26" i="29" s="1"/>
  <c r="U27" i="3"/>
  <c r="S21" i="7"/>
  <c r="AZ21" i="7" s="1"/>
  <c r="T21" i="6"/>
  <c r="Q65" i="7"/>
  <c r="Q52" i="7"/>
  <c r="R23" i="7"/>
  <c r="C22" i="13"/>
  <c r="AA14" i="3"/>
  <c r="AB13" i="3" s="1"/>
  <c r="W16" i="3"/>
  <c r="W20" i="3"/>
  <c r="E7" i="9"/>
  <c r="E6" i="9"/>
  <c r="S20" i="7"/>
  <c r="T20" i="6"/>
  <c r="S23" i="6"/>
  <c r="AZ23" i="6" s="1"/>
  <c r="Q52" i="6"/>
  <c r="Q53" i="6"/>
  <c r="Q60" i="6" s="1"/>
  <c r="Q64" i="6"/>
  <c r="Q63" i="6"/>
  <c r="Q65" i="6"/>
  <c r="E23" i="11"/>
  <c r="G21" i="11" s="1"/>
  <c r="P51" i="7"/>
  <c r="B14" i="11"/>
  <c r="E9" i="13"/>
  <c r="B25" i="13" s="1"/>
  <c r="B24" i="13"/>
  <c r="B3" i="9" s="1"/>
  <c r="B49" i="12" s="1"/>
  <c r="E13" i="13"/>
  <c r="B29" i="13" s="1"/>
  <c r="AO3" i="13"/>
  <c r="K19" i="13" s="1"/>
  <c r="S2" i="12"/>
  <c r="T22" i="29" s="1"/>
  <c r="AS2" i="5"/>
  <c r="AR5" i="5"/>
  <c r="AP22" i="12" s="1"/>
  <c r="O52" i="7"/>
  <c r="B47" i="12" l="1"/>
  <c r="Q64" i="7"/>
  <c r="Q66" i="7"/>
  <c r="Q63" i="7" s="1"/>
  <c r="R51" i="6"/>
  <c r="R52" i="6" s="1"/>
  <c r="B3" i="8"/>
  <c r="B44" i="12"/>
  <c r="B50" i="12" s="1"/>
  <c r="P58" i="7"/>
  <c r="P54" i="6"/>
  <c r="R56" i="6"/>
  <c r="R33" i="3"/>
  <c r="R35" i="3"/>
  <c r="R15" i="12" s="1"/>
  <c r="K13" i="29"/>
  <c r="K17" i="29" s="1"/>
  <c r="J21" i="12"/>
  <c r="J14" i="12" s="1"/>
  <c r="Q53" i="7"/>
  <c r="Q61" i="7" s="1"/>
  <c r="W7" i="6"/>
  <c r="BA7" i="6" s="1"/>
  <c r="R56" i="7"/>
  <c r="F86" i="6"/>
  <c r="W11" i="7"/>
  <c r="BA11" i="7" s="1"/>
  <c r="X11" i="6"/>
  <c r="R10" i="8"/>
  <c r="D39" i="9"/>
  <c r="D12" i="9"/>
  <c r="D11" i="9"/>
  <c r="BA11" i="6"/>
  <c r="S23" i="7"/>
  <c r="AZ23" i="7" s="1"/>
  <c r="D11" i="8"/>
  <c r="D21" i="8" s="1"/>
  <c r="D27" i="8" s="1"/>
  <c r="D12" i="8"/>
  <c r="D22" i="8" s="1"/>
  <c r="D28" i="8" s="1"/>
  <c r="X2" i="7"/>
  <c r="E48" i="12"/>
  <c r="B30" i="13"/>
  <c r="V16" i="6"/>
  <c r="F82" i="6"/>
  <c r="X6" i="6"/>
  <c r="X5" i="7"/>
  <c r="Y5" i="6"/>
  <c r="W6" i="7"/>
  <c r="W7" i="7" s="1"/>
  <c r="BA7" i="7" s="1"/>
  <c r="Y2" i="6"/>
  <c r="Y2" i="7" s="1"/>
  <c r="X3" i="7"/>
  <c r="Y3" i="6"/>
  <c r="K28" i="29"/>
  <c r="R34" i="3"/>
  <c r="S36" i="3" s="1"/>
  <c r="X4" i="7"/>
  <c r="Y4" i="6"/>
  <c r="W9" i="7"/>
  <c r="W15" i="7" s="1"/>
  <c r="X9" i="6"/>
  <c r="F84" i="6"/>
  <c r="W15" i="6"/>
  <c r="W16" i="6" s="1"/>
  <c r="X14" i="7"/>
  <c r="Y14" i="6"/>
  <c r="X12" i="7"/>
  <c r="Y12" i="6"/>
  <c r="X10" i="7"/>
  <c r="Y10" i="6"/>
  <c r="L18" i="12"/>
  <c r="L4" i="13" s="1"/>
  <c r="L6" i="13" s="1"/>
  <c r="M13" i="29"/>
  <c r="M17" i="29" s="1"/>
  <c r="Z17" i="12"/>
  <c r="Z27" i="29"/>
  <c r="G46" i="29" s="1"/>
  <c r="K31" i="12"/>
  <c r="K33" i="8" s="1"/>
  <c r="K35" i="8" s="1"/>
  <c r="K30" i="12"/>
  <c r="AP24" i="29"/>
  <c r="K43" i="29" s="1"/>
  <c r="AP8" i="12"/>
  <c r="AQ25" i="29" s="1"/>
  <c r="AP7" i="12"/>
  <c r="AQ24" i="29" s="1"/>
  <c r="E8" i="9"/>
  <c r="S8" i="8" s="1"/>
  <c r="Q54" i="6"/>
  <c r="E10" i="13"/>
  <c r="B26" i="13" s="1"/>
  <c r="AT2" i="5"/>
  <c r="AS5" i="5"/>
  <c r="AQ22" i="12" s="1"/>
  <c r="O54" i="7"/>
  <c r="AY52" i="7"/>
  <c r="T2" i="12"/>
  <c r="U22" i="29" s="1"/>
  <c r="AP3" i="13"/>
  <c r="P62" i="7"/>
  <c r="E24" i="11"/>
  <c r="L22" i="11" s="1"/>
  <c r="T20" i="7"/>
  <c r="U20" i="6"/>
  <c r="T23" i="6"/>
  <c r="AB16" i="3"/>
  <c r="R65" i="6"/>
  <c r="R64" i="6"/>
  <c r="R63" i="6"/>
  <c r="R53" i="6"/>
  <c r="R60" i="6" s="1"/>
  <c r="B30" i="9"/>
  <c r="P3" i="8"/>
  <c r="B4" i="9"/>
  <c r="B5" i="9" s="1"/>
  <c r="C14" i="11"/>
  <c r="S24" i="7"/>
  <c r="S51" i="7" s="1"/>
  <c r="S62" i="7" s="1"/>
  <c r="S49" i="7"/>
  <c r="AB11" i="3"/>
  <c r="AB7" i="3"/>
  <c r="B10" i="2"/>
  <c r="AB6" i="3"/>
  <c r="AB17" i="3"/>
  <c r="AB10" i="3"/>
  <c r="AB4" i="3"/>
  <c r="AB3" i="3"/>
  <c r="AB8" i="3"/>
  <c r="AB9" i="3"/>
  <c r="AB5" i="3"/>
  <c r="AB2" i="3"/>
  <c r="V27" i="3"/>
  <c r="U26" i="3"/>
  <c r="U12" i="12" s="1"/>
  <c r="P52" i="7"/>
  <c r="P63" i="7"/>
  <c r="E34" i="9"/>
  <c r="E33" i="9" s="1"/>
  <c r="S6" i="8"/>
  <c r="AZ20" i="7"/>
  <c r="T21" i="7"/>
  <c r="U21" i="6"/>
  <c r="P61" i="7"/>
  <c r="U22" i="6"/>
  <c r="T22" i="7"/>
  <c r="D29" i="8"/>
  <c r="R14" i="8"/>
  <c r="D75" i="7"/>
  <c r="K5" i="14"/>
  <c r="S24" i="6"/>
  <c r="AZ24" i="6" s="1"/>
  <c r="S49" i="6"/>
  <c r="S56" i="6" s="1"/>
  <c r="S58" i="6" s="1"/>
  <c r="S7" i="8"/>
  <c r="R24" i="7"/>
  <c r="R49" i="7"/>
  <c r="Q54" i="7"/>
  <c r="O3" i="12" s="1"/>
  <c r="B7" i="14" l="1"/>
  <c r="B45" i="12"/>
  <c r="B51" i="12" s="1"/>
  <c r="S64" i="7"/>
  <c r="S66" i="7"/>
  <c r="AZ53" i="6"/>
  <c r="E15" i="9" s="1"/>
  <c r="E46" i="9" s="1"/>
  <c r="R64" i="7"/>
  <c r="R66" i="7"/>
  <c r="AZ49" i="6"/>
  <c r="R61" i="6"/>
  <c r="AZ51" i="6"/>
  <c r="J18" i="12"/>
  <c r="R58" i="6"/>
  <c r="AZ56" i="6"/>
  <c r="E9" i="9"/>
  <c r="S35" i="3"/>
  <c r="S15" i="12" s="1"/>
  <c r="S33" i="3"/>
  <c r="S34" i="3" s="1"/>
  <c r="T36" i="3" s="1"/>
  <c r="B38" i="14"/>
  <c r="B13" i="14"/>
  <c r="B15" i="14" s="1"/>
  <c r="F90" i="6"/>
  <c r="F91" i="6" s="1"/>
  <c r="D40" i="9"/>
  <c r="R11" i="8"/>
  <c r="D41" i="9"/>
  <c r="D22" i="9"/>
  <c r="R22" i="8" s="1"/>
  <c r="R12" i="8"/>
  <c r="X11" i="7"/>
  <c r="Y11" i="6"/>
  <c r="S56" i="7"/>
  <c r="AZ56" i="7" s="1"/>
  <c r="S58" i="7"/>
  <c r="BA9" i="7"/>
  <c r="X15" i="6"/>
  <c r="X16" i="6" s="1"/>
  <c r="BA15" i="6"/>
  <c r="BA6" i="7"/>
  <c r="X7" i="6"/>
  <c r="BA16" i="6"/>
  <c r="Y3" i="7"/>
  <c r="Z3" i="6"/>
  <c r="X6" i="7"/>
  <c r="X7" i="7" s="1"/>
  <c r="Y6" i="6"/>
  <c r="Y7" i="6" s="1"/>
  <c r="Z5" i="6"/>
  <c r="Y5" i="7"/>
  <c r="Z2" i="6"/>
  <c r="Z2" i="7" s="1"/>
  <c r="K29" i="29"/>
  <c r="K19" i="29"/>
  <c r="Z4" i="6"/>
  <c r="Y4" i="7"/>
  <c r="W16" i="7"/>
  <c r="BA16" i="7" s="1"/>
  <c r="BA15" i="7"/>
  <c r="X9" i="7"/>
  <c r="Y9" i="6"/>
  <c r="Y14" i="7"/>
  <c r="Z14" i="6"/>
  <c r="Z12" i="6"/>
  <c r="Y12" i="7"/>
  <c r="O5" i="12"/>
  <c r="P23" i="29"/>
  <c r="P28" i="29" s="1"/>
  <c r="Y10" i="7"/>
  <c r="Z10" i="6"/>
  <c r="M19" i="29"/>
  <c r="M29" i="29"/>
  <c r="AA17" i="12"/>
  <c r="AA27" i="29"/>
  <c r="F35" i="12"/>
  <c r="V26" i="29"/>
  <c r="F45" i="29" s="1"/>
  <c r="E12" i="13"/>
  <c r="B28" i="13" s="1"/>
  <c r="AQ8" i="12"/>
  <c r="AR25" i="29" s="1"/>
  <c r="AQ7" i="12"/>
  <c r="AR24" i="29" s="1"/>
  <c r="R54" i="6"/>
  <c r="J4" i="13"/>
  <c r="S9" i="8"/>
  <c r="B12" i="14"/>
  <c r="B18" i="14"/>
  <c r="B34" i="14" s="1"/>
  <c r="P54" i="7"/>
  <c r="D14" i="11"/>
  <c r="B21" i="9"/>
  <c r="P21" i="8" s="1"/>
  <c r="B32" i="9"/>
  <c r="P5" i="8"/>
  <c r="T24" i="6"/>
  <c r="T49" i="6"/>
  <c r="T56" i="6" s="1"/>
  <c r="T58" i="6" s="1"/>
  <c r="E25" i="11"/>
  <c r="F24" i="11"/>
  <c r="AT5" i="5"/>
  <c r="AR22" i="12" s="1"/>
  <c r="AU2" i="5"/>
  <c r="N16" i="5" s="1"/>
  <c r="U22" i="7"/>
  <c r="V22" i="6"/>
  <c r="U20" i="7"/>
  <c r="V20" i="6"/>
  <c r="U23" i="6"/>
  <c r="R65" i="7"/>
  <c r="R53" i="7"/>
  <c r="S50" i="7"/>
  <c r="AZ50" i="7" s="1"/>
  <c r="AZ49" i="7"/>
  <c r="S65" i="6"/>
  <c r="E73" i="6" s="1"/>
  <c r="E45" i="9" s="1"/>
  <c r="S64" i="6"/>
  <c r="E72" i="6" s="1"/>
  <c r="E44" i="9" s="1"/>
  <c r="S63" i="6"/>
  <c r="E71" i="6" s="1"/>
  <c r="E43" i="9" s="1"/>
  <c r="S53" i="6"/>
  <c r="S60" i="6" s="1"/>
  <c r="E68" i="6" s="1"/>
  <c r="U21" i="7"/>
  <c r="V21" i="6"/>
  <c r="W27" i="3"/>
  <c r="V26" i="3"/>
  <c r="V12" i="12" s="1"/>
  <c r="W26" i="29" s="1"/>
  <c r="S53" i="7"/>
  <c r="S61" i="7" s="1"/>
  <c r="S52" i="7"/>
  <c r="S65" i="7"/>
  <c r="B20" i="9"/>
  <c r="P20" i="8" s="1"/>
  <c r="B31" i="9"/>
  <c r="P4" i="8"/>
  <c r="M3" i="12"/>
  <c r="O55" i="7"/>
  <c r="AY55" i="7" s="1"/>
  <c r="AY54" i="7"/>
  <c r="R51" i="7"/>
  <c r="AZ24" i="7"/>
  <c r="S51" i="6"/>
  <c r="S61" i="6" s="1"/>
  <c r="E69" i="6" s="1"/>
  <c r="S50" i="6"/>
  <c r="AZ50" i="6" s="1"/>
  <c r="T23" i="7"/>
  <c r="U2" i="12"/>
  <c r="V22" i="29" s="1"/>
  <c r="F41" i="29" s="1"/>
  <c r="AQ3" i="13"/>
  <c r="R58" i="7" l="1"/>
  <c r="AZ58" i="7" s="1"/>
  <c r="E10" i="8" s="1"/>
  <c r="AZ58" i="6"/>
  <c r="E10" i="9" s="1"/>
  <c r="T33" i="3"/>
  <c r="T34" i="3" s="1"/>
  <c r="U36" i="3" s="1"/>
  <c r="F40" i="3" s="1"/>
  <c r="T35" i="3"/>
  <c r="T15" i="12" s="1"/>
  <c r="P13" i="29"/>
  <c r="P17" i="29" s="1"/>
  <c r="P19" i="29" s="1"/>
  <c r="O21" i="12"/>
  <c r="O14" i="12" s="1"/>
  <c r="O18" i="12" s="1"/>
  <c r="O4" i="13" s="1"/>
  <c r="O6" i="13" s="1"/>
  <c r="Y15" i="6"/>
  <c r="Y16" i="6" s="1"/>
  <c r="Z11" i="6"/>
  <c r="Y11" i="7"/>
  <c r="T56" i="7"/>
  <c r="Y6" i="7"/>
  <c r="Y7" i="7" s="1"/>
  <c r="AA5" i="6"/>
  <c r="BB5" i="6" s="1"/>
  <c r="Z5" i="7"/>
  <c r="AA2" i="6"/>
  <c r="BB2" i="6" s="1"/>
  <c r="Z6" i="6"/>
  <c r="Z7" i="6" s="1"/>
  <c r="Z3" i="7"/>
  <c r="AA3" i="6"/>
  <c r="BB3" i="6" s="1"/>
  <c r="AA4" i="6"/>
  <c r="BB4" i="6" s="1"/>
  <c r="Z4" i="7"/>
  <c r="Y9" i="7"/>
  <c r="Z9" i="6"/>
  <c r="X15" i="7"/>
  <c r="X16" i="7" s="1"/>
  <c r="Z14" i="7"/>
  <c r="AA14" i="6"/>
  <c r="BB14" i="6" s="1"/>
  <c r="AA12" i="6"/>
  <c r="BB12" i="6" s="1"/>
  <c r="Z12" i="7"/>
  <c r="Z10" i="7"/>
  <c r="AA10" i="6"/>
  <c r="BB10" i="6" s="1"/>
  <c r="M5" i="12"/>
  <c r="N23" i="29"/>
  <c r="D42" i="29" s="1"/>
  <c r="D47" i="29" s="1"/>
  <c r="AB17" i="12"/>
  <c r="AB27" i="29"/>
  <c r="AR8" i="12"/>
  <c r="AS25" i="29" s="1"/>
  <c r="AR7" i="12"/>
  <c r="AS24" i="29" s="1"/>
  <c r="E74" i="6"/>
  <c r="S63" i="7"/>
  <c r="V21" i="7"/>
  <c r="W21" i="6"/>
  <c r="BA21" i="6" s="1"/>
  <c r="S52" i="6"/>
  <c r="R61" i="7"/>
  <c r="E69" i="7" s="1"/>
  <c r="AZ53" i="7"/>
  <c r="E15" i="8" s="1"/>
  <c r="S15" i="8" s="1"/>
  <c r="W20" i="6"/>
  <c r="BA20" i="6" s="1"/>
  <c r="V20" i="7"/>
  <c r="V23" i="6"/>
  <c r="E26" i="11"/>
  <c r="T51" i="6"/>
  <c r="R63" i="7"/>
  <c r="E72" i="7"/>
  <c r="U23" i="7"/>
  <c r="N3" i="12"/>
  <c r="B19" i="14"/>
  <c r="B20" i="14"/>
  <c r="J6" i="13"/>
  <c r="R62" i="7"/>
  <c r="E70" i="7" s="1"/>
  <c r="E43" i="12" s="1"/>
  <c r="AZ51" i="7"/>
  <c r="E14" i="8" s="1"/>
  <c r="V2" i="12"/>
  <c r="W22" i="29" s="1"/>
  <c r="F25" i="12"/>
  <c r="T24" i="7"/>
  <c r="T49" i="7"/>
  <c r="D26" i="12"/>
  <c r="S54" i="7"/>
  <c r="Q3" i="12" s="1"/>
  <c r="E73" i="7"/>
  <c r="AU5" i="5"/>
  <c r="AS22" i="12" s="1"/>
  <c r="N20" i="5"/>
  <c r="L34" i="8" s="1"/>
  <c r="B17" i="14"/>
  <c r="B16" i="14"/>
  <c r="E14" i="9"/>
  <c r="W26" i="3"/>
  <c r="W12" i="12" s="1"/>
  <c r="X26" i="29" s="1"/>
  <c r="X27" i="3"/>
  <c r="R52" i="7"/>
  <c r="E74" i="7"/>
  <c r="U24" i="6"/>
  <c r="U51" i="6" s="1"/>
  <c r="U61" i="6" s="1"/>
  <c r="U49" i="6"/>
  <c r="U56" i="6" s="1"/>
  <c r="U58" i="6" s="1"/>
  <c r="V22" i="7"/>
  <c r="W22" i="6"/>
  <c r="BA22" i="6" s="1"/>
  <c r="AR3" i="13"/>
  <c r="T65" i="6"/>
  <c r="T64" i="6"/>
  <c r="T63" i="6"/>
  <c r="T53" i="6"/>
  <c r="H12" i="11"/>
  <c r="B15" i="11"/>
  <c r="E12" i="8" l="1"/>
  <c r="E11" i="8"/>
  <c r="E21" i="8" s="1"/>
  <c r="E27" i="8" s="1"/>
  <c r="P29" i="29"/>
  <c r="S54" i="6"/>
  <c r="AZ52" i="6"/>
  <c r="E39" i="9"/>
  <c r="E12" i="9"/>
  <c r="S12" i="8" s="1"/>
  <c r="E11" i="9"/>
  <c r="E40" i="9" s="1"/>
  <c r="S10" i="8"/>
  <c r="T66" i="7"/>
  <c r="T64" i="7"/>
  <c r="Y15" i="7"/>
  <c r="Y16" i="7" s="1"/>
  <c r="N13" i="29"/>
  <c r="D34" i="29" s="1"/>
  <c r="D38" i="29" s="1"/>
  <c r="M21" i="12"/>
  <c r="M14" i="12" s="1"/>
  <c r="D37" i="12" s="1"/>
  <c r="G78" i="6"/>
  <c r="Z15" i="6"/>
  <c r="Z16" i="6" s="1"/>
  <c r="T58" i="7"/>
  <c r="AA11" i="6"/>
  <c r="BB11" i="6" s="1"/>
  <c r="Z11" i="7"/>
  <c r="E22" i="8"/>
  <c r="U56" i="7"/>
  <c r="U58" i="7"/>
  <c r="S11" i="8"/>
  <c r="T60" i="6"/>
  <c r="AB2" i="6"/>
  <c r="AA2" i="7"/>
  <c r="BB2" i="7" s="1"/>
  <c r="T61" i="6"/>
  <c r="AB3" i="6"/>
  <c r="AA3" i="7"/>
  <c r="BB3" i="7" s="1"/>
  <c r="G79" i="6"/>
  <c r="U33" i="3"/>
  <c r="U34" i="3" s="1"/>
  <c r="U35" i="3"/>
  <c r="U15" i="12" s="1"/>
  <c r="F38" i="12" s="1"/>
  <c r="AA5" i="7"/>
  <c r="BB5" i="7" s="1"/>
  <c r="AB5" i="6"/>
  <c r="G81" i="6"/>
  <c r="D48" i="29"/>
  <c r="N28" i="29"/>
  <c r="AA4" i="7"/>
  <c r="BB4" i="7" s="1"/>
  <c r="AB4" i="6"/>
  <c r="G80" i="6"/>
  <c r="Z6" i="7"/>
  <c r="Z7" i="7" s="1"/>
  <c r="AA6" i="6"/>
  <c r="AA7" i="6" s="1"/>
  <c r="BB7" i="6" s="1"/>
  <c r="Z9" i="7"/>
  <c r="Z15" i="7" s="1"/>
  <c r="AA9" i="6"/>
  <c r="AA15" i="6" s="1"/>
  <c r="AA16" i="6" s="1"/>
  <c r="AA14" i="7"/>
  <c r="BB14" i="7" s="1"/>
  <c r="AB14" i="6"/>
  <c r="G89" i="6"/>
  <c r="AB12" i="6"/>
  <c r="AA12" i="7"/>
  <c r="BB12" i="7" s="1"/>
  <c r="G87" i="6"/>
  <c r="T52" i="6"/>
  <c r="D28" i="12"/>
  <c r="E29" i="8"/>
  <c r="N5" i="12"/>
  <c r="O23" i="29"/>
  <c r="Q5" i="12"/>
  <c r="R23" i="29"/>
  <c r="R28" i="29" s="1"/>
  <c r="AB10" i="6"/>
  <c r="AA10" i="7"/>
  <c r="G85" i="6"/>
  <c r="AC17" i="12"/>
  <c r="H40" i="12" s="1"/>
  <c r="AC27" i="29"/>
  <c r="AS8" i="12"/>
  <c r="AT25" i="29" s="1"/>
  <c r="L44" i="29" s="1"/>
  <c r="AS7" i="12"/>
  <c r="AT24" i="29" s="1"/>
  <c r="L43" i="29" s="1"/>
  <c r="R54" i="7"/>
  <c r="AZ52" i="7"/>
  <c r="T51" i="7"/>
  <c r="T52" i="7" s="1"/>
  <c r="W22" i="7"/>
  <c r="BA22" i="7" s="1"/>
  <c r="X22" i="6"/>
  <c r="X26" i="3"/>
  <c r="X12" i="12" s="1"/>
  <c r="Y26" i="29" s="1"/>
  <c r="Y27" i="3"/>
  <c r="E27" i="11"/>
  <c r="L25" i="11" s="1"/>
  <c r="G24" i="11"/>
  <c r="V24" i="6"/>
  <c r="V49" i="6"/>
  <c r="V56" i="6" s="1"/>
  <c r="V58" i="6" s="1"/>
  <c r="C15" i="11"/>
  <c r="T65" i="7"/>
  <c r="T53" i="7"/>
  <c r="W2" i="12"/>
  <c r="X22" i="29" s="1"/>
  <c r="U24" i="7"/>
  <c r="U51" i="7" s="1"/>
  <c r="U62" i="7" s="1"/>
  <c r="U49" i="7"/>
  <c r="V23" i="7"/>
  <c r="W21" i="7"/>
  <c r="BA21" i="7" s="1"/>
  <c r="X21" i="6"/>
  <c r="F7" i="9"/>
  <c r="F6" i="9"/>
  <c r="U65" i="6"/>
  <c r="U64" i="6"/>
  <c r="U63" i="6"/>
  <c r="U52" i="6"/>
  <c r="U53" i="6"/>
  <c r="U60" i="6" s="1"/>
  <c r="E42" i="9"/>
  <c r="S14" i="8"/>
  <c r="AS3" i="13"/>
  <c r="L19" i="13" s="1"/>
  <c r="L5" i="14" s="1"/>
  <c r="L29" i="12"/>
  <c r="F24" i="8"/>
  <c r="AU6" i="5"/>
  <c r="F39" i="3"/>
  <c r="F7" i="8" s="1"/>
  <c r="W20" i="7"/>
  <c r="X20" i="6"/>
  <c r="W23" i="6"/>
  <c r="BA23" i="6" s="1"/>
  <c r="E75" i="7"/>
  <c r="M18" i="12" l="1"/>
  <c r="S55" i="6"/>
  <c r="AZ55" i="6" s="1"/>
  <c r="AZ54" i="6"/>
  <c r="E22" i="9"/>
  <c r="S22" i="8" s="1"/>
  <c r="E41" i="9"/>
  <c r="D16" i="9"/>
  <c r="D16" i="8"/>
  <c r="D20" i="8" s="1"/>
  <c r="D26" i="8" s="1"/>
  <c r="D30" i="8" s="1"/>
  <c r="U64" i="7"/>
  <c r="U66" i="7"/>
  <c r="N17" i="29"/>
  <c r="D39" i="29" s="1"/>
  <c r="R13" i="29"/>
  <c r="R17" i="29" s="1"/>
  <c r="R19" i="29" s="1"/>
  <c r="Q21" i="12"/>
  <c r="Q14" i="12" s="1"/>
  <c r="O13" i="29"/>
  <c r="O17" i="29" s="1"/>
  <c r="N21" i="12"/>
  <c r="N14" i="12" s="1"/>
  <c r="N5" i="14"/>
  <c r="M5" i="14"/>
  <c r="E28" i="8"/>
  <c r="V58" i="7"/>
  <c r="V56" i="7"/>
  <c r="AA11" i="7"/>
  <c r="BB11" i="7" s="1"/>
  <c r="AB11" i="6"/>
  <c r="G86" i="6"/>
  <c r="V36" i="3"/>
  <c r="V33" i="3"/>
  <c r="V34" i="3" s="1"/>
  <c r="W36" i="3" s="1"/>
  <c r="V35" i="3"/>
  <c r="V15" i="12" s="1"/>
  <c r="AB2" i="7"/>
  <c r="BB6" i="6"/>
  <c r="AB6" i="6"/>
  <c r="BB9" i="6"/>
  <c r="F8" i="9"/>
  <c r="T8" i="8" s="1"/>
  <c r="AA8" i="8" s="1"/>
  <c r="AC2" i="6"/>
  <c r="AC2" i="7" s="1"/>
  <c r="BB16" i="6"/>
  <c r="V51" i="6"/>
  <c r="V52" i="6" s="1"/>
  <c r="T54" i="6"/>
  <c r="F48" i="12"/>
  <c r="AA6" i="7"/>
  <c r="AA7" i="7" s="1"/>
  <c r="BB7" i="7" s="1"/>
  <c r="W23" i="7"/>
  <c r="BA23" i="7" s="1"/>
  <c r="BB15" i="6"/>
  <c r="AB5" i="7"/>
  <c r="AC5" i="6"/>
  <c r="G82" i="6"/>
  <c r="AB3" i="7"/>
  <c r="AC3" i="6"/>
  <c r="N29" i="29"/>
  <c r="D41" i="12"/>
  <c r="D49" i="29"/>
  <c r="O28" i="29"/>
  <c r="L30" i="12"/>
  <c r="AB4" i="7"/>
  <c r="AC4" i="6"/>
  <c r="AA9" i="7"/>
  <c r="BB9" i="7" s="1"/>
  <c r="AB9" i="6"/>
  <c r="G84" i="6"/>
  <c r="AB14" i="7"/>
  <c r="AC14" i="6"/>
  <c r="R29" i="29"/>
  <c r="AB12" i="7"/>
  <c r="AC12" i="6"/>
  <c r="AB10" i="7"/>
  <c r="AC10" i="6"/>
  <c r="BB10" i="7"/>
  <c r="Z16" i="7"/>
  <c r="Q18" i="12"/>
  <c r="Q4" i="13" s="1"/>
  <c r="Q6" i="13" s="1"/>
  <c r="AD17" i="12"/>
  <c r="AD27" i="29"/>
  <c r="H46" i="29" s="1"/>
  <c r="L31" i="12"/>
  <c r="L33" i="8" s="1"/>
  <c r="L35" i="8" s="1"/>
  <c r="M4" i="13"/>
  <c r="M6" i="13" s="1"/>
  <c r="M19" i="12"/>
  <c r="T61" i="7"/>
  <c r="U54" i="6"/>
  <c r="F34" i="9"/>
  <c r="F33" i="9" s="1"/>
  <c r="X21" i="7"/>
  <c r="Y21" i="6"/>
  <c r="U65" i="7"/>
  <c r="U53" i="7"/>
  <c r="U61" i="7" s="1"/>
  <c r="U52" i="7"/>
  <c r="X2" i="12"/>
  <c r="Y22" i="29" s="1"/>
  <c r="D15" i="11"/>
  <c r="J13" i="11"/>
  <c r="Y22" i="6"/>
  <c r="X22" i="7"/>
  <c r="V24" i="7"/>
  <c r="V49" i="7"/>
  <c r="W24" i="6"/>
  <c r="W51" i="6" s="1"/>
  <c r="W61" i="6" s="1"/>
  <c r="W49" i="6"/>
  <c r="W56" i="6" s="1"/>
  <c r="W58" i="6" s="1"/>
  <c r="X20" i="7"/>
  <c r="Y20" i="6"/>
  <c r="X23" i="6"/>
  <c r="F6" i="8"/>
  <c r="T6" i="8" s="1"/>
  <c r="T7" i="8"/>
  <c r="P3" i="12"/>
  <c r="S55" i="7"/>
  <c r="AZ55" i="7" s="1"/>
  <c r="AZ54" i="7"/>
  <c r="BA20" i="7"/>
  <c r="T54" i="7"/>
  <c r="T63" i="7"/>
  <c r="V65" i="6"/>
  <c r="V64" i="6"/>
  <c r="V63" i="6"/>
  <c r="V53" i="6"/>
  <c r="E28" i="11"/>
  <c r="Z27" i="3"/>
  <c r="Y26" i="3"/>
  <c r="Y12" i="12" s="1"/>
  <c r="T62" i="7"/>
  <c r="D28" i="9" l="1"/>
  <c r="R16" i="8"/>
  <c r="D17" i="9"/>
  <c r="V64" i="7"/>
  <c r="V66" i="7"/>
  <c r="N18" i="12"/>
  <c r="N4" i="13" s="1"/>
  <c r="F9" i="9"/>
  <c r="Q9" i="9" s="1"/>
  <c r="Q8" i="9"/>
  <c r="N19" i="29"/>
  <c r="G90" i="6"/>
  <c r="W49" i="7"/>
  <c r="W65" i="7" s="1"/>
  <c r="AB6" i="7"/>
  <c r="AB7" i="7" s="1"/>
  <c r="AD2" i="6"/>
  <c r="AD2" i="7" s="1"/>
  <c r="W24" i="7"/>
  <c r="W51" i="7" s="1"/>
  <c r="W62" i="7" s="1"/>
  <c r="BB6" i="7"/>
  <c r="BA24" i="6"/>
  <c r="AB11" i="7"/>
  <c r="AC11" i="6"/>
  <c r="AC6" i="6"/>
  <c r="AC7" i="6" s="1"/>
  <c r="W50" i="6"/>
  <c r="BA50" i="6" s="1"/>
  <c r="AB7" i="6"/>
  <c r="V60" i="6"/>
  <c r="W33" i="3"/>
  <c r="W34" i="3" s="1"/>
  <c r="BA49" i="6"/>
  <c r="V61" i="6"/>
  <c r="F69" i="6" s="1"/>
  <c r="F14" i="9" s="1"/>
  <c r="BA51" i="6"/>
  <c r="W35" i="3"/>
  <c r="W15" i="12" s="1"/>
  <c r="G91" i="6"/>
  <c r="AB15" i="6"/>
  <c r="AB16" i="6" s="1"/>
  <c r="AA15" i="7"/>
  <c r="AA16" i="7" s="1"/>
  <c r="BB16" i="7" s="1"/>
  <c r="AC3" i="7"/>
  <c r="AD3" i="6"/>
  <c r="O29" i="29"/>
  <c r="AD5" i="6"/>
  <c r="AC5" i="7"/>
  <c r="O19" i="29"/>
  <c r="AD4" i="6"/>
  <c r="AC4" i="7"/>
  <c r="AB9" i="7"/>
  <c r="AC9" i="6"/>
  <c r="AC14" i="7"/>
  <c r="AD14" i="6"/>
  <c r="AD12" i="6"/>
  <c r="AC12" i="7"/>
  <c r="P5" i="12"/>
  <c r="Q23" i="29"/>
  <c r="AC10" i="7"/>
  <c r="AD10" i="6"/>
  <c r="AE17" i="12"/>
  <c r="AE27" i="29"/>
  <c r="G35" i="12"/>
  <c r="Z26" i="29"/>
  <c r="G45" i="29" s="1"/>
  <c r="D20" i="13"/>
  <c r="D6" i="14" s="1"/>
  <c r="U63" i="7"/>
  <c r="Y20" i="7"/>
  <c r="Z20" i="6"/>
  <c r="Y23" i="6"/>
  <c r="Y21" i="7"/>
  <c r="Z21" i="6"/>
  <c r="AA27" i="3"/>
  <c r="Z26" i="3"/>
  <c r="Z12" i="12" s="1"/>
  <c r="AA26" i="29" s="1"/>
  <c r="T9" i="8"/>
  <c r="AA9" i="8" s="1"/>
  <c r="Y2" i="12"/>
  <c r="Z22" i="29" s="1"/>
  <c r="G41" i="29" s="1"/>
  <c r="D22" i="13"/>
  <c r="V51" i="7"/>
  <c r="V52" i="7" s="1"/>
  <c r="V54" i="6"/>
  <c r="X23" i="7"/>
  <c r="Y22" i="7"/>
  <c r="Z22" i="6"/>
  <c r="R3" i="12"/>
  <c r="K13" i="11"/>
  <c r="B16" i="11"/>
  <c r="E29" i="11"/>
  <c r="N6" i="13"/>
  <c r="E26" i="12"/>
  <c r="X24" i="6"/>
  <c r="X49" i="6"/>
  <c r="X56" i="6" s="1"/>
  <c r="X58" i="6" s="1"/>
  <c r="W65" i="6"/>
  <c r="F73" i="6" s="1"/>
  <c r="F45" i="9" s="1"/>
  <c r="W64" i="6"/>
  <c r="F72" i="6" s="1"/>
  <c r="F44" i="9" s="1"/>
  <c r="W63" i="6"/>
  <c r="F71" i="6" s="1"/>
  <c r="F43" i="9" s="1"/>
  <c r="W53" i="6"/>
  <c r="W60" i="6" s="1"/>
  <c r="W52" i="6"/>
  <c r="BA52" i="6" s="1"/>
  <c r="V65" i="7"/>
  <c r="V53" i="7"/>
  <c r="V61" i="7" s="1"/>
  <c r="F4" i="10"/>
  <c r="U54" i="7"/>
  <c r="S3" i="12" s="1"/>
  <c r="AC15" i="6" l="1"/>
  <c r="AC16" i="6" s="1"/>
  <c r="W53" i="7"/>
  <c r="W61" i="7" s="1"/>
  <c r="R17" i="8"/>
  <c r="D29" i="9"/>
  <c r="W50" i="7"/>
  <c r="BA50" i="7" s="1"/>
  <c r="W64" i="7"/>
  <c r="F72" i="7" s="1"/>
  <c r="W66" i="7"/>
  <c r="BA49" i="7"/>
  <c r="Q13" i="29"/>
  <c r="E34" i="29" s="1"/>
  <c r="P21" i="12"/>
  <c r="P14" i="12" s="1"/>
  <c r="E37" i="12" s="1"/>
  <c r="X36" i="3"/>
  <c r="X33" i="3"/>
  <c r="X34" i="3" s="1"/>
  <c r="Y36" i="3" s="1"/>
  <c r="Y35" i="3" s="1"/>
  <c r="X35" i="3"/>
  <c r="X15" i="12" s="1"/>
  <c r="AB15" i="7"/>
  <c r="AB16" i="7" s="1"/>
  <c r="BA24" i="7"/>
  <c r="AE2" i="6"/>
  <c r="AE2" i="7" s="1"/>
  <c r="W52" i="7"/>
  <c r="BA53" i="6"/>
  <c r="F15" i="9" s="1"/>
  <c r="F46" i="9" s="1"/>
  <c r="BB15" i="7"/>
  <c r="F68" i="6"/>
  <c r="F74" i="6" s="1"/>
  <c r="W56" i="7"/>
  <c r="BA56" i="7" s="1"/>
  <c r="BA56" i="6"/>
  <c r="X56" i="7"/>
  <c r="AD11" i="6"/>
  <c r="AC11" i="7"/>
  <c r="AD6" i="6"/>
  <c r="AE5" i="6"/>
  <c r="BC5" i="6" s="1"/>
  <c r="AD5" i="7"/>
  <c r="AC6" i="7"/>
  <c r="AC7" i="7" s="1"/>
  <c r="AD3" i="7"/>
  <c r="AE3" i="6"/>
  <c r="BC3" i="6" s="1"/>
  <c r="Q17" i="29"/>
  <c r="Q28" i="29"/>
  <c r="E42" i="29"/>
  <c r="E47" i="29" s="1"/>
  <c r="AE4" i="6"/>
  <c r="AD4" i="7"/>
  <c r="AC9" i="7"/>
  <c r="AD9" i="6"/>
  <c r="AD14" i="7"/>
  <c r="AE14" i="6"/>
  <c r="BC14" i="6" s="1"/>
  <c r="AE12" i="6"/>
  <c r="BC12" i="6" s="1"/>
  <c r="AD12" i="7"/>
  <c r="E28" i="12"/>
  <c r="E41" i="12" s="1"/>
  <c r="S5" i="12"/>
  <c r="T23" i="29"/>
  <c r="T28" i="29" s="1"/>
  <c r="R5" i="12"/>
  <c r="S23" i="29"/>
  <c r="AD10" i="7"/>
  <c r="AE10" i="6"/>
  <c r="BC10" i="6" s="1"/>
  <c r="AF17" i="12"/>
  <c r="AF27" i="29"/>
  <c r="F69" i="7"/>
  <c r="W54" i="7"/>
  <c r="U3" i="12" s="1"/>
  <c r="AF2" i="6"/>
  <c r="H78" i="6"/>
  <c r="W54" i="6"/>
  <c r="W55" i="6" s="1"/>
  <c r="BA55" i="6" s="1"/>
  <c r="F74" i="7"/>
  <c r="BA53" i="7"/>
  <c r="F15" i="8" s="1"/>
  <c r="P18" i="12"/>
  <c r="V54" i="7"/>
  <c r="T3" i="12" s="1"/>
  <c r="U23" i="29" s="1"/>
  <c r="U28" i="29" s="1"/>
  <c r="BA52" i="7"/>
  <c r="AA26" i="3"/>
  <c r="AA12" i="12" s="1"/>
  <c r="AB26" i="29" s="1"/>
  <c r="AB27" i="3"/>
  <c r="E30" i="11"/>
  <c r="L28" i="11" s="1"/>
  <c r="G27" i="11"/>
  <c r="X24" i="7"/>
  <c r="X49" i="7"/>
  <c r="Z2" i="12"/>
  <c r="AA22" i="29" s="1"/>
  <c r="G25" i="12"/>
  <c r="Y24" i="6"/>
  <c r="Y51" i="6" s="1"/>
  <c r="Y61" i="6" s="1"/>
  <c r="Y49" i="6"/>
  <c r="Y56" i="6" s="1"/>
  <c r="Y58" i="6" s="1"/>
  <c r="X65" i="6"/>
  <c r="X64" i="6"/>
  <c r="X63" i="6"/>
  <c r="X53" i="6"/>
  <c r="W63" i="7"/>
  <c r="V63" i="7"/>
  <c r="X51" i="6"/>
  <c r="Z22" i="7"/>
  <c r="AA22" i="6"/>
  <c r="BB22" i="6" s="1"/>
  <c r="Z20" i="7"/>
  <c r="AA20" i="6"/>
  <c r="BB20" i="6" s="1"/>
  <c r="Z23" i="6"/>
  <c r="F42" i="9"/>
  <c r="F5" i="10"/>
  <c r="F7" i="13"/>
  <c r="F73" i="7"/>
  <c r="C16" i="11"/>
  <c r="V62" i="7"/>
  <c r="F70" i="7" s="1"/>
  <c r="F43" i="12" s="1"/>
  <c r="BA51" i="7"/>
  <c r="F14" i="8" s="1"/>
  <c r="Z21" i="7"/>
  <c r="AA21" i="6"/>
  <c r="BB21" i="6" s="1"/>
  <c r="Y23" i="7"/>
  <c r="E16" i="9" l="1"/>
  <c r="E16" i="8"/>
  <c r="E20" i="8" s="1"/>
  <c r="E26" i="8" s="1"/>
  <c r="E30" i="8" s="1"/>
  <c r="X64" i="7"/>
  <c r="X66" i="7"/>
  <c r="Y15" i="12"/>
  <c r="T13" i="29"/>
  <c r="T17" i="29" s="1"/>
  <c r="T19" i="29" s="1"/>
  <c r="S21" i="12"/>
  <c r="S14" i="12" s="1"/>
  <c r="S18" i="12" s="1"/>
  <c r="S4" i="13" s="1"/>
  <c r="S6" i="13" s="1"/>
  <c r="S13" i="29"/>
  <c r="R21" i="12"/>
  <c r="R14" i="12" s="1"/>
  <c r="T15" i="8"/>
  <c r="AD6" i="7"/>
  <c r="AD7" i="7" s="1"/>
  <c r="BC2" i="6"/>
  <c r="AC15" i="7"/>
  <c r="AC16" i="7" s="1"/>
  <c r="AE11" i="6"/>
  <c r="AD11" i="7"/>
  <c r="X58" i="7"/>
  <c r="W58" i="7"/>
  <c r="BA58" i="7" s="1"/>
  <c r="F10" i="8" s="1"/>
  <c r="BA58" i="6"/>
  <c r="F10" i="9" s="1"/>
  <c r="Y58" i="7"/>
  <c r="Y56" i="7"/>
  <c r="X61" i="6"/>
  <c r="AD15" i="6"/>
  <c r="X60" i="6"/>
  <c r="BA54" i="6"/>
  <c r="AF2" i="7"/>
  <c r="AE6" i="6"/>
  <c r="AE7" i="6" s="1"/>
  <c r="AD7" i="6"/>
  <c r="BC4" i="6"/>
  <c r="AE3" i="7"/>
  <c r="BC3" i="7" s="1"/>
  <c r="AF3" i="6"/>
  <c r="H79" i="6"/>
  <c r="Y33" i="3"/>
  <c r="Y34" i="3" s="1"/>
  <c r="AF5" i="6"/>
  <c r="AE5" i="7"/>
  <c r="BC5" i="7" s="1"/>
  <c r="H81" i="6"/>
  <c r="Q19" i="29"/>
  <c r="E38" i="29"/>
  <c r="Q29" i="29"/>
  <c r="S28" i="29"/>
  <c r="S17" i="29"/>
  <c r="AE4" i="7"/>
  <c r="BC4" i="7" s="1"/>
  <c r="AF4" i="6"/>
  <c r="H80" i="6"/>
  <c r="AD9" i="7"/>
  <c r="AE9" i="6"/>
  <c r="AE15" i="6" s="1"/>
  <c r="T29" i="29"/>
  <c r="AF14" i="6"/>
  <c r="AE14" i="7"/>
  <c r="BC14" i="7" s="1"/>
  <c r="H89" i="6"/>
  <c r="AF12" i="6"/>
  <c r="AE12" i="7"/>
  <c r="BC12" i="7" s="1"/>
  <c r="H87" i="6"/>
  <c r="AF10" i="6"/>
  <c r="AE10" i="7"/>
  <c r="H85" i="6"/>
  <c r="U5" i="12"/>
  <c r="V23" i="29"/>
  <c r="V28" i="29" s="1"/>
  <c r="AG17" i="12"/>
  <c r="I40" i="12" s="1"/>
  <c r="AG27" i="29"/>
  <c r="P4" i="13"/>
  <c r="P6" i="13" s="1"/>
  <c r="F29" i="8"/>
  <c r="F26" i="12"/>
  <c r="T5" i="12"/>
  <c r="T21" i="12" s="1"/>
  <c r="T14" i="12" s="1"/>
  <c r="Q19" i="12"/>
  <c r="BC2" i="7"/>
  <c r="AG2" i="6"/>
  <c r="AG2" i="7" s="1"/>
  <c r="BA54" i="7"/>
  <c r="W55" i="7"/>
  <c r="BA55" i="7" s="1"/>
  <c r="G40" i="3"/>
  <c r="G7" i="9" s="1"/>
  <c r="G39" i="3"/>
  <c r="G7" i="8" s="1"/>
  <c r="G6" i="8" s="1"/>
  <c r="D16" i="11"/>
  <c r="F11" i="13"/>
  <c r="F14" i="13" s="1"/>
  <c r="F7" i="10"/>
  <c r="Z24" i="6"/>
  <c r="Z51" i="6" s="1"/>
  <c r="Z61" i="6" s="1"/>
  <c r="Z49" i="6"/>
  <c r="Z56" i="6" s="1"/>
  <c r="Z58" i="6" s="1"/>
  <c r="X52" i="6"/>
  <c r="G24" i="8"/>
  <c r="G38" i="12"/>
  <c r="Y24" i="7"/>
  <c r="Y51" i="7" s="1"/>
  <c r="Y62" i="7" s="1"/>
  <c r="Y49" i="7"/>
  <c r="AA21" i="7"/>
  <c r="BB21" i="7" s="1"/>
  <c r="AB21" i="6"/>
  <c r="F8" i="13"/>
  <c r="AA20" i="7"/>
  <c r="BB20" i="7" s="1"/>
  <c r="AB20" i="6"/>
  <c r="AA23" i="6"/>
  <c r="BB23" i="6" s="1"/>
  <c r="AA2" i="12"/>
  <c r="AB22" i="29" s="1"/>
  <c r="X51" i="7"/>
  <c r="X52" i="7" s="1"/>
  <c r="AB26" i="3"/>
  <c r="AB12" i="12" s="1"/>
  <c r="AC26" i="29" s="1"/>
  <c r="AC27" i="3"/>
  <c r="Y52" i="6"/>
  <c r="Y53" i="6"/>
  <c r="Y60" i="6" s="1"/>
  <c r="Y63" i="6"/>
  <c r="Y65" i="6"/>
  <c r="Y64" i="6"/>
  <c r="X65" i="7"/>
  <c r="X53" i="7"/>
  <c r="F6" i="10"/>
  <c r="T14" i="8"/>
  <c r="Z23" i="7"/>
  <c r="AA22" i="7"/>
  <c r="BB22" i="7" s="1"/>
  <c r="AB22" i="6"/>
  <c r="E31" i="11"/>
  <c r="F75" i="7"/>
  <c r="BC6" i="6" l="1"/>
  <c r="Y64" i="7"/>
  <c r="Y66" i="7"/>
  <c r="R18" i="12"/>
  <c r="R4" i="13" s="1"/>
  <c r="E28" i="9"/>
  <c r="S16" i="8"/>
  <c r="E17" i="9"/>
  <c r="U21" i="12"/>
  <c r="U14" i="12" s="1"/>
  <c r="U18" i="12" s="1"/>
  <c r="U4" i="13" s="1"/>
  <c r="U6" i="13" s="1"/>
  <c r="BC7" i="6"/>
  <c r="BC9" i="6"/>
  <c r="F39" i="9"/>
  <c r="F11" i="9"/>
  <c r="F40" i="9" s="1"/>
  <c r="F12" i="9"/>
  <c r="T10" i="8"/>
  <c r="BC11" i="6"/>
  <c r="AF11" i="6"/>
  <c r="AE11" i="7"/>
  <c r="BC11" i="7" s="1"/>
  <c r="H86" i="6"/>
  <c r="Z56" i="7"/>
  <c r="Z58" i="7"/>
  <c r="F12" i="8"/>
  <c r="F22" i="8" s="1"/>
  <c r="F28" i="8" s="1"/>
  <c r="F11" i="8"/>
  <c r="AD16" i="6"/>
  <c r="BC15" i="6"/>
  <c r="X54" i="6"/>
  <c r="Z36" i="3"/>
  <c r="Z35" i="3" s="1"/>
  <c r="Z33" i="3"/>
  <c r="Z34" i="3" s="1"/>
  <c r="AF5" i="7"/>
  <c r="AG5" i="6"/>
  <c r="H82" i="6"/>
  <c r="AF3" i="7"/>
  <c r="AG3" i="6"/>
  <c r="G6" i="9"/>
  <c r="G34" i="9" s="1"/>
  <c r="G33" i="9" s="1"/>
  <c r="S29" i="29"/>
  <c r="E39" i="29"/>
  <c r="E48" i="29"/>
  <c r="S19" i="29"/>
  <c r="AE6" i="7"/>
  <c r="BC6" i="7" s="1"/>
  <c r="F42" i="29"/>
  <c r="F47" i="29" s="1"/>
  <c r="AF4" i="7"/>
  <c r="AG4" i="6"/>
  <c r="AF6" i="6"/>
  <c r="AD15" i="7"/>
  <c r="AD16" i="7" s="1"/>
  <c r="AE9" i="7"/>
  <c r="BC9" i="7" s="1"/>
  <c r="AF9" i="6"/>
  <c r="H84" i="6"/>
  <c r="AF14" i="7"/>
  <c r="AG14" i="6"/>
  <c r="V13" i="29"/>
  <c r="V17" i="29" s="1"/>
  <c r="V19" i="29" s="1"/>
  <c r="AF12" i="7"/>
  <c r="AG12" i="6"/>
  <c r="AF10" i="7"/>
  <c r="AG10" i="6"/>
  <c r="AE16" i="6"/>
  <c r="BC10" i="7"/>
  <c r="F28" i="12"/>
  <c r="U13" i="29"/>
  <c r="AH17" i="12"/>
  <c r="AH27" i="29"/>
  <c r="I46" i="29" s="1"/>
  <c r="E20" i="13"/>
  <c r="E6" i="14" s="1"/>
  <c r="U7" i="8"/>
  <c r="AH2" i="6"/>
  <c r="AH2" i="7" s="1"/>
  <c r="Y54" i="6"/>
  <c r="T18" i="12"/>
  <c r="G48" i="12"/>
  <c r="X54" i="7"/>
  <c r="AC22" i="6"/>
  <c r="AB22" i="7"/>
  <c r="AD27" i="3"/>
  <c r="AC26" i="3"/>
  <c r="AC12" i="12" s="1"/>
  <c r="AA23" i="7"/>
  <c r="F15" i="13"/>
  <c r="Z65" i="6"/>
  <c r="Z64" i="6"/>
  <c r="Z63" i="6"/>
  <c r="Z52" i="6"/>
  <c r="Z53" i="6"/>
  <c r="Z60" i="6" s="1"/>
  <c r="F13" i="13"/>
  <c r="R6" i="13"/>
  <c r="AB20" i="7"/>
  <c r="AC20" i="6"/>
  <c r="AB23" i="6"/>
  <c r="B17" i="11"/>
  <c r="Z24" i="7"/>
  <c r="Z49" i="7"/>
  <c r="E22" i="13"/>
  <c r="E32" i="11"/>
  <c r="X61" i="7"/>
  <c r="X63" i="7"/>
  <c r="X62" i="7"/>
  <c r="AB2" i="12"/>
  <c r="AC22" i="29" s="1"/>
  <c r="AA24" i="6"/>
  <c r="BB24" i="6" s="1"/>
  <c r="AA49" i="6"/>
  <c r="AA56" i="6" s="1"/>
  <c r="AA58" i="6" s="1"/>
  <c r="F9" i="13"/>
  <c r="F10" i="13" s="1"/>
  <c r="AB21" i="7"/>
  <c r="AC21" i="6"/>
  <c r="Y65" i="7"/>
  <c r="Y53" i="7"/>
  <c r="Y61" i="7" s="1"/>
  <c r="Y52" i="7"/>
  <c r="F37" i="12" l="1"/>
  <c r="E29" i="9"/>
  <c r="S17" i="8"/>
  <c r="Z64" i="7"/>
  <c r="Z66" i="7"/>
  <c r="F41" i="12"/>
  <c r="U6" i="8"/>
  <c r="T11" i="8"/>
  <c r="F21" i="8"/>
  <c r="F27" i="8" s="1"/>
  <c r="F41" i="9"/>
  <c r="T12" i="8"/>
  <c r="F22" i="9"/>
  <c r="T22" i="8" s="1"/>
  <c r="AA50" i="6"/>
  <c r="BB50" i="6" s="1"/>
  <c r="AF11" i="7"/>
  <c r="AG11" i="6"/>
  <c r="H90" i="6"/>
  <c r="H91" i="6" s="1"/>
  <c r="AA36" i="3"/>
  <c r="AA35" i="3" s="1"/>
  <c r="AA15" i="12" s="1"/>
  <c r="AA33" i="3"/>
  <c r="AA34" i="3" s="1"/>
  <c r="AB36" i="3" s="1"/>
  <c r="AB35" i="3" s="1"/>
  <c r="AE7" i="7"/>
  <c r="BC7" i="7" s="1"/>
  <c r="BC16" i="6"/>
  <c r="BB49" i="6"/>
  <c r="AF15" i="6"/>
  <c r="AF7" i="6"/>
  <c r="AE15" i="7"/>
  <c r="AE16" i="7" s="1"/>
  <c r="BC16" i="7" s="1"/>
  <c r="AG3" i="7"/>
  <c r="AH3" i="6"/>
  <c r="AG6" i="6"/>
  <c r="AG7" i="6" s="1"/>
  <c r="AF6" i="7"/>
  <c r="AF7" i="7" s="1"/>
  <c r="AH5" i="6"/>
  <c r="AG5" i="7"/>
  <c r="E49" i="29"/>
  <c r="F34" i="29"/>
  <c r="U17" i="29"/>
  <c r="F38" i="29" s="1"/>
  <c r="AH4" i="6"/>
  <c r="AG4" i="7"/>
  <c r="V29" i="29"/>
  <c r="AF9" i="7"/>
  <c r="AG9" i="6"/>
  <c r="AG14" i="7"/>
  <c r="AH14" i="6"/>
  <c r="AH12" i="6"/>
  <c r="AG12" i="7"/>
  <c r="AG10" i="7"/>
  <c r="AH10" i="6"/>
  <c r="AI17" i="12"/>
  <c r="AI27" i="29"/>
  <c r="H35" i="12"/>
  <c r="AD26" i="29"/>
  <c r="H45" i="29" s="1"/>
  <c r="T4" i="13"/>
  <c r="T6" i="13" s="1"/>
  <c r="F22" i="13" s="1"/>
  <c r="U19" i="12"/>
  <c r="AI2" i="6"/>
  <c r="BD2" i="6" s="1"/>
  <c r="Z54" i="6"/>
  <c r="Y63" i="7"/>
  <c r="AC21" i="7"/>
  <c r="AD21" i="6"/>
  <c r="AC2" i="12"/>
  <c r="Z65" i="7"/>
  <c r="Z53" i="7"/>
  <c r="Z61" i="7" s="1"/>
  <c r="AB23" i="7"/>
  <c r="AE27" i="3"/>
  <c r="AD26" i="3"/>
  <c r="AD12" i="12" s="1"/>
  <c r="AE26" i="29" s="1"/>
  <c r="AC22" i="7"/>
  <c r="AD22" i="6"/>
  <c r="Z15" i="12"/>
  <c r="AA65" i="6"/>
  <c r="G73" i="6" s="1"/>
  <c r="G45" i="9" s="1"/>
  <c r="AA64" i="6"/>
  <c r="G72" i="6" s="1"/>
  <c r="G44" i="9" s="1"/>
  <c r="AA63" i="6"/>
  <c r="G71" i="6" s="1"/>
  <c r="G43" i="9" s="1"/>
  <c r="AA53" i="6"/>
  <c r="Z51" i="7"/>
  <c r="Z52" i="7" s="1"/>
  <c r="AB24" i="6"/>
  <c r="AB49" i="6"/>
  <c r="AB56" i="6" s="1"/>
  <c r="AB58" i="6" s="1"/>
  <c r="Y54" i="7"/>
  <c r="W3" i="12" s="1"/>
  <c r="AA51" i="6"/>
  <c r="E33" i="11"/>
  <c r="G30" i="11"/>
  <c r="AC20" i="7"/>
  <c r="AD20" i="6"/>
  <c r="AC23" i="6"/>
  <c r="V3" i="12"/>
  <c r="F12" i="13"/>
  <c r="C17" i="11"/>
  <c r="AA24" i="7"/>
  <c r="AA51" i="7" s="1"/>
  <c r="AA62" i="7" s="1"/>
  <c r="AA49" i="7"/>
  <c r="BB23" i="7"/>
  <c r="AA64" i="7" l="1"/>
  <c r="AA66" i="7"/>
  <c r="G74" i="7" s="1"/>
  <c r="F16" i="8"/>
  <c r="F20" i="8" s="1"/>
  <c r="F26" i="8" s="1"/>
  <c r="F30" i="8" s="1"/>
  <c r="F16" i="9"/>
  <c r="AB33" i="3"/>
  <c r="AB34" i="3" s="1"/>
  <c r="AC36" i="3" s="1"/>
  <c r="AC35" i="3" s="1"/>
  <c r="AC15" i="12" s="1"/>
  <c r="U19" i="29"/>
  <c r="AG6" i="7"/>
  <c r="AG7" i="7" s="1"/>
  <c r="AG11" i="7"/>
  <c r="AH11" i="6"/>
  <c r="AB56" i="7"/>
  <c r="AA56" i="7"/>
  <c r="BB56" i="7" s="1"/>
  <c r="BB56" i="6"/>
  <c r="AG15" i="6"/>
  <c r="AG16" i="6" s="1"/>
  <c r="AF16" i="6"/>
  <c r="AA61" i="6"/>
  <c r="G69" i="6" s="1"/>
  <c r="BB51" i="6"/>
  <c r="BC15" i="7"/>
  <c r="AA60" i="6"/>
  <c r="G68" i="6" s="1"/>
  <c r="BB53" i="6"/>
  <c r="G15" i="9" s="1"/>
  <c r="G46" i="9" s="1"/>
  <c r="U29" i="29"/>
  <c r="AI5" i="6"/>
  <c r="BD5" i="6" s="1"/>
  <c r="AH5" i="7"/>
  <c r="AH6" i="6"/>
  <c r="AH7" i="6" s="1"/>
  <c r="AH3" i="7"/>
  <c r="AI3" i="6"/>
  <c r="BD3" i="6" s="1"/>
  <c r="AC23" i="7"/>
  <c r="AC49" i="7" s="1"/>
  <c r="AI2" i="7"/>
  <c r="BD2" i="7" s="1"/>
  <c r="AJ2" i="6"/>
  <c r="F39" i="29"/>
  <c r="F48" i="29"/>
  <c r="AI4" i="6"/>
  <c r="BD4" i="6" s="1"/>
  <c r="AH4" i="7"/>
  <c r="AG9" i="7"/>
  <c r="AH9" i="6"/>
  <c r="AF15" i="7"/>
  <c r="AF16" i="7" s="1"/>
  <c r="AH14" i="7"/>
  <c r="AI14" i="6"/>
  <c r="BD14" i="6" s="1"/>
  <c r="AI12" i="6"/>
  <c r="BD12" i="6" s="1"/>
  <c r="AH12" i="7"/>
  <c r="W5" i="12"/>
  <c r="X23" i="29"/>
  <c r="X28" i="29" s="1"/>
  <c r="AH10" i="7"/>
  <c r="AI10" i="6"/>
  <c r="BD10" i="6" s="1"/>
  <c r="V5" i="12"/>
  <c r="W23" i="29"/>
  <c r="H25" i="12"/>
  <c r="H24" i="8" s="1"/>
  <c r="AD22" i="29"/>
  <c r="H41" i="29" s="1"/>
  <c r="AJ17" i="12"/>
  <c r="AJ27" i="29"/>
  <c r="F20" i="13"/>
  <c r="F6" i="14" s="1"/>
  <c r="Z54" i="7"/>
  <c r="X3" i="12" s="1"/>
  <c r="AA52" i="6"/>
  <c r="I78" i="6"/>
  <c r="AC24" i="6"/>
  <c r="AC51" i="6" s="1"/>
  <c r="AC61" i="6" s="1"/>
  <c r="AC49" i="6"/>
  <c r="AC56" i="6" s="1"/>
  <c r="AC58" i="6" s="1"/>
  <c r="AB51" i="6"/>
  <c r="AB24" i="7"/>
  <c r="AB49" i="7"/>
  <c r="AE20" i="6"/>
  <c r="BC20" i="6" s="1"/>
  <c r="AD23" i="6"/>
  <c r="AD20" i="7"/>
  <c r="E34" i="11"/>
  <c r="AA65" i="7"/>
  <c r="G73" i="7" s="1"/>
  <c r="AA53" i="7"/>
  <c r="AA52" i="7"/>
  <c r="BB52" i="7" s="1"/>
  <c r="BB24" i="7"/>
  <c r="BB49" i="7"/>
  <c r="Z63" i="7"/>
  <c r="AD2" i="12"/>
  <c r="AE22" i="29" s="1"/>
  <c r="L31" i="11"/>
  <c r="AD22" i="7"/>
  <c r="AE22" i="6"/>
  <c r="BC22" i="6" s="1"/>
  <c r="AD21" i="7"/>
  <c r="AE21" i="6"/>
  <c r="BC21" i="6" s="1"/>
  <c r="D17" i="11"/>
  <c r="AB65" i="6"/>
  <c r="AB64" i="6"/>
  <c r="AB63" i="6"/>
  <c r="AB53" i="6"/>
  <c r="Z62" i="7"/>
  <c r="G70" i="7" s="1"/>
  <c r="BB51" i="7"/>
  <c r="G14" i="8" s="1"/>
  <c r="AE26" i="3"/>
  <c r="AE12" i="12" s="1"/>
  <c r="AF26" i="29" s="1"/>
  <c r="AF27" i="3"/>
  <c r="AA50" i="7"/>
  <c r="BB50" i="7" s="1"/>
  <c r="AC64" i="7" l="1"/>
  <c r="AC66" i="7"/>
  <c r="AB66" i="7"/>
  <c r="AB64" i="7"/>
  <c r="T16" i="8"/>
  <c r="F28" i="9"/>
  <c r="F17" i="9"/>
  <c r="X13" i="29"/>
  <c r="X17" i="29" s="1"/>
  <c r="X19" i="29" s="1"/>
  <c r="W21" i="12"/>
  <c r="W14" i="12" s="1"/>
  <c r="W13" i="29"/>
  <c r="V21" i="12"/>
  <c r="V14" i="12" s="1"/>
  <c r="AC24" i="7"/>
  <c r="AC51" i="7" s="1"/>
  <c r="AC62" i="7" s="1"/>
  <c r="AA58" i="7"/>
  <c r="BB58" i="7" s="1"/>
  <c r="G10" i="8" s="1"/>
  <c r="BB58" i="6"/>
  <c r="G10" i="9" s="1"/>
  <c r="AB58" i="7"/>
  <c r="AI11" i="6"/>
  <c r="AH11" i="7"/>
  <c r="AC58" i="7"/>
  <c r="AC56" i="7"/>
  <c r="G74" i="6"/>
  <c r="G14" i="9"/>
  <c r="U14" i="8" s="1"/>
  <c r="AA54" i="6"/>
  <c r="BB52" i="6"/>
  <c r="AB60" i="6"/>
  <c r="AB61" i="6"/>
  <c r="AJ2" i="7"/>
  <c r="G43" i="12"/>
  <c r="AC33" i="3"/>
  <c r="AC34" i="3" s="1"/>
  <c r="AD36" i="3" s="1"/>
  <c r="AD35" i="3" s="1"/>
  <c r="AJ3" i="6"/>
  <c r="I79" i="6"/>
  <c r="AI3" i="7"/>
  <c r="BD3" i="7" s="1"/>
  <c r="AI6" i="6"/>
  <c r="AI7" i="6" s="1"/>
  <c r="BD7" i="6" s="1"/>
  <c r="AH6" i="7"/>
  <c r="AH7" i="7" s="1"/>
  <c r="AJ5" i="6"/>
  <c r="AI5" i="7"/>
  <c r="I81" i="6"/>
  <c r="F49" i="29"/>
  <c r="W28" i="29"/>
  <c r="W17" i="29"/>
  <c r="AJ4" i="6"/>
  <c r="AI4" i="7"/>
  <c r="BD4" i="7" s="1"/>
  <c r="I80" i="6"/>
  <c r="AH9" i="7"/>
  <c r="AH15" i="7" s="1"/>
  <c r="AI9" i="6"/>
  <c r="AG15" i="7"/>
  <c r="AG16" i="7" s="1"/>
  <c r="AH15" i="6"/>
  <c r="W18" i="12"/>
  <c r="W4" i="13" s="1"/>
  <c r="W6" i="13" s="1"/>
  <c r="AJ14" i="6"/>
  <c r="AI14" i="7"/>
  <c r="BD14" i="7" s="1"/>
  <c r="I89" i="6"/>
  <c r="X29" i="29"/>
  <c r="AJ12" i="6"/>
  <c r="AI12" i="7"/>
  <c r="BD12" i="7" s="1"/>
  <c r="I87" i="6"/>
  <c r="AI10" i="7"/>
  <c r="AJ10" i="6"/>
  <c r="I85" i="6"/>
  <c r="X5" i="12"/>
  <c r="X21" i="12" s="1"/>
  <c r="X14" i="12" s="1"/>
  <c r="Y23" i="29"/>
  <c r="Y28" i="29" s="1"/>
  <c r="AK17" i="12"/>
  <c r="J40" i="12" s="1"/>
  <c r="AK27" i="29"/>
  <c r="H40" i="3"/>
  <c r="H6" i="9" s="1"/>
  <c r="AK2" i="6"/>
  <c r="AK2" i="7" s="1"/>
  <c r="AB52" i="6"/>
  <c r="AB15" i="12"/>
  <c r="H38" i="12" s="1"/>
  <c r="H39" i="3"/>
  <c r="H7" i="8" s="1"/>
  <c r="H6" i="8" s="1"/>
  <c r="AA63" i="7"/>
  <c r="G72" i="7"/>
  <c r="AD24" i="6"/>
  <c r="AD49" i="6"/>
  <c r="AD56" i="6" s="1"/>
  <c r="AD58" i="6" s="1"/>
  <c r="AB51" i="7"/>
  <c r="AB52" i="7" s="1"/>
  <c r="AA61" i="7"/>
  <c r="G69" i="7" s="1"/>
  <c r="G75" i="7" s="1"/>
  <c r="BB53" i="7"/>
  <c r="G15" i="8" s="1"/>
  <c r="U15" i="8" s="1"/>
  <c r="AD23" i="7"/>
  <c r="AB65" i="7"/>
  <c r="AB53" i="7"/>
  <c r="AF26" i="3"/>
  <c r="AF12" i="12" s="1"/>
  <c r="AG26" i="29" s="1"/>
  <c r="AG27" i="3"/>
  <c r="H15" i="11"/>
  <c r="B18" i="11"/>
  <c r="AE21" i="7"/>
  <c r="AF21" i="6"/>
  <c r="AE2" i="12"/>
  <c r="AF22" i="29" s="1"/>
  <c r="BC21" i="7"/>
  <c r="AC65" i="7"/>
  <c r="AC53" i="7"/>
  <c r="AC61" i="7" s="1"/>
  <c r="E35" i="11"/>
  <c r="AE20" i="7"/>
  <c r="AF20" i="6"/>
  <c r="AE23" i="6"/>
  <c r="BC23" i="6" s="1"/>
  <c r="AE22" i="7"/>
  <c r="BC22" i="7" s="1"/>
  <c r="AF22" i="6"/>
  <c r="AA54" i="7"/>
  <c r="V18" i="12"/>
  <c r="AC65" i="6"/>
  <c r="AC64" i="6"/>
  <c r="AC63" i="6"/>
  <c r="AC52" i="6"/>
  <c r="AC53" i="6"/>
  <c r="AC60" i="6" s="1"/>
  <c r="F29" i="9" l="1"/>
  <c r="T17" i="8"/>
  <c r="AC52" i="7"/>
  <c r="AI15" i="6"/>
  <c r="AI16" i="6" s="1"/>
  <c r="G42" i="9"/>
  <c r="AD56" i="7"/>
  <c r="AI11" i="7"/>
  <c r="BD11" i="7" s="1"/>
  <c r="AJ11" i="6"/>
  <c r="I86" i="6"/>
  <c r="BD11" i="6"/>
  <c r="G12" i="9"/>
  <c r="U10" i="8"/>
  <c r="G39" i="9"/>
  <c r="G11" i="9"/>
  <c r="G12" i="8"/>
  <c r="G22" i="8" s="1"/>
  <c r="G28" i="8" s="1"/>
  <c r="G11" i="8"/>
  <c r="AA55" i="6"/>
  <c r="BB55" i="6" s="1"/>
  <c r="BB54" i="6"/>
  <c r="BD9" i="6"/>
  <c r="AB54" i="6"/>
  <c r="AH16" i="6"/>
  <c r="BD16" i="6" s="1"/>
  <c r="BD15" i="6"/>
  <c r="AI6" i="7"/>
  <c r="AI7" i="7" s="1"/>
  <c r="BD7" i="7" s="1"/>
  <c r="BD6" i="6"/>
  <c r="BD5" i="7"/>
  <c r="I82" i="6"/>
  <c r="AJ5" i="7"/>
  <c r="AK5" i="6"/>
  <c r="AJ6" i="6"/>
  <c r="AJ7" i="6" s="1"/>
  <c r="AJ3" i="7"/>
  <c r="AK3" i="6"/>
  <c r="H7" i="9"/>
  <c r="V7" i="8" s="1"/>
  <c r="AD33" i="3"/>
  <c r="AD34" i="3" s="1"/>
  <c r="AE36" i="3" s="1"/>
  <c r="AE35" i="3" s="1"/>
  <c r="W19" i="29"/>
  <c r="W29" i="29"/>
  <c r="AJ4" i="7"/>
  <c r="AK4" i="6"/>
  <c r="AI9" i="7"/>
  <c r="BD9" i="7" s="1"/>
  <c r="AJ9" i="6"/>
  <c r="I84" i="6"/>
  <c r="BD10" i="7"/>
  <c r="AJ14" i="7"/>
  <c r="AK14" i="6"/>
  <c r="AJ12" i="7"/>
  <c r="AK12" i="6"/>
  <c r="AH16" i="7"/>
  <c r="Y13" i="29"/>
  <c r="X18" i="12"/>
  <c r="X4" i="13" s="1"/>
  <c r="X6" i="13" s="1"/>
  <c r="AJ10" i="7"/>
  <c r="AK10" i="6"/>
  <c r="AL17" i="12"/>
  <c r="AL27" i="29"/>
  <c r="J46" i="29" s="1"/>
  <c r="AL2" i="6"/>
  <c r="AL2" i="7" s="1"/>
  <c r="G29" i="8"/>
  <c r="H48" i="12"/>
  <c r="AB61" i="7"/>
  <c r="AE23" i="7"/>
  <c r="BC23" i="7" s="1"/>
  <c r="E36" i="11"/>
  <c r="G33" i="11"/>
  <c r="BC20" i="7"/>
  <c r="AC54" i="7"/>
  <c r="AA3" i="12" s="1"/>
  <c r="AF2" i="12"/>
  <c r="AG22" i="29" s="1"/>
  <c r="AB62" i="7"/>
  <c r="V4" i="13"/>
  <c r="AF20" i="7"/>
  <c r="AG20" i="6"/>
  <c r="AF23" i="6"/>
  <c r="H34" i="9"/>
  <c r="H33" i="9" s="1"/>
  <c r="V6" i="8"/>
  <c r="AE15" i="12"/>
  <c r="C18" i="11"/>
  <c r="AB54" i="7"/>
  <c r="AB63" i="7"/>
  <c r="AD24" i="7"/>
  <c r="AD49" i="7"/>
  <c r="AD65" i="6"/>
  <c r="AD64" i="6"/>
  <c r="AD63" i="6"/>
  <c r="AD53" i="6"/>
  <c r="AF21" i="7"/>
  <c r="AG21" i="6"/>
  <c r="AH27" i="3"/>
  <c r="AG26" i="3"/>
  <c r="AG12" i="12" s="1"/>
  <c r="AF22" i="7"/>
  <c r="AG22" i="6"/>
  <c r="AC54" i="6"/>
  <c r="Y3" i="12"/>
  <c r="BB54" i="7"/>
  <c r="AA55" i="7"/>
  <c r="BB55" i="7" s="1"/>
  <c r="AE24" i="6"/>
  <c r="AE49" i="6"/>
  <c r="AE56" i="6" s="1"/>
  <c r="AE58" i="6" s="1"/>
  <c r="AC63" i="7"/>
  <c r="AD51" i="6"/>
  <c r="AD64" i="7" l="1"/>
  <c r="AD66" i="7"/>
  <c r="BD6" i="7"/>
  <c r="AE50" i="6"/>
  <c r="BC50" i="6" s="1"/>
  <c r="G40" i="9"/>
  <c r="U11" i="8"/>
  <c r="U12" i="8"/>
  <c r="G41" i="9"/>
  <c r="G22" i="9"/>
  <c r="U22" i="8" s="1"/>
  <c r="AJ11" i="7"/>
  <c r="AK11" i="6"/>
  <c r="I90" i="6"/>
  <c r="I91" i="6" s="1"/>
  <c r="AJ6" i="7"/>
  <c r="AJ7" i="7" s="1"/>
  <c r="AD58" i="7"/>
  <c r="AJ15" i="6"/>
  <c r="AJ16" i="6" s="1"/>
  <c r="AD61" i="6"/>
  <c r="AD60" i="6"/>
  <c r="AE51" i="6"/>
  <c r="AE61" i="6" s="1"/>
  <c r="BC24" i="6"/>
  <c r="AI15" i="7"/>
  <c r="AI16" i="7" s="1"/>
  <c r="BD16" i="7" s="1"/>
  <c r="BC49" i="6"/>
  <c r="AK3" i="7"/>
  <c r="AL3" i="6"/>
  <c r="AL5" i="6"/>
  <c r="AK5" i="7"/>
  <c r="AE33" i="3"/>
  <c r="AE34" i="3" s="1"/>
  <c r="AK6" i="6"/>
  <c r="AK7" i="6" s="1"/>
  <c r="Y17" i="29"/>
  <c r="Y19" i="29" s="1"/>
  <c r="AL4" i="6"/>
  <c r="AK4" i="7"/>
  <c r="AJ9" i="7"/>
  <c r="AK9" i="6"/>
  <c r="AK14" i="7"/>
  <c r="AL14" i="6"/>
  <c r="AL12" i="6"/>
  <c r="AK12" i="7"/>
  <c r="AK10" i="7"/>
  <c r="AL10" i="6"/>
  <c r="Y5" i="12"/>
  <c r="Z23" i="29"/>
  <c r="AA5" i="12"/>
  <c r="AB23" i="29"/>
  <c r="AB28" i="29" s="1"/>
  <c r="AM17" i="12"/>
  <c r="AM27" i="29"/>
  <c r="I35" i="12"/>
  <c r="AH26" i="29"/>
  <c r="I45" i="29" s="1"/>
  <c r="AM2" i="6"/>
  <c r="BE2" i="6" s="1"/>
  <c r="AD65" i="7"/>
  <c r="AD53" i="7"/>
  <c r="Z3" i="12"/>
  <c r="AG2" i="12"/>
  <c r="AD15" i="12"/>
  <c r="AI27" i="3"/>
  <c r="AH26" i="3"/>
  <c r="AH12" i="12" s="1"/>
  <c r="AI26" i="29" s="1"/>
  <c r="AD51" i="7"/>
  <c r="AF23" i="7"/>
  <c r="AG22" i="7"/>
  <c r="AH22" i="6"/>
  <c r="AF24" i="6"/>
  <c r="AF49" i="6"/>
  <c r="AF56" i="6" s="1"/>
  <c r="AF58" i="6" s="1"/>
  <c r="E37" i="11"/>
  <c r="F36" i="11"/>
  <c r="L34" i="11"/>
  <c r="AG21" i="7"/>
  <c r="AH21" i="6"/>
  <c r="AE65" i="6"/>
  <c r="H73" i="6" s="1"/>
  <c r="H45" i="9" s="1"/>
  <c r="AE64" i="6"/>
  <c r="H72" i="6" s="1"/>
  <c r="H44" i="9" s="1"/>
  <c r="AE63" i="6"/>
  <c r="H71" i="6" s="1"/>
  <c r="H43" i="9" s="1"/>
  <c r="AE53" i="6"/>
  <c r="AE60" i="6" s="1"/>
  <c r="G26" i="12"/>
  <c r="AD52" i="6"/>
  <c r="D18" i="11"/>
  <c r="J16" i="11"/>
  <c r="AG20" i="7"/>
  <c r="AH20" i="6"/>
  <c r="AG23" i="6"/>
  <c r="V6" i="13"/>
  <c r="AE24" i="7"/>
  <c r="AE51" i="7" s="1"/>
  <c r="AE62" i="7" s="1"/>
  <c r="AE49" i="7"/>
  <c r="AE50" i="7" l="1"/>
  <c r="BC50" i="7" s="1"/>
  <c r="AE64" i="7"/>
  <c r="H72" i="7" s="1"/>
  <c r="AE66" i="7"/>
  <c r="H74" i="7" s="1"/>
  <c r="Z13" i="29"/>
  <c r="Z17" i="29" s="1"/>
  <c r="Z19" i="29" s="1"/>
  <c r="Y21" i="12"/>
  <c r="Y14" i="12" s="1"/>
  <c r="G37" i="12" s="1"/>
  <c r="AB13" i="29"/>
  <c r="AB17" i="29" s="1"/>
  <c r="AB19" i="29" s="1"/>
  <c r="AA21" i="12"/>
  <c r="AA14" i="12" s="1"/>
  <c r="AA18" i="12" s="1"/>
  <c r="AA4" i="13" s="1"/>
  <c r="AA6" i="13" s="1"/>
  <c r="AA8" i="13" s="1"/>
  <c r="AA9" i="13" s="1"/>
  <c r="H69" i="6"/>
  <c r="AG23" i="7"/>
  <c r="AL11" i="6"/>
  <c r="AK11" i="7"/>
  <c r="BC51" i="6"/>
  <c r="AF56" i="7"/>
  <c r="AE52" i="6"/>
  <c r="BC52" i="6" s="1"/>
  <c r="AK15" i="6"/>
  <c r="AK16" i="6" s="1"/>
  <c r="H68" i="6"/>
  <c r="H74" i="6" s="1"/>
  <c r="AJ15" i="7"/>
  <c r="AJ49" i="7" s="1"/>
  <c r="AE56" i="7"/>
  <c r="BC56" i="7" s="1"/>
  <c r="BC56" i="6"/>
  <c r="BD15" i="7"/>
  <c r="AD54" i="6"/>
  <c r="BC53" i="6"/>
  <c r="H15" i="9" s="1"/>
  <c r="H46" i="9" s="1"/>
  <c r="AL6" i="6"/>
  <c r="AL7" i="6" s="1"/>
  <c r="AF36" i="3"/>
  <c r="AF35" i="3" s="1"/>
  <c r="AF33" i="3"/>
  <c r="AF34" i="3" s="1"/>
  <c r="AK6" i="7"/>
  <c r="AK7" i="7" s="1"/>
  <c r="AM5" i="6"/>
  <c r="BE5" i="6" s="1"/>
  <c r="AL5" i="7"/>
  <c r="AL3" i="7"/>
  <c r="AM3" i="6"/>
  <c r="AM2" i="7"/>
  <c r="AN2" i="6"/>
  <c r="Z28" i="29"/>
  <c r="Z29" i="29" s="1"/>
  <c r="G42" i="29"/>
  <c r="G47" i="29" s="1"/>
  <c r="G34" i="29"/>
  <c r="Y29" i="29"/>
  <c r="AM4" i="6"/>
  <c r="BE4" i="6" s="1"/>
  <c r="AL4" i="7"/>
  <c r="AK9" i="7"/>
  <c r="AL9" i="6"/>
  <c r="G28" i="12"/>
  <c r="G41" i="12" s="1"/>
  <c r="AB29" i="29"/>
  <c r="AL14" i="7"/>
  <c r="AM14" i="6"/>
  <c r="BE14" i="6" s="1"/>
  <c r="AM12" i="6"/>
  <c r="BE12" i="6" s="1"/>
  <c r="AL12" i="7"/>
  <c r="Z5" i="12"/>
  <c r="AA23" i="29"/>
  <c r="AL10" i="7"/>
  <c r="AM10" i="6"/>
  <c r="BE10" i="6" s="1"/>
  <c r="I25" i="12"/>
  <c r="I24" i="8" s="1"/>
  <c r="AH22" i="29"/>
  <c r="I41" i="29" s="1"/>
  <c r="AN17" i="12"/>
  <c r="AN27" i="29"/>
  <c r="Y18" i="12"/>
  <c r="J78" i="6"/>
  <c r="G4" i="10"/>
  <c r="BC24" i="7"/>
  <c r="AH2" i="12"/>
  <c r="AI22" i="29" s="1"/>
  <c r="AE65" i="7"/>
  <c r="H73" i="7" s="1"/>
  <c r="AE53" i="7"/>
  <c r="AE61" i="7" s="1"/>
  <c r="AE52" i="7"/>
  <c r="AG24" i="6"/>
  <c r="AG51" i="6" s="1"/>
  <c r="AG61" i="6" s="1"/>
  <c r="AG49" i="6"/>
  <c r="AG56" i="6" s="1"/>
  <c r="AG58" i="6" s="1"/>
  <c r="K16" i="11"/>
  <c r="B19" i="11"/>
  <c r="H14" i="9"/>
  <c r="AF51" i="6"/>
  <c r="AH22" i="7"/>
  <c r="AI22" i="6"/>
  <c r="BD22" i="6" s="1"/>
  <c r="AF24" i="7"/>
  <c r="AF49" i="7"/>
  <c r="AD62" i="7"/>
  <c r="H70" i="7" s="1"/>
  <c r="H43" i="12" s="1"/>
  <c r="BC51" i="7"/>
  <c r="H14" i="8" s="1"/>
  <c r="AD52" i="7"/>
  <c r="AI20" i="6"/>
  <c r="BD20" i="6" s="1"/>
  <c r="AH20" i="7"/>
  <c r="AH23" i="6"/>
  <c r="AH21" i="7"/>
  <c r="AI21" i="6"/>
  <c r="BD21" i="6" s="1"/>
  <c r="E38" i="11"/>
  <c r="G36" i="11" s="1"/>
  <c r="AD61" i="7"/>
  <c r="AG24" i="7"/>
  <c r="AG51" i="7" s="1"/>
  <c r="AG62" i="7" s="1"/>
  <c r="AG49" i="7"/>
  <c r="AF65" i="6"/>
  <c r="AF64" i="6"/>
  <c r="AF63" i="6"/>
  <c r="AF53" i="6"/>
  <c r="AI26" i="3"/>
  <c r="AI12" i="12" s="1"/>
  <c r="AJ26" i="29" s="1"/>
  <c r="AJ27" i="3"/>
  <c r="BC49" i="7"/>
  <c r="AD63" i="7"/>
  <c r="AG64" i="7" l="1"/>
  <c r="AG66" i="7"/>
  <c r="AK15" i="7"/>
  <c r="AK16" i="7" s="1"/>
  <c r="AK51" i="7" s="1"/>
  <c r="AK62" i="7" s="1"/>
  <c r="G16" i="8"/>
  <c r="G16" i="9"/>
  <c r="AF64" i="7"/>
  <c r="AF66" i="7"/>
  <c r="G38" i="29"/>
  <c r="G39" i="29" s="1"/>
  <c r="AJ66" i="7"/>
  <c r="AJ64" i="7"/>
  <c r="AA13" i="29"/>
  <c r="Z21" i="12"/>
  <c r="Z14" i="12" s="1"/>
  <c r="AE54" i="6"/>
  <c r="AM6" i="6"/>
  <c r="AM7" i="6" s="1"/>
  <c r="BE7" i="6" s="1"/>
  <c r="AE58" i="7"/>
  <c r="BC58" i="7" s="1"/>
  <c r="H10" i="8" s="1"/>
  <c r="BC58" i="6"/>
  <c r="H10" i="9" s="1"/>
  <c r="BE3" i="6"/>
  <c r="AG56" i="7"/>
  <c r="AG58" i="7"/>
  <c r="AJ16" i="7"/>
  <c r="AJ51" i="7" s="1"/>
  <c r="AJ52" i="7" s="1"/>
  <c r="AJ65" i="7"/>
  <c r="BC54" i="6"/>
  <c r="AJ53" i="7"/>
  <c r="AJ61" i="7" s="1"/>
  <c r="AF58" i="7"/>
  <c r="AM11" i="6"/>
  <c r="BE11" i="6" s="1"/>
  <c r="AL11" i="7"/>
  <c r="AG36" i="3"/>
  <c r="AG33" i="3"/>
  <c r="AN2" i="7"/>
  <c r="AE55" i="6"/>
  <c r="BC55" i="6" s="1"/>
  <c r="AL15" i="6"/>
  <c r="AH23" i="7"/>
  <c r="AH24" i="7" s="1"/>
  <c r="AH51" i="7" s="1"/>
  <c r="AH62" i="7" s="1"/>
  <c r="AL6" i="7"/>
  <c r="AL7" i="7" s="1"/>
  <c r="AF61" i="6"/>
  <c r="AF60" i="6"/>
  <c r="AM5" i="7"/>
  <c r="BE5" i="7" s="1"/>
  <c r="AN5" i="6"/>
  <c r="J81" i="6"/>
  <c r="J79" i="6"/>
  <c r="AM3" i="7"/>
  <c r="BE3" i="7" s="1"/>
  <c r="AN3" i="6"/>
  <c r="AA28" i="29"/>
  <c r="AA17" i="29"/>
  <c r="AG34" i="3"/>
  <c r="AH36" i="3" s="1"/>
  <c r="AH35" i="3" s="1"/>
  <c r="AM4" i="7"/>
  <c r="BE4" i="7" s="1"/>
  <c r="AN4" i="6"/>
  <c r="J80" i="6"/>
  <c r="AL9" i="7"/>
  <c r="AL15" i="7" s="1"/>
  <c r="AL16" i="7" s="1"/>
  <c r="AM9" i="6"/>
  <c r="AM15" i="6" s="1"/>
  <c r="AM16" i="6" s="1"/>
  <c r="AK49" i="7"/>
  <c r="AN14" i="6"/>
  <c r="AM14" i="7"/>
  <c r="BE14" i="7" s="1"/>
  <c r="J89" i="6"/>
  <c r="AM12" i="7"/>
  <c r="BE12" i="7" s="1"/>
  <c r="AN12" i="6"/>
  <c r="J87" i="6"/>
  <c r="AN10" i="6"/>
  <c r="AM10" i="7"/>
  <c r="J85" i="6"/>
  <c r="AO17" i="12"/>
  <c r="K40" i="12" s="1"/>
  <c r="AO27" i="29"/>
  <c r="AA10" i="13"/>
  <c r="AA12" i="13" s="1"/>
  <c r="Y4" i="13"/>
  <c r="Y6" i="13" s="1"/>
  <c r="H69" i="7"/>
  <c r="H75" i="7" s="1"/>
  <c r="Y19" i="12"/>
  <c r="AF52" i="6"/>
  <c r="BE2" i="7"/>
  <c r="AO2" i="6"/>
  <c r="AO2" i="7" s="1"/>
  <c r="BC53" i="7"/>
  <c r="H15" i="8" s="1"/>
  <c r="V15" i="8" s="1"/>
  <c r="AE63" i="7"/>
  <c r="AI20" i="7"/>
  <c r="BD20" i="7" s="1"/>
  <c r="AJ20" i="6"/>
  <c r="AI23" i="6"/>
  <c r="BD23" i="6" s="1"/>
  <c r="AF51" i="7"/>
  <c r="AF52" i="7" s="1"/>
  <c r="AG52" i="6"/>
  <c r="AG53" i="6"/>
  <c r="AG60" i="6" s="1"/>
  <c r="AG65" i="6"/>
  <c r="AG64" i="6"/>
  <c r="AG63" i="6"/>
  <c r="AI2" i="12"/>
  <c r="AJ22" i="29" s="1"/>
  <c r="AF15" i="12"/>
  <c r="AG65" i="7"/>
  <c r="AG53" i="7"/>
  <c r="AG61" i="7" s="1"/>
  <c r="AG52" i="7"/>
  <c r="AI21" i="7"/>
  <c r="BD21" i="7" s="1"/>
  <c r="AJ21" i="6"/>
  <c r="C19" i="11"/>
  <c r="G7" i="13"/>
  <c r="E39" i="11"/>
  <c r="L37" i="11" s="1"/>
  <c r="AI22" i="7"/>
  <c r="BD22" i="7" s="1"/>
  <c r="AJ22" i="6"/>
  <c r="AJ26" i="3"/>
  <c r="AJ12" i="12" s="1"/>
  <c r="AK26" i="29" s="1"/>
  <c r="AK27" i="3"/>
  <c r="Z18" i="12"/>
  <c r="AH24" i="6"/>
  <c r="AH49" i="6"/>
  <c r="AH56" i="6" s="1"/>
  <c r="AH58" i="6" s="1"/>
  <c r="AD54" i="7"/>
  <c r="BC52" i="7"/>
  <c r="AF65" i="7"/>
  <c r="AF53" i="7"/>
  <c r="H42" i="9"/>
  <c r="V14" i="8"/>
  <c r="G5" i="10"/>
  <c r="G6" i="10" s="1"/>
  <c r="AE54" i="7"/>
  <c r="AC3" i="12" s="1"/>
  <c r="AK65" i="7" l="1"/>
  <c r="AK64" i="7"/>
  <c r="AK66" i="7"/>
  <c r="G48" i="29"/>
  <c r="G17" i="9"/>
  <c r="U16" i="8"/>
  <c r="G28" i="9"/>
  <c r="BE6" i="6"/>
  <c r="I40" i="3"/>
  <c r="AG35" i="3"/>
  <c r="AJ63" i="7"/>
  <c r="AJ62" i="7"/>
  <c r="AH49" i="7"/>
  <c r="AH56" i="7"/>
  <c r="AJ54" i="7"/>
  <c r="AH3" i="12" s="1"/>
  <c r="H11" i="9"/>
  <c r="H40" i="9" s="1"/>
  <c r="H12" i="9"/>
  <c r="H39" i="9"/>
  <c r="AM11" i="7"/>
  <c r="BE11" i="7" s="1"/>
  <c r="J86" i="6"/>
  <c r="AN11" i="6"/>
  <c r="V10" i="8"/>
  <c r="H12" i="8"/>
  <c r="H22" i="8" s="1"/>
  <c r="H28" i="8" s="1"/>
  <c r="H11" i="8"/>
  <c r="AL16" i="6"/>
  <c r="BE16" i="6" s="1"/>
  <c r="BE15" i="6"/>
  <c r="BE9" i="6"/>
  <c r="AF54" i="6"/>
  <c r="AN3" i="7"/>
  <c r="AO3" i="6"/>
  <c r="J82" i="6"/>
  <c r="AN5" i="7"/>
  <c r="AO5" i="6"/>
  <c r="AN6" i="6"/>
  <c r="AM6" i="7"/>
  <c r="AM7" i="7" s="1"/>
  <c r="AH33" i="3"/>
  <c r="AH34" i="3" s="1"/>
  <c r="G49" i="29"/>
  <c r="AA19" i="29"/>
  <c r="AA29" i="29"/>
  <c r="AN4" i="7"/>
  <c r="AO4" i="6"/>
  <c r="AL51" i="7"/>
  <c r="AL62" i="7" s="1"/>
  <c r="AM9" i="7"/>
  <c r="AM15" i="7" s="1"/>
  <c r="AN9" i="6"/>
  <c r="J84" i="6"/>
  <c r="AL49" i="7"/>
  <c r="AK53" i="7"/>
  <c r="AK61" i="7" s="1"/>
  <c r="AK52" i="7"/>
  <c r="AN14" i="7"/>
  <c r="AO14" i="6"/>
  <c r="AN12" i="7"/>
  <c r="AO12" i="6"/>
  <c r="BE10" i="7"/>
  <c r="AN10" i="7"/>
  <c r="AO10" i="6"/>
  <c r="AC5" i="12"/>
  <c r="AD23" i="29"/>
  <c r="AD28" i="29" s="1"/>
  <c r="AP17" i="12"/>
  <c r="AP27" i="29"/>
  <c r="K46" i="29" s="1"/>
  <c r="G20" i="13"/>
  <c r="G6" i="14" s="1"/>
  <c r="H29" i="8"/>
  <c r="AP2" i="6"/>
  <c r="AP2" i="7" s="1"/>
  <c r="AG54" i="7"/>
  <c r="AE3" i="12" s="1"/>
  <c r="AH65" i="6"/>
  <c r="AH64" i="6"/>
  <c r="AH63" i="6"/>
  <c r="AH53" i="6"/>
  <c r="AH60" i="6" s="1"/>
  <c r="D19" i="11"/>
  <c r="AJ2" i="12"/>
  <c r="AK22" i="29" s="1"/>
  <c r="AI23" i="7"/>
  <c r="AH65" i="7"/>
  <c r="AF61" i="7"/>
  <c r="AL27" i="3"/>
  <c r="AK26" i="3"/>
  <c r="AK12" i="12" s="1"/>
  <c r="AG54" i="6"/>
  <c r="AI24" i="6"/>
  <c r="AI51" i="6" s="1"/>
  <c r="AI61" i="6" s="1"/>
  <c r="AI49" i="6"/>
  <c r="AI56" i="6" s="1"/>
  <c r="AI58" i="6" s="1"/>
  <c r="Y8" i="13"/>
  <c r="Y9" i="13" s="1"/>
  <c r="G22" i="13"/>
  <c r="G11" i="13"/>
  <c r="G7" i="10"/>
  <c r="AH51" i="6"/>
  <c r="E40" i="11"/>
  <c r="AF54" i="7"/>
  <c r="AF63" i="7"/>
  <c r="AB3" i="12"/>
  <c r="AE55" i="7"/>
  <c r="BC55" i="7" s="1"/>
  <c r="BC54" i="7"/>
  <c r="Z4" i="13"/>
  <c r="AK22" i="6"/>
  <c r="AJ22" i="7"/>
  <c r="G8" i="13"/>
  <c r="AJ21" i="7"/>
  <c r="AK21" i="6"/>
  <c r="AG63" i="7"/>
  <c r="AF62" i="7"/>
  <c r="AJ20" i="7"/>
  <c r="AK20" i="6"/>
  <c r="AJ23" i="6"/>
  <c r="AG15" i="12" l="1"/>
  <c r="I38" i="12" s="1"/>
  <c r="I48" i="12" s="1"/>
  <c r="I39" i="3"/>
  <c r="I7" i="8" s="1"/>
  <c r="I6" i="8" s="1"/>
  <c r="G29" i="9"/>
  <c r="U17" i="8"/>
  <c r="AH64" i="7"/>
  <c r="AH66" i="7"/>
  <c r="I7" i="9"/>
  <c r="W7" i="8" s="1"/>
  <c r="I6" i="9"/>
  <c r="AL64" i="7"/>
  <c r="AL66" i="7"/>
  <c r="AD13" i="29"/>
  <c r="AD17" i="29" s="1"/>
  <c r="AD19" i="29" s="1"/>
  <c r="AC21" i="12"/>
  <c r="AC14" i="12" s="1"/>
  <c r="AH52" i="7"/>
  <c r="AH53" i="7"/>
  <c r="AH61" i="7" s="1"/>
  <c r="AN11" i="7"/>
  <c r="AO11" i="6"/>
  <c r="AO6" i="6"/>
  <c r="H22" i="9"/>
  <c r="V22" i="8" s="1"/>
  <c r="V12" i="8"/>
  <c r="H41" i="9"/>
  <c r="AH58" i="7"/>
  <c r="BD49" i="6"/>
  <c r="J90" i="6"/>
  <c r="J91" i="6" s="1"/>
  <c r="V11" i="8"/>
  <c r="AN15" i="6"/>
  <c r="BE9" i="7"/>
  <c r="BD24" i="6"/>
  <c r="AN7" i="6"/>
  <c r="AH61" i="6"/>
  <c r="I69" i="6" s="1"/>
  <c r="I14" i="9" s="1"/>
  <c r="BD51" i="6"/>
  <c r="BE6" i="7"/>
  <c r="AI36" i="3"/>
  <c r="AI35" i="3" s="1"/>
  <c r="AI15" i="12" s="1"/>
  <c r="AI33" i="3"/>
  <c r="AI34" i="3" s="1"/>
  <c r="AP5" i="6"/>
  <c r="AO5" i="7"/>
  <c r="AN6" i="7"/>
  <c r="AN7" i="7" s="1"/>
  <c r="AO3" i="7"/>
  <c r="AP3" i="6"/>
  <c r="AK54" i="7"/>
  <c r="AI3" i="12" s="1"/>
  <c r="AI5" i="12" s="1"/>
  <c r="AL65" i="7"/>
  <c r="AK63" i="7"/>
  <c r="AL52" i="7"/>
  <c r="AP4" i="6"/>
  <c r="AO4" i="7"/>
  <c r="AL53" i="7"/>
  <c r="AL61" i="7" s="1"/>
  <c r="AN9" i="7"/>
  <c r="AO9" i="6"/>
  <c r="AC18" i="12"/>
  <c r="AC4" i="13" s="1"/>
  <c r="AC6" i="13" s="1"/>
  <c r="AC8" i="13" s="1"/>
  <c r="AC9" i="13" s="1"/>
  <c r="AO14" i="7"/>
  <c r="AP14" i="6"/>
  <c r="AO12" i="7"/>
  <c r="AP12" i="6"/>
  <c r="AH5" i="12"/>
  <c r="AI23" i="29"/>
  <c r="AM16" i="7"/>
  <c r="BE16" i="7" s="1"/>
  <c r="BE15" i="7"/>
  <c r="AE5" i="12"/>
  <c r="AF23" i="29"/>
  <c r="AF28" i="29" s="1"/>
  <c r="AB5" i="12"/>
  <c r="AC23" i="29"/>
  <c r="AM49" i="7"/>
  <c r="AO10" i="7"/>
  <c r="AP10" i="6"/>
  <c r="AQ17" i="12"/>
  <c r="AQ27" i="29"/>
  <c r="J35" i="12"/>
  <c r="AL26" i="29"/>
  <c r="J45" i="29" s="1"/>
  <c r="AO7" i="6"/>
  <c r="BE7" i="7"/>
  <c r="AQ2" i="6"/>
  <c r="AH54" i="7"/>
  <c r="AF3" i="12" s="1"/>
  <c r="AG23" i="29" s="1"/>
  <c r="AG28" i="29" s="1"/>
  <c r="E41" i="11"/>
  <c r="G39" i="11" s="1"/>
  <c r="AI65" i="6"/>
  <c r="I73" i="6" s="1"/>
  <c r="I45" i="9" s="1"/>
  <c r="AI64" i="6"/>
  <c r="I72" i="6" s="1"/>
  <c r="I44" i="9" s="1"/>
  <c r="AI63" i="6"/>
  <c r="I71" i="6" s="1"/>
  <c r="I43" i="9" s="1"/>
  <c r="AI53" i="6"/>
  <c r="AI60" i="6" s="1"/>
  <c r="I68" i="6" s="1"/>
  <c r="AI52" i="6"/>
  <c r="AK20" i="7"/>
  <c r="AL20" i="6"/>
  <c r="AK23" i="6"/>
  <c r="G9" i="13"/>
  <c r="G13" i="13"/>
  <c r="AM27" i="3"/>
  <c r="AL26" i="3"/>
  <c r="AL12" i="12" s="1"/>
  <c r="AM26" i="29" s="1"/>
  <c r="AK2" i="12"/>
  <c r="AL22" i="29" s="1"/>
  <c r="J41" i="29" s="1"/>
  <c r="B20" i="11"/>
  <c r="AH52" i="6"/>
  <c r="AI24" i="7"/>
  <c r="AI49" i="7"/>
  <c r="BD23" i="7"/>
  <c r="AK21" i="7"/>
  <c r="AL21" i="6"/>
  <c r="AK22" i="7"/>
  <c r="AL22" i="6"/>
  <c r="AH15" i="12"/>
  <c r="G14" i="13"/>
  <c r="H26" i="12"/>
  <c r="AD3" i="12"/>
  <c r="AJ24" i="6"/>
  <c r="AJ49" i="6"/>
  <c r="AJ56" i="6" s="1"/>
  <c r="AJ58" i="6" s="1"/>
  <c r="Z6" i="13"/>
  <c r="Y10" i="13"/>
  <c r="Y12" i="13" s="1"/>
  <c r="AH63" i="7"/>
  <c r="AI50" i="6"/>
  <c r="BD50" i="6" s="1"/>
  <c r="AM50" i="7" l="1"/>
  <c r="BE50" i="7" s="1"/>
  <c r="AM64" i="7"/>
  <c r="AM66" i="7"/>
  <c r="AN15" i="7"/>
  <c r="AI64" i="7"/>
  <c r="AI66" i="7"/>
  <c r="I74" i="7" s="1"/>
  <c r="I34" i="9"/>
  <c r="I33" i="9" s="1"/>
  <c r="W6" i="8"/>
  <c r="AC13" i="29"/>
  <c r="H34" i="29" s="1"/>
  <c r="AB21" i="12"/>
  <c r="AB14" i="12" s="1"/>
  <c r="H37" i="12" s="1"/>
  <c r="AF13" i="29"/>
  <c r="AF17" i="29" s="1"/>
  <c r="AF19" i="29" s="1"/>
  <c r="AE21" i="12"/>
  <c r="AE14" i="12" s="1"/>
  <c r="AE18" i="12" s="1"/>
  <c r="AE4" i="13" s="1"/>
  <c r="AE6" i="13" s="1"/>
  <c r="AE8" i="13" s="1"/>
  <c r="AE9" i="13" s="1"/>
  <c r="AI13" i="29"/>
  <c r="AH21" i="12"/>
  <c r="AH14" i="12" s="1"/>
  <c r="AJ13" i="29"/>
  <c r="AJ17" i="29" s="1"/>
  <c r="AJ19" i="29" s="1"/>
  <c r="AI21" i="12"/>
  <c r="AI14" i="12" s="1"/>
  <c r="AI18" i="12" s="1"/>
  <c r="AI4" i="13" s="1"/>
  <c r="AI6" i="13" s="1"/>
  <c r="AI8" i="13" s="1"/>
  <c r="AI9" i="13" s="1"/>
  <c r="AD29" i="29"/>
  <c r="AQ2" i="7"/>
  <c r="BF2" i="7" s="1"/>
  <c r="AR2" i="6"/>
  <c r="AI56" i="7"/>
  <c r="BD56" i="7" s="1"/>
  <c r="BD56" i="6"/>
  <c r="BF2" i="6"/>
  <c r="AP11" i="6"/>
  <c r="AO11" i="7"/>
  <c r="AJ56" i="7"/>
  <c r="AJ36" i="3"/>
  <c r="AJ35" i="3" s="1"/>
  <c r="AJ33" i="3"/>
  <c r="AJ34" i="3" s="1"/>
  <c r="AN16" i="6"/>
  <c r="BD53" i="6"/>
  <c r="I15" i="9" s="1"/>
  <c r="I46" i="9" s="1"/>
  <c r="AH54" i="6"/>
  <c r="BD52" i="6"/>
  <c r="AO6" i="7"/>
  <c r="AO7" i="7" s="1"/>
  <c r="AP3" i="7"/>
  <c r="AQ3" i="6"/>
  <c r="AL63" i="7"/>
  <c r="AP6" i="6"/>
  <c r="AQ5" i="6"/>
  <c r="AP5" i="7"/>
  <c r="AJ23" i="29"/>
  <c r="AJ28" i="29" s="1"/>
  <c r="AL54" i="7"/>
  <c r="AJ3" i="12" s="1"/>
  <c r="AI28" i="29"/>
  <c r="AC28" i="29"/>
  <c r="H42" i="29"/>
  <c r="H47" i="29" s="1"/>
  <c r="AC17" i="29"/>
  <c r="AI17" i="29"/>
  <c r="AM53" i="7"/>
  <c r="AM61" i="7" s="1"/>
  <c r="J69" i="7" s="1"/>
  <c r="AQ4" i="6"/>
  <c r="AP4" i="7"/>
  <c r="BE49" i="7"/>
  <c r="AO9" i="7"/>
  <c r="AP9" i="6"/>
  <c r="J72" i="7"/>
  <c r="AO15" i="6"/>
  <c r="AO16" i="6" s="1"/>
  <c r="J74" i="7"/>
  <c r="AP14" i="7"/>
  <c r="AQ14" i="6"/>
  <c r="AM65" i="7"/>
  <c r="J73" i="7" s="1"/>
  <c r="AQ12" i="6"/>
  <c r="AP12" i="7"/>
  <c r="H28" i="12"/>
  <c r="H41" i="12" s="1"/>
  <c r="AM51" i="7"/>
  <c r="AD5" i="12"/>
  <c r="AE23" i="29"/>
  <c r="AP10" i="7"/>
  <c r="AQ10" i="6"/>
  <c r="AN16" i="7"/>
  <c r="AN49" i="7"/>
  <c r="AR17" i="12"/>
  <c r="AR27" i="29"/>
  <c r="AC10" i="13"/>
  <c r="AC12" i="13" s="1"/>
  <c r="AF5" i="12"/>
  <c r="AF21" i="12" s="1"/>
  <c r="AF14" i="12" s="1"/>
  <c r="I74" i="6"/>
  <c r="AB18" i="12"/>
  <c r="K78" i="6"/>
  <c r="AI51" i="7"/>
  <c r="AI52" i="7" s="1"/>
  <c r="BD24" i="7"/>
  <c r="E42" i="11"/>
  <c r="L40" i="11" s="1"/>
  <c r="AJ65" i="6"/>
  <c r="AJ64" i="6"/>
  <c r="AJ63" i="6"/>
  <c r="AJ53" i="6"/>
  <c r="AJ51" i="6"/>
  <c r="AL22" i="7"/>
  <c r="AM22" i="6"/>
  <c r="BE22" i="6" s="1"/>
  <c r="G10" i="13"/>
  <c r="AI54" i="6"/>
  <c r="I42" i="9"/>
  <c r="G15" i="13"/>
  <c r="AL2" i="12"/>
  <c r="AM22" i="29" s="1"/>
  <c r="J25" i="12"/>
  <c r="AK24" i="6"/>
  <c r="AK51" i="6" s="1"/>
  <c r="AK61" i="6" s="1"/>
  <c r="AK49" i="6"/>
  <c r="AK56" i="6" s="1"/>
  <c r="AK58" i="6" s="1"/>
  <c r="Z8" i="13"/>
  <c r="Z9" i="13" s="1"/>
  <c r="AL21" i="7"/>
  <c r="AM21" i="6"/>
  <c r="BE21" i="6" s="1"/>
  <c r="AI53" i="7"/>
  <c r="AI65" i="7"/>
  <c r="I73" i="7" s="1"/>
  <c r="BD49" i="7"/>
  <c r="AI50" i="7"/>
  <c r="BD50" i="7" s="1"/>
  <c r="C20" i="11"/>
  <c r="AM26" i="3"/>
  <c r="AM12" i="12" s="1"/>
  <c r="AN26" i="29" s="1"/>
  <c r="AN27" i="3"/>
  <c r="AM20" i="6"/>
  <c r="BE20" i="6" s="1"/>
  <c r="AL20" i="7"/>
  <c r="AL23" i="6"/>
  <c r="AN64" i="7" l="1"/>
  <c r="AN66" i="7"/>
  <c r="AH18" i="12"/>
  <c r="H16" i="8"/>
  <c r="H16" i="9"/>
  <c r="AE13" i="29"/>
  <c r="AE17" i="29" s="1"/>
  <c r="AD21" i="12"/>
  <c r="AD14" i="12" s="1"/>
  <c r="AJ29" i="29"/>
  <c r="AF29" i="29"/>
  <c r="BF5" i="6"/>
  <c r="AR5" i="6"/>
  <c r="BF10" i="6"/>
  <c r="AR10" i="6"/>
  <c r="BF12" i="6"/>
  <c r="AR12" i="6"/>
  <c r="AR2" i="7"/>
  <c r="AS2" i="6"/>
  <c r="BF14" i="6"/>
  <c r="AR14" i="6"/>
  <c r="BF3" i="6"/>
  <c r="AR3" i="6"/>
  <c r="BF4" i="6"/>
  <c r="AR4" i="6"/>
  <c r="AP11" i="7"/>
  <c r="AQ11" i="6"/>
  <c r="AR11" i="6" s="1"/>
  <c r="AJ58" i="7"/>
  <c r="AO15" i="7"/>
  <c r="AO16" i="7" s="1"/>
  <c r="AO51" i="7" s="1"/>
  <c r="AO62" i="7" s="1"/>
  <c r="AK56" i="7"/>
  <c r="AK58" i="7"/>
  <c r="AI58" i="7"/>
  <c r="BD58" i="7" s="1"/>
  <c r="I10" i="8" s="1"/>
  <c r="BD58" i="6"/>
  <c r="I10" i="9" s="1"/>
  <c r="AK36" i="3"/>
  <c r="AK33" i="3"/>
  <c r="AI55" i="6"/>
  <c r="BD55" i="6" s="1"/>
  <c r="AP15" i="6"/>
  <c r="AJ60" i="6"/>
  <c r="AI29" i="29"/>
  <c r="AP7" i="6"/>
  <c r="BD54" i="6"/>
  <c r="AJ61" i="6"/>
  <c r="K81" i="6"/>
  <c r="L81" i="6" s="1"/>
  <c r="AQ5" i="7"/>
  <c r="BF5" i="7" s="1"/>
  <c r="AQ3" i="7"/>
  <c r="BF3" i="7" s="1"/>
  <c r="K79" i="6"/>
  <c r="L79" i="6" s="1"/>
  <c r="AQ6" i="6"/>
  <c r="BE53" i="7"/>
  <c r="J15" i="8" s="1"/>
  <c r="AE28" i="29"/>
  <c r="AI19" i="29"/>
  <c r="AC19" i="29"/>
  <c r="H38" i="29"/>
  <c r="AC29" i="29"/>
  <c r="AK34" i="3"/>
  <c r="AL36" i="3" s="1"/>
  <c r="AL35" i="3" s="1"/>
  <c r="K80" i="6"/>
  <c r="L80" i="6" s="1"/>
  <c r="AQ4" i="7"/>
  <c r="AP6" i="7"/>
  <c r="AP7" i="7" s="1"/>
  <c r="AP9" i="7"/>
  <c r="AQ9" i="6"/>
  <c r="AN65" i="7"/>
  <c r="AE10" i="13"/>
  <c r="AE12" i="13" s="1"/>
  <c r="AM63" i="7"/>
  <c r="AN53" i="7"/>
  <c r="AN61" i="7" s="1"/>
  <c r="J70" i="7"/>
  <c r="J75" i="7" s="1"/>
  <c r="AQ14" i="7"/>
  <c r="BF14" i="7" s="1"/>
  <c r="K89" i="6"/>
  <c r="L89" i="6" s="1"/>
  <c r="AM62" i="7"/>
  <c r="AM52" i="7"/>
  <c r="BE51" i="7"/>
  <c r="J14" i="8" s="1"/>
  <c r="K87" i="6"/>
  <c r="L87" i="6" s="1"/>
  <c r="AQ12" i="7"/>
  <c r="BF12" i="7" s="1"/>
  <c r="AD18" i="12"/>
  <c r="AD4" i="13" s="1"/>
  <c r="AN51" i="7"/>
  <c r="AN52" i="7" s="1"/>
  <c r="AQ10" i="7"/>
  <c r="K85" i="6"/>
  <c r="AJ5" i="12"/>
  <c r="AK23" i="29"/>
  <c r="AS17" i="12"/>
  <c r="AT27" i="29" s="1"/>
  <c r="AS27" i="29"/>
  <c r="AF18" i="12"/>
  <c r="AF4" i="13" s="1"/>
  <c r="AF6" i="13" s="1"/>
  <c r="AF8" i="13" s="1"/>
  <c r="AG13" i="29"/>
  <c r="AG17" i="29" s="1"/>
  <c r="AI10" i="13"/>
  <c r="AI12" i="13" s="1"/>
  <c r="AC19" i="12"/>
  <c r="AB4" i="13"/>
  <c r="AB6" i="13" s="1"/>
  <c r="L78" i="6"/>
  <c r="AI54" i="7"/>
  <c r="BD52" i="7"/>
  <c r="AM21" i="7"/>
  <c r="BE21" i="7" s="1"/>
  <c r="AN21" i="6"/>
  <c r="J24" i="8"/>
  <c r="AK65" i="6"/>
  <c r="AK64" i="6"/>
  <c r="AK63" i="6"/>
  <c r="AK52" i="6"/>
  <c r="AK53" i="6"/>
  <c r="AK60" i="6" s="1"/>
  <c r="AM2" i="12"/>
  <c r="AN22" i="29" s="1"/>
  <c r="G12" i="13"/>
  <c r="AH4" i="13"/>
  <c r="AI61" i="7"/>
  <c r="I69" i="7" s="1"/>
  <c r="BD53" i="7"/>
  <c r="I15" i="8" s="1"/>
  <c r="W15" i="8" s="1"/>
  <c r="AL24" i="6"/>
  <c r="AL49" i="6"/>
  <c r="AL56" i="6" s="1"/>
  <c r="AL58" i="6" s="1"/>
  <c r="AJ15" i="12"/>
  <c r="AI62" i="7"/>
  <c r="I70" i="7" s="1"/>
  <c r="I43" i="12" s="1"/>
  <c r="BD51" i="7"/>
  <c r="I14" i="8" s="1"/>
  <c r="AM20" i="7"/>
  <c r="BE20" i="7" s="1"/>
  <c r="AN20" i="6"/>
  <c r="AM23" i="6"/>
  <c r="BE23" i="6" s="1"/>
  <c r="AN26" i="3"/>
  <c r="AN12" i="12" s="1"/>
  <c r="AO26" i="29" s="1"/>
  <c r="AO27" i="3"/>
  <c r="AI63" i="7"/>
  <c r="I72" i="7"/>
  <c r="D20" i="11"/>
  <c r="Z10" i="13"/>
  <c r="AM22" i="7"/>
  <c r="BE22" i="7" s="1"/>
  <c r="AN22" i="6"/>
  <c r="AJ52" i="6"/>
  <c r="E43" i="11"/>
  <c r="H28" i="9" l="1"/>
  <c r="V16" i="8"/>
  <c r="H17" i="9"/>
  <c r="J40" i="3"/>
  <c r="J7" i="9" s="1"/>
  <c r="AK35" i="3"/>
  <c r="AK13" i="29"/>
  <c r="AJ21" i="12"/>
  <c r="AJ14" i="12" s="1"/>
  <c r="BF9" i="6"/>
  <c r="AR9" i="6"/>
  <c r="AP15" i="7"/>
  <c r="AP16" i="7" s="1"/>
  <c r="AR14" i="7"/>
  <c r="AS14" i="6"/>
  <c r="AR6" i="7"/>
  <c r="AR12" i="7"/>
  <c r="AS12" i="6"/>
  <c r="AR5" i="7"/>
  <c r="AS5" i="6"/>
  <c r="AR10" i="7"/>
  <c r="AS10" i="6"/>
  <c r="AR4" i="7"/>
  <c r="AS4" i="6"/>
  <c r="AF9" i="13"/>
  <c r="AF10" i="13" s="1"/>
  <c r="AF12" i="13" s="1"/>
  <c r="AQ6" i="7"/>
  <c r="AQ7" i="7" s="1"/>
  <c r="BF7" i="7" s="1"/>
  <c r="BF6" i="6"/>
  <c r="AR6" i="6"/>
  <c r="AR11" i="7"/>
  <c r="AS11" i="6"/>
  <c r="AR3" i="7"/>
  <c r="AS3" i="6"/>
  <c r="AS2" i="7"/>
  <c r="AT2" i="6"/>
  <c r="AQ7" i="6"/>
  <c r="AR7" i="6" s="1"/>
  <c r="AL56" i="7"/>
  <c r="AL58" i="7"/>
  <c r="I11" i="8"/>
  <c r="I12" i="8"/>
  <c r="I22" i="8" s="1"/>
  <c r="I28" i="8" s="1"/>
  <c r="AO49" i="7"/>
  <c r="I11" i="9"/>
  <c r="W10" i="8"/>
  <c r="I12" i="9"/>
  <c r="I39" i="9"/>
  <c r="BF11" i="6"/>
  <c r="K86" i="6"/>
  <c r="L86" i="6" s="1"/>
  <c r="AQ11" i="7"/>
  <c r="BF11" i="7" s="1"/>
  <c r="AP16" i="6"/>
  <c r="AL33" i="3"/>
  <c r="AL34" i="3" s="1"/>
  <c r="AM36" i="3" s="1"/>
  <c r="AM35" i="3" s="1"/>
  <c r="AM15" i="12" s="1"/>
  <c r="AL51" i="6"/>
  <c r="AL61" i="6" s="1"/>
  <c r="AE29" i="29"/>
  <c r="AJ54" i="6"/>
  <c r="BF7" i="6"/>
  <c r="AN63" i="7"/>
  <c r="L40" i="12"/>
  <c r="K82" i="6"/>
  <c r="L82" i="6" s="1"/>
  <c r="AQ15" i="6"/>
  <c r="J29" i="8"/>
  <c r="H39" i="29"/>
  <c r="H48" i="29"/>
  <c r="AP51" i="7"/>
  <c r="AP62" i="7" s="1"/>
  <c r="AE19" i="29"/>
  <c r="L46" i="29"/>
  <c r="AK28" i="29"/>
  <c r="AK17" i="29"/>
  <c r="AP49" i="7"/>
  <c r="BF4" i="7"/>
  <c r="AQ9" i="7"/>
  <c r="BF9" i="7" s="1"/>
  <c r="K84" i="6"/>
  <c r="L84" i="6" s="1"/>
  <c r="AN62" i="7"/>
  <c r="AM54" i="7"/>
  <c r="BE52" i="7"/>
  <c r="BF10" i="7"/>
  <c r="L85" i="6"/>
  <c r="AG19" i="29"/>
  <c r="AG29" i="29"/>
  <c r="H20" i="13"/>
  <c r="H6" i="14" s="1"/>
  <c r="AN54" i="7"/>
  <c r="Z12" i="13"/>
  <c r="AB8" i="13"/>
  <c r="AB9" i="13" s="1"/>
  <c r="H22" i="13"/>
  <c r="I29" i="8"/>
  <c r="W14" i="8"/>
  <c r="AD6" i="13"/>
  <c r="AG3" i="12"/>
  <c r="BD54" i="7"/>
  <c r="AI55" i="7"/>
  <c r="BD55" i="7" s="1"/>
  <c r="E44" i="11"/>
  <c r="AM24" i="6"/>
  <c r="AM51" i="6" s="1"/>
  <c r="AM61" i="6" s="1"/>
  <c r="AM49" i="6"/>
  <c r="AM56" i="6" s="1"/>
  <c r="AM58" i="6" s="1"/>
  <c r="I75" i="7"/>
  <c r="AH6" i="13"/>
  <c r="AK54" i="6"/>
  <c r="AN21" i="7"/>
  <c r="AO21" i="6"/>
  <c r="AO22" i="6"/>
  <c r="AN22" i="7"/>
  <c r="G42" i="11"/>
  <c r="H18" i="11"/>
  <c r="B21" i="11"/>
  <c r="AP27" i="3"/>
  <c r="AO26" i="3"/>
  <c r="AO12" i="12" s="1"/>
  <c r="AN20" i="7"/>
  <c r="AO20" i="6"/>
  <c r="AN23" i="6"/>
  <c r="AL65" i="6"/>
  <c r="AL64" i="6"/>
  <c r="AL63" i="6"/>
  <c r="AL53" i="6"/>
  <c r="AL60" i="6" s="1"/>
  <c r="AN2" i="12"/>
  <c r="AO22" i="29" s="1"/>
  <c r="AP64" i="7" l="1"/>
  <c r="AP66" i="7"/>
  <c r="AJ18" i="12"/>
  <c r="AO52" i="7"/>
  <c r="AO64" i="7"/>
  <c r="AO66" i="7"/>
  <c r="AK15" i="12"/>
  <c r="J38" i="12" s="1"/>
  <c r="J48" i="12" s="1"/>
  <c r="J39" i="3"/>
  <c r="J7" i="8" s="1"/>
  <c r="V17" i="8"/>
  <c r="H29" i="9"/>
  <c r="BF6" i="7"/>
  <c r="J6" i="9"/>
  <c r="J34" i="9" s="1"/>
  <c r="J33" i="9" s="1"/>
  <c r="AS4" i="7"/>
  <c r="AT4" i="6"/>
  <c r="AO53" i="7"/>
  <c r="AO61" i="7" s="1"/>
  <c r="AT11" i="6"/>
  <c r="AS11" i="7"/>
  <c r="AT12" i="6"/>
  <c r="AS12" i="7"/>
  <c r="AR7" i="7"/>
  <c r="AS7" i="6"/>
  <c r="AT7" i="6" s="1"/>
  <c r="AU7" i="6" s="1"/>
  <c r="AS5" i="7"/>
  <c r="AT5" i="6"/>
  <c r="AS14" i="7"/>
  <c r="AT14" i="6"/>
  <c r="AR9" i="7"/>
  <c r="AS9" i="6"/>
  <c r="AQ16" i="6"/>
  <c r="AR16" i="6" s="1"/>
  <c r="AR15" i="6"/>
  <c r="AS3" i="7"/>
  <c r="AT3" i="6"/>
  <c r="AU2" i="6"/>
  <c r="AU2" i="7" s="1"/>
  <c r="AT2" i="7"/>
  <c r="AS6" i="6"/>
  <c r="AT6" i="6" s="1"/>
  <c r="AU6" i="6" s="1"/>
  <c r="AT10" i="6"/>
  <c r="AS10" i="7"/>
  <c r="BE49" i="6"/>
  <c r="W12" i="8"/>
  <c r="I41" i="9"/>
  <c r="I22" i="9"/>
  <c r="W22" i="8" s="1"/>
  <c r="I40" i="9"/>
  <c r="W11" i="8"/>
  <c r="BE24" i="6"/>
  <c r="AK29" i="29"/>
  <c r="AO65" i="7"/>
  <c r="BF15" i="6"/>
  <c r="J69" i="6"/>
  <c r="J43" i="12" s="1"/>
  <c r="AL52" i="6"/>
  <c r="AL54" i="6" s="1"/>
  <c r="BE51" i="6"/>
  <c r="AM33" i="3"/>
  <c r="AM34" i="3" s="1"/>
  <c r="AN36" i="3" s="1"/>
  <c r="AN35" i="3" s="1"/>
  <c r="K90" i="6"/>
  <c r="L90" i="6" s="1"/>
  <c r="AP52" i="7"/>
  <c r="AP53" i="7"/>
  <c r="AP61" i="7" s="1"/>
  <c r="AP65" i="7"/>
  <c r="H49" i="29"/>
  <c r="AK19" i="29"/>
  <c r="AQ15" i="7"/>
  <c r="AQ49" i="7" s="1"/>
  <c r="AK3" i="12"/>
  <c r="AM55" i="7"/>
  <c r="BE55" i="7" s="1"/>
  <c r="BE54" i="7"/>
  <c r="AG5" i="12"/>
  <c r="AH23" i="29"/>
  <c r="K35" i="12"/>
  <c r="AP26" i="29"/>
  <c r="K45" i="29" s="1"/>
  <c r="AL3" i="12"/>
  <c r="AO2" i="12"/>
  <c r="AP22" i="29" s="1"/>
  <c r="K41" i="29" s="1"/>
  <c r="AO20" i="7"/>
  <c r="AP20" i="6"/>
  <c r="AO23" i="6"/>
  <c r="AN24" i="6"/>
  <c r="AN49" i="6"/>
  <c r="AN56" i="6" s="1"/>
  <c r="AN58" i="6" s="1"/>
  <c r="AO22" i="7"/>
  <c r="AP22" i="6"/>
  <c r="AO21" i="7"/>
  <c r="AP21" i="6"/>
  <c r="AH8" i="13"/>
  <c r="AH9" i="13" s="1"/>
  <c r="AQ27" i="3"/>
  <c r="AP26" i="3"/>
  <c r="AP12" i="12" s="1"/>
  <c r="AQ26" i="29" s="1"/>
  <c r="AJ4" i="13"/>
  <c r="AD8" i="13"/>
  <c r="AD9" i="13" s="1"/>
  <c r="C21" i="11"/>
  <c r="AN15" i="12"/>
  <c r="AM65" i="6"/>
  <c r="J73" i="6" s="1"/>
  <c r="J45" i="9" s="1"/>
  <c r="AM64" i="6"/>
  <c r="J72" i="6" s="1"/>
  <c r="J44" i="9" s="1"/>
  <c r="AM63" i="6"/>
  <c r="J71" i="6" s="1"/>
  <c r="J43" i="9" s="1"/>
  <c r="AM53" i="6"/>
  <c r="AM60" i="6" s="1"/>
  <c r="J68" i="6" s="1"/>
  <c r="AM52" i="6"/>
  <c r="AM50" i="6"/>
  <c r="BE50" i="6" s="1"/>
  <c r="E45" i="11"/>
  <c r="H25" i="13"/>
  <c r="H24" i="13"/>
  <c r="H3" i="9" s="1"/>
  <c r="H49" i="12" s="1"/>
  <c r="AL15" i="12"/>
  <c r="I26" i="12"/>
  <c r="H47" i="12" l="1"/>
  <c r="H3" i="8"/>
  <c r="H44" i="12"/>
  <c r="H50" i="12" s="1"/>
  <c r="AQ64" i="7"/>
  <c r="AQ66" i="7"/>
  <c r="J74" i="6"/>
  <c r="J6" i="8"/>
  <c r="X6" i="8" s="1"/>
  <c r="X7" i="8"/>
  <c r="AH13" i="29"/>
  <c r="I34" i="29" s="1"/>
  <c r="AG21" i="12"/>
  <c r="AG14" i="12" s="1"/>
  <c r="I37" i="12" s="1"/>
  <c r="AT9" i="6"/>
  <c r="AS9" i="7"/>
  <c r="AS15" i="7" s="1"/>
  <c r="AS16" i="7" s="1"/>
  <c r="AO63" i="7"/>
  <c r="AS15" i="6"/>
  <c r="AT15" i="6" s="1"/>
  <c r="AU15" i="6" s="1"/>
  <c r="AU12" i="6"/>
  <c r="AT12" i="7"/>
  <c r="AS6" i="7"/>
  <c r="AO54" i="7"/>
  <c r="AS16" i="6"/>
  <c r="AT16" i="6" s="1"/>
  <c r="AU16" i="6" s="1"/>
  <c r="AT5" i="7"/>
  <c r="AU5" i="6"/>
  <c r="AU5" i="7" s="1"/>
  <c r="AT11" i="7"/>
  <c r="AU11" i="6"/>
  <c r="AU11" i="7" s="1"/>
  <c r="AU4" i="6"/>
  <c r="AT4" i="7"/>
  <c r="BG6" i="6"/>
  <c r="BF16" i="6"/>
  <c r="AU10" i="6"/>
  <c r="AU10" i="7" s="1"/>
  <c r="AT10" i="7"/>
  <c r="BG2" i="6"/>
  <c r="AT3" i="7"/>
  <c r="AU3" i="6"/>
  <c r="AU3" i="7" s="1"/>
  <c r="BG2" i="7"/>
  <c r="AU14" i="6"/>
  <c r="AU14" i="7" s="1"/>
  <c r="AT14" i="7"/>
  <c r="BG14" i="7" s="1"/>
  <c r="BG14" i="6"/>
  <c r="BG7" i="6"/>
  <c r="AR15" i="7"/>
  <c r="H4" i="8"/>
  <c r="H20" i="8" s="1"/>
  <c r="H26" i="8" s="1"/>
  <c r="H5" i="8"/>
  <c r="K91" i="6"/>
  <c r="O81" i="6" s="1"/>
  <c r="BE52" i="6"/>
  <c r="AN56" i="7"/>
  <c r="AM56" i="7"/>
  <c r="BE56" i="7" s="1"/>
  <c r="BE56" i="6"/>
  <c r="J14" i="9"/>
  <c r="J42" i="9" s="1"/>
  <c r="AP54" i="7"/>
  <c r="AQ16" i="7"/>
  <c r="BF16" i="7" s="1"/>
  <c r="BE53" i="6"/>
  <c r="J15" i="9" s="1"/>
  <c r="AN33" i="3"/>
  <c r="AN34" i="3" s="1"/>
  <c r="AO36" i="3" s="1"/>
  <c r="AO35" i="3" s="1"/>
  <c r="BF15" i="7"/>
  <c r="AP63" i="7"/>
  <c r="AH28" i="29"/>
  <c r="I42" i="29"/>
  <c r="I47" i="29" s="1"/>
  <c r="AH17" i="29"/>
  <c r="AK5" i="12"/>
  <c r="AL23" i="29"/>
  <c r="J26" i="12"/>
  <c r="L91" i="6"/>
  <c r="O80" i="6"/>
  <c r="I28" i="12"/>
  <c r="I41" i="12" s="1"/>
  <c r="AL5" i="12"/>
  <c r="AM23" i="29"/>
  <c r="AQ65" i="7"/>
  <c r="K73" i="7" s="1"/>
  <c r="AQ50" i="7"/>
  <c r="BF50" i="7" s="1"/>
  <c r="BF49" i="7"/>
  <c r="K74" i="7"/>
  <c r="AQ53" i="7"/>
  <c r="AG18" i="12"/>
  <c r="AM54" i="6"/>
  <c r="AM55" i="6" s="1"/>
  <c r="BE55" i="6" s="1"/>
  <c r="AB10" i="13"/>
  <c r="AB12" i="13" s="1"/>
  <c r="H28" i="13" s="1"/>
  <c r="AP21" i="7"/>
  <c r="AQ21" i="6"/>
  <c r="AR21" i="6" s="1"/>
  <c r="AP22" i="7"/>
  <c r="AQ22" i="6"/>
  <c r="AP20" i="7"/>
  <c r="AQ20" i="6"/>
  <c r="AP23" i="6"/>
  <c r="AP2" i="12"/>
  <c r="AQ22" i="29" s="1"/>
  <c r="H30" i="9"/>
  <c r="V3" i="8"/>
  <c r="H4" i="9"/>
  <c r="H5" i="9" s="1"/>
  <c r="E46" i="11"/>
  <c r="AJ6" i="13"/>
  <c r="AQ26" i="3"/>
  <c r="AQ12" i="12" s="1"/>
  <c r="AR26" i="29" s="1"/>
  <c r="AR27" i="3"/>
  <c r="AN65" i="6"/>
  <c r="AN64" i="6"/>
  <c r="AN63" i="6"/>
  <c r="AN53" i="6"/>
  <c r="L43" i="11"/>
  <c r="D21" i="11"/>
  <c r="J19" i="11"/>
  <c r="AN51" i="6"/>
  <c r="AO24" i="6"/>
  <c r="AO49" i="6"/>
  <c r="AO56" i="6" s="1"/>
  <c r="AO58" i="6" s="1"/>
  <c r="K25" i="12"/>
  <c r="BF22" i="6" l="1"/>
  <c r="AR22" i="6"/>
  <c r="I16" i="8"/>
  <c r="I16" i="9"/>
  <c r="AR21" i="7"/>
  <c r="AS21" i="6"/>
  <c r="BF21" i="6"/>
  <c r="BF20" i="6"/>
  <c r="AR20" i="6"/>
  <c r="BG11" i="6"/>
  <c r="AM13" i="29"/>
  <c r="AM17" i="29" s="1"/>
  <c r="AL21" i="12"/>
  <c r="AL14" i="12" s="1"/>
  <c r="AK21" i="12"/>
  <c r="AK14" i="12" s="1"/>
  <c r="BG5" i="6"/>
  <c r="BG3" i="7"/>
  <c r="BG10" i="7"/>
  <c r="BG16" i="6"/>
  <c r="AS7" i="7"/>
  <c r="AS49" i="7"/>
  <c r="AT9" i="7"/>
  <c r="AU9" i="6"/>
  <c r="AU9" i="7" s="1"/>
  <c r="BG3" i="6"/>
  <c r="BG11" i="7"/>
  <c r="BG5" i="7"/>
  <c r="AT6" i="7"/>
  <c r="BG15" i="6"/>
  <c r="AR16" i="7"/>
  <c r="AR49" i="7"/>
  <c r="AU12" i="7"/>
  <c r="BG12" i="7" s="1"/>
  <c r="BG12" i="6"/>
  <c r="AN3" i="12"/>
  <c r="AN5" i="12" s="1"/>
  <c r="BG10" i="6"/>
  <c r="AU4" i="7"/>
  <c r="AU6" i="7" s="1"/>
  <c r="BG4" i="6"/>
  <c r="AM3" i="12"/>
  <c r="AM58" i="7"/>
  <c r="BE58" i="7" s="1"/>
  <c r="J10" i="8" s="1"/>
  <c r="BE58" i="6"/>
  <c r="J10" i="9" s="1"/>
  <c r="AN58" i="7"/>
  <c r="AO56" i="7"/>
  <c r="AO58" i="7"/>
  <c r="AQ51" i="7"/>
  <c r="AQ52" i="7" s="1"/>
  <c r="AQ54" i="7" s="1"/>
  <c r="X14" i="8"/>
  <c r="AN61" i="6"/>
  <c r="J46" i="9"/>
  <c r="X15" i="8"/>
  <c r="AN60" i="6"/>
  <c r="BE54" i="6"/>
  <c r="AO33" i="3"/>
  <c r="AO34" i="3" s="1"/>
  <c r="AP36" i="3" s="1"/>
  <c r="AP35" i="3" s="1"/>
  <c r="AH29" i="29"/>
  <c r="AM28" i="29"/>
  <c r="AL28" i="29"/>
  <c r="J42" i="29"/>
  <c r="J47" i="29" s="1"/>
  <c r="AH19" i="29"/>
  <c r="I38" i="29"/>
  <c r="AL13" i="29"/>
  <c r="J34" i="29" s="1"/>
  <c r="J28" i="12"/>
  <c r="AQ61" i="7"/>
  <c r="K69" i="7" s="1"/>
  <c r="BF53" i="7"/>
  <c r="K72" i="7"/>
  <c r="AQ63" i="7"/>
  <c r="AG4" i="13"/>
  <c r="AG6" i="13" s="1"/>
  <c r="H26" i="13"/>
  <c r="K40" i="3"/>
  <c r="K6" i="9" s="1"/>
  <c r="AG19" i="12"/>
  <c r="H21" i="8"/>
  <c r="H27" i="8" s="1"/>
  <c r="H30" i="8" s="1"/>
  <c r="AJ8" i="13"/>
  <c r="AJ9" i="13" s="1"/>
  <c r="H32" i="9"/>
  <c r="H21" i="9"/>
  <c r="AQ22" i="7"/>
  <c r="BF22" i="7" s="1"/>
  <c r="AO53" i="6"/>
  <c r="AO60" i="6" s="1"/>
  <c r="AO65" i="6"/>
  <c r="AO64" i="6"/>
  <c r="AO63" i="6"/>
  <c r="H4" i="10"/>
  <c r="AN52" i="6"/>
  <c r="AR26" i="3"/>
  <c r="AR12" i="12" s="1"/>
  <c r="AS26" i="29" s="1"/>
  <c r="AS27" i="3"/>
  <c r="AS26" i="3" s="1"/>
  <c r="AS12" i="12" s="1"/>
  <c r="AT26" i="29" s="1"/>
  <c r="E47" i="11"/>
  <c r="G45" i="11" s="1"/>
  <c r="AP24" i="6"/>
  <c r="AP49" i="6"/>
  <c r="AP56" i="6" s="1"/>
  <c r="AP58" i="6" s="1"/>
  <c r="AO51" i="6"/>
  <c r="AO61" i="6" s="1"/>
  <c r="AD10" i="13"/>
  <c r="K19" i="11"/>
  <c r="B22" i="11"/>
  <c r="AO15" i="12"/>
  <c r="K39" i="3"/>
  <c r="K7" i="8" s="1"/>
  <c r="K6" i="8" s="1"/>
  <c r="H31" i="9"/>
  <c r="H20" i="9"/>
  <c r="V20" i="8" s="1"/>
  <c r="V4" i="8"/>
  <c r="AQ20" i="7"/>
  <c r="BF20" i="7" s="1"/>
  <c r="AQ23" i="6"/>
  <c r="AQ21" i="7"/>
  <c r="BF21" i="7" s="1"/>
  <c r="K24" i="8"/>
  <c r="AH10" i="13"/>
  <c r="AQ2" i="12"/>
  <c r="AR22" i="29" s="1"/>
  <c r="AT21" i="6" l="1"/>
  <c r="AS21" i="7"/>
  <c r="BF23" i="6"/>
  <c r="AR23" i="6"/>
  <c r="AS64" i="7"/>
  <c r="AS66" i="7"/>
  <c r="I28" i="9"/>
  <c r="I17" i="9"/>
  <c r="W16" i="8"/>
  <c r="AK18" i="12"/>
  <c r="AK4" i="13" s="1"/>
  <c r="J37" i="12"/>
  <c r="J41" i="12" s="1"/>
  <c r="AR66" i="7"/>
  <c r="AR64" i="7"/>
  <c r="H7" i="14"/>
  <c r="H12" i="14" s="1"/>
  <c r="H45" i="12"/>
  <c r="H51" i="12" s="1"/>
  <c r="AL18" i="12"/>
  <c r="AL4" i="13" s="1"/>
  <c r="AR20" i="7"/>
  <c r="AS20" i="6"/>
  <c r="AR22" i="7"/>
  <c r="AS22" i="6"/>
  <c r="AO13" i="29"/>
  <c r="AO17" i="29" s="1"/>
  <c r="AO19" i="29" s="1"/>
  <c r="AN21" i="12"/>
  <c r="AN14" i="12" s="1"/>
  <c r="AN18" i="12" s="1"/>
  <c r="AN4" i="13" s="1"/>
  <c r="AN6" i="13" s="1"/>
  <c r="AN8" i="13" s="1"/>
  <c r="AN9" i="13" s="1"/>
  <c r="AN10" i="13" s="1"/>
  <c r="AN12" i="13" s="1"/>
  <c r="AU15" i="7"/>
  <c r="AU16" i="7" s="1"/>
  <c r="AU7" i="7"/>
  <c r="AU49" i="7"/>
  <c r="BG6" i="7"/>
  <c r="AR51" i="7"/>
  <c r="AR52" i="7" s="1"/>
  <c r="AT15" i="7"/>
  <c r="BG9" i="7"/>
  <c r="AO23" i="29"/>
  <c r="AO28" i="29" s="1"/>
  <c r="AO29" i="29" s="1"/>
  <c r="AN23" i="29"/>
  <c r="AN28" i="29" s="1"/>
  <c r="AM5" i="12"/>
  <c r="BG4" i="7"/>
  <c r="AP3" i="12"/>
  <c r="BG9" i="6"/>
  <c r="AR53" i="7"/>
  <c r="AR65" i="7"/>
  <c r="AS50" i="7"/>
  <c r="AR50" i="7"/>
  <c r="AT7" i="7"/>
  <c r="AS53" i="7"/>
  <c r="AS61" i="7" s="1"/>
  <c r="AS65" i="7"/>
  <c r="AS51" i="7"/>
  <c r="AS62" i="7" s="1"/>
  <c r="BF51" i="7"/>
  <c r="AQ62" i="7"/>
  <c r="BF52" i="7"/>
  <c r="J12" i="8"/>
  <c r="J22" i="8" s="1"/>
  <c r="J28" i="8" s="1"/>
  <c r="J11" i="8"/>
  <c r="X10" i="8"/>
  <c r="J39" i="9"/>
  <c r="J12" i="9"/>
  <c r="J11" i="9"/>
  <c r="AP58" i="7"/>
  <c r="AP56" i="7"/>
  <c r="BF24" i="6"/>
  <c r="AM29" i="29"/>
  <c r="AN54" i="6"/>
  <c r="AP33" i="3"/>
  <c r="AP34" i="3" s="1"/>
  <c r="AQ36" i="3" s="1"/>
  <c r="AQ35" i="3" s="1"/>
  <c r="L45" i="29"/>
  <c r="AM19" i="29"/>
  <c r="I39" i="29"/>
  <c r="I48" i="29"/>
  <c r="AL17" i="29"/>
  <c r="AL29" i="29" s="1"/>
  <c r="K7" i="9"/>
  <c r="Q7" i="9" s="1"/>
  <c r="K70" i="7"/>
  <c r="K15" i="8"/>
  <c r="AO3" i="12"/>
  <c r="AQ55" i="7"/>
  <c r="BF55" i="7" s="1"/>
  <c r="BF54" i="7"/>
  <c r="K14" i="8"/>
  <c r="I20" i="13"/>
  <c r="I6" i="14" s="1"/>
  <c r="L35" i="12"/>
  <c r="V5" i="8"/>
  <c r="V21" i="8"/>
  <c r="AR2" i="12"/>
  <c r="AS22" i="29" s="1"/>
  <c r="C22" i="11"/>
  <c r="AL6" i="13"/>
  <c r="AO52" i="6"/>
  <c r="AO54" i="6" s="1"/>
  <c r="AQ24" i="6"/>
  <c r="AR24" i="6" s="1"/>
  <c r="AQ49" i="6"/>
  <c r="AQ56" i="6" s="1"/>
  <c r="AQ58" i="6" s="1"/>
  <c r="H5" i="10"/>
  <c r="H6" i="10" s="1"/>
  <c r="AD12" i="13"/>
  <c r="AP65" i="6"/>
  <c r="AP64" i="6"/>
  <c r="AP63" i="6"/>
  <c r="AP53" i="6"/>
  <c r="AP60" i="6" s="1"/>
  <c r="H7" i="13"/>
  <c r="AG8" i="13"/>
  <c r="AG9" i="13" s="1"/>
  <c r="I22" i="13"/>
  <c r="K38" i="12"/>
  <c r="K34" i="9"/>
  <c r="K33" i="9" s="1"/>
  <c r="Y6" i="8"/>
  <c r="Q6" i="9"/>
  <c r="AP51" i="6"/>
  <c r="AP61" i="6" s="1"/>
  <c r="AH12" i="13"/>
  <c r="E48" i="11"/>
  <c r="AQ15" i="12"/>
  <c r="AK6" i="13" l="1"/>
  <c r="J20" i="13"/>
  <c r="J6" i="14" s="1"/>
  <c r="AT22" i="6"/>
  <c r="AS22" i="7"/>
  <c r="AU51" i="7"/>
  <c r="AU62" i="7" s="1"/>
  <c r="AS23" i="6"/>
  <c r="AT23" i="6" s="1"/>
  <c r="AU23" i="6" s="1"/>
  <c r="BG23" i="6"/>
  <c r="AS24" i="6"/>
  <c r="AT24" i="6" s="1"/>
  <c r="AU24" i="6" s="1"/>
  <c r="H13" i="14"/>
  <c r="H15" i="14" s="1"/>
  <c r="J16" i="8"/>
  <c r="J16" i="9"/>
  <c r="AS20" i="7"/>
  <c r="AT20" i="6"/>
  <c r="H38" i="14"/>
  <c r="AK19" i="12"/>
  <c r="W17" i="8"/>
  <c r="I29" i="9"/>
  <c r="AU64" i="7"/>
  <c r="AU66" i="7"/>
  <c r="AT21" i="7"/>
  <c r="AU21" i="6"/>
  <c r="AU21" i="7" s="1"/>
  <c r="BG21" i="7" s="1"/>
  <c r="BG21" i="6"/>
  <c r="AR49" i="6"/>
  <c r="AR56" i="6" s="1"/>
  <c r="AR58" i="6" s="1"/>
  <c r="AN13" i="29"/>
  <c r="AN17" i="29" s="1"/>
  <c r="AM21" i="12"/>
  <c r="AM14" i="12" s="1"/>
  <c r="AM18" i="12"/>
  <c r="AM4" i="13" s="1"/>
  <c r="AM6" i="13" s="1"/>
  <c r="AM8" i="13" s="1"/>
  <c r="AM9" i="13" s="1"/>
  <c r="AM10" i="13" s="1"/>
  <c r="AM12" i="13" s="1"/>
  <c r="AT16" i="7"/>
  <c r="BG16" i="7" s="1"/>
  <c r="BG15" i="7"/>
  <c r="AR63" i="6"/>
  <c r="AR64" i="6"/>
  <c r="AR65" i="6"/>
  <c r="AS49" i="6"/>
  <c r="AS56" i="6" s="1"/>
  <c r="AS58" i="6" s="1"/>
  <c r="AR54" i="7"/>
  <c r="AR61" i="7"/>
  <c r="AP5" i="12"/>
  <c r="AQ23" i="29"/>
  <c r="AQ28" i="29" s="1"/>
  <c r="AR3" i="12"/>
  <c r="AN19" i="29"/>
  <c r="AN29" i="29"/>
  <c r="AR62" i="7"/>
  <c r="AU53" i="7"/>
  <c r="AU61" i="7" s="1"/>
  <c r="AU65" i="7"/>
  <c r="AU52" i="7"/>
  <c r="AU54" i="7" s="1"/>
  <c r="AS63" i="7"/>
  <c r="AS52" i="7"/>
  <c r="AS54" i="7" s="1"/>
  <c r="AR63" i="7"/>
  <c r="AT49" i="7"/>
  <c r="BG7" i="7"/>
  <c r="J40" i="9"/>
  <c r="X11" i="8"/>
  <c r="X12" i="8"/>
  <c r="J22" i="9"/>
  <c r="X22" i="8" s="1"/>
  <c r="J41" i="9"/>
  <c r="AQ50" i="6"/>
  <c r="BF50" i="6" s="1"/>
  <c r="BF49" i="6"/>
  <c r="AQ33" i="3"/>
  <c r="Y7" i="8"/>
  <c r="I49" i="29"/>
  <c r="AL19" i="29"/>
  <c r="J38" i="29"/>
  <c r="AQ34" i="3"/>
  <c r="AR36" i="3" s="1"/>
  <c r="AR35" i="3" s="1"/>
  <c r="AR15" i="12" s="1"/>
  <c r="AK8" i="13"/>
  <c r="AK9" i="13" s="1"/>
  <c r="J22" i="13"/>
  <c r="B7" i="2"/>
  <c r="K75" i="7"/>
  <c r="K29" i="8"/>
  <c r="AO5" i="12"/>
  <c r="AO21" i="12" s="1"/>
  <c r="AO14" i="12" s="1"/>
  <c r="AP23" i="29"/>
  <c r="K26" i="12"/>
  <c r="AQ3" i="12"/>
  <c r="AQ65" i="6"/>
  <c r="K73" i="6" s="1"/>
  <c r="AQ64" i="6"/>
  <c r="K72" i="6" s="1"/>
  <c r="AQ63" i="6"/>
  <c r="K71" i="6" s="1"/>
  <c r="AQ53" i="6"/>
  <c r="AL8" i="13"/>
  <c r="AL9" i="13" s="1"/>
  <c r="AS2" i="12"/>
  <c r="AT22" i="29" s="1"/>
  <c r="L41" i="29" s="1"/>
  <c r="H8" i="13"/>
  <c r="AQ51" i="6"/>
  <c r="I25" i="13"/>
  <c r="I24" i="13"/>
  <c r="I3" i="9" s="1"/>
  <c r="I49" i="12" s="1"/>
  <c r="AJ10" i="13"/>
  <c r="E49" i="11"/>
  <c r="F48" i="11"/>
  <c r="L46" i="11"/>
  <c r="H11" i="13"/>
  <c r="H7" i="10"/>
  <c r="D22" i="11"/>
  <c r="H17" i="14"/>
  <c r="AP15" i="12"/>
  <c r="K48" i="12"/>
  <c r="AP52" i="6"/>
  <c r="AP54" i="6" s="1"/>
  <c r="I47" i="12" l="1"/>
  <c r="AT51" i="7"/>
  <c r="AT62" i="7" s="1"/>
  <c r="K37" i="12"/>
  <c r="AU22" i="6"/>
  <c r="AU22" i="7" s="1"/>
  <c r="AT22" i="7"/>
  <c r="BG22" i="6"/>
  <c r="I3" i="8"/>
  <c r="I44" i="12"/>
  <c r="I50" i="12" s="1"/>
  <c r="AT64" i="7"/>
  <c r="AT66" i="7"/>
  <c r="L74" i="7" s="1"/>
  <c r="AT20" i="7"/>
  <c r="BG20" i="7" s="1"/>
  <c r="AU20" i="6"/>
  <c r="AU20" i="7" s="1"/>
  <c r="BG20" i="6"/>
  <c r="J17" i="9"/>
  <c r="X16" i="8"/>
  <c r="J28" i="9"/>
  <c r="BG24" i="6"/>
  <c r="AQ13" i="29"/>
  <c r="AQ17" i="29" s="1"/>
  <c r="AQ19" i="29" s="1"/>
  <c r="AP21" i="12"/>
  <c r="AP14" i="12" s="1"/>
  <c r="AP18" i="12" s="1"/>
  <c r="AR55" i="7"/>
  <c r="AS55" i="7"/>
  <c r="AR56" i="7"/>
  <c r="AQ60" i="6"/>
  <c r="K68" i="6" s="1"/>
  <c r="AR53" i="6"/>
  <c r="AT53" i="7"/>
  <c r="AT65" i="7"/>
  <c r="L73" i="7" s="1"/>
  <c r="BG49" i="7"/>
  <c r="AT50" i="7"/>
  <c r="AU50" i="7"/>
  <c r="AU63" i="7"/>
  <c r="AR5" i="12"/>
  <c r="AS23" i="29"/>
  <c r="AS28" i="29" s="1"/>
  <c r="AQ61" i="6"/>
  <c r="K69" i="6" s="1"/>
  <c r="K74" i="6" s="1"/>
  <c r="AR51" i="6"/>
  <c r="L70" i="7"/>
  <c r="AT49" i="6"/>
  <c r="AT56" i="6" s="1"/>
  <c r="AT58" i="6" s="1"/>
  <c r="AS63" i="6"/>
  <c r="AS64" i="6"/>
  <c r="AS65" i="6"/>
  <c r="I4" i="8"/>
  <c r="I5" i="8"/>
  <c r="AQ56" i="7"/>
  <c r="BF56" i="7" s="1"/>
  <c r="BF56" i="6"/>
  <c r="BF53" i="6"/>
  <c r="BF51" i="6"/>
  <c r="J39" i="29"/>
  <c r="J48" i="29"/>
  <c r="J49" i="29" s="1"/>
  <c r="AP28" i="29"/>
  <c r="K42" i="29"/>
  <c r="K47" i="29" s="1"/>
  <c r="AR33" i="3"/>
  <c r="J24" i="13"/>
  <c r="J3" i="9" s="1"/>
  <c r="J49" i="12" s="1"/>
  <c r="AQ5" i="12"/>
  <c r="AR23" i="29"/>
  <c r="AS3" i="12"/>
  <c r="AP13" i="29"/>
  <c r="K34" i="29" s="1"/>
  <c r="K28" i="12"/>
  <c r="AO18" i="12"/>
  <c r="L25" i="12"/>
  <c r="L24" i="8" s="1"/>
  <c r="K44" i="9"/>
  <c r="L44" i="9" s="1"/>
  <c r="K43" i="12"/>
  <c r="K14" i="9"/>
  <c r="K43" i="9"/>
  <c r="L43" i="9" s="1"/>
  <c r="I30" i="9"/>
  <c r="I4" i="9"/>
  <c r="I5" i="9" s="1"/>
  <c r="W3" i="8"/>
  <c r="H9" i="13"/>
  <c r="H10" i="13" s="1"/>
  <c r="AJ12" i="13"/>
  <c r="B23" i="11"/>
  <c r="H13" i="13"/>
  <c r="AG10" i="13"/>
  <c r="H14" i="13"/>
  <c r="K45" i="9"/>
  <c r="L45" i="9" s="1"/>
  <c r="E50" i="11"/>
  <c r="I20" i="8"/>
  <c r="I26" i="8" s="1"/>
  <c r="AQ52" i="6"/>
  <c r="AR52" i="6" s="1"/>
  <c r="J29" i="9" l="1"/>
  <c r="X17" i="8"/>
  <c r="K41" i="12"/>
  <c r="AT52" i="7"/>
  <c r="BG22" i="7"/>
  <c r="K16" i="9"/>
  <c r="K16" i="8"/>
  <c r="BG51" i="7"/>
  <c r="L14" i="8" s="1"/>
  <c r="J47" i="12"/>
  <c r="AS13" i="29"/>
  <c r="AS17" i="29" s="1"/>
  <c r="AS19" i="29" s="1"/>
  <c r="AR21" i="12"/>
  <c r="AR14" i="12" s="1"/>
  <c r="AR18" i="12" s="1"/>
  <c r="AR4" i="13" s="1"/>
  <c r="AR6" i="13" s="1"/>
  <c r="AR8" i="13" s="1"/>
  <c r="AR9" i="13" s="1"/>
  <c r="AQ21" i="12"/>
  <c r="AQ14" i="12" s="1"/>
  <c r="AQ18" i="12" s="1"/>
  <c r="AQ4" i="13" s="1"/>
  <c r="AQ6" i="13" s="1"/>
  <c r="AQ8" i="13" s="1"/>
  <c r="AQ9" i="13" s="1"/>
  <c r="AQ10" i="13" s="1"/>
  <c r="AQ12" i="13" s="1"/>
  <c r="AQ29" i="29"/>
  <c r="AR61" i="6"/>
  <c r="AS51" i="6"/>
  <c r="AS56" i="7"/>
  <c r="BG50" i="7"/>
  <c r="AU49" i="6"/>
  <c r="AU56" i="6" s="1"/>
  <c r="AU58" i="6" s="1"/>
  <c r="AT65" i="6"/>
  <c r="AT63" i="6"/>
  <c r="AT64" i="6"/>
  <c r="AT63" i="7"/>
  <c r="L71" i="7" s="1"/>
  <c r="L72" i="7"/>
  <c r="AR58" i="7"/>
  <c r="AR60" i="6"/>
  <c r="AS53" i="6"/>
  <c r="AS52" i="6"/>
  <c r="AT52" i="6" s="1"/>
  <c r="AU52" i="6" s="1"/>
  <c r="AT61" i="7"/>
  <c r="L69" i="7" s="1"/>
  <c r="L75" i="7" s="1"/>
  <c r="N75" i="7" s="1"/>
  <c r="BG53" i="7"/>
  <c r="L15" i="8" s="1"/>
  <c r="AQ58" i="7"/>
  <c r="BF58" i="7" s="1"/>
  <c r="BF58" i="6"/>
  <c r="AQ54" i="6"/>
  <c r="AR54" i="6" s="1"/>
  <c r="BF52" i="6"/>
  <c r="K15" i="9"/>
  <c r="AR28" i="29"/>
  <c r="AP17" i="29"/>
  <c r="K38" i="29" s="1"/>
  <c r="AR34" i="3"/>
  <c r="AS33" i="3" s="1"/>
  <c r="AS34" i="3" s="1"/>
  <c r="J4" i="9"/>
  <c r="J30" i="9"/>
  <c r="AK10" i="13"/>
  <c r="J25" i="13"/>
  <c r="AS5" i="12"/>
  <c r="AT23" i="29"/>
  <c r="AT28" i="29" s="1"/>
  <c r="AR13" i="29"/>
  <c r="AO4" i="13"/>
  <c r="AO19" i="12"/>
  <c r="L26" i="12"/>
  <c r="I21" i="8"/>
  <c r="I27" i="8" s="1"/>
  <c r="I30" i="8" s="1"/>
  <c r="I32" i="9"/>
  <c r="I21" i="9"/>
  <c r="W5" i="8"/>
  <c r="AG12" i="13"/>
  <c r="I28" i="13" s="1"/>
  <c r="I26" i="13"/>
  <c r="I45" i="12" s="1"/>
  <c r="I51" i="12" s="1"/>
  <c r="AL10" i="13"/>
  <c r="H12" i="13"/>
  <c r="I20" i="9"/>
  <c r="W20" i="8" s="1"/>
  <c r="I31" i="9"/>
  <c r="W4" i="8"/>
  <c r="AP4" i="13"/>
  <c r="C23" i="11"/>
  <c r="E51" i="11"/>
  <c r="H15" i="13"/>
  <c r="K42" i="9"/>
  <c r="Y14" i="8"/>
  <c r="Q14" i="9"/>
  <c r="G48" i="11"/>
  <c r="Y16" i="8" l="1"/>
  <c r="K28" i="9"/>
  <c r="K17" i="9"/>
  <c r="Q16" i="9"/>
  <c r="AU50" i="6"/>
  <c r="BG50" i="6" s="1"/>
  <c r="AT54" i="7"/>
  <c r="BG52" i="7"/>
  <c r="L29" i="8"/>
  <c r="J3" i="8"/>
  <c r="J44" i="12"/>
  <c r="J50" i="12" s="1"/>
  <c r="AS29" i="29"/>
  <c r="AT13" i="29"/>
  <c r="AT17" i="29" s="1"/>
  <c r="AT19" i="29" s="1"/>
  <c r="AS21" i="12"/>
  <c r="AS14" i="12" s="1"/>
  <c r="L37" i="12" s="1"/>
  <c r="AS54" i="6"/>
  <c r="AT54" i="6" s="1"/>
  <c r="AU54" i="6" s="1"/>
  <c r="AT56" i="7"/>
  <c r="BG52" i="6"/>
  <c r="AS58" i="7"/>
  <c r="AR10" i="13"/>
  <c r="AR12" i="13" s="1"/>
  <c r="AT53" i="6"/>
  <c r="AS60" i="6"/>
  <c r="AU63" i="6"/>
  <c r="L71" i="6" s="1"/>
  <c r="AU64" i="6"/>
  <c r="L72" i="6" s="1"/>
  <c r="AU65" i="6"/>
  <c r="L73" i="6" s="1"/>
  <c r="BG49" i="6"/>
  <c r="AS61" i="6"/>
  <c r="AT51" i="6"/>
  <c r="J5" i="8"/>
  <c r="J21" i="8" s="1"/>
  <c r="J27" i="8" s="1"/>
  <c r="J4" i="8"/>
  <c r="J20" i="8" s="1"/>
  <c r="J26" i="8" s="1"/>
  <c r="K10" i="9"/>
  <c r="K10" i="8"/>
  <c r="K46" i="9"/>
  <c r="Q15" i="9"/>
  <c r="Q21" i="9" s="1"/>
  <c r="Y15" i="8"/>
  <c r="AQ55" i="6"/>
  <c r="BF55" i="6" s="1"/>
  <c r="BF54" i="6"/>
  <c r="K39" i="29"/>
  <c r="K48" i="29"/>
  <c r="K49" i="29" s="1"/>
  <c r="L34" i="29"/>
  <c r="AP19" i="29"/>
  <c r="L42" i="29"/>
  <c r="L47" i="29" s="1"/>
  <c r="AP29" i="29"/>
  <c r="AR17" i="29"/>
  <c r="AR29" i="29" s="1"/>
  <c r="AS36" i="3"/>
  <c r="X3" i="8"/>
  <c r="AK12" i="13"/>
  <c r="J28" i="13" s="1"/>
  <c r="J26" i="13"/>
  <c r="J45" i="12" s="1"/>
  <c r="J51" i="12" s="1"/>
  <c r="AT29" i="29"/>
  <c r="J5" i="9"/>
  <c r="J31" i="9"/>
  <c r="J20" i="9"/>
  <c r="K20" i="13"/>
  <c r="K6" i="14" s="1"/>
  <c r="AO6" i="13"/>
  <c r="L28" i="12"/>
  <c r="W21" i="8"/>
  <c r="E52" i="11"/>
  <c r="L49" i="11"/>
  <c r="D23" i="11"/>
  <c r="AL12" i="13"/>
  <c r="AP6" i="13"/>
  <c r="I7" i="14"/>
  <c r="I12" i="14" s="1"/>
  <c r="L16" i="9" l="1"/>
  <c r="L16" i="8"/>
  <c r="AU55" i="7"/>
  <c r="AT55" i="7"/>
  <c r="BG55" i="7" s="1"/>
  <c r="BG54" i="7"/>
  <c r="L40" i="3"/>
  <c r="L6" i="9" s="1"/>
  <c r="AS35" i="3"/>
  <c r="K29" i="9"/>
  <c r="Y17" i="8"/>
  <c r="Q17" i="9"/>
  <c r="X4" i="8"/>
  <c r="J30" i="8"/>
  <c r="X20" i="8"/>
  <c r="AU55" i="6"/>
  <c r="BG55" i="6" s="1"/>
  <c r="BG54" i="6"/>
  <c r="AU53" i="6"/>
  <c r="AU60" i="6" s="1"/>
  <c r="AT60" i="6"/>
  <c r="AU58" i="7"/>
  <c r="AT58" i="7"/>
  <c r="AU51" i="6"/>
  <c r="AU61" i="6" s="1"/>
  <c r="AT61" i="6"/>
  <c r="AU56" i="7"/>
  <c r="BG56" i="7" s="1"/>
  <c r="BG56" i="6"/>
  <c r="I38" i="14"/>
  <c r="I13" i="14"/>
  <c r="I15" i="14" s="1"/>
  <c r="K11" i="8"/>
  <c r="K12" i="8"/>
  <c r="K22" i="8" s="1"/>
  <c r="K28" i="8" s="1"/>
  <c r="Y10" i="8"/>
  <c r="K11" i="9"/>
  <c r="Q10" i="9"/>
  <c r="K12" i="9"/>
  <c r="K39" i="9"/>
  <c r="L7" i="9"/>
  <c r="AR19" i="29"/>
  <c r="L38" i="29"/>
  <c r="J7" i="14"/>
  <c r="J12" i="14" s="1"/>
  <c r="J21" i="9"/>
  <c r="X21" i="8" s="1"/>
  <c r="J32" i="9"/>
  <c r="X5" i="8"/>
  <c r="AO8" i="13"/>
  <c r="AO9" i="13" s="1"/>
  <c r="K22" i="13"/>
  <c r="H21" i="11"/>
  <c r="B24" i="11"/>
  <c r="E53" i="11"/>
  <c r="G51" i="11" s="1"/>
  <c r="I18" i="14"/>
  <c r="I34" i="14" s="1"/>
  <c r="AP8" i="13"/>
  <c r="AP9" i="13" s="1"/>
  <c r="L34" i="9"/>
  <c r="L33" i="9" s="1"/>
  <c r="L28" i="9" l="1"/>
  <c r="L17" i="9"/>
  <c r="Z16" i="8"/>
  <c r="AA16" i="8" s="1"/>
  <c r="AS15" i="12"/>
  <c r="L39" i="3"/>
  <c r="L7" i="8" s="1"/>
  <c r="L6" i="8" s="1"/>
  <c r="Z6" i="8" s="1"/>
  <c r="AA6" i="8" s="1"/>
  <c r="L68" i="6"/>
  <c r="BG58" i="7"/>
  <c r="L10" i="8" s="1"/>
  <c r="L11" i="8" s="1"/>
  <c r="L69" i="6"/>
  <c r="L43" i="12"/>
  <c r="L14" i="9"/>
  <c r="L74" i="6"/>
  <c r="N76" i="7" s="1"/>
  <c r="N77" i="7" s="1"/>
  <c r="BG53" i="6"/>
  <c r="L15" i="9" s="1"/>
  <c r="BG51" i="6"/>
  <c r="BG58" i="6"/>
  <c r="L10" i="9" s="1"/>
  <c r="J38" i="14"/>
  <c r="J13" i="14"/>
  <c r="J15" i="14" s="1"/>
  <c r="K40" i="9"/>
  <c r="Y11" i="8"/>
  <c r="Q11" i="9"/>
  <c r="Y12" i="8"/>
  <c r="K22" i="9"/>
  <c r="Y22" i="8" s="1"/>
  <c r="K41" i="9"/>
  <c r="Q12" i="9"/>
  <c r="T5" i="9" s="1"/>
  <c r="L39" i="29"/>
  <c r="L48" i="29"/>
  <c r="J17" i="14"/>
  <c r="J18" i="14"/>
  <c r="K24" i="13"/>
  <c r="K3" i="9" s="1"/>
  <c r="K49" i="12" s="1"/>
  <c r="I20" i="14"/>
  <c r="C24" i="11"/>
  <c r="I17" i="14"/>
  <c r="E54" i="11"/>
  <c r="K47" i="12" l="1"/>
  <c r="AS18" i="12"/>
  <c r="L38" i="12"/>
  <c r="L29" i="9"/>
  <c r="Z17" i="8"/>
  <c r="AA17" i="8" s="1"/>
  <c r="L12" i="8"/>
  <c r="L22" i="8" s="1"/>
  <c r="L28" i="8" s="1"/>
  <c r="Z7" i="8"/>
  <c r="AA7" i="8" s="1"/>
  <c r="L12" i="9"/>
  <c r="L39" i="9"/>
  <c r="Z10" i="8"/>
  <c r="AA10" i="8" s="1"/>
  <c r="L11" i="9"/>
  <c r="Z15" i="8"/>
  <c r="AA15" i="8" s="1"/>
  <c r="L46" i="9"/>
  <c r="L42" i="9"/>
  <c r="Z14" i="8"/>
  <c r="AA14" i="8" s="1"/>
  <c r="L49" i="29"/>
  <c r="M49" i="29" s="1"/>
  <c r="B9" i="2" s="1"/>
  <c r="J34" i="14"/>
  <c r="J20" i="14"/>
  <c r="K4" i="9"/>
  <c r="K30" i="9"/>
  <c r="K25" i="13"/>
  <c r="AO10" i="13"/>
  <c r="D24" i="11"/>
  <c r="J22" i="11"/>
  <c r="I4" i="10" s="1"/>
  <c r="E55" i="11"/>
  <c r="L52" i="11"/>
  <c r="AP10" i="13"/>
  <c r="K3" i="8" l="1"/>
  <c r="K44" i="12"/>
  <c r="K50" i="12" s="1"/>
  <c r="L48" i="12"/>
  <c r="L41" i="12"/>
  <c r="AS19" i="12"/>
  <c r="AS4" i="13"/>
  <c r="L40" i="9"/>
  <c r="Z11" i="8"/>
  <c r="AA11" i="8" s="1"/>
  <c r="L41" i="9"/>
  <c r="Z12" i="8"/>
  <c r="AA12" i="8" s="1"/>
  <c r="L22" i="9"/>
  <c r="Z22" i="8" s="1"/>
  <c r="AA22" i="8" s="1"/>
  <c r="K4" i="8"/>
  <c r="K20" i="8" s="1"/>
  <c r="K26" i="8" s="1"/>
  <c r="K5" i="8"/>
  <c r="K21" i="8" s="1"/>
  <c r="K27" i="8" s="1"/>
  <c r="K5" i="9"/>
  <c r="K31" i="9"/>
  <c r="K20" i="9"/>
  <c r="K26" i="13"/>
  <c r="K45" i="12" s="1"/>
  <c r="K51" i="12" s="1"/>
  <c r="AO12" i="13"/>
  <c r="K28" i="13" s="1"/>
  <c r="Y3" i="8"/>
  <c r="K22" i="11"/>
  <c r="I5" i="10" s="1"/>
  <c r="B25" i="11"/>
  <c r="AP12" i="13"/>
  <c r="E56" i="11"/>
  <c r="I7" i="13"/>
  <c r="C23" i="13" s="1"/>
  <c r="AS6" i="13" l="1"/>
  <c r="L20" i="13"/>
  <c r="L6" i="14" s="1"/>
  <c r="Y4" i="8"/>
  <c r="Y20" i="8"/>
  <c r="K30" i="8"/>
  <c r="K21" i="9"/>
  <c r="Y21" i="8" s="1"/>
  <c r="Y5" i="8"/>
  <c r="K32" i="9"/>
  <c r="K7" i="14"/>
  <c r="K12" i="14" s="1"/>
  <c r="I8" i="13"/>
  <c r="E57" i="11"/>
  <c r="C25" i="11"/>
  <c r="I11" i="13"/>
  <c r="I7" i="10"/>
  <c r="I6" i="10"/>
  <c r="G54" i="11"/>
  <c r="AS8" i="13" l="1"/>
  <c r="L22" i="13"/>
  <c r="M6" i="14"/>
  <c r="N6" i="14"/>
  <c r="K38" i="14"/>
  <c r="K13" i="14"/>
  <c r="K15" i="14" s="1"/>
  <c r="K17" i="14"/>
  <c r="K18" i="14"/>
  <c r="I14" i="13"/>
  <c r="C27" i="13"/>
  <c r="C30" i="13"/>
  <c r="C31" i="13" s="1"/>
  <c r="I15" i="13"/>
  <c r="D25" i="11"/>
  <c r="I9" i="13"/>
  <c r="C25" i="13" s="1"/>
  <c r="C24" i="13"/>
  <c r="C3" i="9" s="1"/>
  <c r="C49" i="12" s="1"/>
  <c r="I13" i="13"/>
  <c r="E58" i="11"/>
  <c r="L55" i="11"/>
  <c r="C3" i="8" l="1"/>
  <c r="C44" i="12"/>
  <c r="C50" i="12" s="1"/>
  <c r="C47" i="12"/>
  <c r="AS9" i="13"/>
  <c r="L24" i="13"/>
  <c r="L3" i="9" s="1"/>
  <c r="K34" i="14"/>
  <c r="K20" i="14"/>
  <c r="B26" i="11"/>
  <c r="C30" i="9"/>
  <c r="Q3" i="8"/>
  <c r="C4" i="9"/>
  <c r="C29" i="13"/>
  <c r="C8" i="14"/>
  <c r="I10" i="13"/>
  <c r="E59" i="11"/>
  <c r="L49" i="12" l="1"/>
  <c r="L30" i="9"/>
  <c r="L4" i="9"/>
  <c r="L25" i="13"/>
  <c r="AS10" i="13"/>
  <c r="C5" i="9"/>
  <c r="Q5" i="8" s="1"/>
  <c r="C26" i="11"/>
  <c r="I12" i="13"/>
  <c r="C28" i="13" s="1"/>
  <c r="C26" i="13"/>
  <c r="E60" i="11"/>
  <c r="L58" i="11" s="1"/>
  <c r="C31" i="9"/>
  <c r="C20" i="9"/>
  <c r="Q20" i="8" s="1"/>
  <c r="Q4" i="8"/>
  <c r="G57" i="11"/>
  <c r="L26" i="13" l="1"/>
  <c r="AS12" i="13"/>
  <c r="L28" i="13" s="1"/>
  <c r="L3" i="8"/>
  <c r="L44" i="12"/>
  <c r="L50" i="12" s="1"/>
  <c r="L5" i="9"/>
  <c r="L20" i="9"/>
  <c r="L31" i="9"/>
  <c r="C7" i="14"/>
  <c r="C12" i="14" s="1"/>
  <c r="C45" i="12"/>
  <c r="C51" i="12" s="1"/>
  <c r="L47" i="12"/>
  <c r="C21" i="9"/>
  <c r="Q21" i="8" s="1"/>
  <c r="C32" i="9"/>
  <c r="D26" i="11"/>
  <c r="E61" i="11"/>
  <c r="F60" i="11"/>
  <c r="L32" i="9" l="1"/>
  <c r="L21" i="9"/>
  <c r="C18" i="14"/>
  <c r="C38" i="14"/>
  <c r="L5" i="8"/>
  <c r="L21" i="8" s="1"/>
  <c r="L27" i="8" s="1"/>
  <c r="L4" i="8"/>
  <c r="Z3" i="8"/>
  <c r="C13" i="14"/>
  <c r="C15" i="14" s="1"/>
  <c r="L45" i="12"/>
  <c r="L51" i="12" s="1"/>
  <c r="L7" i="14"/>
  <c r="C34" i="14"/>
  <c r="C19" i="14"/>
  <c r="H24" i="11"/>
  <c r="B27" i="11"/>
  <c r="C20" i="14"/>
  <c r="E62" i="11"/>
  <c r="C17" i="14"/>
  <c r="C16" i="14"/>
  <c r="L12" i="14" l="1"/>
  <c r="L17" i="14" s="1"/>
  <c r="L38" i="14"/>
  <c r="L13" i="14"/>
  <c r="L15" i="14" s="1"/>
  <c r="L18" i="14"/>
  <c r="Z4" i="8"/>
  <c r="L20" i="8"/>
  <c r="Z21" i="8"/>
  <c r="Z5" i="8"/>
  <c r="C27" i="11"/>
  <c r="E63" i="11"/>
  <c r="G60" i="11"/>
  <c r="L26" i="8" l="1"/>
  <c r="L30" i="8" s="1"/>
  <c r="Z20" i="8"/>
  <c r="L34" i="14"/>
  <c r="L20" i="14"/>
  <c r="E64" i="11"/>
  <c r="L61" i="11"/>
  <c r="D27" i="11"/>
  <c r="J25" i="11"/>
  <c r="J4" i="10" s="1"/>
  <c r="K25" i="11" l="1"/>
  <c r="J5" i="10" s="1"/>
  <c r="J6" i="10" s="1"/>
  <c r="B28" i="11"/>
  <c r="J7" i="13"/>
  <c r="E65" i="11"/>
  <c r="E66" i="11" l="1"/>
  <c r="G63" i="11"/>
  <c r="J8" i="13"/>
  <c r="C28" i="11"/>
  <c r="J11" i="13"/>
  <c r="J7" i="10"/>
  <c r="D28" i="11" l="1"/>
  <c r="J9" i="13"/>
  <c r="J10" i="13" s="1"/>
  <c r="J13" i="13"/>
  <c r="J14" i="13"/>
  <c r="E67" i="11"/>
  <c r="L64" i="11"/>
  <c r="B29" i="11" l="1"/>
  <c r="E68" i="11"/>
  <c r="J15" i="13"/>
  <c r="J12" i="13"/>
  <c r="C29" i="11" l="1"/>
  <c r="E70" i="11"/>
  <c r="F68" i="11"/>
  <c r="F70" i="11" s="1"/>
  <c r="G66" i="11"/>
  <c r="G70" i="11" s="1"/>
  <c r="L67" i="11"/>
  <c r="L69" i="11" s="1"/>
  <c r="D29" i="11" l="1"/>
  <c r="D70" i="11"/>
  <c r="B5" i="11"/>
  <c r="H27" i="11" l="1"/>
  <c r="B30" i="11"/>
  <c r="C30" i="11" l="1"/>
  <c r="D30" i="11" l="1"/>
  <c r="J28" i="11"/>
  <c r="K4" i="10" s="1"/>
  <c r="K7" i="13" l="1"/>
  <c r="K28" i="11"/>
  <c r="K5" i="10" s="1"/>
  <c r="K6" i="10" s="1"/>
  <c r="B31" i="11"/>
  <c r="C31" i="11" l="1"/>
  <c r="K11" i="13"/>
  <c r="K7" i="10"/>
  <c r="K8" i="13"/>
  <c r="K13" i="13" l="1"/>
  <c r="K9" i="13"/>
  <c r="K10" i="13" s="1"/>
  <c r="D31" i="11"/>
  <c r="K14" i="13"/>
  <c r="K12" i="13" l="1"/>
  <c r="B32" i="11"/>
  <c r="K15" i="13"/>
  <c r="C32" i="11" l="1"/>
  <c r="D32" i="11" l="1"/>
  <c r="H30" i="11" l="1"/>
  <c r="B33" i="11"/>
  <c r="C33" i="11" l="1"/>
  <c r="D33" i="11" l="1"/>
  <c r="J31" i="11"/>
  <c r="L4" i="10" s="1"/>
  <c r="L7" i="13" l="1"/>
  <c r="K31" i="11"/>
  <c r="L5" i="10" s="1"/>
  <c r="L6" i="10" s="1"/>
  <c r="B34" i="11"/>
  <c r="C34" i="11" l="1"/>
  <c r="L11" i="13"/>
  <c r="L7" i="10"/>
  <c r="L8" i="13"/>
  <c r="L14" i="13" l="1"/>
  <c r="L15" i="13" s="1"/>
  <c r="L13" i="13"/>
  <c r="L9" i="13"/>
  <c r="L10" i="13" s="1"/>
  <c r="D34" i="11"/>
  <c r="B35" i="11" l="1"/>
  <c r="L12" i="13"/>
  <c r="C35" i="11" l="1"/>
  <c r="D35" i="11" l="1"/>
  <c r="H33" i="11" l="1"/>
  <c r="B36" i="11"/>
  <c r="C36" i="11" l="1"/>
  <c r="D36" i="11" l="1"/>
  <c r="J34" i="11"/>
  <c r="M4" i="10" s="1"/>
  <c r="M7" i="13" l="1"/>
  <c r="D23" i="13" s="1"/>
  <c r="K34" i="11"/>
  <c r="M5" i="10" s="1"/>
  <c r="M6" i="10" s="1"/>
  <c r="B37" i="11"/>
  <c r="C37" i="11" l="1"/>
  <c r="M11" i="13"/>
  <c r="D27" i="13" s="1"/>
  <c r="M7" i="10"/>
  <c r="M8" i="13"/>
  <c r="D8" i="14" l="1"/>
  <c r="D29" i="13"/>
  <c r="M13" i="13"/>
  <c r="M9" i="13"/>
  <c r="D25" i="13" s="1"/>
  <c r="D24" i="13"/>
  <c r="D3" i="9" s="1"/>
  <c r="D49" i="12" s="1"/>
  <c r="M14" i="13"/>
  <c r="D37" i="11"/>
  <c r="D47" i="12" l="1"/>
  <c r="D3" i="8"/>
  <c r="D44" i="12"/>
  <c r="D50" i="12" s="1"/>
  <c r="M10" i="13"/>
  <c r="M12" i="13" s="1"/>
  <c r="D28" i="13" s="1"/>
  <c r="B38" i="11"/>
  <c r="D30" i="13"/>
  <c r="D31" i="13" s="1"/>
  <c r="M15" i="13"/>
  <c r="D30" i="9"/>
  <c r="R3" i="8"/>
  <c r="D4" i="9"/>
  <c r="D26" i="13" l="1"/>
  <c r="D31" i="9"/>
  <c r="D20" i="9"/>
  <c r="R20" i="8" s="1"/>
  <c r="R4" i="8"/>
  <c r="D5" i="9"/>
  <c r="C38" i="11"/>
  <c r="D7" i="14" l="1"/>
  <c r="D13" i="14" s="1"/>
  <c r="D15" i="14" s="1"/>
  <c r="D45" i="12"/>
  <c r="D51" i="12" s="1"/>
  <c r="D38" i="14"/>
  <c r="D38" i="11"/>
  <c r="D32" i="9"/>
  <c r="D21" i="9"/>
  <c r="R21" i="8" s="1"/>
  <c r="R5" i="8"/>
  <c r="D12" i="14" l="1"/>
  <c r="D17" i="14" s="1"/>
  <c r="D18" i="14"/>
  <c r="D34" i="14" s="1"/>
  <c r="D20" i="14"/>
  <c r="D19" i="14"/>
  <c r="D16" i="14"/>
  <c r="H36" i="11"/>
  <c r="B39" i="11"/>
  <c r="C39" i="11" l="1"/>
  <c r="D39" i="11" l="1"/>
  <c r="J37" i="11"/>
  <c r="N4" i="10" s="1"/>
  <c r="N7" i="13" l="1"/>
  <c r="K37" i="11"/>
  <c r="N5" i="10" s="1"/>
  <c r="N6" i="10" s="1"/>
  <c r="B40" i="11"/>
  <c r="C40" i="11" l="1"/>
  <c r="N11" i="13"/>
  <c r="N7" i="10"/>
  <c r="N8" i="13"/>
  <c r="N13" i="13" l="1"/>
  <c r="N14" i="13"/>
  <c r="N9" i="13"/>
  <c r="N10" i="13" s="1"/>
  <c r="D40" i="11"/>
  <c r="N12" i="13" l="1"/>
  <c r="N15" i="13"/>
  <c r="B41" i="11"/>
  <c r="C41" i="11" l="1"/>
  <c r="D41" i="11" l="1"/>
  <c r="H39" i="11" l="1"/>
  <c r="B42" i="11"/>
  <c r="C42" i="11" l="1"/>
  <c r="D42" i="11" l="1"/>
  <c r="J40" i="11"/>
  <c r="O4" i="10" s="1"/>
  <c r="O7" i="13" l="1"/>
  <c r="K40" i="11"/>
  <c r="O5" i="10" s="1"/>
  <c r="O6" i="10" s="1"/>
  <c r="B43" i="11"/>
  <c r="C43" i="11" l="1"/>
  <c r="O11" i="13"/>
  <c r="O7" i="10"/>
  <c r="O8" i="13"/>
  <c r="O13" i="13" l="1"/>
  <c r="D43" i="11"/>
  <c r="O9" i="13"/>
  <c r="O14" i="13"/>
  <c r="O10" i="13" l="1"/>
  <c r="O15" i="13"/>
  <c r="B44" i="11"/>
  <c r="C44" i="11" l="1"/>
  <c r="O12" i="13"/>
  <c r="D44" i="11" l="1"/>
  <c r="H42" i="11" l="1"/>
  <c r="B45" i="11"/>
  <c r="C45" i="11" l="1"/>
  <c r="D45" i="11" l="1"/>
  <c r="J43" i="11"/>
  <c r="P4" i="10" s="1"/>
  <c r="P7" i="13" l="1"/>
  <c r="K43" i="11"/>
  <c r="P5" i="10" s="1"/>
  <c r="P6" i="10" s="1"/>
  <c r="B46" i="11"/>
  <c r="C46" i="11" l="1"/>
  <c r="P8" i="13"/>
  <c r="P11" i="13"/>
  <c r="P7" i="10"/>
  <c r="P14" i="13" l="1"/>
  <c r="P15" i="13" s="1"/>
  <c r="P9" i="13"/>
  <c r="P13" i="13"/>
  <c r="D46" i="11"/>
  <c r="B47" i="11" l="1"/>
  <c r="P10" i="13"/>
  <c r="C47" i="11" l="1"/>
  <c r="P12" i="13"/>
  <c r="D47" i="11" l="1"/>
  <c r="H45" i="11" l="1"/>
  <c r="B48" i="11"/>
  <c r="C48" i="11" l="1"/>
  <c r="D48" i="11" l="1"/>
  <c r="J46" i="11"/>
  <c r="Q4" i="10" s="1"/>
  <c r="K46" i="11" l="1"/>
  <c r="Q5" i="10" s="1"/>
  <c r="B49" i="11"/>
  <c r="Q7" i="13"/>
  <c r="E23" i="13" s="1"/>
  <c r="Q8" i="13" l="1"/>
  <c r="C49" i="11"/>
  <c r="Q11" i="13"/>
  <c r="E27" i="13" s="1"/>
  <c r="Q7" i="10"/>
  <c r="Q6" i="10"/>
  <c r="E8" i="14" l="1"/>
  <c r="E29" i="13"/>
  <c r="D49" i="11"/>
  <c r="Q13" i="13"/>
  <c r="Q9" i="13"/>
  <c r="E25" i="13" s="1"/>
  <c r="E24" i="13"/>
  <c r="E3" i="9" s="1"/>
  <c r="E49" i="12" s="1"/>
  <c r="Q14" i="13"/>
  <c r="E47" i="12" l="1"/>
  <c r="E51" i="12" s="1"/>
  <c r="E3" i="8"/>
  <c r="S3" i="8" s="1"/>
  <c r="E44" i="12"/>
  <c r="E50" i="12" s="1"/>
  <c r="Q10" i="13"/>
  <c r="E26" i="13" s="1"/>
  <c r="E45" i="12" s="1"/>
  <c r="E30" i="9"/>
  <c r="E4" i="9"/>
  <c r="B50" i="11"/>
  <c r="E30" i="13"/>
  <c r="E31" i="13" s="1"/>
  <c r="Q15" i="13"/>
  <c r="E5" i="9" l="1"/>
  <c r="S5" i="8" s="1"/>
  <c r="Q12" i="13"/>
  <c r="C50" i="11"/>
  <c r="E28" i="13"/>
  <c r="E7" i="14"/>
  <c r="E12" i="14" s="1"/>
  <c r="E20" i="9"/>
  <c r="S20" i="8" s="1"/>
  <c r="S4" i="8"/>
  <c r="E31" i="9"/>
  <c r="E38" i="14" l="1"/>
  <c r="E13" i="14"/>
  <c r="E15" i="14" s="1"/>
  <c r="E21" i="9"/>
  <c r="S21" i="8" s="1"/>
  <c r="E32" i="9"/>
  <c r="D50" i="11"/>
  <c r="E18" i="14"/>
  <c r="E34" i="14" l="1"/>
  <c r="E19" i="14"/>
  <c r="E16" i="14"/>
  <c r="E17" i="14"/>
  <c r="E20" i="14"/>
  <c r="H48" i="11"/>
  <c r="B51" i="11"/>
  <c r="C51" i="11" l="1"/>
  <c r="D51" i="11" l="1"/>
  <c r="J49" i="11"/>
  <c r="R4" i="10" s="1"/>
  <c r="R7" i="13" l="1"/>
  <c r="K49" i="11"/>
  <c r="R5" i="10" s="1"/>
  <c r="R6" i="10" s="1"/>
  <c r="B52" i="11"/>
  <c r="C52" i="11" l="1"/>
  <c r="R11" i="13"/>
  <c r="R7" i="10"/>
  <c r="R8" i="13"/>
  <c r="R13" i="13" l="1"/>
  <c r="D52" i="11"/>
  <c r="R9" i="13"/>
  <c r="R14" i="13"/>
  <c r="R10" i="13" l="1"/>
  <c r="R15" i="13"/>
  <c r="B53" i="11"/>
  <c r="R12" i="13" l="1"/>
  <c r="C53" i="11"/>
  <c r="D53" i="11" l="1"/>
  <c r="H51" i="11" l="1"/>
  <c r="B54" i="11"/>
  <c r="C54" i="11" l="1"/>
  <c r="D54" i="11" l="1"/>
  <c r="J52" i="11"/>
  <c r="S4" i="10" s="1"/>
  <c r="S7" i="13" l="1"/>
  <c r="K52" i="11"/>
  <c r="S5" i="10" s="1"/>
  <c r="S6" i="10" s="1"/>
  <c r="B55" i="11"/>
  <c r="C55" i="11" l="1"/>
  <c r="S11" i="13"/>
  <c r="S7" i="10"/>
  <c r="S8" i="13"/>
  <c r="S9" i="13" l="1"/>
  <c r="S13" i="13"/>
  <c r="D55" i="11"/>
  <c r="S14" i="13"/>
  <c r="B56" i="11" l="1"/>
  <c r="S15" i="13"/>
  <c r="S10" i="13"/>
  <c r="C56" i="11" l="1"/>
  <c r="S12" i="13"/>
  <c r="D56" i="11" l="1"/>
  <c r="H54" i="11" l="1"/>
  <c r="B57" i="11"/>
  <c r="C57" i="11" l="1"/>
  <c r="D57" i="11" l="1"/>
  <c r="J55" i="11"/>
  <c r="T4" i="10" s="1"/>
  <c r="T7" i="13" l="1"/>
  <c r="K55" i="11"/>
  <c r="T5" i="10" s="1"/>
  <c r="T6" i="10" s="1"/>
  <c r="B58" i="11"/>
  <c r="C58" i="11" l="1"/>
  <c r="T11" i="13"/>
  <c r="T7" i="10"/>
  <c r="T8" i="13"/>
  <c r="T13" i="13" l="1"/>
  <c r="T9" i="13"/>
  <c r="T10" i="13" s="1"/>
  <c r="T14" i="13"/>
  <c r="D58" i="11"/>
  <c r="T12" i="13" l="1"/>
  <c r="T15" i="13"/>
  <c r="B59" i="11"/>
  <c r="C59" i="11" l="1"/>
  <c r="D59" i="11" l="1"/>
  <c r="H57" i="11" l="1"/>
  <c r="B60" i="11"/>
  <c r="C60" i="11" l="1"/>
  <c r="D60" i="11" l="1"/>
  <c r="J58" i="11"/>
  <c r="U4" i="10" s="1"/>
  <c r="U7" i="13" l="1"/>
  <c r="F23" i="13" s="1"/>
  <c r="K58" i="11"/>
  <c r="U5" i="10" s="1"/>
  <c r="U6" i="10" s="1"/>
  <c r="B61" i="11"/>
  <c r="C61" i="11" l="1"/>
  <c r="U11" i="13"/>
  <c r="F27" i="13" s="1"/>
  <c r="U7" i="10"/>
  <c r="U8" i="13"/>
  <c r="F29" i="13" l="1"/>
  <c r="F8" i="14"/>
  <c r="U13" i="13"/>
  <c r="U9" i="13"/>
  <c r="F25" i="13" s="1"/>
  <c r="F24" i="13"/>
  <c r="F3" i="9" s="1"/>
  <c r="F49" i="12" s="1"/>
  <c r="D61" i="11"/>
  <c r="U14" i="13"/>
  <c r="F47" i="12" l="1"/>
  <c r="F3" i="8"/>
  <c r="F44" i="12"/>
  <c r="F50" i="12" s="1"/>
  <c r="B62" i="11"/>
  <c r="F30" i="9"/>
  <c r="T3" i="8"/>
  <c r="F4" i="9"/>
  <c r="F30" i="13"/>
  <c r="F31" i="13" s="1"/>
  <c r="U15" i="13"/>
  <c r="U10" i="13"/>
  <c r="U12" i="13" l="1"/>
  <c r="F26" i="13"/>
  <c r="F45" i="12" s="1"/>
  <c r="F51" i="12" s="1"/>
  <c r="F20" i="9"/>
  <c r="T20" i="8" s="1"/>
  <c r="F31" i="9"/>
  <c r="T4" i="8"/>
  <c r="C62" i="11"/>
  <c r="F5" i="9"/>
  <c r="D62" i="11" l="1"/>
  <c r="F21" i="9"/>
  <c r="T21" i="8" s="1"/>
  <c r="F32" i="9"/>
  <c r="T5" i="8"/>
  <c r="F28" i="13"/>
  <c r="F7" i="14"/>
  <c r="F12" i="14" s="1"/>
  <c r="F38" i="14" l="1"/>
  <c r="F13" i="14"/>
  <c r="F15" i="14" s="1"/>
  <c r="F18" i="14"/>
  <c r="F34" i="14" s="1"/>
  <c r="H60" i="11"/>
  <c r="B63" i="11"/>
  <c r="C63" i="11" l="1"/>
  <c r="F20" i="14"/>
  <c r="F19" i="14"/>
  <c r="F17" i="14"/>
  <c r="F16" i="14"/>
  <c r="B28" i="14" l="1"/>
  <c r="D63" i="11"/>
  <c r="J61" i="11"/>
  <c r="V4" i="10" s="1"/>
  <c r="K61" i="11" l="1"/>
  <c r="V5" i="10" s="1"/>
  <c r="V6" i="10" s="1"/>
  <c r="B64" i="11"/>
  <c r="V7" i="13"/>
  <c r="C64" i="11" l="1"/>
  <c r="V11" i="13"/>
  <c r="V7" i="10"/>
  <c r="V8" i="13"/>
  <c r="V13" i="13" l="1"/>
  <c r="D64" i="11"/>
  <c r="V9" i="13"/>
  <c r="V14" i="13"/>
  <c r="V10" i="13" l="1"/>
  <c r="V15" i="13"/>
  <c r="B65" i="11"/>
  <c r="C65" i="11" l="1"/>
  <c r="V12" i="13"/>
  <c r="D65" i="11" l="1"/>
  <c r="H63" i="11" l="1"/>
  <c r="B66" i="11"/>
  <c r="C66" i="11" l="1"/>
  <c r="D66" i="11" l="1"/>
  <c r="J64" i="11"/>
  <c r="W4" i="10" s="1"/>
  <c r="W7" i="13" l="1"/>
  <c r="K64" i="11"/>
  <c r="W5" i="10" s="1"/>
  <c r="W6" i="10" s="1"/>
  <c r="B67" i="11"/>
  <c r="C67" i="11" l="1"/>
  <c r="W11" i="13"/>
  <c r="W7" i="10"/>
  <c r="W8" i="13"/>
  <c r="W13" i="13" l="1"/>
  <c r="D67" i="11"/>
  <c r="W9" i="13"/>
  <c r="W10" i="13" s="1"/>
  <c r="W14" i="13"/>
  <c r="W12" i="13" l="1"/>
  <c r="W15" i="13"/>
  <c r="B68" i="11"/>
  <c r="C68" i="11" l="1"/>
  <c r="D68" i="11" l="1"/>
  <c r="J67" i="11"/>
  <c r="X4" i="10" l="1"/>
  <c r="J69" i="11"/>
  <c r="H66" i="11"/>
  <c r="B69" i="11"/>
  <c r="C69" i="11" s="1"/>
  <c r="D69" i="11" s="1"/>
  <c r="H69" i="11" s="1"/>
  <c r="H70" i="11" s="1"/>
  <c r="K67" i="11" l="1"/>
  <c r="X7" i="13"/>
  <c r="G23" i="13" s="1"/>
  <c r="X8" i="13" l="1"/>
  <c r="X9" i="13" s="1"/>
  <c r="X5" i="10"/>
  <c r="K69" i="11"/>
  <c r="G25" i="13" l="1"/>
  <c r="G24" i="13"/>
  <c r="G3" i="9" s="1"/>
  <c r="X11" i="13"/>
  <c r="G27" i="13" s="1"/>
  <c r="X7" i="10"/>
  <c r="Y7" i="10" s="1"/>
  <c r="Z7" i="10" s="1"/>
  <c r="AA7" i="10" s="1"/>
  <c r="AB7" i="10" s="1"/>
  <c r="AC7" i="10" s="1"/>
  <c r="AD7" i="10" s="1"/>
  <c r="AE7" i="10" s="1"/>
  <c r="AF7" i="10" s="1"/>
  <c r="AG7" i="10" s="1"/>
  <c r="AH7" i="10" s="1"/>
  <c r="AI7" i="10" s="1"/>
  <c r="AJ7" i="10" s="1"/>
  <c r="AK7" i="10" s="1"/>
  <c r="AL7" i="10" s="1"/>
  <c r="AM7" i="10" s="1"/>
  <c r="AN7" i="10" s="1"/>
  <c r="AO7" i="10" s="1"/>
  <c r="AP7" i="10" s="1"/>
  <c r="AQ7" i="10" s="1"/>
  <c r="AR7" i="10" s="1"/>
  <c r="AS7" i="10" s="1"/>
  <c r="X6" i="10"/>
  <c r="Q3" i="9" l="1"/>
  <c r="G49" i="12"/>
  <c r="G3" i="8"/>
  <c r="G44" i="12"/>
  <c r="G4" i="8"/>
  <c r="G20" i="8" s="1"/>
  <c r="G26" i="8" s="1"/>
  <c r="G5" i="8"/>
  <c r="G29" i="13"/>
  <c r="G8" i="14"/>
  <c r="X13" i="13"/>
  <c r="X14" i="13"/>
  <c r="G30" i="9"/>
  <c r="U3" i="8"/>
  <c r="AA3" i="8" s="1"/>
  <c r="G4" i="9"/>
  <c r="Q4" i="9" s="1"/>
  <c r="Q20" i="9"/>
  <c r="X10" i="13"/>
  <c r="G47" i="12" l="1"/>
  <c r="G50" i="12"/>
  <c r="G21" i="8"/>
  <c r="G27" i="8" s="1"/>
  <c r="G30" i="8" s="1"/>
  <c r="X12" i="13"/>
  <c r="G26" i="13"/>
  <c r="G45" i="12" s="1"/>
  <c r="G31" i="9"/>
  <c r="U4" i="8"/>
  <c r="AA4" i="8" s="1"/>
  <c r="G20" i="9"/>
  <c r="U20" i="8" s="1"/>
  <c r="AA20" i="8" s="1"/>
  <c r="T3" i="9"/>
  <c r="G30" i="13"/>
  <c r="G31" i="13" s="1"/>
  <c r="X15" i="13"/>
  <c r="G5" i="9"/>
  <c r="H8" i="14"/>
  <c r="N8" i="14" l="1"/>
  <c r="M8" i="14"/>
  <c r="G51" i="12"/>
  <c r="H18" i="14"/>
  <c r="H34" i="14" s="1"/>
  <c r="G32" i="9"/>
  <c r="G21" i="9"/>
  <c r="U21" i="8" s="1"/>
  <c r="AA21" i="8" s="1"/>
  <c r="AA24" i="8" s="1"/>
  <c r="B28" i="2" s="1"/>
  <c r="U5" i="8"/>
  <c r="AA5" i="8" s="1"/>
  <c r="Q5" i="9"/>
  <c r="T4" i="9" s="1"/>
  <c r="G28" i="13"/>
  <c r="G7" i="14"/>
  <c r="L53" i="12" l="1"/>
  <c r="B11" i="2" s="1"/>
  <c r="L54" i="12"/>
  <c r="M7" i="14"/>
  <c r="N7" i="14"/>
  <c r="G12" i="14"/>
  <c r="G38" i="14"/>
  <c r="G13" i="14"/>
  <c r="G18" i="14"/>
  <c r="G34" i="14" s="1"/>
  <c r="H20" i="14"/>
  <c r="N12" i="14" l="1"/>
  <c r="M12" i="14"/>
  <c r="G15" i="14"/>
  <c r="B21" i="14"/>
  <c r="B26" i="14"/>
  <c r="B19" i="2" s="1"/>
  <c r="B24" i="14"/>
  <c r="B17" i="2" s="1"/>
  <c r="B31" i="14"/>
  <c r="B24" i="2" s="1"/>
  <c r="B23" i="14"/>
  <c r="B16" i="2" s="1"/>
  <c r="B30" i="14"/>
  <c r="B23" i="2" s="1"/>
  <c r="B12" i="2"/>
  <c r="B20" i="2"/>
  <c r="G17" i="14"/>
  <c r="B22" i="14" s="1"/>
  <c r="G16" i="14"/>
  <c r="H16" i="14" s="1"/>
  <c r="I16" i="14" s="1"/>
  <c r="J16" i="14" s="1"/>
  <c r="K16" i="14" s="1"/>
  <c r="L16" i="14" s="1"/>
  <c r="G20" i="14"/>
  <c r="B29" i="14"/>
  <c r="B22" i="2" s="1"/>
  <c r="G19" i="14"/>
  <c r="H19" i="14" s="1"/>
  <c r="I19" i="14" s="1"/>
  <c r="J19" i="14" s="1"/>
  <c r="K19" i="14" s="1"/>
  <c r="L19" i="14" s="1"/>
  <c r="B18" i="2" l="1"/>
  <c r="B1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tc={001E000B-00DB-439C-A31E-002B0021009E}</author>
    <author>tc={00620084-00B7-4E7D-BB4B-008000CF007E}</author>
    <author>tc={00A2004D-0091-4291-8568-00350057001F}</author>
  </authors>
  <commentList>
    <comment ref="B37" authorId="0" shapeId="0" xr:uid="{00000000-0006-0000-0300-000001000000}">
      <text>
        <r>
          <rPr>
            <b/>
            <sz val="9"/>
            <rFont val="Tahoma"/>
            <family val="2"/>
            <charset val="204"/>
          </rPr>
          <t>Татьяна:</t>
        </r>
        <r>
          <rPr>
            <sz val="9"/>
            <rFont val="Tahoma"/>
            <family val="2"/>
            <charset val="204"/>
          </rPr>
          <t xml:space="preserve">
кВт/тонну
</t>
        </r>
      </text>
    </comment>
    <comment ref="B38" authorId="1" shapeId="0" xr:uid="{00000000-0006-0000-0300-000002000000}">
      <text>
        <r>
          <rPr>
            <b/>
            <sz val="9"/>
            <rFont val="Tahoma"/>
            <family val="2"/>
            <charset val="204"/>
          </rPr>
          <t>Татьяна:</t>
        </r>
        <r>
          <rPr>
            <sz val="9"/>
            <rFont val="Tahoma"/>
            <family val="2"/>
            <charset val="204"/>
          </rPr>
          <t xml:space="preserve">
куб м/тонну
</t>
        </r>
      </text>
    </comment>
    <comment ref="B39" authorId="2" shapeId="0" xr:uid="{00000000-0006-0000-0300-000003000000}">
      <text>
        <r>
          <rPr>
            <b/>
            <sz val="9"/>
            <rFont val="Tahoma"/>
            <family val="2"/>
            <charset val="204"/>
          </rPr>
          <t>Татьяна:</t>
        </r>
        <r>
          <rPr>
            <sz val="9"/>
            <rFont val="Tahoma"/>
            <family val="2"/>
            <charset val="204"/>
          </rPr>
          <t xml:space="preserve">
тонн/тонну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tc={00780033-00BE-488E-A84B-001A00D700EE}</author>
  </authors>
  <commentList>
    <comment ref="A1" authorId="0" shapeId="0" xr:uid="{00000000-0006-0000-0600-000001000000}">
      <text>
        <r>
          <rPr>
            <b/>
            <sz val="9"/>
            <rFont val="Tahoma"/>
            <family val="2"/>
            <charset val="204"/>
          </rPr>
          <t>Автор:</t>
        </r>
        <r>
          <rPr>
            <sz val="9"/>
            <rFont val="Tahoma"/>
            <family val="2"/>
            <charset val="204"/>
          </rPr>
          <t xml:space="preserve">
нет льгот по взносам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tc={00F70035-0092-4761-BB1B-00CC0005007B}</author>
  </authors>
  <commentList>
    <comment ref="N77" authorId="0" shapeId="0" xr:uid="{00000000-0006-0000-0700-000001000000}">
      <text>
        <r>
          <rPr>
            <b/>
            <sz val="9"/>
            <rFont val="Tahoma"/>
            <family val="2"/>
            <charset val="204"/>
          </rPr>
          <t>Автор:</t>
        </r>
        <r>
          <rPr>
            <sz val="9"/>
            <rFont val="Tahoma"/>
            <family val="2"/>
            <charset val="204"/>
          </rPr>
          <t xml:space="preserve">
разница во взносах
</t>
        </r>
      </text>
    </comment>
  </commentList>
</comments>
</file>

<file path=xl/sharedStrings.xml><?xml version="1.0" encoding="utf-8"?>
<sst xmlns="http://schemas.openxmlformats.org/spreadsheetml/2006/main" count="1341" uniqueCount="583">
  <si>
    <t>Капитальные вложения</t>
  </si>
  <si>
    <t>Ставки</t>
  </si>
  <si>
    <t>Площадь участка, кв м</t>
  </si>
  <si>
    <t>Расходы на закуп макулатуры, руб/кг</t>
  </si>
  <si>
    <t>Расчет ставки дисконтирования</t>
  </si>
  <si>
    <t>Формула</t>
  </si>
  <si>
    <t>Ставка риска (безрисковый, с учетом имеющегося опыта), %</t>
  </si>
  <si>
    <t>Ставка дисконтирования</t>
  </si>
  <si>
    <t xml:space="preserve">Основные показатели проекта </t>
  </si>
  <si>
    <t>Планируемый средний объем реализации в год в натуральном выражении, тыс тонн</t>
  </si>
  <si>
    <t>Рабочие места, чел.</t>
  </si>
  <si>
    <t>Среднемесячная заработная плата, тыс. руб</t>
  </si>
  <si>
    <t>Годовой ФОТ, млн руб.</t>
  </si>
  <si>
    <t>Потребность в эл/энергии в среднем в год, МВт</t>
  </si>
  <si>
    <t>Чистая прибыль, тыс. руб./год</t>
  </si>
  <si>
    <t>Выгода в налогах и взносах за 10 лет, млн руб.</t>
  </si>
  <si>
    <t>Чистая прибыль</t>
  </si>
  <si>
    <t>Мероприятие</t>
  </si>
  <si>
    <t>итого</t>
  </si>
  <si>
    <t>Итого</t>
  </si>
  <si>
    <t>Структура вложений, %</t>
  </si>
  <si>
    <t>Подготовка площадки, тыс. руб.</t>
  </si>
  <si>
    <t>Возведение модульных производственно-бытовых помещений (450 кв м), подключение к теплу, воде, тыс. руб.</t>
  </si>
  <si>
    <t>Приобретение производственной линии*, спецтехники, тыс. руб.</t>
  </si>
  <si>
    <t>Газогенератор, тыс. руб.</t>
  </si>
  <si>
    <t>ИТОГО, тыс.руб.</t>
  </si>
  <si>
    <t>ИТОГО</t>
  </si>
  <si>
    <t>Операционные р-ды</t>
  </si>
  <si>
    <t>База НДС, тыс. руб.</t>
  </si>
  <si>
    <t>Всего инвестиций</t>
  </si>
  <si>
    <t>НДС, тыс. руб.</t>
  </si>
  <si>
    <t>Инвестиции Без НДС, тыс. руб.</t>
  </si>
  <si>
    <t>Собственные средства</t>
  </si>
  <si>
    <t>Заемные средства</t>
  </si>
  <si>
    <t>Господдержка</t>
  </si>
  <si>
    <t>График вложения инвестиций, млн руб</t>
  </si>
  <si>
    <t>Капвложения</t>
  </si>
  <si>
    <t>Амортизация, линейным способом</t>
  </si>
  <si>
    <t>Модульное строение, тыс. руб.</t>
  </si>
  <si>
    <t>Производственная линия, спецтехника, тыс. руб.</t>
  </si>
  <si>
    <t>Имущество</t>
  </si>
  <si>
    <t>Нарастающим итогом стоимость имущества</t>
  </si>
  <si>
    <t>Остаточная стоимость</t>
  </si>
  <si>
    <t>Налог на имущество ТОР</t>
  </si>
  <si>
    <t>Налог на имущество без ТОР</t>
  </si>
  <si>
    <t>Земельный налог ТОР</t>
  </si>
  <si>
    <t>Земельный налог без ТОР</t>
  </si>
  <si>
    <t>Планируемый объем реализации в месяц (от мощности), тыс. тонн</t>
  </si>
  <si>
    <t xml:space="preserve">Наименование </t>
  </si>
  <si>
    <t>ед. изм.</t>
  </si>
  <si>
    <t>1 год</t>
  </si>
  <si>
    <t>2 год</t>
  </si>
  <si>
    <t>3 год</t>
  </si>
  <si>
    <t>4 год</t>
  </si>
  <si>
    <t>5 год</t>
  </si>
  <si>
    <t>6 год</t>
  </si>
  <si>
    <t>7 год</t>
  </si>
  <si>
    <t>8 год</t>
  </si>
  <si>
    <t>9 год</t>
  </si>
  <si>
    <t>10 год</t>
  </si>
  <si>
    <t>11 год</t>
  </si>
  <si>
    <t>средняя</t>
  </si>
  <si>
    <t>в день</t>
  </si>
  <si>
    <t>картон для строительных материалов (для гипсокартона)</t>
  </si>
  <si>
    <t>тыс.руб.</t>
  </si>
  <si>
    <t>Планируемый объем реализации в год в натуральном выражении</t>
  </si>
  <si>
    <t xml:space="preserve"> в год</t>
  </si>
  <si>
    <t>Количество месяцев реализации в году</t>
  </si>
  <si>
    <t>тыс.тонн</t>
  </si>
  <si>
    <t>планируемый объем загрузки</t>
  </si>
  <si>
    <t>%</t>
  </si>
  <si>
    <t>Выручка, тыс.руб</t>
  </si>
  <si>
    <t>Планируемый объем реализации в год, тыс тонн</t>
  </si>
  <si>
    <t xml:space="preserve">6 год </t>
  </si>
  <si>
    <t>Планиуремый объем загрузки в год, %</t>
  </si>
  <si>
    <t>РАСХОД КОММУНАЛЬНЫХ РЕСУРСОВ</t>
  </si>
  <si>
    <t>расход энергии, МВт</t>
  </si>
  <si>
    <t xml:space="preserve">расход воды, куб м </t>
  </si>
  <si>
    <t>расход пара, тыс тонн</t>
  </si>
  <si>
    <t>№ п/п</t>
  </si>
  <si>
    <t>Наименование услуги</t>
  </si>
  <si>
    <t>I кв. 1 г.</t>
  </si>
  <si>
    <t>II кв. 1 г.</t>
  </si>
  <si>
    <t>III кв. 1 г.</t>
  </si>
  <si>
    <t>IV кв. 1 г.</t>
  </si>
  <si>
    <t>I кв. 2 г.</t>
  </si>
  <si>
    <t>II кв. 2 г.</t>
  </si>
  <si>
    <t>III кв. 2 г.</t>
  </si>
  <si>
    <t>IV кв. 2 г.</t>
  </si>
  <si>
    <t>I кв. 3 г.</t>
  </si>
  <si>
    <t>II кв. 3 г.</t>
  </si>
  <si>
    <t>III кв. 3 г.</t>
  </si>
  <si>
    <t>IV кв. 3 г.</t>
  </si>
  <si>
    <t>I кв. 4 г.</t>
  </si>
  <si>
    <t>II кв. 4 г.</t>
  </si>
  <si>
    <t>III кв. 4 г.</t>
  </si>
  <si>
    <t>IV кв. 4 г.</t>
  </si>
  <si>
    <t>I кв. 5 г.</t>
  </si>
  <si>
    <t>II кв. 5 г.</t>
  </si>
  <si>
    <t>III кв. 5 г.</t>
  </si>
  <si>
    <t>IV кв. 5 г.</t>
  </si>
  <si>
    <t>I кв. 6 г.</t>
  </si>
  <si>
    <t>II кв. 6 г.</t>
  </si>
  <si>
    <t>III кв. 6 г.</t>
  </si>
  <si>
    <t>IV кв. 6 г.</t>
  </si>
  <si>
    <t>тыс. руб.</t>
  </si>
  <si>
    <t>ИТОГО в год</t>
  </si>
  <si>
    <t>I кв. 7 г.</t>
  </si>
  <si>
    <t>II кв. 7 г.</t>
  </si>
  <si>
    <t>III кв. 7 г.</t>
  </si>
  <si>
    <t>IV кв. 7 г.</t>
  </si>
  <si>
    <t>I кв. 8 г.</t>
  </si>
  <si>
    <t>II кв. 8 г.</t>
  </si>
  <si>
    <t>III кв. 8 г.</t>
  </si>
  <si>
    <t>IV кв. 8 г.</t>
  </si>
  <si>
    <t>I кв. 9 г.</t>
  </si>
  <si>
    <t>II кв. 9 г.</t>
  </si>
  <si>
    <t>III кв. 9 г.</t>
  </si>
  <si>
    <t>IV кв. 9 г.</t>
  </si>
  <si>
    <t>I кв. 10 г.</t>
  </si>
  <si>
    <t>II кв. 10 г.</t>
  </si>
  <si>
    <t>III кв. 10 г.</t>
  </si>
  <si>
    <t>IV кв. 10 г.</t>
  </si>
  <si>
    <t>I кв. 11 г.</t>
  </si>
  <si>
    <t>II кв. 11 г.</t>
  </si>
  <si>
    <t>III кв. 11 г.</t>
  </si>
  <si>
    <t>IV кв. 11 г.</t>
  </si>
  <si>
    <t>Персонал</t>
  </si>
  <si>
    <t>Количество сотрудников</t>
  </si>
  <si>
    <t>Оклад в месяц, тыс. руб.</t>
  </si>
  <si>
    <t>Генеральный директор</t>
  </si>
  <si>
    <t>Главный инженер</t>
  </si>
  <si>
    <t>Менеджер по продажам</t>
  </si>
  <si>
    <t>Бухгалтер</t>
  </si>
  <si>
    <t>Итого ЗП по направлению:</t>
  </si>
  <si>
    <t>Страховые взносы ФНС</t>
  </si>
  <si>
    <t>Подразделение 1:</t>
  </si>
  <si>
    <t>Бригадир</t>
  </si>
  <si>
    <t>Оператор линии, наладчик</t>
  </si>
  <si>
    <t>Разнорабочий (грузчик, сторож, дворник)</t>
  </si>
  <si>
    <t>Зав. Складом (приемщик)</t>
  </si>
  <si>
    <t>ИРС Разнорабочий (уборщик, дворник)</t>
  </si>
  <si>
    <t>Водитель</t>
  </si>
  <si>
    <t>Подпразделение 2:</t>
  </si>
  <si>
    <t>Участок 1</t>
  </si>
  <si>
    <t>Участок 2</t>
  </si>
  <si>
    <t xml:space="preserve">  </t>
  </si>
  <si>
    <t>Участок 3</t>
  </si>
  <si>
    <t>Участок 4</t>
  </si>
  <si>
    <t>Участок 5</t>
  </si>
  <si>
    <t>Бухгалтерия</t>
  </si>
  <si>
    <t>Коммерческая деятельность</t>
  </si>
  <si>
    <t>Юристы</t>
  </si>
  <si>
    <t>Экономисты</t>
  </si>
  <si>
    <t>Маркетологи</t>
  </si>
  <si>
    <t>доп. Специалисты 1</t>
  </si>
  <si>
    <t>доп. Специалисты 2</t>
  </si>
  <si>
    <t>Административно-хозяйственная деятельность</t>
  </si>
  <si>
    <t>Отдел кадров</t>
  </si>
  <si>
    <t>Охранники</t>
  </si>
  <si>
    <t>Отдел АСУ</t>
  </si>
  <si>
    <t>Кладовщик АХО</t>
  </si>
  <si>
    <t>Электрик</t>
  </si>
  <si>
    <t>Сантехник</t>
  </si>
  <si>
    <t>Ремонтник</t>
  </si>
  <si>
    <t>Уборщики</t>
  </si>
  <si>
    <t>Дворники</t>
  </si>
  <si>
    <t>Водители машины для уборки</t>
  </si>
  <si>
    <t>Итого Страховые взносы ФНС</t>
  </si>
  <si>
    <t>Всего расходов на ЗП:</t>
  </si>
  <si>
    <t>Расходы на ЗП в год:</t>
  </si>
  <si>
    <t>Всего расходы на страховые взносы ФНС:</t>
  </si>
  <si>
    <t>ЗП и взносы ФНС:</t>
  </si>
  <si>
    <t>Страховые взносы ФСС (НС и ПЗ)</t>
  </si>
  <si>
    <t>ЗП и все взносы</t>
  </si>
  <si>
    <t>ЗП и все взносы в год</t>
  </si>
  <si>
    <t>НДФЛ РФ</t>
  </si>
  <si>
    <t>НДФЛ ИРС</t>
  </si>
  <si>
    <t>НДФЛ итого</t>
  </si>
  <si>
    <t>Взносы</t>
  </si>
  <si>
    <t>ставка,%</t>
  </si>
  <si>
    <t>Взносы ФСС (нс и пз -0,3%)</t>
  </si>
  <si>
    <t>Взносы ФНС</t>
  </si>
  <si>
    <t>в т.ч.</t>
  </si>
  <si>
    <t>пенсион страхование - 22%</t>
  </si>
  <si>
    <t>случай времен нетрудоспособности и материнства - 2,9%</t>
  </si>
  <si>
    <t>обязат медицин страхование - 5,1%</t>
  </si>
  <si>
    <t>Рабочие места, чел всего</t>
  </si>
  <si>
    <t>Рабочие места</t>
  </si>
  <si>
    <t>Структура персонала</t>
  </si>
  <si>
    <t>АУП</t>
  </si>
  <si>
    <t>Производственные рабочие</t>
  </si>
  <si>
    <t>Итого по направлению:</t>
  </si>
  <si>
    <t>ВСЕГО рабочих мест</t>
  </si>
  <si>
    <t>Специалисты по логистике</t>
  </si>
  <si>
    <t>Специалисты снабжения</t>
  </si>
  <si>
    <t>Расходы на страховые взносы ФНС:</t>
  </si>
  <si>
    <t>все взносы</t>
  </si>
  <si>
    <t>Взносы ФСС (НС и ПЗ)</t>
  </si>
  <si>
    <t>проверка</t>
  </si>
  <si>
    <t xml:space="preserve">пенсион страхование </t>
  </si>
  <si>
    <t xml:space="preserve">случай времен нетрудоспособности и материнства </t>
  </si>
  <si>
    <t xml:space="preserve">обязат медицин страхование </t>
  </si>
  <si>
    <t>Взносы ФСС (нс и пз)</t>
  </si>
  <si>
    <t>пенсион страхование</t>
  </si>
  <si>
    <t>случай времен нетрудоспособности и материнства</t>
  </si>
  <si>
    <t>обязат медицин страхование</t>
  </si>
  <si>
    <t>Разница во взносах</t>
  </si>
  <si>
    <t>Налог на прибыль:</t>
  </si>
  <si>
    <t>- федеральный бюджет</t>
  </si>
  <si>
    <t>0</t>
  </si>
  <si>
    <t>- региональный бюджет</t>
  </si>
  <si>
    <t>Налог на имущество:</t>
  </si>
  <si>
    <t>Транспортный налог:</t>
  </si>
  <si>
    <t>НДФЛ:</t>
  </si>
  <si>
    <t>- муниципальный бюджет</t>
  </si>
  <si>
    <t>- бюджет поселения</t>
  </si>
  <si>
    <t>Страховые платежи в ФНС</t>
  </si>
  <si>
    <t>Страховые платежи в ФСС</t>
  </si>
  <si>
    <t>НДС:</t>
  </si>
  <si>
    <t>Земельный налог</t>
  </si>
  <si>
    <t>фб</t>
  </si>
  <si>
    <t>рб</t>
  </si>
  <si>
    <t>мб</t>
  </si>
  <si>
    <t>бп</t>
  </si>
  <si>
    <t>арендная плата за зем. Участок</t>
  </si>
  <si>
    <t>ФБ</t>
  </si>
  <si>
    <t>РБ</t>
  </si>
  <si>
    <t>МБ</t>
  </si>
  <si>
    <t>БЕЗ ТОР</t>
  </si>
  <si>
    <t>ИТОГО за 10 лет</t>
  </si>
  <si>
    <t>всего налогов</t>
  </si>
  <si>
    <t>всего взносов</t>
  </si>
  <si>
    <t>Наименование</t>
  </si>
  <si>
    <t>Земельный налог:</t>
  </si>
  <si>
    <t>-местный бюджет</t>
  </si>
  <si>
    <t>- местный бюджет</t>
  </si>
  <si>
    <t>- на пенсионное страхование</t>
  </si>
  <si>
    <t>- на случай временной нетрудоспособности и материнства</t>
  </si>
  <si>
    <t>- на обязательное  медицинское страхование</t>
  </si>
  <si>
    <t>*</t>
  </si>
  <si>
    <t>Привлекаемые инвестиции</t>
  </si>
  <si>
    <t>процентная ставка</t>
  </si>
  <si>
    <t>проценты к уплате</t>
  </si>
  <si>
    <t>Сумма основного долга</t>
  </si>
  <si>
    <t>Аннуитетный платеж</t>
  </si>
  <si>
    <t>Остаток задолженности</t>
  </si>
  <si>
    <t>Условия кредитования</t>
  </si>
  <si>
    <t>Сумма кредита, тыс.руб.</t>
  </si>
  <si>
    <t>Процентная ставка</t>
  </si>
  <si>
    <t>Срок, мес.</t>
  </si>
  <si>
    <t>Переплата</t>
  </si>
  <si>
    <t>Номер периода по оплате</t>
  </si>
  <si>
    <t>Остаток задолженности по кредиту</t>
  </si>
  <si>
    <t>Выплата процентов</t>
  </si>
  <si>
    <t>Выплата осн.долга</t>
  </si>
  <si>
    <t>Итоговый платеж</t>
  </si>
  <si>
    <t>Итоговый платеж в год</t>
  </si>
  <si>
    <t>Итоговый платеж по кварталам</t>
  </si>
  <si>
    <t>Номер месяца</t>
  </si>
  <si>
    <t>Наименование расходов</t>
  </si>
  <si>
    <t>Арендная плата за зем. Участок</t>
  </si>
  <si>
    <t>Заработная плата и страховые взносы</t>
  </si>
  <si>
    <t>Расходы на спецодежду, средства защиты</t>
  </si>
  <si>
    <t>Запасные части, комлектующие, обслуживание оборудования</t>
  </si>
  <si>
    <t>Расходы на продвижение</t>
  </si>
  <si>
    <t>Прочие</t>
  </si>
  <si>
    <t>Банковская гарантия уплаты платежей</t>
  </si>
  <si>
    <t>Амортизация</t>
  </si>
  <si>
    <t xml:space="preserve"> Налоги</t>
  </si>
  <si>
    <t>Обновление основных средств</t>
  </si>
  <si>
    <t>Итого расходов</t>
  </si>
  <si>
    <t>Итого расходов в год</t>
  </si>
  <si>
    <t>выручка</t>
  </si>
  <si>
    <t>ЧП  ТОСЭР</t>
  </si>
  <si>
    <t>ЧП без ТОСЭР</t>
  </si>
  <si>
    <t>Разница в налоге на имущество, 2,2%</t>
  </si>
  <si>
    <t>налог на прибыль, 20%</t>
  </si>
  <si>
    <t>Разница в ЧП с ТОСЭР и без, тыс.руб.</t>
  </si>
  <si>
    <t>всего за 10 лет</t>
  </si>
  <si>
    <t>в среднем за год</t>
  </si>
  <si>
    <t>Выручка</t>
  </si>
  <si>
    <t>Расходы основной деятельности</t>
  </si>
  <si>
    <t>Расходование инвестиций</t>
  </si>
  <si>
    <t>Прибыль (убыток) от продаж</t>
  </si>
  <si>
    <t>Проценты к уплате</t>
  </si>
  <si>
    <t>Прибыль (убыток) до налогообложения</t>
  </si>
  <si>
    <t>Налог на прибыль</t>
  </si>
  <si>
    <t>Чистая прибыль (убыток)</t>
  </si>
  <si>
    <t>На выплату основного долга</t>
  </si>
  <si>
    <t>Остаток после уплаты основного долга</t>
  </si>
  <si>
    <t>Нарастающим итогом платежи по основному долгу</t>
  </si>
  <si>
    <t>Платежи по займу</t>
  </si>
  <si>
    <t>Нарастающим итогом все платежи по займу</t>
  </si>
  <si>
    <t>за 10 лет</t>
  </si>
  <si>
    <t>Среднегодовая</t>
  </si>
  <si>
    <t>субсидия</t>
  </si>
  <si>
    <t>Дисконтированые инвестиции</t>
  </si>
  <si>
    <t>Дисконтированный доход</t>
  </si>
  <si>
    <t>Дисконтированный доход нарастающим итогом</t>
  </si>
  <si>
    <t>Чистый денежный поток, NCF</t>
  </si>
  <si>
    <t>Чистый денежный поток нарастающим итогом</t>
  </si>
  <si>
    <t>Чистый дисконтированный денежный поток</t>
  </si>
  <si>
    <t>&gt;0</t>
  </si>
  <si>
    <t>Рентабельность продаж, %</t>
  </si>
  <si>
    <t>Рентабельность продукции, %</t>
  </si>
  <si>
    <t>Индекс доходности (PI)</t>
  </si>
  <si>
    <t>&gt;1</t>
  </si>
  <si>
    <t>Внутренняя норма доходности (IRR), %</t>
  </si>
  <si>
    <t>&gt;ставки процента</t>
  </si>
  <si>
    <t>Финансовый результат (+/- прибыль/убыток)</t>
  </si>
  <si>
    <t> Средняя норма рентабельности - ARR, % </t>
  </si>
  <si>
    <t>Рентабельность инвестиций, ROI, %</t>
  </si>
  <si>
    <t>Стоимость, тыс. руб.</t>
  </si>
  <si>
    <t>Планируемый объем реализации в месяц</t>
  </si>
  <si>
    <t>Выручка в месяц, тыс. руб.</t>
  </si>
  <si>
    <t>Выручка в квартал, тыс. руб.</t>
  </si>
  <si>
    <t>Выручка в год, тыс. руб.</t>
  </si>
  <si>
    <t>Сдача помещений в аренду</t>
  </si>
  <si>
    <t>кв.м.</t>
  </si>
  <si>
    <t>Хранение товаров на открытой площадке, в том числе на транспортном средстве (за каждые полные/неполные сутки) без разгрузки с третьих по пятые сутки с момента помещения на временное хранение</t>
  </si>
  <si>
    <t>место</t>
  </si>
  <si>
    <t>Хранение товаров на открытой площадке, в том числе на транспортном средстве (за каждые полные/неполные сутки) без разгрузки с шестых суток с момента помещения на временное хранение</t>
  </si>
  <si>
    <t>Размещение на временное хранение контейнера на открытую площадку за сутки</t>
  </si>
  <si>
    <t>контейнер</t>
  </si>
  <si>
    <t>Перегрузка, перемещение паллетированного груза</t>
  </si>
  <si>
    <t>паллета</t>
  </si>
  <si>
    <t>Перегрузка, перемещение непаллетированного груза</t>
  </si>
  <si>
    <t>тонна</t>
  </si>
  <si>
    <t>Хранение товаров на складе временного хранения (за каждые полные/неполные сутки) - стеллажное хранение товаров</t>
  </si>
  <si>
    <t>паллето-место</t>
  </si>
  <si>
    <t>Хранение товаров на складе временного хранения (за каждые полные/неполные сутки) - напольное хранение товаров</t>
  </si>
  <si>
    <t>1 кв.м.</t>
  </si>
  <si>
    <t>Хранение товаров на таможенном складе (за каждые полные/неполные сутки) - стеллажное хранение товаров</t>
  </si>
  <si>
    <t>Хранение товаров на таможенном складе (за каждые полные/неполные сутки) - напольное хранение товаров</t>
  </si>
  <si>
    <t>Хранение товаров на складе общего пользования (за каждые полные/неполные сутки)- стеллажное хранение товаров в холодильной камере</t>
  </si>
  <si>
    <t>Хранение товаров на складе общего пользования (за каждые полные/неполные сутки)- напольное хранение товаров в холодильной камере</t>
  </si>
  <si>
    <t xml:space="preserve">Хранение товаров на складе общего пользования (за каждые полные/неполные сутки)- стеллажное хранение товаров </t>
  </si>
  <si>
    <t xml:space="preserve">Хранение товаров на складе общего пользования (за каждые полные/неполные сутки)- напольное хранение товаров </t>
  </si>
  <si>
    <t>Упаковка, переупаковка</t>
  </si>
  <si>
    <t>Предоставление технических средств и услуг грузчиков при осмотре/досмотре без выгрузки на СВХ</t>
  </si>
  <si>
    <t>услуга</t>
  </si>
  <si>
    <t>Предоставление технических средств и услуг грузчиков при осмотре/досмотре с выгрузкой на СВХ</t>
  </si>
  <si>
    <t>Взвешивание товара</t>
  </si>
  <si>
    <t>Упаковка и маркировка товара за короб 0,025 куб.м.</t>
  </si>
  <si>
    <t>Производство товаров под таможенным режимом</t>
  </si>
  <si>
    <t>штука</t>
  </si>
  <si>
    <t>Организация услуг по доставке грузов</t>
  </si>
  <si>
    <t>Сортировка груза, подготовка к доставке</t>
  </si>
  <si>
    <t>ТРЕБОВАНИЯ, ПРЕДЪЯВЛЯЕМЫЕ К ПОМЕЩЕНИЮ</t>
  </si>
  <si>
    <t>№</t>
  </si>
  <si>
    <t>Тех. условие</t>
  </si>
  <si>
    <t>Ед.изм.</t>
  </si>
  <si>
    <t>КДМ-1250</t>
  </si>
  <si>
    <t>КДМ-1400 /5БАР</t>
  </si>
  <si>
    <t>КДМ-1400 /7БАР</t>
  </si>
  <si>
    <t>КДМ-1700</t>
  </si>
  <si>
    <t>КДМ-2100</t>
  </si>
  <si>
    <t>Рекомендуемая площадь помещения</t>
  </si>
  <si>
    <t>Минимальная рекомендуемая длина помещения</t>
  </si>
  <si>
    <t>м</t>
  </si>
  <si>
    <t>Минимальная высота потолков</t>
  </si>
  <si>
    <t>Потребляемая мощность токоприемников</t>
  </si>
  <si>
    <t>квт/час</t>
  </si>
  <si>
    <t>Потребляемая мощность пара</t>
  </si>
  <si>
    <t>кг/час</t>
  </si>
  <si>
    <t>500-700</t>
  </si>
  <si>
    <t>1000-1300</t>
  </si>
  <si>
    <t>1300-1500</t>
  </si>
  <si>
    <t>1800-2100</t>
  </si>
  <si>
    <t>2200-2500</t>
  </si>
  <si>
    <t>Рабочее давление пара (на каждый цилиндр), не более</t>
  </si>
  <si>
    <t>МПа</t>
  </si>
  <si>
    <t>0,05 (0,049)</t>
  </si>
  <si>
    <t>Потребность воды однократная (один раз в 20 дней), не менее</t>
  </si>
  <si>
    <t>куб.м.</t>
  </si>
  <si>
    <t>Потребность воды постоянная, не менее в сутки</t>
  </si>
  <si>
    <t>куб.м./сут</t>
  </si>
  <si>
    <t>Обязательное наличие канализационных коммуникаций (промышленная канализация, резервуар для сброса производственных сточных вод, септик – на выбор)</t>
  </si>
  <si>
    <t>Наличие вентиляционной системы (монтируется после установки бумагоделательной машины)</t>
  </si>
  <si>
    <t>Подготовка фундамента по технологической схеме, предоставляемой изготовителем оборудования</t>
  </si>
  <si>
    <t>Изготовление баков по чертежам изготовителя оборудования</t>
  </si>
  <si>
    <t>Наличие шаровых кранов</t>
  </si>
  <si>
    <t>Наличие трубопровода для монтажа оборудования (количество определяется на месте)</t>
  </si>
  <si>
    <t>Наличие резиновых гофро-шлангов (количество определяется на месте)</t>
  </si>
  <si>
    <t>Электрическая проводка согласно принципиальной схемы электроснабжения</t>
  </si>
  <si>
    <t>http://www.bumzav.ru/catalog/carton</t>
  </si>
  <si>
    <t>*Картоноделательная машина по производству картона из макулатуры - http://www.bumzav.ru/catalog/carton</t>
  </si>
  <si>
    <t>Ячейки заголовков</t>
  </si>
  <si>
    <t>Расчётные ячейки</t>
  </si>
  <si>
    <t>Изменяемые ячейки</t>
  </si>
  <si>
    <t>Ячейки итогов</t>
  </si>
  <si>
    <t>Сокращения</t>
  </si>
  <si>
    <t>ср.</t>
  </si>
  <si>
    <t>з/п</t>
  </si>
  <si>
    <t>заработная плата</t>
  </si>
  <si>
    <t>э/э</t>
  </si>
  <si>
    <t>электроэнергия</t>
  </si>
  <si>
    <t>ФОТ</t>
  </si>
  <si>
    <t>фонд оплаты труда</t>
  </si>
  <si>
    <t>ТМЦ</t>
  </si>
  <si>
    <t>товарно-материальные ценности</t>
  </si>
  <si>
    <t>Промежуточные итоги</t>
  </si>
  <si>
    <r>
      <t xml:space="preserve">уровень инфляции, </t>
    </r>
    <r>
      <rPr>
        <i/>
        <sz val="11"/>
        <color theme="1"/>
        <rFont val="Calibri"/>
        <family val="2"/>
        <charset val="204"/>
        <scheme val="minor"/>
      </rPr>
      <t>i</t>
    </r>
  </si>
  <si>
    <t>https://economy.gov.ru/material/file/3b293732b467e7d0f4e7e4f07a682fde/36804_pkd03i.pdf</t>
  </si>
  <si>
    <t>https://cbr.ru/press/keypr/</t>
  </si>
  <si>
    <r>
      <t xml:space="preserve">ключевая ставка ЦБ, </t>
    </r>
    <r>
      <rPr>
        <i/>
        <sz val="11"/>
        <color theme="1"/>
        <rFont val="Calibri"/>
        <family val="2"/>
        <charset val="204"/>
        <scheme val="minor"/>
      </rPr>
      <t>r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</si>
  <si>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Проект</t>
  </si>
  <si>
    <t>Объект</t>
  </si>
  <si>
    <t>Срок строительства, в кварталах</t>
  </si>
  <si>
    <t>Ставка налога на имущество</t>
  </si>
  <si>
    <t>Ставка НДФЛ</t>
  </si>
  <si>
    <t>Ставка НДФЛ с ИРС</t>
  </si>
  <si>
    <t>Ставка взносов от НС и ПЗ</t>
  </si>
  <si>
    <t xml:space="preserve">Ставка взносов на пенсионное страхование </t>
  </si>
  <si>
    <t>Ставка взносов на случай временной нетрудоспособности и материнства</t>
  </si>
  <si>
    <t>Ставка взносов на обязательное медицинское страхование</t>
  </si>
  <si>
    <t>Строительство завода по производству картона из вторсырья</t>
  </si>
  <si>
    <t>земельный участок</t>
  </si>
  <si>
    <t>срок износа техники для расчета амортизации, лет</t>
  </si>
  <si>
    <t>срок износа помещения для расчета амортизации, лет</t>
  </si>
  <si>
    <t>Темп прироста заработной платы, % в год</t>
  </si>
  <si>
    <t>фактор риска, %</t>
  </si>
  <si>
    <t>Участок</t>
  </si>
  <si>
    <t>Льгота ТОСЭР</t>
  </si>
  <si>
    <t>Чистый денежный поток, млн руб</t>
  </si>
  <si>
    <t>соотношение 1 тыс тонн мусора к 1 тыс. тонн макулатуры</t>
  </si>
  <si>
    <t>соотношение 1 тонны макулатуры к тонн картона</t>
  </si>
  <si>
    <t xml:space="preserve">соотношение образования тыс тонн мусора 1 чел в год </t>
  </si>
  <si>
    <t>Коммунальный расходы</t>
  </si>
  <si>
    <t>Цены</t>
  </si>
  <si>
    <t>Стоимость 1 кВт электроэнергии</t>
  </si>
  <si>
    <t>Стоимость 1 Гкал отопления</t>
  </si>
  <si>
    <t>Общий режим</t>
  </si>
  <si>
    <t>Расход сырья макулатуры для производства 1 кг картона</t>
  </si>
  <si>
    <t>Расходы на сырье (макулатура)</t>
  </si>
  <si>
    <t>Разница в налоге на прибыль, %</t>
  </si>
  <si>
    <t>Расходы на спецодежду, средства защиты, % от ФОТ</t>
  </si>
  <si>
    <t>Прочие (по закупу макулатуры: транспортировка, вознаграждение агентам и тд), % от цены закупки сырья</t>
  </si>
  <si>
    <t>Прямые расходы</t>
  </si>
  <si>
    <t>38:33:010262:562</t>
  </si>
  <si>
    <t>Расходы на поддерживающие инвестиции, % в год</t>
  </si>
  <si>
    <t xml:space="preserve">возведение модульного здания, тыс руб/кв. м </t>
  </si>
  <si>
    <t>до 5</t>
  </si>
  <si>
    <t xml:space="preserve"> 3-5</t>
  </si>
  <si>
    <t xml:space="preserve"> 5-7</t>
  </si>
  <si>
    <t xml:space="preserve"> 8-10</t>
  </si>
  <si>
    <t>Характеристика     </t>
  </si>
  <si>
    <t>КДМ-1250     </t>
  </si>
  <si>
    <t>КДМ-1400       /5БАР</t>
  </si>
  <si>
    <t>КДМ-1400       /7БАР</t>
  </si>
  <si>
    <t>КДМ-1700    </t>
  </si>
  <si>
    <t>КДМ-2100    </t>
  </si>
  <si>
    <t>Производительность (максимальная)*</t>
  </si>
  <si>
    <t>т/сут</t>
  </si>
  <si>
    <t>до 2</t>
  </si>
  <si>
    <t>до 6</t>
  </si>
  <si>
    <t>до 7</t>
  </si>
  <si>
    <t>до 10</t>
  </si>
  <si>
    <t>КПД</t>
  </si>
  <si>
    <t>Масса бумажного полотна</t>
  </si>
  <si>
    <t>г/кв.м.</t>
  </si>
  <si>
    <t>90-160</t>
  </si>
  <si>
    <t>Потребляемая мощность (электр.), рабочая</t>
  </si>
  <si>
    <t>кВт/час</t>
  </si>
  <si>
    <t>100-130</t>
  </si>
  <si>
    <t>110-150</t>
  </si>
  <si>
    <t>150-190</t>
  </si>
  <si>
    <t>180-220</t>
  </si>
  <si>
    <t>220-250</t>
  </si>
  <si>
    <t>Потребляемая мощность (электр.), при максимальной нагрузке</t>
  </si>
  <si>
    <t>Потребляемая мощность (пар)</t>
  </si>
  <si>
    <t>Кг/час</t>
  </si>
  <si>
    <t>Скорость бумажного полотна</t>
  </si>
  <si>
    <t>м/мин</t>
  </si>
  <si>
    <t>15-25</t>
  </si>
  <si>
    <t>25-40</t>
  </si>
  <si>
    <t>30-45</t>
  </si>
  <si>
    <t>40-50</t>
  </si>
  <si>
    <t>45-60</t>
  </si>
  <si>
    <t>Ширина бумажного полотна, не более</t>
  </si>
  <si>
    <t>мм</t>
  </si>
  <si>
    <t>Суточный расход воды, не менее</t>
  </si>
  <si>
    <r>
      <t>м</t>
    </r>
    <r>
      <rPr>
        <sz val="9"/>
        <color rgb="FF333333"/>
        <rFont val="Arial Narrow"/>
        <family val="2"/>
        <charset val="204"/>
      </rPr>
      <t>3</t>
    </r>
  </si>
  <si>
    <t>Обслуживающий персонал в смену</t>
  </si>
  <si>
    <t>чел.</t>
  </si>
  <si>
    <t>Приёмное устройство КДМ</t>
  </si>
  <si>
    <t>         -</t>
  </si>
  <si>
    <t>накат</t>
  </si>
  <si>
    <r>
      <t>* Производительность оборудования зависит от плотности производимого картона. При производстве картона с более высокой плотностью производительность снижается за счет увеличения плотности бумаги и снижения скорости картоноделательной машины.</t>
    </r>
    <r>
      <rPr>
        <sz val="10"/>
        <color rgb="FF333333"/>
        <rFont val="Tahoma"/>
        <family val="2"/>
        <charset val="204"/>
      </rPr>
      <t> </t>
    </r>
  </si>
  <si>
    <t>ТЕХНИЧЕСКИЕ ХАРАКТЕРИСТИКИ</t>
  </si>
  <si>
    <t xml:space="preserve"> 3-8</t>
  </si>
  <si>
    <t xml:space="preserve"> 3-4</t>
  </si>
  <si>
    <t>Максимальная производительность, тонн/сутки</t>
  </si>
  <si>
    <t>производство</t>
  </si>
  <si>
    <t>помещение</t>
  </si>
  <si>
    <t>https://www.rsholod.ru/katalog/stroitelstvo/bystrovozvodimye-zdaniya/iz-lstk/</t>
  </si>
  <si>
    <t>https://chita.umd-group.ru/complete/</t>
  </si>
  <si>
    <t>https://www.avito.ru/user/fa002c67669d37a6857748c4b44333dc/profile?id=2491872398&amp;src=item&amp;page_from=from_item_card&amp;iid=2491872398</t>
  </si>
  <si>
    <t>https://www.module-house.ru/production/modul/</t>
  </si>
  <si>
    <t>https://chita.smart-module.ru/catalog/bystrovozvodimye-zdaniya/</t>
  </si>
  <si>
    <t>http://www.metalloprokat-m.ru/catalog/k-10038959-bystrovozvodimyye_zdaniya</t>
  </si>
  <si>
    <t>прямые расходы</t>
  </si>
  <si>
    <t>в ТОР</t>
  </si>
  <si>
    <t>без ТОР</t>
  </si>
  <si>
    <t>Налоги и взносы, тыс руб</t>
  </si>
  <si>
    <t>Разница в налогах и взносах при режиме ТОСЭР и без него, тыс руб</t>
  </si>
  <si>
    <t>Соц. Отчисления</t>
  </si>
  <si>
    <t>ставка дисконтирования</t>
  </si>
  <si>
    <t>периоды дисконтирования</t>
  </si>
  <si>
    <t xml:space="preserve">Арендная плата за земельный участок,% от кадастровой стоимости в год </t>
  </si>
  <si>
    <t>ед изм</t>
  </si>
  <si>
    <t>тыс руб</t>
  </si>
  <si>
    <t>Расход сырья (макулатура)</t>
  </si>
  <si>
    <t>тыс тонн</t>
  </si>
  <si>
    <t>Расход э/э</t>
  </si>
  <si>
    <t>Расход пара</t>
  </si>
  <si>
    <t>Площадь помещения, кв м</t>
  </si>
  <si>
    <t>Стоимость подключения к сетям теплоснабжения</t>
  </si>
  <si>
    <t>Стоимость 1 куб.м. хол. Воды, тыс. руб</t>
  </si>
  <si>
    <t>Стоимость 1 куб.м. водоотведения, тыс.руб.</t>
  </si>
  <si>
    <t>Вывоз ТБО за 1 тонну, тыс. руб.</t>
  </si>
  <si>
    <t>Подготовка площадки, тыс руб/кв м</t>
  </si>
  <si>
    <t>Площадь площадки</t>
  </si>
  <si>
    <t>Оборудование</t>
  </si>
  <si>
    <t>Картоноделательная машина по производству картона из макулатуры, марка КДМ-1250, тыс. руб</t>
  </si>
  <si>
    <t>https://evrazsteelbox.ru/?yclid=1549708558272370416&amp;utm_source=yandex&amp;utm_medium=cpc:context&amp;utm_term=&amp;utm_campaign=72157342_mk_zdaniya&amp;utm_content=4852280500:12361303001:37099947458:desktop:auto.ru:none:2:213</t>
  </si>
  <si>
    <t>Вилочный автопогрузчик, тыс. руб</t>
  </si>
  <si>
    <t>Спецтехника</t>
  </si>
  <si>
    <t>https://auto.ru/autoloader/all/</t>
  </si>
  <si>
    <t>https://www.rosavtonomgaz.ru/avtonomnaya-gazifikaciya/promyshlennyh-obektov-predpriyatij/</t>
  </si>
  <si>
    <t>https://www.vseinstrumenti.ru/category/gazovye-generatory-1362/</t>
  </si>
  <si>
    <t>https://generatory-shop.ru/katalog/gazovye-generatory?action=rsrtme&amp;catid=20113&amp;offset=36</t>
  </si>
  <si>
    <t>Стоимость 1 куб.м. гор. Воды. тыс. руб</t>
  </si>
  <si>
    <t>Себестоимость по прямым затратам</t>
  </si>
  <si>
    <t>Полная себестоимсть</t>
  </si>
  <si>
    <t>Оборудование по генерации э/э, прочие, тыс. руб.</t>
  </si>
  <si>
    <t>Стоимость для учета земельного налога, тыс руб</t>
  </si>
  <si>
    <t>тонн</t>
  </si>
  <si>
    <t>Гк</t>
  </si>
  <si>
    <t>Расход э/э, кВт на 1 тонну</t>
  </si>
  <si>
    <t>куб м</t>
  </si>
  <si>
    <t>кВт</t>
  </si>
  <si>
    <t>Прямые расходы, тыс руб</t>
  </si>
  <si>
    <t>Расход газа</t>
  </si>
  <si>
    <t>Расход газа на 1 кВт, куб м</t>
  </si>
  <si>
    <t>Расходы воды, газа</t>
  </si>
  <si>
    <t>Расход воды</t>
  </si>
  <si>
    <t>макулатура</t>
  </si>
  <si>
    <t>тыс.руб./тонну</t>
  </si>
  <si>
    <t>тыс руб/тонну</t>
  </si>
  <si>
    <t>Расход воды, куб м на 1 тонн</t>
  </si>
  <si>
    <t>тыс руб/ тонну</t>
  </si>
  <si>
    <t>Косвенные расходы, тыс руб</t>
  </si>
  <si>
    <t>Стоимость газа, тыс руб/ куб м</t>
  </si>
  <si>
    <t>https://www.brizmotors.ru/equipment/gazogenerator/?name=%D0%93%D0%B0%D0%B7%D0%BE%D0%BF%D0%BE%D1%80%D1%88%D0%BD%D0%B5%D0%B2%D1%8B%D0%B5+%D1%8D%D0%BB%D0%B5%D0%BA%D1%82%D1%80%D0%BE%D1%81%D1%82%D0%B0%D0%BD%D1%86%D0%B8%D0%B8+100+-+2000+%D0%BA%D0%92%D1%82&amp;area=1422%3B2058</t>
  </si>
  <si>
    <t>Общехозяйственные расходы (коммунальные расходы, содержание здания, канцтовары, интернет, охрана и проч)</t>
  </si>
  <si>
    <t>темп прироста стоимости продукции и расходов, % в год</t>
  </si>
  <si>
    <t>Общехозяйственные расходы (коммунальные расходы, содержание здания, канцтовары, инструменты, обработка, интернет, охрана и проч), % от выручки</t>
  </si>
  <si>
    <t>Кадастровая стоимость участка, тыс руб</t>
  </si>
  <si>
    <t>Износ здания для расчета налога на имущества, тыс руб</t>
  </si>
  <si>
    <t>РАСХОДЫ, всего</t>
  </si>
  <si>
    <t>Себестоимость, руб/ед</t>
  </si>
  <si>
    <t>Чистая прибыль, млн руб</t>
  </si>
  <si>
    <t>Сумма вложений, тыс.руб.</t>
  </si>
  <si>
    <t>Темп прироста стоимости продукции, % в 1-й год</t>
  </si>
  <si>
    <t>в последующие, % в год</t>
  </si>
  <si>
    <t>FCFF</t>
  </si>
  <si>
    <t>Фактор дисконтирования</t>
  </si>
  <si>
    <t>Чистая приведенная стоимость  (ЧПС) Способ 1</t>
  </si>
  <si>
    <t>Чистая приведенная стоимость  (ЧПС) Способ 2</t>
  </si>
  <si>
    <t>Дисконтированный денежный поток (способ 1)</t>
  </si>
  <si>
    <t>Дисконтированный денежный поток (способ 2)</t>
  </si>
  <si>
    <t>Налог на прибыль ТОСЭР, 12% ч/з 5 лет</t>
  </si>
  <si>
    <t>НДС входящий</t>
  </si>
  <si>
    <t>НДС исходящий</t>
  </si>
  <si>
    <t>Разница НДС</t>
  </si>
  <si>
    <t>Ставка НДС</t>
  </si>
  <si>
    <t>НДС к уплате</t>
  </si>
  <si>
    <t>Налог на имущество</t>
  </si>
  <si>
    <t>Средняя стоимость, руб/кг</t>
  </si>
  <si>
    <t>Срок окупаемости первоначальных инвестиций (РB), лет</t>
  </si>
  <si>
    <t>Дизельный генератор с сопутствующими расходами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</si>
</sst>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"/>
    <numFmt numFmtId="165" formatCode="0.0000"/>
    <numFmt numFmtId="166" formatCode="0.0%"/>
    <numFmt numFmtId="167" formatCode="#,##0.0"/>
    <numFmt numFmtId="168" formatCode="#,##0.000"/>
    <numFmt numFmtId="169" formatCode="#,##0.0000"/>
    <numFmt numFmtId="170" formatCode="0.000"/>
    <numFmt numFmtId="171" formatCode="#,##0.0000000"/>
  </numFmts>
  <fonts count="58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7.7"/>
      <color theme="10"/>
      <name val="Calibri"/>
      <family val="2"/>
      <charset val="204"/>
    </font>
    <font>
      <sz val="11"/>
      <color rgb="FF9C0006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indexed="2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2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5"/>
      <name val="Times New Roman"/>
      <family val="1"/>
      <charset val="204"/>
    </font>
    <font>
      <sz val="11"/>
      <color indexed="2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indexed="4"/>
      <name val="Tahoma"/>
      <family val="2"/>
      <charset val="204"/>
    </font>
    <font>
      <sz val="12"/>
      <color theme="1"/>
      <name val="Arial Narrow"/>
      <family val="2"/>
      <charset val="204"/>
    </font>
    <font>
      <sz val="10"/>
      <color rgb="FF224AD4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2" tint="-0.89999084444715716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rgb="FF404040"/>
      <name val="Montserrat"/>
      <charset val="204"/>
    </font>
    <font>
      <sz val="12"/>
      <color rgb="FF333333"/>
      <name val="Arial Narrow"/>
      <family val="2"/>
      <charset val="204"/>
    </font>
    <font>
      <sz val="9"/>
      <color rgb="FF333333"/>
      <name val="Arial Narrow"/>
      <family val="2"/>
      <charset val="204"/>
    </font>
    <font>
      <sz val="11"/>
      <color rgb="FF333333"/>
      <name val="Tahoma"/>
      <family val="2"/>
      <charset val="204"/>
    </font>
    <font>
      <sz val="10"/>
      <color rgb="FF333333"/>
      <name val="Tahoma"/>
      <family val="2"/>
      <charset val="204"/>
    </font>
    <font>
      <sz val="14"/>
      <color rgb="FF0000FF"/>
      <name val="Tahoma"/>
      <family val="2"/>
      <charset val="204"/>
    </font>
  </fonts>
  <fills count="72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/>
        <bgColor theme="5"/>
      </patternFill>
    </fill>
    <fill>
      <patternFill patternType="solid">
        <fgColor rgb="FFFFC7CE"/>
        <bgColor rgb="FFFFC7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00000"/>
        <bgColor rgb="FFC00000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00B050"/>
        <bgColor rgb="FF00B050"/>
      </patternFill>
    </fill>
    <fill>
      <patternFill patternType="solid">
        <fgColor indexed="5"/>
        <bgColor indexed="5"/>
      </patternFill>
    </fill>
    <fill>
      <patternFill patternType="solid">
        <fgColor rgb="FF92D050"/>
        <bgColor rgb="FF92D050"/>
      </patternFill>
    </fill>
    <fill>
      <patternFill patternType="solid">
        <fgColor theme="4" tint="0.79998168889431442"/>
        <bgColor rgb="FFFFC7CE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5"/>
      </patternFill>
    </fill>
    <fill>
      <patternFill patternType="solid">
        <fgColor theme="2"/>
        <bgColor theme="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92D050"/>
      </patternFill>
    </fill>
    <fill>
      <patternFill patternType="solid">
        <fgColor theme="3" tint="0.79998168889431442"/>
        <bgColor theme="3" tint="0.79998168889431442"/>
      </patternFill>
    </fill>
    <fill>
      <patternFill patternType="solid">
        <fgColor rgb="FFFFC000"/>
        <bgColor rgb="FFFFC000"/>
      </patternFill>
    </fill>
    <fill>
      <patternFill patternType="solid">
        <fgColor theme="0"/>
        <bgColor rgb="FF7030A0"/>
      </patternFill>
    </fill>
    <fill>
      <patternFill patternType="solid">
        <fgColor indexed="2"/>
        <bgColor indexed="2"/>
      </patternFill>
    </fill>
    <fill>
      <patternFill patternType="solid">
        <fgColor theme="0"/>
        <bgColor theme="8" tint="0.79998168889431442"/>
      </patternFill>
    </fill>
    <fill>
      <patternFill patternType="solid">
        <fgColor theme="0"/>
        <bgColor theme="6" tint="0.59999389629810485"/>
      </patternFill>
    </fill>
    <fill>
      <patternFill patternType="solid">
        <fgColor theme="4" tint="0.79998168889431442"/>
        <bgColor indexed="5"/>
      </patternFill>
    </fill>
    <fill>
      <patternFill patternType="solid">
        <fgColor theme="0"/>
        <bgColor theme="6" tint="0.79998168889431442"/>
      </patternFill>
    </fill>
    <fill>
      <patternFill patternType="solid">
        <fgColor indexed="65"/>
      </patternFill>
    </fill>
    <fill>
      <patternFill patternType="solid">
        <fgColor rgb="FFF8CBAD"/>
        <bgColor rgb="FFF8CBAD"/>
      </patternFill>
    </fill>
    <fill>
      <patternFill patternType="solid">
        <fgColor rgb="FF92D050"/>
        <bgColor theme="9" tint="0.39997558519241921"/>
      </patternFill>
    </fill>
    <fill>
      <patternFill patternType="solid">
        <fgColor theme="4" tint="0.79998168889431442"/>
        <bgColor theme="4" tint="0.3999755851924192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theme="0"/>
      </patternFill>
    </fill>
    <fill>
      <patternFill patternType="solid">
        <fgColor theme="6" tint="0.79998168889431442"/>
        <bgColor theme="0"/>
      </patternFill>
    </fill>
    <fill>
      <patternFill patternType="solid">
        <fgColor theme="6" tint="0.79998168889431442"/>
        <bgColor theme="5" tint="0.79998168889431442"/>
      </patternFill>
    </fill>
    <fill>
      <patternFill patternType="solid">
        <fgColor theme="6" tint="0.79998168889431442"/>
        <bgColor indexed="5"/>
      </patternFill>
    </fill>
    <fill>
      <patternFill patternType="solid">
        <fgColor theme="9" tint="0.79998168889431442"/>
        <bgColor theme="0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theme="8" tint="0.79998168889431442"/>
      </patternFill>
    </fill>
    <fill>
      <patternFill patternType="solid">
        <fgColor rgb="FFFFFF00"/>
        <bgColor rgb="FF92D05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9" tint="0.59999389629810485"/>
        <bgColor rgb="FF92D050"/>
      </patternFill>
    </fill>
    <fill>
      <patternFill patternType="solid">
        <fgColor theme="0"/>
        <bgColor theme="3" tint="0.79998168889431442"/>
      </patternFill>
    </fill>
    <fill>
      <patternFill patternType="solid">
        <fgColor theme="4" tint="0.79998168889431442"/>
        <bgColor theme="3" tint="0.79998168889431442"/>
      </patternFill>
    </fill>
    <fill>
      <patternFill patternType="solid">
        <fgColor theme="9" tint="0.39997558519241921"/>
        <bgColor rgb="FF92D050"/>
      </patternFill>
    </fill>
    <fill>
      <patternFill patternType="solid">
        <fgColor theme="9" tint="0.39997558519241921"/>
        <bgColor rgb="FF00B0F0"/>
      </patternFill>
    </fill>
    <fill>
      <patternFill patternType="solid">
        <fgColor rgb="FF92D050"/>
        <bgColor rgb="FFFFC000"/>
      </patternFill>
    </fill>
    <fill>
      <patternFill patternType="solid">
        <fgColor rgb="FFFFFF00"/>
        <bgColor indexed="5"/>
      </patternFill>
    </fill>
    <fill>
      <patternFill patternType="solid">
        <fgColor theme="9" tint="0.59999389629810485"/>
        <bgColor rgb="FF00B0F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theme="9" tint="0.79998168889431442"/>
      </patternFill>
    </fill>
    <fill>
      <patternFill patternType="solid">
        <fgColor rgb="FFFFFF00"/>
        <bgColor theme="0"/>
      </patternFill>
    </fill>
    <fill>
      <patternFill patternType="solid">
        <fgColor theme="9" tint="0.59999389629810485"/>
        <bgColor indexed="5"/>
      </patternFill>
    </fill>
    <fill>
      <patternFill patternType="solid">
        <fgColor theme="9" tint="0.59999389629810485"/>
        <bgColor theme="6" tint="0.79998168889431442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92D050"/>
        <bgColor theme="6" tint="0.59999389629810485"/>
      </patternFill>
    </fill>
    <fill>
      <patternFill patternType="solid">
        <fgColor rgb="FF92D050"/>
        <bgColor theme="6" tint="0.79998168889431442"/>
      </patternFill>
    </fill>
    <fill>
      <patternFill patternType="solid">
        <fgColor theme="8" tint="0.79998168889431442"/>
        <bgColor theme="0"/>
      </patternFill>
    </fill>
    <fill>
      <patternFill patternType="solid">
        <fgColor theme="4" tint="0.79998168889431442"/>
        <bgColor theme="0"/>
      </patternFill>
    </fill>
    <fill>
      <patternFill patternType="solid">
        <fgColor rgb="FFFFFF00"/>
        <bgColor theme="4" tint="0.39997558519241921"/>
      </patternFill>
    </fill>
    <fill>
      <patternFill patternType="solid">
        <fgColor theme="4" tint="0.79998168889431442"/>
        <bgColor rgb="FF92D050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rgb="FFFFC000"/>
      </patternFill>
    </fill>
    <fill>
      <patternFill patternType="solid">
        <fgColor rgb="FFFFFF00"/>
        <bgColor theme="3" tint="0.7999816888943144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theme="9" tint="0.79998168889431442"/>
      </patternFill>
    </fill>
  </fills>
  <borders count="4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rgb="FF88BBE0"/>
      </bottom>
      <diagonal/>
    </border>
    <border>
      <left style="medium">
        <color rgb="FF88BBE0"/>
      </left>
      <right style="medium">
        <color rgb="FF88BBE0"/>
      </right>
      <top style="medium">
        <color rgb="FF88BBE0"/>
      </top>
      <bottom style="medium">
        <color rgb="FF88BBE0"/>
      </bottom>
      <diagonal/>
    </border>
    <border>
      <left style="medium">
        <color rgb="FF88BBE0"/>
      </left>
      <right/>
      <top style="medium">
        <color rgb="FF88BBE0"/>
      </top>
      <bottom style="medium">
        <color rgb="FF88BBE0"/>
      </bottom>
      <diagonal/>
    </border>
    <border>
      <left/>
      <right/>
      <top style="medium">
        <color rgb="FF88BBE0"/>
      </top>
      <bottom style="medium">
        <color rgb="FF88BBE0"/>
      </bottom>
      <diagonal/>
    </border>
    <border>
      <left/>
      <right style="medium">
        <color rgb="FF88BBE0"/>
      </right>
      <top style="medium">
        <color rgb="FF88BBE0"/>
      </top>
      <bottom style="medium">
        <color rgb="FF88BBE0"/>
      </bottom>
      <diagonal/>
    </border>
    <border>
      <left style="medium">
        <color rgb="FF88BBE0"/>
      </left>
      <right style="medium">
        <color rgb="FF88BBE0"/>
      </right>
      <top style="medium">
        <color rgb="FF88BBE0"/>
      </top>
      <bottom/>
      <diagonal/>
    </border>
    <border>
      <left style="medium">
        <color rgb="FF88BBE0"/>
      </left>
      <right/>
      <top style="medium">
        <color rgb="FF88BBE0"/>
      </top>
      <bottom/>
      <diagonal/>
    </border>
    <border>
      <left/>
      <right/>
      <top style="medium">
        <color rgb="FF88BBE0"/>
      </top>
      <bottom/>
      <diagonal/>
    </border>
    <border>
      <left/>
      <right style="medium">
        <color rgb="FF88BBE0"/>
      </right>
      <top style="medium">
        <color rgb="FF88BBE0"/>
      </top>
      <bottom/>
      <diagonal/>
    </border>
    <border>
      <left style="medium">
        <color rgb="FF88BBE0"/>
      </left>
      <right style="medium">
        <color rgb="FF88BBE0"/>
      </right>
      <top/>
      <bottom style="medium">
        <color rgb="FF88BBE0"/>
      </bottom>
      <diagonal/>
    </border>
    <border>
      <left style="medium">
        <color rgb="FF88BBE0"/>
      </left>
      <right/>
      <top/>
      <bottom style="medium">
        <color rgb="FF88BBE0"/>
      </bottom>
      <diagonal/>
    </border>
    <border>
      <left/>
      <right style="medium">
        <color rgb="FF88BBE0"/>
      </right>
      <top/>
      <bottom style="medium">
        <color rgb="FF88BBE0"/>
      </bottom>
      <diagonal/>
    </border>
    <border>
      <left style="thin">
        <color auto="1"/>
      </left>
      <right/>
      <top/>
      <bottom/>
      <diagonal/>
    </border>
  </borders>
  <cellStyleXfs count="7">
    <xf numFmtId="0" fontId="0" fillId="0" borderId="0"/>
    <xf numFmtId="0" fontId="40" fillId="2" borderId="0" applyNumberFormat="0" applyBorder="0" applyProtection="0"/>
    <xf numFmtId="0" fontId="12" fillId="3" borderId="0" applyNumberFormat="0" applyBorder="0" applyProtection="0"/>
    <xf numFmtId="0" fontId="13" fillId="0" borderId="0" applyNumberFormat="0" applyFill="0" applyBorder="0" applyProtection="0">
      <alignment vertical="top"/>
      <protection locked="0"/>
    </xf>
    <xf numFmtId="0" fontId="40" fillId="0" borderId="0"/>
    <xf numFmtId="0" fontId="14" fillId="4" borderId="0" applyNumberFormat="0" applyBorder="0" applyProtection="0"/>
    <xf numFmtId="9" fontId="40" fillId="0" borderId="0" applyFont="0" applyFill="0" applyBorder="0" applyProtection="0"/>
  </cellStyleXfs>
  <cellXfs count="702">
    <xf numFmtId="0" fontId="0" fillId="0" borderId="0" xfId="0"/>
    <xf numFmtId="0" fontId="15" fillId="0" borderId="0" xfId="0" applyFont="1"/>
    <xf numFmtId="0" fontId="0" fillId="10" borderId="0" xfId="0" applyFill="1"/>
    <xf numFmtId="9" fontId="0" fillId="0" borderId="0" xfId="0" applyNumberFormat="1"/>
    <xf numFmtId="10" fontId="0" fillId="11" borderId="0" xfId="5" applyNumberFormat="1" applyFont="1" applyFill="1" applyAlignment="1">
      <alignment horizontal="center" vertical="center"/>
    </xf>
    <xf numFmtId="0" fontId="0" fillId="0" borderId="0" xfId="0" applyAlignment="1">
      <alignment horizontal="left" wrapText="1"/>
    </xf>
    <xf numFmtId="164" fontId="0" fillId="0" borderId="0" xfId="0" applyNumberFormat="1"/>
    <xf numFmtId="3" fontId="0" fillId="0" borderId="0" xfId="0" applyNumberFormat="1"/>
    <xf numFmtId="165" fontId="0" fillId="0" borderId="0" xfId="0" applyNumberFormat="1"/>
    <xf numFmtId="0" fontId="0" fillId="12" borderId="0" xfId="0" applyFill="1"/>
    <xf numFmtId="4" fontId="0" fillId="0" borderId="0" xfId="0" applyNumberFormat="1"/>
    <xf numFmtId="166" fontId="0" fillId="0" borderId="0" xfId="0" applyNumberFormat="1"/>
    <xf numFmtId="0" fontId="17" fillId="0" borderId="0" xfId="0" applyFont="1"/>
    <xf numFmtId="0" fontId="17" fillId="0" borderId="0" xfId="0" applyFont="1" applyAlignment="1">
      <alignment horizontal="left" wrapText="1"/>
    </xf>
    <xf numFmtId="0" fontId="17" fillId="0" borderId="0" xfId="0" applyFont="1" applyAlignment="1">
      <alignment wrapText="1"/>
    </xf>
    <xf numFmtId="0" fontId="17" fillId="0" borderId="1" xfId="0" applyFont="1" applyBorder="1" applyAlignment="1">
      <alignment horizontal="left" wrapText="1"/>
    </xf>
    <xf numFmtId="0" fontId="17" fillId="0" borderId="1" xfId="0" applyFont="1" applyBorder="1" applyAlignment="1">
      <alignment wrapText="1"/>
    </xf>
    <xf numFmtId="0" fontId="17" fillId="0" borderId="0" xfId="0" applyFont="1" applyAlignment="1">
      <alignment horizontal="center" vertical="center" wrapText="1"/>
    </xf>
    <xf numFmtId="0" fontId="17" fillId="0" borderId="1" xfId="4" applyFont="1" applyBorder="1" applyAlignment="1">
      <alignment horizontal="left" vertical="center" wrapText="1"/>
    </xf>
    <xf numFmtId="0" fontId="17" fillId="5" borderId="1" xfId="0" applyFont="1" applyFill="1" applyBorder="1"/>
    <xf numFmtId="4" fontId="17" fillId="5" borderId="1" xfId="0" applyNumberFormat="1" applyFont="1" applyFill="1" applyBorder="1"/>
    <xf numFmtId="4" fontId="17" fillId="7" borderId="1" xfId="0" applyNumberFormat="1" applyFont="1" applyFill="1" applyBorder="1"/>
    <xf numFmtId="0" fontId="17" fillId="0" borderId="1" xfId="0" applyFont="1" applyBorder="1" applyAlignment="1">
      <alignment horizontal="left" vertical="top" wrapText="1"/>
    </xf>
    <xf numFmtId="167" fontId="17" fillId="7" borderId="1" xfId="0" applyNumberFormat="1" applyFont="1" applyFill="1" applyBorder="1"/>
    <xf numFmtId="166" fontId="18" fillId="6" borderId="1" xfId="0" applyNumberFormat="1" applyFont="1" applyFill="1" applyBorder="1" applyAlignment="1">
      <alignment horizontal="center"/>
    </xf>
    <xf numFmtId="0" fontId="17" fillId="13" borderId="3" xfId="4" applyFont="1" applyFill="1" applyBorder="1" applyAlignment="1">
      <alignment horizontal="left" vertical="center" wrapText="1"/>
    </xf>
    <xf numFmtId="168" fontId="17" fillId="5" borderId="1" xfId="0" applyNumberFormat="1" applyFont="1" applyFill="1" applyBorder="1"/>
    <xf numFmtId="167" fontId="17" fillId="5" borderId="1" xfId="0" applyNumberFormat="1" applyFont="1" applyFill="1" applyBorder="1"/>
    <xf numFmtId="0" fontId="17" fillId="5" borderId="0" xfId="0" applyFont="1" applyFill="1"/>
    <xf numFmtId="168" fontId="17" fillId="0" borderId="1" xfId="0" applyNumberFormat="1" applyFont="1" applyBorder="1"/>
    <xf numFmtId="167" fontId="17" fillId="0" borderId="1" xfId="0" applyNumberFormat="1" applyFont="1" applyBorder="1"/>
    <xf numFmtId="4" fontId="17" fillId="0" borderId="1" xfId="0" applyNumberFormat="1" applyFont="1" applyBorder="1"/>
    <xf numFmtId="0" fontId="17" fillId="0" borderId="1" xfId="0" applyFont="1" applyBorder="1"/>
    <xf numFmtId="1" fontId="17" fillId="0" borderId="0" xfId="0" applyNumberFormat="1" applyFont="1"/>
    <xf numFmtId="4" fontId="17" fillId="14" borderId="1" xfId="0" applyNumberFormat="1" applyFont="1" applyFill="1" applyBorder="1"/>
    <xf numFmtId="4" fontId="17" fillId="0" borderId="0" xfId="0" applyNumberFormat="1" applyFont="1"/>
    <xf numFmtId="167" fontId="17" fillId="0" borderId="0" xfId="0" applyNumberFormat="1" applyFont="1"/>
    <xf numFmtId="4" fontId="19" fillId="7" borderId="4" xfId="0" applyNumberFormat="1" applyFont="1" applyFill="1" applyBorder="1"/>
    <xf numFmtId="168" fontId="20" fillId="0" borderId="0" xfId="0" applyNumberFormat="1" applyFont="1" applyAlignment="1">
      <alignment horizontal="left" wrapText="1"/>
    </xf>
    <xf numFmtId="0" fontId="17" fillId="0" borderId="1" xfId="0" applyFont="1" applyBorder="1" applyAlignment="1">
      <alignment horizontal="right"/>
    </xf>
    <xf numFmtId="0" fontId="20" fillId="0" borderId="0" xfId="0" applyFont="1" applyAlignment="1">
      <alignment horizontal="left" wrapText="1"/>
    </xf>
    <xf numFmtId="4" fontId="17" fillId="7" borderId="4" xfId="0" applyNumberFormat="1" applyFont="1" applyFill="1" applyBorder="1"/>
    <xf numFmtId="166" fontId="17" fillId="0" borderId="0" xfId="0" applyNumberFormat="1" applyFont="1"/>
    <xf numFmtId="10" fontId="17" fillId="0" borderId="0" xfId="0" applyNumberFormat="1" applyFont="1"/>
    <xf numFmtId="164" fontId="18" fillId="6" borderId="0" xfId="0" applyNumberFormat="1" applyFont="1" applyFill="1"/>
    <xf numFmtId="4" fontId="20" fillId="0" borderId="0" xfId="0" applyNumberFormat="1" applyFont="1"/>
    <xf numFmtId="4" fontId="19" fillId="0" borderId="1" xfId="0" applyNumberFormat="1" applyFont="1" applyBorder="1"/>
    <xf numFmtId="0" fontId="17" fillId="0" borderId="0" xfId="0" applyFont="1" applyAlignment="1">
      <alignment horizontal="left" vertical="top" wrapText="1"/>
    </xf>
    <xf numFmtId="4" fontId="19" fillId="0" borderId="5" xfId="0" applyNumberFormat="1" applyFont="1" applyBorder="1"/>
    <xf numFmtId="4" fontId="17" fillId="12" borderId="1" xfId="0" applyNumberFormat="1" applyFont="1" applyFill="1" applyBorder="1"/>
    <xf numFmtId="2" fontId="17" fillId="8" borderId="1" xfId="0" applyNumberFormat="1" applyFont="1" applyFill="1" applyBorder="1"/>
    <xf numFmtId="2" fontId="17" fillId="7" borderId="1" xfId="0" applyNumberFormat="1" applyFont="1" applyFill="1" applyBorder="1"/>
    <xf numFmtId="2" fontId="17" fillId="7" borderId="5" xfId="0" applyNumberFormat="1" applyFont="1" applyFill="1" applyBorder="1"/>
    <xf numFmtId="2" fontId="17" fillId="7" borderId="2" xfId="0" applyNumberFormat="1" applyFont="1" applyFill="1" applyBorder="1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1" fillId="0" borderId="7" xfId="0" applyFont="1" applyBorder="1" applyAlignment="1">
      <alignment vertical="top"/>
    </xf>
    <xf numFmtId="0" fontId="22" fillId="0" borderId="0" xfId="0" applyFont="1" applyAlignment="1">
      <alignment vertical="top"/>
    </xf>
    <xf numFmtId="0" fontId="23" fillId="0" borderId="0" xfId="0" applyFont="1"/>
    <xf numFmtId="0" fontId="22" fillId="0" borderId="0" xfId="0" applyFont="1" applyAlignment="1">
      <alignment horizontal="center" vertical="top"/>
    </xf>
    <xf numFmtId="0" fontId="0" fillId="0" borderId="1" xfId="0" applyBorder="1" applyAlignment="1">
      <alignment horizontal="center" vertical="center" wrapText="1"/>
    </xf>
    <xf numFmtId="167" fontId="23" fillId="0" borderId="0" xfId="0" applyNumberFormat="1" applyFont="1"/>
    <xf numFmtId="167" fontId="0" fillId="0" borderId="0" xfId="0" applyNumberFormat="1"/>
    <xf numFmtId="0" fontId="0" fillId="0" borderId="0" xfId="0" applyAlignment="1">
      <alignment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top" wrapText="1"/>
    </xf>
    <xf numFmtId="167" fontId="0" fillId="0" borderId="0" xfId="0" applyNumberFormat="1" applyAlignment="1">
      <alignment wrapText="1"/>
    </xf>
    <xf numFmtId="9" fontId="40" fillId="2" borderId="1" xfId="1" applyNumberFormat="1" applyBorder="1" applyAlignment="1">
      <alignment horizontal="center" vertical="top"/>
    </xf>
    <xf numFmtId="168" fontId="12" fillId="6" borderId="0" xfId="0" applyNumberFormat="1" applyFont="1" applyFill="1" applyAlignment="1">
      <alignment horizontal="center" vertical="center"/>
    </xf>
    <xf numFmtId="167" fontId="0" fillId="0" borderId="1" xfId="0" applyNumberFormat="1" applyBorder="1" applyAlignment="1">
      <alignment horizontal="center" vertical="center" wrapText="1"/>
    </xf>
    <xf numFmtId="167" fontId="0" fillId="5" borderId="1" xfId="0" applyNumberFormat="1" applyFill="1" applyBorder="1" applyAlignment="1">
      <alignment horizontal="center" vertical="center" wrapText="1"/>
    </xf>
    <xf numFmtId="167" fontId="0" fillId="0" borderId="0" xfId="0" applyNumberFormat="1" applyAlignment="1">
      <alignment vertical="top"/>
    </xf>
    <xf numFmtId="1" fontId="0" fillId="0" borderId="0" xfId="0" applyNumberFormat="1"/>
    <xf numFmtId="0" fontId="40" fillId="12" borderId="0" xfId="1" applyFill="1"/>
    <xf numFmtId="167" fontId="23" fillId="0" borderId="0" xfId="2" applyNumberFormat="1" applyFont="1" applyFill="1"/>
    <xf numFmtId="169" fontId="23" fillId="0" borderId="0" xfId="2" applyNumberFormat="1" applyFont="1" applyFill="1"/>
    <xf numFmtId="0" fontId="0" fillId="0" borderId="0" xfId="0" applyAlignment="1">
      <alignment horizontal="center" vertical="top" wrapText="1"/>
    </xf>
    <xf numFmtId="167" fontId="0" fillId="12" borderId="0" xfId="0" applyNumberFormat="1" applyFill="1" applyAlignment="1">
      <alignment horizontal="center" vertical="center" wrapText="1"/>
    </xf>
    <xf numFmtId="167" fontId="0" fillId="0" borderId="0" xfId="0" applyNumberFormat="1" applyAlignment="1">
      <alignment horizontal="center" vertical="center" wrapText="1"/>
    </xf>
    <xf numFmtId="167" fontId="12" fillId="6" borderId="1" xfId="0" applyNumberFormat="1" applyFont="1" applyFill="1" applyBorder="1" applyAlignment="1">
      <alignment horizontal="center" vertical="center" wrapText="1"/>
    </xf>
    <xf numFmtId="1" fontId="40" fillId="12" borderId="0" xfId="1" applyNumberFormat="1" applyFill="1"/>
    <xf numFmtId="0" fontId="0" fillId="0" borderId="1" xfId="0" applyBorder="1" applyAlignment="1">
      <alignment horizontal="center" vertical="center"/>
    </xf>
    <xf numFmtId="9" fontId="40" fillId="2" borderId="1" xfId="1" applyNumberFormat="1" applyBorder="1" applyAlignment="1">
      <alignment horizontal="center" vertical="center"/>
    </xf>
    <xf numFmtId="9" fontId="0" fillId="5" borderId="1" xfId="6" applyFont="1" applyFill="1" applyBorder="1" applyAlignment="1">
      <alignment horizontal="center" vertical="center" wrapText="1"/>
    </xf>
    <xf numFmtId="0" fontId="0" fillId="12" borderId="0" xfId="0" applyFill="1" applyAlignment="1">
      <alignment horizontal="left" vertical="center" wrapText="1"/>
    </xf>
    <xf numFmtId="0" fontId="0" fillId="12" borderId="0" xfId="0" applyFill="1" applyAlignment="1">
      <alignment vertical="top" wrapText="1"/>
    </xf>
    <xf numFmtId="9" fontId="40" fillId="12" borderId="0" xfId="1" applyNumberFormat="1" applyFill="1" applyAlignment="1">
      <alignment horizontal="center" vertical="center"/>
    </xf>
    <xf numFmtId="9" fontId="0" fillId="15" borderId="0" xfId="6" applyFont="1" applyFill="1" applyAlignment="1">
      <alignment horizontal="center" vertical="center" wrapText="1"/>
    </xf>
    <xf numFmtId="167" fontId="0" fillId="12" borderId="0" xfId="0" applyNumberFormat="1" applyFill="1"/>
    <xf numFmtId="167" fontId="12" fillId="3" borderId="1" xfId="2" applyNumberFormat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167" fontId="12" fillId="6" borderId="4" xfId="0" applyNumberFormat="1" applyFont="1" applyFill="1" applyBorder="1" applyAlignment="1">
      <alignment horizontal="center" vertical="center" wrapText="1"/>
    </xf>
    <xf numFmtId="9" fontId="12" fillId="6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wrapText="1"/>
    </xf>
    <xf numFmtId="2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right" vertical="center" wrapText="1"/>
    </xf>
    <xf numFmtId="0" fontId="0" fillId="9" borderId="1" xfId="0" applyFill="1" applyBorder="1" applyAlignment="1">
      <alignment horizontal="center" vertical="top" wrapText="1"/>
    </xf>
    <xf numFmtId="0" fontId="0" fillId="9" borderId="1" xfId="0" applyFill="1" applyBorder="1" applyAlignment="1">
      <alignment horizontal="left" vertical="center" wrapText="1"/>
    </xf>
    <xf numFmtId="2" fontId="0" fillId="9" borderId="1" xfId="0" applyNumberFormat="1" applyFill="1" applyBorder="1" applyAlignment="1">
      <alignment horizontal="center" vertical="center"/>
    </xf>
    <xf numFmtId="167" fontId="0" fillId="9" borderId="1" xfId="0" applyNumberFormat="1" applyFill="1" applyBorder="1" applyAlignment="1">
      <alignment horizontal="center" vertical="center" wrapText="1"/>
    </xf>
    <xf numFmtId="0" fontId="0" fillId="9" borderId="1" xfId="0" applyFill="1" applyBorder="1"/>
    <xf numFmtId="0" fontId="0" fillId="10" borderId="1" xfId="0" applyFill="1" applyBorder="1" applyAlignment="1">
      <alignment horizontal="center" vertical="top" wrapText="1"/>
    </xf>
    <xf numFmtId="2" fontId="0" fillId="0" borderId="1" xfId="0" applyNumberFormat="1" applyBorder="1" applyAlignment="1">
      <alignment horizontal="center" wrapText="1"/>
    </xf>
    <xf numFmtId="0" fontId="24" fillId="0" borderId="0" xfId="0" applyFont="1" applyAlignment="1">
      <alignment horizontal="center" wrapText="1"/>
    </xf>
    <xf numFmtId="0" fontId="0" fillId="0" borderId="1" xfId="0" applyBorder="1" applyAlignment="1">
      <alignment horizontal="left" wrapText="1"/>
    </xf>
    <xf numFmtId="3" fontId="0" fillId="0" borderId="1" xfId="0" applyNumberFormat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9" borderId="1" xfId="0" applyFill="1" applyBorder="1" applyAlignment="1">
      <alignment horizontal="left" wrapText="1"/>
    </xf>
    <xf numFmtId="0" fontId="0" fillId="9" borderId="1" xfId="0" applyFill="1" applyBorder="1" applyAlignment="1">
      <alignment horizontal="center" wrapText="1"/>
    </xf>
    <xf numFmtId="3" fontId="0" fillId="9" borderId="1" xfId="0" applyNumberFormat="1" applyFill="1" applyBorder="1" applyAlignment="1">
      <alignment horizontal="center" wrapText="1"/>
    </xf>
    <xf numFmtId="0" fontId="0" fillId="18" borderId="0" xfId="0" applyFill="1" applyAlignment="1">
      <alignment horizontal="center" wrapText="1"/>
    </xf>
    <xf numFmtId="0" fontId="0" fillId="18" borderId="1" xfId="0" applyFill="1" applyBorder="1" applyAlignment="1">
      <alignment horizontal="center" wrapText="1"/>
    </xf>
    <xf numFmtId="0" fontId="0" fillId="12" borderId="1" xfId="0" applyFill="1" applyBorder="1" applyAlignment="1">
      <alignment horizontal="center" wrapText="1"/>
    </xf>
    <xf numFmtId="0" fontId="0" fillId="10" borderId="0" xfId="0" applyFill="1" applyAlignment="1">
      <alignment horizontal="center" wrapText="1"/>
    </xf>
    <xf numFmtId="0" fontId="23" fillId="0" borderId="0" xfId="0" applyFont="1" applyAlignment="1">
      <alignment horizontal="center" wrapText="1"/>
    </xf>
    <xf numFmtId="0" fontId="23" fillId="0" borderId="1" xfId="0" applyFont="1" applyBorder="1" applyAlignment="1">
      <alignment horizontal="center" wrapText="1"/>
    </xf>
    <xf numFmtId="4" fontId="0" fillId="0" borderId="1" xfId="0" applyNumberFormat="1" applyBorder="1" applyAlignment="1">
      <alignment horizontal="center" wrapText="1"/>
    </xf>
    <xf numFmtId="166" fontId="12" fillId="6" borderId="0" xfId="0" applyNumberFormat="1" applyFont="1" applyFill="1" applyAlignment="1">
      <alignment horizontal="center" wrapText="1"/>
    </xf>
    <xf numFmtId="0" fontId="26" fillId="0" borderId="0" xfId="0" applyFont="1" applyAlignment="1">
      <alignment wrapText="1"/>
    </xf>
    <xf numFmtId="0" fontId="25" fillId="0" borderId="1" xfId="0" applyFont="1" applyBorder="1" applyAlignment="1">
      <alignment wrapText="1"/>
    </xf>
    <xf numFmtId="0" fontId="25" fillId="5" borderId="1" xfId="0" applyFont="1" applyFill="1" applyBorder="1" applyAlignment="1">
      <alignment wrapText="1"/>
    </xf>
    <xf numFmtId="3" fontId="25" fillId="5" borderId="1" xfId="0" applyNumberFormat="1" applyFont="1" applyFill="1" applyBorder="1" applyAlignment="1">
      <alignment wrapText="1"/>
    </xf>
    <xf numFmtId="3" fontId="25" fillId="0" borderId="1" xfId="0" applyNumberFormat="1" applyFont="1" applyBorder="1" applyAlignment="1">
      <alignment wrapText="1"/>
    </xf>
    <xf numFmtId="0" fontId="0" fillId="9" borderId="0" xfId="0" applyFill="1" applyAlignment="1">
      <alignment wrapText="1"/>
    </xf>
    <xf numFmtId="0" fontId="25" fillId="9" borderId="1" xfId="0" applyFont="1" applyFill="1" applyBorder="1" applyAlignment="1">
      <alignment wrapText="1"/>
    </xf>
    <xf numFmtId="3" fontId="25" fillId="9" borderId="1" xfId="0" applyNumberFormat="1" applyFont="1" applyFill="1" applyBorder="1" applyAlignment="1">
      <alignment wrapText="1"/>
    </xf>
    <xf numFmtId="0" fontId="0" fillId="18" borderId="0" xfId="0" applyFill="1" applyAlignment="1">
      <alignment wrapText="1"/>
    </xf>
    <xf numFmtId="0" fontId="25" fillId="18" borderId="1" xfId="0" applyFont="1" applyFill="1" applyBorder="1" applyAlignment="1">
      <alignment wrapText="1"/>
    </xf>
    <xf numFmtId="3" fontId="25" fillId="18" borderId="1" xfId="0" applyNumberFormat="1" applyFont="1" applyFill="1" applyBorder="1" applyAlignment="1">
      <alignment wrapText="1"/>
    </xf>
    <xf numFmtId="0" fontId="25" fillId="0" borderId="1" xfId="0" applyFont="1" applyBorder="1" applyAlignment="1">
      <alignment horizontal="left" wrapText="1"/>
    </xf>
    <xf numFmtId="0" fontId="27" fillId="18" borderId="1" xfId="0" applyFont="1" applyFill="1" applyBorder="1" applyAlignment="1">
      <alignment wrapText="1"/>
    </xf>
    <xf numFmtId="0" fontId="0" fillId="10" borderId="0" xfId="0" applyFill="1" applyAlignment="1">
      <alignment wrapText="1"/>
    </xf>
    <xf numFmtId="3" fontId="25" fillId="10" borderId="1" xfId="0" applyNumberFormat="1" applyFont="1" applyFill="1" applyBorder="1" applyAlignment="1">
      <alignment wrapText="1"/>
    </xf>
    <xf numFmtId="0" fontId="23" fillId="0" borderId="0" xfId="0" applyFont="1" applyAlignment="1">
      <alignment wrapText="1"/>
    </xf>
    <xf numFmtId="166" fontId="25" fillId="0" borderId="1" xfId="0" applyNumberFormat="1" applyFont="1" applyBorder="1" applyAlignment="1">
      <alignment wrapText="1"/>
    </xf>
    <xf numFmtId="3" fontId="0" fillId="0" borderId="0" xfId="0" applyNumberFormat="1" applyAlignment="1">
      <alignment wrapText="1"/>
    </xf>
    <xf numFmtId="0" fontId="0" fillId="10" borderId="1" xfId="0" applyFill="1" applyBorder="1" applyAlignment="1">
      <alignment wrapText="1"/>
    </xf>
    <xf numFmtId="0" fontId="0" fillId="0" borderId="1" xfId="0" applyBorder="1" applyAlignment="1">
      <alignment wrapText="1"/>
    </xf>
    <xf numFmtId="10" fontId="0" fillId="5" borderId="1" xfId="0" applyNumberFormat="1" applyFill="1" applyBorder="1" applyAlignment="1">
      <alignment wrapText="1"/>
    </xf>
    <xf numFmtId="0" fontId="26" fillId="0" borderId="1" xfId="0" applyFont="1" applyBorder="1" applyAlignment="1">
      <alignment wrapText="1"/>
    </xf>
    <xf numFmtId="3" fontId="0" fillId="0" borderId="1" xfId="0" applyNumberFormat="1" applyBorder="1" applyAlignment="1">
      <alignment wrapText="1"/>
    </xf>
    <xf numFmtId="9" fontId="0" fillId="0" borderId="1" xfId="0" applyNumberFormat="1" applyBorder="1" applyAlignment="1">
      <alignment wrapText="1"/>
    </xf>
    <xf numFmtId="3" fontId="0" fillId="12" borderId="1" xfId="0" applyNumberFormat="1" applyFill="1" applyBorder="1" applyAlignment="1">
      <alignment wrapText="1"/>
    </xf>
    <xf numFmtId="9" fontId="0" fillId="5" borderId="1" xfId="0" applyNumberFormat="1" applyFill="1" applyBorder="1" applyAlignment="1">
      <alignment wrapText="1"/>
    </xf>
    <xf numFmtId="164" fontId="0" fillId="0" borderId="1" xfId="0" applyNumberFormat="1" applyBorder="1" applyAlignment="1">
      <alignment wrapText="1"/>
    </xf>
    <xf numFmtId="0" fontId="0" fillId="19" borderId="0" xfId="0" applyFill="1"/>
    <xf numFmtId="2" fontId="0" fillId="0" borderId="0" xfId="0" applyNumberFormat="1" applyAlignment="1">
      <alignment wrapText="1"/>
    </xf>
    <xf numFmtId="49" fontId="0" fillId="0" borderId="1" xfId="0" applyNumberFormat="1" applyBorder="1" applyAlignment="1">
      <alignment wrapText="1"/>
    </xf>
    <xf numFmtId="164" fontId="15" fillId="0" borderId="1" xfId="0" applyNumberFormat="1" applyFont="1" applyBorder="1" applyAlignment="1">
      <alignment wrapText="1"/>
    </xf>
    <xf numFmtId="164" fontId="0" fillId="7" borderId="1" xfId="0" applyNumberFormat="1" applyFill="1" applyBorder="1" applyAlignment="1">
      <alignment wrapText="1"/>
    </xf>
    <xf numFmtId="4" fontId="0" fillId="0" borderId="1" xfId="0" applyNumberFormat="1" applyBorder="1" applyAlignment="1">
      <alignment wrapText="1"/>
    </xf>
    <xf numFmtId="4" fontId="0" fillId="12" borderId="1" xfId="0" applyNumberFormat="1" applyFill="1" applyBorder="1" applyAlignment="1">
      <alignment wrapText="1"/>
    </xf>
    <xf numFmtId="2" fontId="23" fillId="0" borderId="0" xfId="0" applyNumberFormat="1" applyFont="1" applyAlignment="1">
      <alignment vertical="top" wrapText="1"/>
    </xf>
    <xf numFmtId="0" fontId="23" fillId="0" borderId="0" xfId="0" applyFont="1" applyAlignment="1">
      <alignment vertical="top" wrapText="1"/>
    </xf>
    <xf numFmtId="4" fontId="28" fillId="6" borderId="0" xfId="0" applyNumberFormat="1" applyFont="1" applyFill="1"/>
    <xf numFmtId="170" fontId="0" fillId="0" borderId="0" xfId="0" applyNumberFormat="1"/>
    <xf numFmtId="2" fontId="0" fillId="0" borderId="0" xfId="0" applyNumberFormat="1"/>
    <xf numFmtId="2" fontId="23" fillId="0" borderId="0" xfId="0" applyNumberFormat="1" applyFont="1" applyAlignment="1">
      <alignment horizontal="center" wrapText="1"/>
    </xf>
    <xf numFmtId="167" fontId="29" fillId="0" borderId="0" xfId="0" applyNumberFormat="1" applyFont="1" applyAlignment="1">
      <alignment vertical="top" wrapText="1"/>
    </xf>
    <xf numFmtId="167" fontId="23" fillId="0" borderId="0" xfId="0" applyNumberFormat="1" applyFont="1" applyAlignment="1">
      <alignment horizontal="center" wrapText="1"/>
    </xf>
    <xf numFmtId="167" fontId="30" fillId="0" borderId="0" xfId="0" applyNumberFormat="1" applyFont="1" applyAlignment="1">
      <alignment vertical="top" wrapText="1"/>
    </xf>
    <xf numFmtId="167" fontId="17" fillId="0" borderId="0" xfId="0" applyNumberFormat="1" applyFont="1" applyAlignment="1">
      <alignment vertical="top" wrapText="1"/>
    </xf>
    <xf numFmtId="171" fontId="29" fillId="0" borderId="0" xfId="0" applyNumberFormat="1" applyFont="1" applyAlignment="1">
      <alignment horizontal="right" vertical="top" wrapText="1"/>
    </xf>
    <xf numFmtId="167" fontId="17" fillId="0" borderId="0" xfId="0" applyNumberFormat="1" applyFont="1" applyAlignment="1">
      <alignment vertical="top"/>
    </xf>
    <xf numFmtId="167" fontId="0" fillId="0" borderId="0" xfId="0" applyNumberFormat="1" applyAlignment="1">
      <alignment vertical="top" wrapText="1"/>
    </xf>
    <xf numFmtId="167" fontId="0" fillId="0" borderId="0" xfId="0" applyNumberFormat="1" applyAlignment="1">
      <alignment horizontal="right"/>
    </xf>
    <xf numFmtId="167" fontId="15" fillId="20" borderId="0" xfId="0" applyNumberFormat="1" applyFont="1" applyFill="1" applyAlignment="1">
      <alignment wrapText="1"/>
    </xf>
    <xf numFmtId="2" fontId="23" fillId="0" borderId="0" xfId="0" applyNumberFormat="1" applyFont="1" applyAlignment="1">
      <alignment horizontal="center" vertical="top" wrapText="1"/>
    </xf>
    <xf numFmtId="167" fontId="0" fillId="12" borderId="1" xfId="5" applyNumberFormat="1" applyFont="1" applyFill="1" applyBorder="1" applyAlignment="1">
      <alignment wrapText="1"/>
    </xf>
    <xf numFmtId="3" fontId="0" fillId="0" borderId="18" xfId="0" applyNumberFormat="1" applyBorder="1"/>
    <xf numFmtId="3" fontId="0" fillId="0" borderId="1" xfId="0" applyNumberFormat="1" applyBorder="1"/>
    <xf numFmtId="3" fontId="0" fillId="0" borderId="19" xfId="0" applyNumberFormat="1" applyBorder="1"/>
    <xf numFmtId="3" fontId="0" fillId="0" borderId="20" xfId="0" applyNumberFormat="1" applyBorder="1"/>
    <xf numFmtId="167" fontId="0" fillId="12" borderId="1" xfId="5" applyNumberFormat="1" applyFont="1" applyFill="1" applyBorder="1"/>
    <xf numFmtId="3" fontId="0" fillId="0" borderId="18" xfId="0" applyNumberFormat="1" applyBorder="1" applyAlignment="1">
      <alignment wrapText="1"/>
    </xf>
    <xf numFmtId="3" fontId="0" fillId="0" borderId="22" xfId="0" applyNumberFormat="1" applyBorder="1" applyAlignment="1">
      <alignment wrapText="1"/>
    </xf>
    <xf numFmtId="3" fontId="0" fillId="0" borderId="23" xfId="0" applyNumberFormat="1" applyBorder="1"/>
    <xf numFmtId="3" fontId="0" fillId="0" borderId="24" xfId="0" applyNumberFormat="1" applyBorder="1"/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2" fontId="16" fillId="0" borderId="1" xfId="0" applyNumberFormat="1" applyFont="1" applyBorder="1" applyAlignment="1">
      <alignment horizontal="center" vertical="center"/>
    </xf>
    <xf numFmtId="4" fontId="16" fillId="12" borderId="1" xfId="0" applyNumberFormat="1" applyFont="1" applyFill="1" applyBorder="1" applyAlignment="1">
      <alignment horizontal="center" vertical="center" wrapText="1"/>
    </xf>
    <xf numFmtId="4" fontId="16" fillId="12" borderId="1" xfId="0" applyNumberFormat="1" applyFont="1" applyFill="1" applyBorder="1" applyAlignment="1">
      <alignment horizontal="center" vertical="center"/>
    </xf>
    <xf numFmtId="166" fontId="16" fillId="0" borderId="1" xfId="0" applyNumberFormat="1" applyFont="1" applyBorder="1" applyAlignment="1">
      <alignment horizontal="center" vertical="center" wrapText="1"/>
    </xf>
    <xf numFmtId="4" fontId="16" fillId="0" borderId="1" xfId="0" applyNumberFormat="1" applyFont="1" applyBorder="1" applyAlignment="1">
      <alignment horizontal="center" vertical="center" wrapText="1"/>
    </xf>
    <xf numFmtId="4" fontId="16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1" fontId="0" fillId="12" borderId="0" xfId="0" applyNumberFormat="1" applyFill="1"/>
    <xf numFmtId="0" fontId="0" fillId="21" borderId="0" xfId="0" applyFill="1"/>
    <xf numFmtId="0" fontId="0" fillId="22" borderId="0" xfId="0" applyFill="1"/>
    <xf numFmtId="4" fontId="32" fillId="12" borderId="1" xfId="0" applyNumberFormat="1" applyFont="1" applyFill="1" applyBorder="1" applyAlignment="1">
      <alignment horizontal="left" vertical="center" wrapText="1"/>
    </xf>
    <xf numFmtId="3" fontId="32" fillId="13" borderId="1" xfId="0" applyNumberFormat="1" applyFont="1" applyFill="1" applyBorder="1" applyAlignment="1">
      <alignment horizontal="center" vertical="center" wrapText="1"/>
    </xf>
    <xf numFmtId="10" fontId="32" fillId="23" borderId="1" xfId="0" applyNumberFormat="1" applyFont="1" applyFill="1" applyBorder="1" applyAlignment="1">
      <alignment horizontal="center" vertical="center" wrapText="1"/>
    </xf>
    <xf numFmtId="3" fontId="32" fillId="23" borderId="1" xfId="0" applyNumberFormat="1" applyFont="1" applyFill="1" applyBorder="1" applyAlignment="1">
      <alignment horizontal="center" vertical="center" wrapText="1"/>
    </xf>
    <xf numFmtId="3" fontId="32" fillId="12" borderId="1" xfId="0" applyNumberFormat="1" applyFont="1" applyFill="1" applyBorder="1" applyAlignment="1">
      <alignment horizontal="center" vertical="center" wrapText="1"/>
    </xf>
    <xf numFmtId="4" fontId="32" fillId="12" borderId="1" xfId="0" applyNumberFormat="1" applyFont="1" applyFill="1" applyBorder="1" applyAlignment="1">
      <alignment horizontal="center" vertical="center" wrapText="1"/>
    </xf>
    <xf numFmtId="4" fontId="32" fillId="12" borderId="2" xfId="0" applyNumberFormat="1" applyFont="1" applyFill="1" applyBorder="1" applyAlignment="1">
      <alignment horizontal="center" vertical="center" wrapText="1"/>
    </xf>
    <xf numFmtId="1" fontId="32" fillId="13" borderId="5" xfId="0" applyNumberFormat="1" applyFont="1" applyFill="1" applyBorder="1" applyAlignment="1">
      <alignment horizontal="center" vertical="center" wrapText="1"/>
    </xf>
    <xf numFmtId="4" fontId="32" fillId="12" borderId="6" xfId="0" applyNumberFormat="1" applyFont="1" applyFill="1" applyBorder="1" applyAlignment="1">
      <alignment horizontal="center" vertical="center" wrapText="1"/>
    </xf>
    <xf numFmtId="1" fontId="32" fillId="13" borderId="1" xfId="0" applyNumberFormat="1" applyFont="1" applyFill="1" applyBorder="1" applyAlignment="1">
      <alignment horizontal="center" vertical="center" wrapText="1"/>
    </xf>
    <xf numFmtId="4" fontId="32" fillId="21" borderId="1" xfId="0" applyNumberFormat="1" applyFont="1" applyFill="1" applyBorder="1" applyAlignment="1">
      <alignment vertical="center" wrapText="1"/>
    </xf>
    <xf numFmtId="1" fontId="0" fillId="13" borderId="0" xfId="0" applyNumberFormat="1" applyFill="1"/>
    <xf numFmtId="4" fontId="0" fillId="21" borderId="0" xfId="0" applyNumberFormat="1" applyFill="1"/>
    <xf numFmtId="4" fontId="0" fillId="22" borderId="0" xfId="0" applyNumberFormat="1" applyFill="1"/>
    <xf numFmtId="0" fontId="16" fillId="0" borderId="0" xfId="0" applyFont="1" applyAlignment="1">
      <alignment horizontal="center" vertical="center" wrapText="1"/>
    </xf>
    <xf numFmtId="0" fontId="16" fillId="12" borderId="0" xfId="0" applyFont="1" applyFill="1" applyAlignment="1">
      <alignment horizontal="center" vertical="center"/>
    </xf>
    <xf numFmtId="167" fontId="0" fillId="0" borderId="1" xfId="0" applyNumberFormat="1" applyBorder="1" applyAlignment="1">
      <alignment horizontal="left" vertical="center" wrapText="1"/>
    </xf>
    <xf numFmtId="167" fontId="0" fillId="0" borderId="1" xfId="0" applyNumberFormat="1" applyBorder="1" applyAlignment="1">
      <alignment horizontal="center" vertical="center"/>
    </xf>
    <xf numFmtId="167" fontId="0" fillId="12" borderId="1" xfId="0" applyNumberFormat="1" applyFill="1" applyBorder="1" applyAlignment="1">
      <alignment horizontal="center" vertical="center" wrapText="1"/>
    </xf>
    <xf numFmtId="167" fontId="0" fillId="12" borderId="1" xfId="0" applyNumberFormat="1" applyFill="1" applyBorder="1" applyAlignment="1">
      <alignment horizontal="center" vertical="center"/>
    </xf>
    <xf numFmtId="167" fontId="15" fillId="0" borderId="1" xfId="0" applyNumberFormat="1" applyFont="1" applyBorder="1" applyAlignment="1">
      <alignment horizontal="left" vertical="center" wrapText="1"/>
    </xf>
    <xf numFmtId="0" fontId="33" fillId="0" borderId="0" xfId="0" applyFont="1" applyAlignment="1">
      <alignment horizontal="center" vertical="center"/>
    </xf>
    <xf numFmtId="164" fontId="16" fillId="0" borderId="1" xfId="0" applyNumberFormat="1" applyFont="1" applyBorder="1" applyAlignment="1">
      <alignment horizontal="left" vertical="center" wrapText="1"/>
    </xf>
    <xf numFmtId="164" fontId="16" fillId="0" borderId="1" xfId="0" applyNumberFormat="1" applyFont="1" applyBorder="1" applyAlignment="1">
      <alignment horizontal="center" vertical="center"/>
    </xf>
    <xf numFmtId="167" fontId="16" fillId="0" borderId="1" xfId="0" applyNumberFormat="1" applyFont="1" applyBorder="1" applyAlignment="1">
      <alignment horizontal="center" vertical="center"/>
    </xf>
    <xf numFmtId="167" fontId="16" fillId="0" borderId="1" xfId="0" applyNumberFormat="1" applyFont="1" applyBorder="1" applyAlignment="1">
      <alignment horizontal="center" vertical="center" wrapText="1"/>
    </xf>
    <xf numFmtId="167" fontId="33" fillId="0" borderId="0" xfId="0" applyNumberFormat="1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167" fontId="16" fillId="24" borderId="1" xfId="0" applyNumberFormat="1" applyFont="1" applyFill="1" applyBorder="1" applyAlignment="1">
      <alignment horizontal="center" vertical="center"/>
    </xf>
    <xf numFmtId="167" fontId="16" fillId="24" borderId="1" xfId="0" applyNumberFormat="1" applyFont="1" applyFill="1" applyBorder="1" applyAlignment="1">
      <alignment horizontal="center" vertical="center" wrapText="1"/>
    </xf>
    <xf numFmtId="164" fontId="16" fillId="0" borderId="1" xfId="0" applyNumberFormat="1" applyFont="1" applyBorder="1" applyAlignment="1">
      <alignment horizontal="center" vertical="center" wrapText="1"/>
    </xf>
    <xf numFmtId="164" fontId="33" fillId="0" borderId="0" xfId="0" applyNumberFormat="1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6" fillId="0" borderId="2" xfId="0" applyNumberFormat="1" applyFont="1" applyBorder="1" applyAlignment="1">
      <alignment horizontal="left" vertical="center" wrapText="1"/>
    </xf>
    <xf numFmtId="4" fontId="16" fillId="10" borderId="2" xfId="0" applyNumberFormat="1" applyFont="1" applyFill="1" applyBorder="1" applyAlignment="1">
      <alignment horizontal="center" vertical="center"/>
    </xf>
    <xf numFmtId="4" fontId="16" fillId="0" borderId="0" xfId="0" applyNumberFormat="1" applyFont="1" applyAlignment="1">
      <alignment horizontal="center" vertical="center" wrapText="1"/>
    </xf>
    <xf numFmtId="4" fontId="33" fillId="0" borderId="0" xfId="0" applyNumberFormat="1" applyFont="1" applyAlignment="1">
      <alignment horizontal="center" vertical="center"/>
    </xf>
    <xf numFmtId="4" fontId="35" fillId="6" borderId="0" xfId="0" applyNumberFormat="1" applyFont="1" applyFill="1" applyAlignment="1">
      <alignment horizontal="center" vertical="center"/>
    </xf>
    <xf numFmtId="167" fontId="16" fillId="0" borderId="11" xfId="0" applyNumberFormat="1" applyFont="1" applyBorder="1" applyAlignment="1">
      <alignment horizontal="center" vertical="center" wrapText="1"/>
    </xf>
    <xf numFmtId="4" fontId="16" fillId="0" borderId="11" xfId="0" applyNumberFormat="1" applyFont="1" applyBorder="1" applyAlignment="1">
      <alignment horizontal="center" vertical="center" wrapText="1"/>
    </xf>
    <xf numFmtId="0" fontId="33" fillId="12" borderId="0" xfId="0" applyFont="1" applyFill="1" applyAlignment="1">
      <alignment horizontal="center" vertical="center"/>
    </xf>
    <xf numFmtId="0" fontId="16" fillId="12" borderId="1" xfId="0" applyFont="1" applyFill="1" applyBorder="1" applyAlignment="1">
      <alignment horizontal="left" vertical="center" wrapText="1"/>
    </xf>
    <xf numFmtId="0" fontId="16" fillId="12" borderId="11" xfId="0" applyFont="1" applyFill="1" applyBorder="1" applyAlignment="1">
      <alignment horizontal="left" vertical="center" wrapText="1"/>
    </xf>
    <xf numFmtId="4" fontId="33" fillId="12" borderId="11" xfId="0" applyNumberFormat="1" applyFont="1" applyFill="1" applyBorder="1" applyAlignment="1">
      <alignment horizontal="center" vertical="center" wrapText="1"/>
    </xf>
    <xf numFmtId="167" fontId="33" fillId="0" borderId="11" xfId="0" applyNumberFormat="1" applyFont="1" applyBorder="1" applyAlignment="1">
      <alignment horizontal="center" vertical="center" wrapText="1"/>
    </xf>
    <xf numFmtId="167" fontId="33" fillId="12" borderId="11" xfId="0" applyNumberFormat="1" applyFont="1" applyFill="1" applyBorder="1" applyAlignment="1">
      <alignment horizontal="center" vertical="center" wrapText="1"/>
    </xf>
    <xf numFmtId="164" fontId="16" fillId="12" borderId="11" xfId="0" applyNumberFormat="1" applyFont="1" applyFill="1" applyBorder="1" applyAlignment="1">
      <alignment horizontal="center" vertical="center" wrapText="1"/>
    </xf>
    <xf numFmtId="167" fontId="16" fillId="12" borderId="11" xfId="0" applyNumberFormat="1" applyFont="1" applyFill="1" applyBorder="1" applyAlignment="1">
      <alignment horizontal="center" vertical="center" wrapText="1"/>
    </xf>
    <xf numFmtId="167" fontId="16" fillId="12" borderId="1" xfId="0" applyNumberFormat="1" applyFont="1" applyFill="1" applyBorder="1" applyAlignment="1">
      <alignment horizontal="center" vertical="center" wrapText="1"/>
    </xf>
    <xf numFmtId="167" fontId="16" fillId="13" borderId="11" xfId="0" applyNumberFormat="1" applyFont="1" applyFill="1" applyBorder="1" applyAlignment="1">
      <alignment horizontal="center" vertical="center" wrapText="1"/>
    </xf>
    <xf numFmtId="2" fontId="16" fillId="12" borderId="11" xfId="0" applyNumberFormat="1" applyFont="1" applyFill="1" applyBorder="1" applyAlignment="1">
      <alignment horizontal="center" vertical="center" wrapText="1"/>
    </xf>
    <xf numFmtId="2" fontId="16" fillId="0" borderId="11" xfId="0" applyNumberFormat="1" applyFont="1" applyBorder="1" applyAlignment="1">
      <alignment horizontal="center" vertical="center"/>
    </xf>
    <xf numFmtId="167" fontId="16" fillId="0" borderId="11" xfId="0" applyNumberFormat="1" applyFont="1" applyBorder="1" applyAlignment="1">
      <alignment horizontal="center" vertical="center"/>
    </xf>
    <xf numFmtId="2" fontId="31" fillId="0" borderId="11" xfId="0" applyNumberFormat="1" applyFont="1" applyBorder="1" applyAlignment="1">
      <alignment horizontal="center" vertical="center" wrapText="1"/>
    </xf>
    <xf numFmtId="167" fontId="31" fillId="0" borderId="11" xfId="0" applyNumberFormat="1" applyFont="1" applyBorder="1" applyAlignment="1">
      <alignment horizontal="center" vertical="center" wrapText="1"/>
    </xf>
    <xf numFmtId="167" fontId="31" fillId="0" borderId="1" xfId="0" applyNumberFormat="1" applyFont="1" applyBorder="1" applyAlignment="1">
      <alignment horizontal="center" vertical="center" wrapText="1"/>
    </xf>
    <xf numFmtId="167" fontId="16" fillId="0" borderId="0" xfId="0" applyNumberFormat="1" applyFont="1" applyAlignment="1">
      <alignment horizontal="center" vertical="center"/>
    </xf>
    <xf numFmtId="167" fontId="16" fillId="12" borderId="0" xfId="0" applyNumberFormat="1" applyFont="1" applyFill="1" applyAlignment="1">
      <alignment horizontal="center" vertical="center"/>
    </xf>
    <xf numFmtId="167" fontId="16" fillId="0" borderId="0" xfId="0" applyNumberFormat="1" applyFont="1" applyAlignment="1">
      <alignment horizontal="left" vertical="center"/>
    </xf>
    <xf numFmtId="168" fontId="16" fillId="0" borderId="1" xfId="0" applyNumberFormat="1" applyFont="1" applyBorder="1" applyAlignment="1">
      <alignment horizontal="left" vertical="center" wrapText="1"/>
    </xf>
    <xf numFmtId="4" fontId="16" fillId="0" borderId="11" xfId="0" applyNumberFormat="1" applyFont="1" applyBorder="1" applyAlignment="1">
      <alignment horizontal="center" vertical="center"/>
    </xf>
    <xf numFmtId="4" fontId="16" fillId="12" borderId="11" xfId="0" applyNumberFormat="1" applyFont="1" applyFill="1" applyBorder="1" applyAlignment="1">
      <alignment horizontal="center" vertical="center"/>
    </xf>
    <xf numFmtId="167" fontId="16" fillId="12" borderId="1" xfId="0" applyNumberFormat="1" applyFont="1" applyFill="1" applyBorder="1" applyAlignment="1">
      <alignment horizontal="center" vertical="center"/>
    </xf>
    <xf numFmtId="167" fontId="33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left" vertical="center" wrapText="1"/>
    </xf>
    <xf numFmtId="168" fontId="16" fillId="0" borderId="0" xfId="0" applyNumberFormat="1" applyFont="1" applyAlignment="1">
      <alignment horizontal="left" vertical="center" wrapText="1"/>
    </xf>
    <xf numFmtId="168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9" fontId="16" fillId="0" borderId="0" xfId="0" applyNumberFormat="1" applyFont="1" applyAlignment="1">
      <alignment horizontal="center" vertical="center"/>
    </xf>
    <xf numFmtId="0" fontId="13" fillId="0" borderId="0" xfId="3" applyAlignment="1" applyProtection="1">
      <alignment horizontal="justify"/>
    </xf>
    <xf numFmtId="0" fontId="36" fillId="0" borderId="0" xfId="0" applyFont="1" applyAlignment="1">
      <alignment horizontal="justify"/>
    </xf>
    <xf numFmtId="1" fontId="0" fillId="0" borderId="0" xfId="0" applyNumberFormat="1" applyAlignment="1">
      <alignment vertical="top"/>
    </xf>
    <xf numFmtId="0" fontId="0" fillId="0" borderId="0" xfId="0" applyAlignment="1">
      <alignment vertical="top"/>
    </xf>
    <xf numFmtId="1" fontId="0" fillId="0" borderId="0" xfId="0" applyNumberFormat="1" applyAlignment="1">
      <alignment horizontal="center" vertical="top"/>
    </xf>
    <xf numFmtId="9" fontId="0" fillId="0" borderId="0" xfId="0" applyNumberForma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16" fillId="0" borderId="0" xfId="0" applyFont="1" applyAlignment="1">
      <alignment horizontal="right" vertical="top" wrapText="1"/>
    </xf>
    <xf numFmtId="1" fontId="0" fillId="0" borderId="0" xfId="0" applyNumberFormat="1" applyAlignment="1">
      <alignment horizontal="left" vertical="center" wrapText="1"/>
    </xf>
    <xf numFmtId="2" fontId="16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horizontal="left" vertical="center" wrapText="1"/>
    </xf>
    <xf numFmtId="0" fontId="38" fillId="25" borderId="29" xfId="0" applyFont="1" applyFill="1" applyBorder="1" applyAlignment="1">
      <alignment vertical="center" wrapText="1"/>
    </xf>
    <xf numFmtId="0" fontId="38" fillId="25" borderId="29" xfId="0" applyFont="1" applyFill="1" applyBorder="1" applyAlignment="1">
      <alignment horizontal="center" vertical="center" wrapText="1"/>
    </xf>
    <xf numFmtId="0" fontId="0" fillId="0" borderId="1" xfId="0" applyBorder="1"/>
    <xf numFmtId="0" fontId="0" fillId="26" borderId="1" xfId="0" applyFill="1" applyBorder="1"/>
    <xf numFmtId="0" fontId="0" fillId="7" borderId="1" xfId="0" applyFill="1" applyBorder="1"/>
    <xf numFmtId="0" fontId="0" fillId="27" borderId="1" xfId="0" applyFill="1" applyBorder="1"/>
    <xf numFmtId="0" fontId="0" fillId="28" borderId="1" xfId="0" applyFill="1" applyBorder="1"/>
    <xf numFmtId="0" fontId="0" fillId="29" borderId="0" xfId="0" applyFill="1"/>
    <xf numFmtId="0" fontId="11" fillId="0" borderId="0" xfId="0" applyFont="1"/>
    <xf numFmtId="0" fontId="0" fillId="32" borderId="0" xfId="0" applyFill="1"/>
    <xf numFmtId="0" fontId="11" fillId="32" borderId="0" xfId="0" applyFont="1" applyFill="1"/>
    <xf numFmtId="167" fontId="0" fillId="7" borderId="1" xfId="0" applyNumberFormat="1" applyFill="1" applyBorder="1" applyAlignment="1">
      <alignment wrapText="1"/>
    </xf>
    <xf numFmtId="167" fontId="0" fillId="0" borderId="1" xfId="0" applyNumberFormat="1" applyBorder="1" applyAlignment="1">
      <alignment horizontal="right" wrapText="1"/>
    </xf>
    <xf numFmtId="167" fontId="0" fillId="0" borderId="1" xfId="0" applyNumberFormat="1" applyBorder="1" applyAlignment="1">
      <alignment wrapText="1"/>
    </xf>
    <xf numFmtId="167" fontId="0" fillId="0" borderId="5" xfId="0" applyNumberFormat="1" applyBorder="1" applyAlignment="1">
      <alignment wrapText="1"/>
    </xf>
    <xf numFmtId="167" fontId="22" fillId="0" borderId="1" xfId="0" applyNumberFormat="1" applyFont="1" applyBorder="1" applyAlignment="1">
      <alignment wrapText="1"/>
    </xf>
    <xf numFmtId="167" fontId="22" fillId="0" borderId="5" xfId="0" applyNumberFormat="1" applyFont="1" applyBorder="1" applyAlignment="1">
      <alignment wrapText="1"/>
    </xf>
    <xf numFmtId="167" fontId="16" fillId="34" borderId="11" xfId="0" applyNumberFormat="1" applyFont="1" applyFill="1" applyBorder="1" applyAlignment="1">
      <alignment horizontal="center" vertical="center" wrapText="1"/>
    </xf>
    <xf numFmtId="0" fontId="0" fillId="35" borderId="1" xfId="0" applyFill="1" applyBorder="1"/>
    <xf numFmtId="0" fontId="17" fillId="36" borderId="1" xfId="0" applyFont="1" applyFill="1" applyBorder="1"/>
    <xf numFmtId="4" fontId="17" fillId="31" borderId="1" xfId="0" applyNumberFormat="1" applyFont="1" applyFill="1" applyBorder="1"/>
    <xf numFmtId="4" fontId="17" fillId="32" borderId="1" xfId="0" applyNumberFormat="1" applyFont="1" applyFill="1" applyBorder="1"/>
    <xf numFmtId="167" fontId="16" fillId="37" borderId="11" xfId="0" applyNumberFormat="1" applyFont="1" applyFill="1" applyBorder="1" applyAlignment="1">
      <alignment horizontal="center" vertical="center" wrapText="1"/>
    </xf>
    <xf numFmtId="0" fontId="11" fillId="0" borderId="5" xfId="0" applyFont="1" applyBorder="1" applyAlignment="1">
      <alignment wrapText="1"/>
    </xf>
    <xf numFmtId="0" fontId="11" fillId="0" borderId="1" xfId="0" applyFont="1" applyBorder="1" applyAlignment="1">
      <alignment horizontal="left"/>
    </xf>
    <xf numFmtId="0" fontId="11" fillId="0" borderId="1" xfId="0" applyFont="1" applyBorder="1"/>
    <xf numFmtId="0" fontId="48" fillId="4" borderId="1" xfId="5" applyFont="1" applyBorder="1"/>
    <xf numFmtId="4" fontId="11" fillId="0" borderId="1" xfId="0" applyNumberFormat="1" applyFont="1" applyBorder="1"/>
    <xf numFmtId="4" fontId="11" fillId="12" borderId="1" xfId="0" applyNumberFormat="1" applyFont="1" applyFill="1" applyBorder="1"/>
    <xf numFmtId="4" fontId="43" fillId="0" borderId="1" xfId="0" applyNumberFormat="1" applyFont="1" applyBorder="1"/>
    <xf numFmtId="4" fontId="11" fillId="0" borderId="0" xfId="0" applyNumberFormat="1" applyFont="1"/>
    <xf numFmtId="167" fontId="11" fillId="0" borderId="0" xfId="0" applyNumberFormat="1" applyFont="1"/>
    <xf numFmtId="4" fontId="11" fillId="16" borderId="1" xfId="0" applyNumberFormat="1" applyFont="1" applyFill="1" applyBorder="1"/>
    <xf numFmtId="4" fontId="43" fillId="13" borderId="1" xfId="0" applyNumberFormat="1" applyFont="1" applyFill="1" applyBorder="1"/>
    <xf numFmtId="0" fontId="11" fillId="0" borderId="1" xfId="0" applyFont="1" applyBorder="1" applyAlignment="1">
      <alignment wrapText="1"/>
    </xf>
    <xf numFmtId="2" fontId="11" fillId="0" borderId="1" xfId="0" applyNumberFormat="1" applyFont="1" applyBorder="1"/>
    <xf numFmtId="4" fontId="11" fillId="0" borderId="0" xfId="0" applyNumberFormat="1" applyFont="1" applyAlignment="1">
      <alignment horizontal="left"/>
    </xf>
    <xf numFmtId="166" fontId="11" fillId="13" borderId="1" xfId="0" applyNumberFormat="1" applyFont="1" applyFill="1" applyBorder="1"/>
    <xf numFmtId="2" fontId="11" fillId="0" borderId="0" xfId="0" applyNumberFormat="1" applyFont="1"/>
    <xf numFmtId="2" fontId="49" fillId="13" borderId="2" xfId="0" applyNumberFormat="1" applyFont="1" applyFill="1" applyBorder="1"/>
    <xf numFmtId="166" fontId="50" fillId="13" borderId="1" xfId="0" applyNumberFormat="1" applyFont="1" applyFill="1" applyBorder="1"/>
    <xf numFmtId="164" fontId="11" fillId="13" borderId="1" xfId="0" applyNumberFormat="1" applyFont="1" applyFill="1" applyBorder="1"/>
    <xf numFmtId="164" fontId="44" fillId="13" borderId="1" xfId="0" applyNumberFormat="1" applyFont="1" applyFill="1" applyBorder="1"/>
    <xf numFmtId="4" fontId="11" fillId="13" borderId="4" xfId="0" applyNumberFormat="1" applyFont="1" applyFill="1" applyBorder="1"/>
    <xf numFmtId="0" fontId="44" fillId="38" borderId="1" xfId="0" applyFont="1" applyFill="1" applyBorder="1" applyAlignment="1">
      <alignment wrapText="1"/>
    </xf>
    <xf numFmtId="0" fontId="44" fillId="38" borderId="1" xfId="0" applyFont="1" applyFill="1" applyBorder="1"/>
    <xf numFmtId="0" fontId="44" fillId="38" borderId="1" xfId="0" applyFont="1" applyFill="1" applyBorder="1" applyAlignment="1">
      <alignment horizontal="right"/>
    </xf>
    <xf numFmtId="167" fontId="44" fillId="38" borderId="1" xfId="0" applyNumberFormat="1" applyFont="1" applyFill="1" applyBorder="1"/>
    <xf numFmtId="0" fontId="0" fillId="30" borderId="0" xfId="0" applyFill="1"/>
    <xf numFmtId="0" fontId="45" fillId="0" borderId="0" xfId="0" applyFont="1" applyAlignment="1">
      <alignment horizontal="center"/>
    </xf>
    <xf numFmtId="0" fontId="4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28" borderId="0" xfId="0" applyFill="1" applyAlignment="1">
      <alignment horizontal="center"/>
    </xf>
    <xf numFmtId="0" fontId="0" fillId="31" borderId="0" xfId="0" applyFill="1" applyAlignment="1">
      <alignment horizontal="center"/>
    </xf>
    <xf numFmtId="0" fontId="0" fillId="39" borderId="0" xfId="0" applyFill="1"/>
    <xf numFmtId="0" fontId="10" fillId="0" borderId="0" xfId="0" applyFont="1"/>
    <xf numFmtId="0" fontId="51" fillId="0" borderId="0" xfId="0" applyFont="1" applyAlignment="1">
      <alignment horizontal="left" wrapText="1" indent="2"/>
    </xf>
    <xf numFmtId="167" fontId="0" fillId="33" borderId="1" xfId="0" applyNumberFormat="1" applyFill="1" applyBorder="1" applyAlignment="1">
      <alignment horizontal="left" vertical="center" wrapText="1"/>
    </xf>
    <xf numFmtId="167" fontId="23" fillId="40" borderId="1" xfId="0" applyNumberFormat="1" applyFont="1" applyFill="1" applyBorder="1" applyAlignment="1">
      <alignment horizontal="center" vertical="center" wrapText="1"/>
    </xf>
    <xf numFmtId="0" fontId="16" fillId="33" borderId="0" xfId="0" applyFont="1" applyFill="1" applyAlignment="1">
      <alignment horizontal="center" vertical="center"/>
    </xf>
    <xf numFmtId="167" fontId="0" fillId="41" borderId="1" xfId="0" applyNumberFormat="1" applyFill="1" applyBorder="1" applyAlignment="1">
      <alignment horizontal="left" vertical="center" wrapText="1"/>
    </xf>
    <xf numFmtId="167" fontId="0" fillId="41" borderId="1" xfId="0" applyNumberFormat="1" applyFill="1" applyBorder="1" applyAlignment="1">
      <alignment horizontal="center" vertical="center" wrapText="1"/>
    </xf>
    <xf numFmtId="0" fontId="16" fillId="41" borderId="0" xfId="0" applyFont="1" applyFill="1" applyAlignment="1">
      <alignment horizontal="center" vertical="center"/>
    </xf>
    <xf numFmtId="167" fontId="0" fillId="34" borderId="1" xfId="0" applyNumberFormat="1" applyFill="1" applyBorder="1" applyAlignment="1">
      <alignment horizontal="center" vertical="center" wrapText="1"/>
    </xf>
    <xf numFmtId="167" fontId="0" fillId="42" borderId="1" xfId="0" applyNumberFormat="1" applyFill="1" applyBorder="1" applyAlignment="1">
      <alignment horizontal="left" vertical="center" wrapText="1"/>
    </xf>
    <xf numFmtId="167" fontId="0" fillId="42" borderId="1" xfId="0" applyNumberFormat="1" applyFill="1" applyBorder="1" applyAlignment="1">
      <alignment horizontal="center" vertical="center" wrapText="1"/>
    </xf>
    <xf numFmtId="167" fontId="0" fillId="42" borderId="1" xfId="0" applyNumberFormat="1" applyFill="1" applyBorder="1" applyAlignment="1">
      <alignment horizontal="center" vertical="center"/>
    </xf>
    <xf numFmtId="167" fontId="23" fillId="42" borderId="1" xfId="0" applyNumberFormat="1" applyFont="1" applyFill="1" applyBorder="1" applyAlignment="1">
      <alignment horizontal="center" vertical="center" wrapText="1"/>
    </xf>
    <xf numFmtId="0" fontId="16" fillId="42" borderId="0" xfId="0" applyFont="1" applyFill="1" applyAlignment="1">
      <alignment horizontal="center" vertical="center"/>
    </xf>
    <xf numFmtId="164" fontId="16" fillId="32" borderId="1" xfId="0" applyNumberFormat="1" applyFont="1" applyFill="1" applyBorder="1" applyAlignment="1">
      <alignment horizontal="left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left" vertical="center" wrapText="1"/>
    </xf>
    <xf numFmtId="9" fontId="0" fillId="31" borderId="0" xfId="0" applyNumberFormat="1" applyFill="1" applyAlignment="1">
      <alignment horizontal="center"/>
    </xf>
    <xf numFmtId="0" fontId="10" fillId="32" borderId="0" xfId="0" applyFont="1" applyFill="1"/>
    <xf numFmtId="0" fontId="0" fillId="32" borderId="0" xfId="0" applyFill="1" applyAlignment="1">
      <alignment horizontal="center"/>
    </xf>
    <xf numFmtId="0" fontId="52" fillId="0" borderId="0" xfId="0" applyFont="1"/>
    <xf numFmtId="0" fontId="0" fillId="5" borderId="0" xfId="0" applyFill="1" applyAlignment="1">
      <alignment horizontal="center"/>
    </xf>
    <xf numFmtId="10" fontId="0" fillId="31" borderId="0" xfId="0" applyNumberFormat="1" applyFill="1" applyAlignment="1">
      <alignment horizontal="center"/>
    </xf>
    <xf numFmtId="10" fontId="0" fillId="0" borderId="0" xfId="0" applyNumberFormat="1" applyAlignment="1">
      <alignment horizontal="center"/>
    </xf>
    <xf numFmtId="167" fontId="0" fillId="5" borderId="0" xfId="0" applyNumberFormat="1" applyFill="1" applyAlignment="1">
      <alignment horizontal="center"/>
    </xf>
    <xf numFmtId="2" fontId="38" fillId="25" borderId="29" xfId="0" applyNumberFormat="1" applyFont="1" applyFill="1" applyBorder="1" applyAlignment="1">
      <alignment horizontal="center" vertical="center" wrapText="1"/>
    </xf>
    <xf numFmtId="0" fontId="13" fillId="0" borderId="0" xfId="3" applyProtection="1">
      <alignment vertical="top"/>
    </xf>
    <xf numFmtId="0" fontId="53" fillId="44" borderId="29" xfId="0" applyFont="1" applyFill="1" applyBorder="1" applyAlignment="1">
      <alignment vertical="center" wrapText="1"/>
    </xf>
    <xf numFmtId="0" fontId="53" fillId="44" borderId="29" xfId="0" applyFont="1" applyFill="1" applyBorder="1" applyAlignment="1">
      <alignment horizontal="center" vertical="center" wrapText="1"/>
    </xf>
    <xf numFmtId="16" fontId="53" fillId="44" borderId="29" xfId="0" applyNumberFormat="1" applyFont="1" applyFill="1" applyBorder="1" applyAlignment="1">
      <alignment horizontal="center" vertical="center" wrapText="1"/>
    </xf>
    <xf numFmtId="0" fontId="57" fillId="0" borderId="0" xfId="0" applyFont="1"/>
    <xf numFmtId="0" fontId="15" fillId="32" borderId="0" xfId="0" applyFont="1" applyFill="1"/>
    <xf numFmtId="0" fontId="17" fillId="32" borderId="1" xfId="0" applyFont="1" applyFill="1" applyBorder="1" applyAlignment="1">
      <alignment horizontal="left" wrapText="1"/>
    </xf>
    <xf numFmtId="0" fontId="17" fillId="32" borderId="1" xfId="0" applyFont="1" applyFill="1" applyBorder="1" applyAlignment="1">
      <alignment wrapText="1"/>
    </xf>
    <xf numFmtId="0" fontId="17" fillId="32" borderId="1" xfId="0" applyFont="1" applyFill="1" applyBorder="1" applyAlignment="1">
      <alignment horizontal="center" vertical="center" wrapText="1"/>
    </xf>
    <xf numFmtId="0" fontId="17" fillId="32" borderId="1" xfId="0" applyFont="1" applyFill="1" applyBorder="1" applyAlignment="1">
      <alignment horizontal="right"/>
    </xf>
    <xf numFmtId="0" fontId="17" fillId="32" borderId="1" xfId="0" applyFont="1" applyFill="1" applyBorder="1" applyAlignment="1">
      <alignment horizontal="left" vertical="top" wrapText="1"/>
    </xf>
    <xf numFmtId="4" fontId="19" fillId="32" borderId="1" xfId="0" applyNumberFormat="1" applyFont="1" applyFill="1" applyBorder="1"/>
    <xf numFmtId="0" fontId="17" fillId="32" borderId="0" xfId="0" applyFont="1" applyFill="1" applyAlignment="1">
      <alignment horizontal="left" wrapText="1"/>
    </xf>
    <xf numFmtId="4" fontId="19" fillId="32" borderId="5" xfId="0" applyNumberFormat="1" applyFont="1" applyFill="1" applyBorder="1"/>
    <xf numFmtId="0" fontId="19" fillId="32" borderId="1" xfId="0" applyFont="1" applyFill="1" applyBorder="1" applyAlignment="1">
      <alignment horizontal="left" wrapText="1"/>
    </xf>
    <xf numFmtId="0" fontId="17" fillId="32" borderId="1" xfId="0" applyFont="1" applyFill="1" applyBorder="1"/>
    <xf numFmtId="4" fontId="17" fillId="32" borderId="5" xfId="0" applyNumberFormat="1" applyFont="1" applyFill="1" applyBorder="1"/>
    <xf numFmtId="4" fontId="17" fillId="32" borderId="0" xfId="0" applyNumberFormat="1" applyFont="1" applyFill="1"/>
    <xf numFmtId="0" fontId="0" fillId="32" borderId="1" xfId="0" applyFill="1" applyBorder="1" applyAlignment="1">
      <alignment horizontal="center" vertical="top"/>
    </xf>
    <xf numFmtId="0" fontId="0" fillId="32" borderId="1" xfId="0" applyFill="1" applyBorder="1" applyAlignment="1">
      <alignment horizontal="center" vertical="center" wrapText="1"/>
    </xf>
    <xf numFmtId="0" fontId="0" fillId="32" borderId="1" xfId="0" applyFill="1" applyBorder="1" applyAlignment="1">
      <alignment horizontal="left" vertical="center" wrapText="1"/>
    </xf>
    <xf numFmtId="0" fontId="0" fillId="32" borderId="1" xfId="0" applyFill="1" applyBorder="1" applyAlignment="1">
      <alignment horizontal="center" vertical="top" wrapText="1"/>
    </xf>
    <xf numFmtId="0" fontId="0" fillId="32" borderId="0" xfId="0" applyFill="1" applyAlignment="1">
      <alignment horizontal="left" vertical="center" wrapText="1"/>
    </xf>
    <xf numFmtId="0" fontId="0" fillId="32" borderId="0" xfId="0" applyFill="1" applyAlignment="1">
      <alignment wrapText="1"/>
    </xf>
    <xf numFmtId="1" fontId="0" fillId="32" borderId="0" xfId="0" applyNumberFormat="1" applyFill="1"/>
    <xf numFmtId="0" fontId="40" fillId="33" borderId="0" xfId="1" applyFill="1" applyAlignment="1">
      <alignment horizontal="center" vertical="center" wrapText="1"/>
    </xf>
    <xf numFmtId="0" fontId="0" fillId="32" borderId="1" xfId="0" applyFill="1" applyBorder="1" applyAlignment="1">
      <alignment horizontal="center"/>
    </xf>
    <xf numFmtId="0" fontId="0" fillId="32" borderId="1" xfId="0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0" fillId="32" borderId="1" xfId="0" applyFill="1" applyBorder="1" applyAlignment="1">
      <alignment horizontal="center" wrapText="1"/>
    </xf>
    <xf numFmtId="167" fontId="0" fillId="45" borderId="1" xfId="0" applyNumberFormat="1" applyFill="1" applyBorder="1" applyAlignment="1">
      <alignment horizontal="center" vertical="center" wrapText="1"/>
    </xf>
    <xf numFmtId="0" fontId="0" fillId="46" borderId="1" xfId="0" applyFill="1" applyBorder="1" applyAlignment="1">
      <alignment horizontal="center" vertical="top" wrapText="1"/>
    </xf>
    <xf numFmtId="0" fontId="0" fillId="46" borderId="1" xfId="0" applyFill="1" applyBorder="1" applyAlignment="1">
      <alignment horizontal="left" vertical="center" wrapText="1"/>
    </xf>
    <xf numFmtId="2" fontId="0" fillId="46" borderId="1" xfId="0" applyNumberFormat="1" applyFill="1" applyBorder="1" applyAlignment="1">
      <alignment vertical="center"/>
    </xf>
    <xf numFmtId="167" fontId="0" fillId="46" borderId="1" xfId="0" applyNumberFormat="1" applyFill="1" applyBorder="1" applyAlignment="1">
      <alignment horizontal="center" vertical="center" wrapText="1"/>
    </xf>
    <xf numFmtId="2" fontId="0" fillId="46" borderId="1" xfId="0" applyNumberFormat="1" applyFill="1" applyBorder="1" applyAlignment="1">
      <alignment horizontal="right" vertical="center" wrapText="1"/>
    </xf>
    <xf numFmtId="0" fontId="0" fillId="30" borderId="1" xfId="0" applyFill="1" applyBorder="1" applyAlignment="1">
      <alignment horizontal="center" wrapText="1"/>
    </xf>
    <xf numFmtId="3" fontId="0" fillId="30" borderId="1" xfId="0" applyNumberFormat="1" applyFill="1" applyBorder="1" applyAlignment="1">
      <alignment horizontal="center" wrapText="1"/>
    </xf>
    <xf numFmtId="0" fontId="0" fillId="30" borderId="0" xfId="0" applyFill="1" applyAlignment="1">
      <alignment horizontal="center" wrapText="1"/>
    </xf>
    <xf numFmtId="0" fontId="0" fillId="32" borderId="0" xfId="0" applyFill="1" applyAlignment="1">
      <alignment horizontal="center" wrapText="1"/>
    </xf>
    <xf numFmtId="0" fontId="0" fillId="49" borderId="1" xfId="0" applyFill="1" applyBorder="1" applyAlignment="1">
      <alignment horizontal="center" wrapText="1"/>
    </xf>
    <xf numFmtId="0" fontId="0" fillId="49" borderId="0" xfId="0" applyFill="1" applyAlignment="1">
      <alignment horizontal="center" wrapText="1"/>
    </xf>
    <xf numFmtId="0" fontId="0" fillId="50" borderId="1" xfId="0" applyFill="1" applyBorder="1" applyAlignment="1">
      <alignment horizontal="center" wrapText="1"/>
    </xf>
    <xf numFmtId="0" fontId="0" fillId="50" borderId="0" xfId="0" applyFill="1" applyAlignment="1">
      <alignment horizontal="center" wrapText="1"/>
    </xf>
    <xf numFmtId="0" fontId="0" fillId="42" borderId="1" xfId="0" applyFill="1" applyBorder="1" applyAlignment="1">
      <alignment horizontal="center" wrapText="1"/>
    </xf>
    <xf numFmtId="3" fontId="0" fillId="42" borderId="1" xfId="0" applyNumberFormat="1" applyFill="1" applyBorder="1" applyAlignment="1">
      <alignment horizontal="center" wrapText="1"/>
    </xf>
    <xf numFmtId="0" fontId="0" fillId="42" borderId="0" xfId="0" applyFill="1" applyAlignment="1">
      <alignment horizontal="center" wrapText="1"/>
    </xf>
    <xf numFmtId="164" fontId="0" fillId="0" borderId="1" xfId="0" applyNumberFormat="1" applyBorder="1" applyAlignment="1">
      <alignment horizontal="center" wrapText="1"/>
    </xf>
    <xf numFmtId="164" fontId="0" fillId="9" borderId="1" xfId="0" applyNumberFormat="1" applyFill="1" applyBorder="1" applyAlignment="1">
      <alignment horizontal="center" wrapText="1"/>
    </xf>
    <xf numFmtId="0" fontId="0" fillId="51" borderId="1" xfId="0" applyFill="1" applyBorder="1" applyAlignment="1">
      <alignment horizontal="left" wrapText="1"/>
    </xf>
    <xf numFmtId="0" fontId="25" fillId="32" borderId="1" xfId="0" applyFont="1" applyFill="1" applyBorder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25" fillId="31" borderId="1" xfId="0" applyFont="1" applyFill="1" applyBorder="1" applyAlignment="1">
      <alignment wrapText="1"/>
    </xf>
    <xf numFmtId="0" fontId="25" fillId="31" borderId="1" xfId="0" applyFont="1" applyFill="1" applyBorder="1" applyAlignment="1">
      <alignment horizontal="left" wrapText="1"/>
    </xf>
    <xf numFmtId="0" fontId="25" fillId="52" borderId="1" xfId="0" applyFont="1" applyFill="1" applyBorder="1" applyAlignment="1">
      <alignment wrapText="1"/>
    </xf>
    <xf numFmtId="0" fontId="25" fillId="41" borderId="1" xfId="0" applyFont="1" applyFill="1" applyBorder="1" applyAlignment="1">
      <alignment wrapText="1"/>
    </xf>
    <xf numFmtId="0" fontId="0" fillId="52" borderId="0" xfId="0" applyFill="1" applyAlignment="1">
      <alignment wrapText="1"/>
    </xf>
    <xf numFmtId="0" fontId="25" fillId="46" borderId="1" xfId="0" applyFont="1" applyFill="1" applyBorder="1" applyAlignment="1">
      <alignment wrapText="1"/>
    </xf>
    <xf numFmtId="3" fontId="25" fillId="46" borderId="1" xfId="0" applyNumberFormat="1" applyFont="1" applyFill="1" applyBorder="1" applyAlignment="1">
      <alignment wrapText="1"/>
    </xf>
    <xf numFmtId="0" fontId="0" fillId="46" borderId="0" xfId="0" applyFill="1" applyAlignment="1">
      <alignment wrapText="1"/>
    </xf>
    <xf numFmtId="0" fontId="25" fillId="53" borderId="1" xfId="0" applyFont="1" applyFill="1" applyBorder="1" applyAlignment="1">
      <alignment wrapText="1"/>
    </xf>
    <xf numFmtId="3" fontId="25" fillId="53" borderId="1" xfId="0" applyNumberFormat="1" applyFont="1" applyFill="1" applyBorder="1" applyAlignment="1">
      <alignment wrapText="1"/>
    </xf>
    <xf numFmtId="0" fontId="0" fillId="53" borderId="0" xfId="0" applyFill="1" applyAlignment="1">
      <alignment wrapText="1"/>
    </xf>
    <xf numFmtId="0" fontId="10" fillId="0" borderId="0" xfId="0" applyFont="1" applyAlignment="1">
      <alignment wrapText="1"/>
    </xf>
    <xf numFmtId="4" fontId="0" fillId="54" borderId="1" xfId="0" applyNumberFormat="1" applyFill="1" applyBorder="1" applyAlignment="1">
      <alignment wrapText="1"/>
    </xf>
    <xf numFmtId="3" fontId="12" fillId="38" borderId="1" xfId="0" applyNumberFormat="1" applyFont="1" applyFill="1" applyBorder="1" applyAlignment="1">
      <alignment wrapText="1"/>
    </xf>
    <xf numFmtId="164" fontId="0" fillId="55" borderId="1" xfId="0" applyNumberFormat="1" applyFill="1" applyBorder="1" applyAlignment="1">
      <alignment wrapText="1"/>
    </xf>
    <xf numFmtId="0" fontId="0" fillId="55" borderId="0" xfId="0" applyFill="1" applyAlignment="1">
      <alignment wrapText="1"/>
    </xf>
    <xf numFmtId="0" fontId="0" fillId="55" borderId="1" xfId="0" applyFill="1" applyBorder="1" applyAlignment="1">
      <alignment wrapText="1"/>
    </xf>
    <xf numFmtId="2" fontId="10" fillId="0" borderId="0" xfId="0" applyNumberFormat="1" applyFont="1" applyAlignment="1">
      <alignment wrapText="1"/>
    </xf>
    <xf numFmtId="49" fontId="0" fillId="32" borderId="1" xfId="0" applyNumberFormat="1" applyFill="1" applyBorder="1" applyAlignment="1">
      <alignment wrapText="1"/>
    </xf>
    <xf numFmtId="164" fontId="11" fillId="32" borderId="1" xfId="0" applyNumberFormat="1" applyFont="1" applyFill="1" applyBorder="1" applyAlignment="1">
      <alignment wrapText="1"/>
    </xf>
    <xf numFmtId="49" fontId="0" fillId="32" borderId="1" xfId="0" applyNumberFormat="1" applyFill="1" applyBorder="1" applyAlignment="1">
      <alignment horizontal="right" wrapText="1"/>
    </xf>
    <xf numFmtId="167" fontId="0" fillId="33" borderId="1" xfId="5" applyNumberFormat="1" applyFont="1" applyFill="1" applyBorder="1" applyAlignment="1">
      <alignment wrapText="1"/>
    </xf>
    <xf numFmtId="0" fontId="0" fillId="32" borderId="15" xfId="0" applyFill="1" applyBorder="1"/>
    <xf numFmtId="0" fontId="0" fillId="32" borderId="16" xfId="0" applyFill="1" applyBorder="1" applyAlignment="1">
      <alignment wrapText="1"/>
    </xf>
    <xf numFmtId="0" fontId="0" fillId="32" borderId="16" xfId="0" applyFill="1" applyBorder="1"/>
    <xf numFmtId="0" fontId="0" fillId="32" borderId="17" xfId="0" applyFill="1" applyBorder="1"/>
    <xf numFmtId="0" fontId="29" fillId="32" borderId="21" xfId="0" applyFont="1" applyFill="1" applyBorder="1" applyAlignment="1">
      <alignment vertical="top" wrapText="1"/>
    </xf>
    <xf numFmtId="0" fontId="29" fillId="32" borderId="25" xfId="0" applyFont="1" applyFill="1" applyBorder="1" applyAlignment="1">
      <alignment vertical="top" wrapText="1"/>
    </xf>
    <xf numFmtId="0" fontId="30" fillId="0" borderId="26" xfId="0" applyFont="1" applyBorder="1" applyAlignment="1">
      <alignment vertical="top" wrapText="1"/>
    </xf>
    <xf numFmtId="4" fontId="17" fillId="0" borderId="24" xfId="0" applyNumberFormat="1" applyFont="1" applyBorder="1" applyAlignment="1">
      <alignment vertical="top" wrapText="1"/>
    </xf>
    <xf numFmtId="0" fontId="29" fillId="0" borderId="26" xfId="0" applyFont="1" applyBorder="1" applyAlignment="1">
      <alignment vertical="top" wrapText="1"/>
    </xf>
    <xf numFmtId="4" fontId="17" fillId="12" borderId="24" xfId="0" applyNumberFormat="1" applyFont="1" applyFill="1" applyBorder="1" applyAlignment="1">
      <alignment vertical="top"/>
    </xf>
    <xf numFmtId="0" fontId="10" fillId="0" borderId="24" xfId="0" applyFont="1" applyBorder="1" applyAlignment="1">
      <alignment vertical="top" wrapText="1"/>
    </xf>
    <xf numFmtId="0" fontId="10" fillId="0" borderId="24" xfId="0" applyFont="1" applyBorder="1" applyAlignment="1">
      <alignment vertical="top"/>
    </xf>
    <xf numFmtId="3" fontId="0" fillId="54" borderId="21" xfId="0" applyNumberFormat="1" applyFill="1" applyBorder="1"/>
    <xf numFmtId="164" fontId="15" fillId="29" borderId="1" xfId="0" applyNumberFormat="1" applyFont="1" applyFill="1" applyBorder="1" applyAlignment="1">
      <alignment wrapText="1"/>
    </xf>
    <xf numFmtId="167" fontId="0" fillId="56" borderId="1" xfId="0" applyNumberFormat="1" applyFill="1" applyBorder="1" applyAlignment="1">
      <alignment wrapText="1"/>
    </xf>
    <xf numFmtId="167" fontId="0" fillId="52" borderId="1" xfId="0" applyNumberFormat="1" applyFill="1" applyBorder="1" applyAlignment="1">
      <alignment wrapText="1"/>
    </xf>
    <xf numFmtId="167" fontId="0" fillId="29" borderId="1" xfId="0" applyNumberFormat="1" applyFill="1" applyBorder="1" applyAlignment="1">
      <alignment wrapText="1"/>
    </xf>
    <xf numFmtId="49" fontId="0" fillId="29" borderId="1" xfId="0" applyNumberFormat="1" applyFill="1" applyBorder="1" applyAlignment="1">
      <alignment wrapText="1"/>
    </xf>
    <xf numFmtId="4" fontId="0" fillId="29" borderId="1" xfId="0" applyNumberFormat="1" applyFill="1" applyBorder="1" applyAlignment="1">
      <alignment wrapText="1"/>
    </xf>
    <xf numFmtId="4" fontId="0" fillId="57" borderId="1" xfId="0" applyNumberFormat="1" applyFill="1" applyBorder="1" applyAlignment="1">
      <alignment wrapText="1"/>
    </xf>
    <xf numFmtId="164" fontId="0" fillId="58" borderId="1" xfId="0" applyNumberFormat="1" applyFill="1" applyBorder="1"/>
    <xf numFmtId="167" fontId="0" fillId="58" borderId="1" xfId="0" applyNumberFormat="1" applyFill="1" applyBorder="1" applyAlignment="1">
      <alignment wrapText="1"/>
    </xf>
    <xf numFmtId="167" fontId="0" fillId="58" borderId="5" xfId="0" applyNumberFormat="1" applyFill="1" applyBorder="1" applyAlignment="1">
      <alignment wrapText="1"/>
    </xf>
    <xf numFmtId="167" fontId="0" fillId="58" borderId="12" xfId="0" applyNumberFormat="1" applyFill="1" applyBorder="1" applyAlignment="1">
      <alignment wrapText="1"/>
    </xf>
    <xf numFmtId="167" fontId="0" fillId="58" borderId="13" xfId="0" applyNumberFormat="1" applyFill="1" applyBorder="1" applyAlignment="1">
      <alignment wrapText="1"/>
    </xf>
    <xf numFmtId="167" fontId="0" fillId="58" borderId="14" xfId="0" applyNumberFormat="1" applyFill="1" applyBorder="1" applyAlignment="1">
      <alignment wrapText="1"/>
    </xf>
    <xf numFmtId="49" fontId="0" fillId="59" borderId="1" xfId="0" applyNumberFormat="1" applyFill="1" applyBorder="1" applyAlignment="1">
      <alignment wrapText="1"/>
    </xf>
    <xf numFmtId="49" fontId="0" fillId="54" borderId="1" xfId="0" applyNumberFormat="1" applyFill="1" applyBorder="1" applyAlignment="1">
      <alignment wrapText="1"/>
    </xf>
    <xf numFmtId="0" fontId="30" fillId="29" borderId="26" xfId="0" applyFont="1" applyFill="1" applyBorder="1" applyAlignment="1">
      <alignment vertical="top" wrapText="1"/>
    </xf>
    <xf numFmtId="4" fontId="17" fillId="29" borderId="24" xfId="0" applyNumberFormat="1" applyFont="1" applyFill="1" applyBorder="1" applyAlignment="1">
      <alignment vertical="top" wrapText="1"/>
    </xf>
    <xf numFmtId="0" fontId="16" fillId="54" borderId="1" xfId="0" applyFont="1" applyFill="1" applyBorder="1" applyAlignment="1">
      <alignment horizontal="left" vertical="center" wrapText="1"/>
    </xf>
    <xf numFmtId="4" fontId="16" fillId="60" borderId="1" xfId="0" applyNumberFormat="1" applyFont="1" applyFill="1" applyBorder="1" applyAlignment="1">
      <alignment horizontal="center" vertical="center"/>
    </xf>
    <xf numFmtId="0" fontId="16" fillId="54" borderId="1" xfId="0" applyFont="1" applyFill="1" applyBorder="1" applyAlignment="1">
      <alignment horizontal="center" vertical="center"/>
    </xf>
    <xf numFmtId="0" fontId="16" fillId="54" borderId="0" xfId="0" applyFont="1" applyFill="1" applyAlignment="1">
      <alignment horizontal="center" vertical="center"/>
    </xf>
    <xf numFmtId="0" fontId="16" fillId="32" borderId="0" xfId="0" applyFont="1" applyFill="1" applyAlignment="1">
      <alignment horizontal="center" vertical="center"/>
    </xf>
    <xf numFmtId="4" fontId="32" fillId="33" borderId="1" xfId="0" applyNumberFormat="1" applyFont="1" applyFill="1" applyBorder="1" applyAlignment="1">
      <alignment horizontal="center" vertical="center" wrapText="1"/>
    </xf>
    <xf numFmtId="1" fontId="32" fillId="33" borderId="1" xfId="0" applyNumberFormat="1" applyFont="1" applyFill="1" applyBorder="1" applyAlignment="1">
      <alignment horizontal="center" vertical="center" wrapText="1"/>
    </xf>
    <xf numFmtId="4" fontId="32" fillId="40" borderId="2" xfId="0" applyNumberFormat="1" applyFont="1" applyFill="1" applyBorder="1" applyAlignment="1">
      <alignment horizontal="center" vertical="center" wrapText="1"/>
    </xf>
    <xf numFmtId="4" fontId="32" fillId="61" borderId="2" xfId="0" applyNumberFormat="1" applyFont="1" applyFill="1" applyBorder="1" applyAlignment="1">
      <alignment horizontal="center" vertical="center" wrapText="1"/>
    </xf>
    <xf numFmtId="4" fontId="32" fillId="33" borderId="2" xfId="0" applyNumberFormat="1" applyFont="1" applyFill="1" applyBorder="1" applyAlignment="1">
      <alignment horizontal="center" vertical="center" wrapText="1"/>
    </xf>
    <xf numFmtId="0" fontId="31" fillId="62" borderId="1" xfId="0" applyFont="1" applyFill="1" applyBorder="1" applyAlignment="1">
      <alignment horizontal="left" vertical="center" wrapText="1"/>
    </xf>
    <xf numFmtId="0" fontId="16" fillId="62" borderId="1" xfId="0" applyFont="1" applyFill="1" applyBorder="1" applyAlignment="1">
      <alignment horizontal="center" vertical="center" wrapText="1"/>
    </xf>
    <xf numFmtId="0" fontId="16" fillId="30" borderId="1" xfId="0" applyFont="1" applyFill="1" applyBorder="1" applyAlignment="1">
      <alignment horizontal="left" vertical="center" wrapText="1"/>
    </xf>
    <xf numFmtId="167" fontId="16" fillId="45" borderId="1" xfId="0" applyNumberFormat="1" applyFont="1" applyFill="1" applyBorder="1" applyAlignment="1">
      <alignment horizontal="center" vertical="center"/>
    </xf>
    <xf numFmtId="0" fontId="16" fillId="30" borderId="0" xfId="0" applyFont="1" applyFill="1" applyAlignment="1">
      <alignment horizontal="center" vertical="center"/>
    </xf>
    <xf numFmtId="167" fontId="16" fillId="30" borderId="11" xfId="0" applyNumberFormat="1" applyFont="1" applyFill="1" applyBorder="1" applyAlignment="1">
      <alignment horizontal="center" vertical="center" wrapText="1"/>
    </xf>
    <xf numFmtId="4" fontId="16" fillId="30" borderId="11" xfId="0" applyNumberFormat="1" applyFont="1" applyFill="1" applyBorder="1" applyAlignment="1">
      <alignment horizontal="center" vertical="center" wrapText="1"/>
    </xf>
    <xf numFmtId="167" fontId="16" fillId="45" borderId="11" xfId="0" applyNumberFormat="1" applyFont="1" applyFill="1" applyBorder="1" applyAlignment="1">
      <alignment horizontal="center" vertical="center" wrapText="1"/>
    </xf>
    <xf numFmtId="167" fontId="16" fillId="63" borderId="11" xfId="0" applyNumberFormat="1" applyFont="1" applyFill="1" applyBorder="1" applyAlignment="1">
      <alignment horizontal="center" vertical="center" wrapText="1"/>
    </xf>
    <xf numFmtId="168" fontId="31" fillId="32" borderId="4" xfId="0" applyNumberFormat="1" applyFont="1" applyFill="1" applyBorder="1" applyAlignment="1">
      <alignment horizontal="left" vertical="center" wrapText="1"/>
    </xf>
    <xf numFmtId="0" fontId="16" fillId="32" borderId="11" xfId="0" applyFont="1" applyFill="1" applyBorder="1" applyAlignment="1">
      <alignment horizontal="center" vertical="center" wrapText="1"/>
    </xf>
    <xf numFmtId="0" fontId="31" fillId="60" borderId="1" xfId="0" applyFont="1" applyFill="1" applyBorder="1" applyAlignment="1">
      <alignment horizontal="left" vertical="center" wrapText="1"/>
    </xf>
    <xf numFmtId="2" fontId="31" fillId="60" borderId="11" xfId="0" applyNumberFormat="1" applyFont="1" applyFill="1" applyBorder="1" applyAlignment="1">
      <alignment horizontal="center" vertical="center" wrapText="1"/>
    </xf>
    <xf numFmtId="164" fontId="31" fillId="60" borderId="11" xfId="0" applyNumberFormat="1" applyFont="1" applyFill="1" applyBorder="1" applyAlignment="1">
      <alignment horizontal="center" vertical="center" wrapText="1"/>
    </xf>
    <xf numFmtId="167" fontId="31" fillId="60" borderId="1" xfId="0" applyNumberFormat="1" applyFont="1" applyFill="1" applyBorder="1" applyAlignment="1">
      <alignment horizontal="center" vertical="center" wrapText="1"/>
    </xf>
    <xf numFmtId="0" fontId="31" fillId="60" borderId="0" xfId="0" applyFont="1" applyFill="1" applyAlignment="1">
      <alignment horizontal="center" vertical="center"/>
    </xf>
    <xf numFmtId="168" fontId="16" fillId="54" borderId="1" xfId="0" applyNumberFormat="1" applyFont="1" applyFill="1" applyBorder="1" applyAlignment="1">
      <alignment horizontal="left" vertical="center" wrapText="1"/>
    </xf>
    <xf numFmtId="4" fontId="16" fillId="54" borderId="11" xfId="0" applyNumberFormat="1" applyFont="1" applyFill="1" applyBorder="1" applyAlignment="1">
      <alignment horizontal="center" vertical="center" wrapText="1"/>
    </xf>
    <xf numFmtId="4" fontId="16" fillId="54" borderId="11" xfId="0" applyNumberFormat="1" applyFont="1" applyFill="1" applyBorder="1" applyAlignment="1">
      <alignment horizontal="center" vertical="center"/>
    </xf>
    <xf numFmtId="4" fontId="16" fillId="54" borderId="1" xfId="0" applyNumberFormat="1" applyFont="1" applyFill="1" applyBorder="1" applyAlignment="1">
      <alignment horizontal="center" vertical="center"/>
    </xf>
    <xf numFmtId="167" fontId="16" fillId="54" borderId="1" xfId="0" applyNumberFormat="1" applyFont="1" applyFill="1" applyBorder="1" applyAlignment="1">
      <alignment horizontal="center" vertical="center"/>
    </xf>
    <xf numFmtId="0" fontId="11" fillId="32" borderId="0" xfId="0" applyFont="1" applyFill="1" applyAlignment="1">
      <alignment wrapText="1"/>
    </xf>
    <xf numFmtId="0" fontId="11" fillId="32" borderId="1" xfId="0" applyFont="1" applyFill="1" applyBorder="1" applyAlignment="1">
      <alignment horizontal="right"/>
    </xf>
    <xf numFmtId="0" fontId="11" fillId="32" borderId="1" xfId="0" applyFont="1" applyFill="1" applyBorder="1"/>
    <xf numFmtId="0" fontId="43" fillId="32" borderId="1" xfId="0" applyFont="1" applyFill="1" applyBorder="1"/>
    <xf numFmtId="166" fontId="11" fillId="13" borderId="1" xfId="0" applyNumberFormat="1" applyFont="1" applyFill="1" applyBorder="1" applyAlignment="1">
      <alignment horizontal="right"/>
    </xf>
    <xf numFmtId="0" fontId="40" fillId="0" borderId="0" xfId="4"/>
    <xf numFmtId="0" fontId="12" fillId="3" borderId="1" xfId="2" applyBorder="1"/>
    <xf numFmtId="0" fontId="12" fillId="3" borderId="1" xfId="2" applyBorder="1" applyAlignment="1">
      <alignment wrapText="1"/>
    </xf>
    <xf numFmtId="0" fontId="12" fillId="3" borderId="5" xfId="2" applyBorder="1" applyAlignment="1">
      <alignment wrapText="1"/>
    </xf>
    <xf numFmtId="0" fontId="11" fillId="31" borderId="5" xfId="0" applyFont="1" applyFill="1" applyBorder="1" applyAlignment="1">
      <alignment wrapText="1"/>
    </xf>
    <xf numFmtId="4" fontId="11" fillId="31" borderId="1" xfId="0" applyNumberFormat="1" applyFont="1" applyFill="1" applyBorder="1"/>
    <xf numFmtId="4" fontId="11" fillId="64" borderId="1" xfId="0" applyNumberFormat="1" applyFont="1" applyFill="1" applyBorder="1"/>
    <xf numFmtId="167" fontId="0" fillId="30" borderId="1" xfId="0" applyNumberFormat="1" applyFill="1" applyBorder="1" applyAlignment="1">
      <alignment horizontal="center" vertical="center" wrapText="1"/>
    </xf>
    <xf numFmtId="0" fontId="0" fillId="65" borderId="0" xfId="0" applyFill="1" applyAlignment="1">
      <alignment horizontal="center"/>
    </xf>
    <xf numFmtId="0" fontId="9" fillId="0" borderId="0" xfId="0" applyFont="1"/>
    <xf numFmtId="0" fontId="9" fillId="32" borderId="0" xfId="0" applyFont="1" applyFill="1"/>
    <xf numFmtId="4" fontId="17" fillId="30" borderId="1" xfId="0" applyNumberFormat="1" applyFont="1" applyFill="1" applyBorder="1"/>
    <xf numFmtId="0" fontId="17" fillId="30" borderId="1" xfId="0" applyFont="1" applyFill="1" applyBorder="1" applyAlignment="1">
      <alignment horizontal="left" vertical="top" wrapText="1"/>
    </xf>
    <xf numFmtId="4" fontId="17" fillId="45" borderId="1" xfId="0" applyNumberFormat="1" applyFont="1" applyFill="1" applyBorder="1"/>
    <xf numFmtId="0" fontId="17" fillId="30" borderId="0" xfId="0" applyFont="1" applyFill="1"/>
    <xf numFmtId="0" fontId="17" fillId="30" borderId="1" xfId="0" applyFont="1" applyFill="1" applyBorder="1" applyAlignment="1">
      <alignment horizontal="left" wrapText="1"/>
    </xf>
    <xf numFmtId="4" fontId="19" fillId="45" borderId="1" xfId="0" applyNumberFormat="1" applyFont="1" applyFill="1" applyBorder="1"/>
    <xf numFmtId="4" fontId="19" fillId="30" borderId="1" xfId="0" applyNumberFormat="1" applyFont="1" applyFill="1" applyBorder="1"/>
    <xf numFmtId="0" fontId="17" fillId="32" borderId="2" xfId="0" applyFont="1" applyFill="1" applyBorder="1" applyAlignment="1">
      <alignment horizontal="center" wrapText="1"/>
    </xf>
    <xf numFmtId="0" fontId="17" fillId="32" borderId="1" xfId="0" applyFont="1" applyFill="1" applyBorder="1" applyAlignment="1">
      <alignment horizontal="center"/>
    </xf>
    <xf numFmtId="0" fontId="17" fillId="32" borderId="0" xfId="0" applyFont="1" applyFill="1" applyAlignment="1">
      <alignment horizontal="center" wrapText="1"/>
    </xf>
    <xf numFmtId="4" fontId="17" fillId="16" borderId="1" xfId="0" applyNumberFormat="1" applyFont="1" applyFill="1" applyBorder="1"/>
    <xf numFmtId="167" fontId="9" fillId="32" borderId="0" xfId="0" applyNumberFormat="1" applyFont="1" applyFill="1"/>
    <xf numFmtId="167" fontId="0" fillId="32" borderId="0" xfId="0" applyNumberFormat="1" applyFill="1"/>
    <xf numFmtId="167" fontId="10" fillId="0" borderId="0" xfId="0" applyNumberFormat="1" applyFont="1"/>
    <xf numFmtId="167" fontId="9" fillId="0" borderId="0" xfId="0" applyNumberFormat="1" applyFont="1" applyAlignment="1">
      <alignment wrapText="1"/>
    </xf>
    <xf numFmtId="167" fontId="9" fillId="0" borderId="0" xfId="0" applyNumberFormat="1" applyFont="1"/>
    <xf numFmtId="0" fontId="9" fillId="0" borderId="1" xfId="0" applyFont="1" applyBorder="1" applyAlignment="1">
      <alignment horizontal="center" vertical="top" wrapText="1"/>
    </xf>
    <xf numFmtId="167" fontId="15" fillId="32" borderId="0" xfId="0" applyNumberFormat="1" applyFont="1" applyFill="1" applyAlignment="1">
      <alignment wrapText="1"/>
    </xf>
    <xf numFmtId="167" fontId="8" fillId="32" borderId="0" xfId="0" applyNumberFormat="1" applyFont="1" applyFill="1" applyAlignment="1">
      <alignment wrapText="1"/>
    </xf>
    <xf numFmtId="167" fontId="8" fillId="32" borderId="0" xfId="0" applyNumberFormat="1" applyFont="1" applyFill="1"/>
    <xf numFmtId="167" fontId="15" fillId="0" borderId="0" xfId="0" applyNumberFormat="1" applyFont="1" applyAlignment="1">
      <alignment wrapText="1"/>
    </xf>
    <xf numFmtId="167" fontId="8" fillId="0" borderId="0" xfId="0" applyNumberFormat="1" applyFont="1" applyAlignment="1">
      <alignment wrapText="1"/>
    </xf>
    <xf numFmtId="167" fontId="8" fillId="0" borderId="0" xfId="0" applyNumberFormat="1" applyFont="1"/>
    <xf numFmtId="167" fontId="8" fillId="42" borderId="0" xfId="0" applyNumberFormat="1" applyFont="1" applyFill="1"/>
    <xf numFmtId="0" fontId="8" fillId="0" borderId="0" xfId="0" applyFont="1"/>
    <xf numFmtId="167" fontId="10" fillId="32" borderId="0" xfId="0" applyNumberFormat="1" applyFont="1" applyFill="1"/>
    <xf numFmtId="167" fontId="0" fillId="42" borderId="0" xfId="0" applyNumberFormat="1" applyFill="1"/>
    <xf numFmtId="167" fontId="0" fillId="30" borderId="1" xfId="0" applyNumberFormat="1" applyFill="1" applyBorder="1" applyAlignment="1">
      <alignment horizontal="left" vertical="center" wrapText="1"/>
    </xf>
    <xf numFmtId="167" fontId="0" fillId="30" borderId="1" xfId="0" applyNumberFormat="1" applyFill="1" applyBorder="1" applyAlignment="1">
      <alignment horizontal="center" vertical="center"/>
    </xf>
    <xf numFmtId="167" fontId="0" fillId="30" borderId="0" xfId="0" applyNumberFormat="1" applyFill="1"/>
    <xf numFmtId="167" fontId="9" fillId="29" borderId="0" xfId="0" applyNumberFormat="1" applyFont="1" applyFill="1" applyAlignment="1">
      <alignment wrapText="1"/>
    </xf>
    <xf numFmtId="167" fontId="8" fillId="29" borderId="0" xfId="0" applyNumberFormat="1" applyFont="1" applyFill="1" applyAlignment="1">
      <alignment wrapText="1"/>
    </xf>
    <xf numFmtId="167" fontId="8" fillId="29" borderId="0" xfId="0" applyNumberFormat="1" applyFont="1" applyFill="1"/>
    <xf numFmtId="4" fontId="17" fillId="66" borderId="1" xfId="0" applyNumberFormat="1" applyFont="1" applyFill="1" applyBorder="1"/>
    <xf numFmtId="0" fontId="12" fillId="6" borderId="1" xfId="0" applyFont="1" applyFill="1" applyBorder="1" applyAlignment="1">
      <alignment horizontal="center"/>
    </xf>
    <xf numFmtId="167" fontId="15" fillId="42" borderId="0" xfId="0" applyNumberFormat="1" applyFont="1" applyFill="1"/>
    <xf numFmtId="167" fontId="8" fillId="42" borderId="0" xfId="0" applyNumberFormat="1" applyFont="1" applyFill="1" applyAlignment="1">
      <alignment wrapText="1"/>
    </xf>
    <xf numFmtId="167" fontId="0" fillId="29" borderId="0" xfId="0" applyNumberFormat="1" applyFill="1"/>
    <xf numFmtId="167" fontId="9" fillId="67" borderId="0" xfId="0" applyNumberFormat="1" applyFont="1" applyFill="1" applyAlignment="1">
      <alignment wrapText="1"/>
    </xf>
    <xf numFmtId="167" fontId="0" fillId="67" borderId="0" xfId="0" applyNumberFormat="1" applyFill="1"/>
    <xf numFmtId="167" fontId="10" fillId="29" borderId="0" xfId="0" applyNumberFormat="1" applyFont="1" applyFill="1"/>
    <xf numFmtId="167" fontId="15" fillId="29" borderId="0" xfId="0" applyNumberFormat="1" applyFont="1" applyFill="1"/>
    <xf numFmtId="167" fontId="8" fillId="67" borderId="0" xfId="0" applyNumberFormat="1" applyFont="1" applyFill="1" applyAlignment="1">
      <alignment wrapText="1"/>
    </xf>
    <xf numFmtId="167" fontId="0" fillId="32" borderId="0" xfId="0" applyNumberFormat="1" applyFill="1" applyAlignment="1">
      <alignment horizontal="center"/>
    </xf>
    <xf numFmtId="167" fontId="15" fillId="67" borderId="0" xfId="0" applyNumberFormat="1" applyFont="1" applyFill="1" applyAlignment="1">
      <alignment wrapText="1"/>
    </xf>
    <xf numFmtId="4" fontId="11" fillId="10" borderId="1" xfId="0" applyNumberFormat="1" applyFont="1" applyFill="1" applyBorder="1"/>
    <xf numFmtId="167" fontId="28" fillId="38" borderId="0" xfId="0" applyNumberFormat="1" applyFont="1" applyFill="1"/>
    <xf numFmtId="0" fontId="12" fillId="38" borderId="1" xfId="0" applyFont="1" applyFill="1" applyBorder="1" applyAlignment="1">
      <alignment wrapText="1"/>
    </xf>
    <xf numFmtId="0" fontId="0" fillId="52" borderId="1" xfId="0" applyFill="1" applyBorder="1" applyAlignment="1">
      <alignment horizontal="center" wrapText="1"/>
    </xf>
    <xf numFmtId="3" fontId="0" fillId="29" borderId="1" xfId="0" applyNumberFormat="1" applyFill="1" applyBorder="1" applyAlignment="1">
      <alignment horizontal="center" wrapText="1"/>
    </xf>
    <xf numFmtId="0" fontId="0" fillId="68" borderId="1" xfId="0" applyFill="1" applyBorder="1" applyAlignment="1">
      <alignment horizontal="center" wrapText="1"/>
    </xf>
    <xf numFmtId="0" fontId="7" fillId="0" borderId="0" xfId="0" applyFont="1"/>
    <xf numFmtId="0" fontId="6" fillId="0" borderId="0" xfId="0" applyFont="1"/>
    <xf numFmtId="166" fontId="0" fillId="31" borderId="0" xfId="0" applyNumberFormat="1" applyFill="1" applyAlignment="1">
      <alignment horizontal="center"/>
    </xf>
    <xf numFmtId="167" fontId="0" fillId="0" borderId="1" xfId="0" applyNumberFormat="1" applyBorder="1" applyAlignment="1">
      <alignment horizontal="center" wrapText="1"/>
    </xf>
    <xf numFmtId="167" fontId="0" fillId="0" borderId="0" xfId="0" applyNumberFormat="1" applyAlignment="1">
      <alignment horizontal="center" wrapText="1"/>
    </xf>
    <xf numFmtId="167" fontId="0" fillId="32" borderId="1" xfId="0" applyNumberFormat="1" applyFill="1" applyBorder="1" applyAlignment="1">
      <alignment horizontal="left" wrapText="1"/>
    </xf>
    <xf numFmtId="167" fontId="0" fillId="32" borderId="1" xfId="0" applyNumberFormat="1" applyFill="1" applyBorder="1" applyAlignment="1">
      <alignment horizontal="center" wrapText="1"/>
    </xf>
    <xf numFmtId="167" fontId="25" fillId="32" borderId="1" xfId="0" applyNumberFormat="1" applyFont="1" applyFill="1" applyBorder="1" applyAlignment="1">
      <alignment horizontal="center" wrapText="1"/>
    </xf>
    <xf numFmtId="167" fontId="0" fillId="48" borderId="1" xfId="0" applyNumberFormat="1" applyFill="1" applyBorder="1" applyAlignment="1">
      <alignment horizontal="left" wrapText="1"/>
    </xf>
    <xf numFmtId="167" fontId="0" fillId="48" borderId="1" xfId="0" applyNumberFormat="1" applyFill="1" applyBorder="1" applyAlignment="1">
      <alignment horizontal="center" wrapText="1"/>
    </xf>
    <xf numFmtId="167" fontId="25" fillId="48" borderId="1" xfId="0" applyNumberFormat="1" applyFont="1" applyFill="1" applyBorder="1" applyAlignment="1">
      <alignment horizontal="center" wrapText="1"/>
    </xf>
    <xf numFmtId="167" fontId="0" fillId="47" borderId="1" xfId="0" applyNumberFormat="1" applyFill="1" applyBorder="1" applyAlignment="1">
      <alignment horizontal="center" wrapText="1"/>
    </xf>
    <xf numFmtId="167" fontId="0" fillId="9" borderId="1" xfId="0" applyNumberFormat="1" applyFill="1" applyBorder="1" applyAlignment="1">
      <alignment horizontal="left" wrapText="1"/>
    </xf>
    <xf numFmtId="167" fontId="0" fillId="9" borderId="1" xfId="0" applyNumberFormat="1" applyFill="1" applyBorder="1" applyAlignment="1">
      <alignment horizontal="center" wrapText="1"/>
    </xf>
    <xf numFmtId="167" fontId="25" fillId="9" borderId="1" xfId="0" applyNumberFormat="1" applyFont="1" applyFill="1" applyBorder="1" applyAlignment="1">
      <alignment horizontal="center" wrapText="1"/>
    </xf>
    <xf numFmtId="167" fontId="0" fillId="52" borderId="1" xfId="0" applyNumberFormat="1" applyFill="1" applyBorder="1" applyAlignment="1">
      <alignment horizontal="center" wrapText="1"/>
    </xf>
    <xf numFmtId="167" fontId="0" fillId="69" borderId="1" xfId="0" applyNumberFormat="1" applyFill="1" applyBorder="1" applyAlignment="1">
      <alignment horizontal="center" wrapText="1"/>
    </xf>
    <xf numFmtId="167" fontId="0" fillId="18" borderId="1" xfId="0" applyNumberFormat="1" applyFill="1" applyBorder="1" applyAlignment="1">
      <alignment horizontal="left" wrapText="1"/>
    </xf>
    <xf numFmtId="167" fontId="0" fillId="18" borderId="1" xfId="0" applyNumberFormat="1" applyFill="1" applyBorder="1" applyAlignment="1">
      <alignment horizontal="center" wrapText="1"/>
    </xf>
    <xf numFmtId="167" fontId="25" fillId="18" borderId="1" xfId="0" applyNumberFormat="1" applyFont="1" applyFill="1" applyBorder="1" applyAlignment="1">
      <alignment horizontal="center" wrapText="1"/>
    </xf>
    <xf numFmtId="167" fontId="0" fillId="0" borderId="1" xfId="0" applyNumberFormat="1" applyBorder="1" applyAlignment="1">
      <alignment horizontal="left" wrapText="1"/>
    </xf>
    <xf numFmtId="167" fontId="25" fillId="0" borderId="1" xfId="0" applyNumberFormat="1" applyFont="1" applyBorder="1" applyAlignment="1">
      <alignment horizontal="center" wrapText="1"/>
    </xf>
    <xf numFmtId="167" fontId="0" fillId="30" borderId="1" xfId="0" applyNumberFormat="1" applyFill="1" applyBorder="1" applyAlignment="1">
      <alignment horizontal="center" wrapText="1"/>
    </xf>
    <xf numFmtId="167" fontId="24" fillId="9" borderId="1" xfId="0" applyNumberFormat="1" applyFont="1" applyFill="1" applyBorder="1" applyAlignment="1">
      <alignment horizontal="center" wrapText="1"/>
    </xf>
    <xf numFmtId="167" fontId="24" fillId="18" borderId="1" xfId="0" applyNumberFormat="1" applyFont="1" applyFill="1" applyBorder="1" applyAlignment="1">
      <alignment horizontal="center" wrapText="1"/>
    </xf>
    <xf numFmtId="167" fontId="24" fillId="0" borderId="1" xfId="0" applyNumberFormat="1" applyFont="1" applyBorder="1" applyAlignment="1">
      <alignment horizontal="center" wrapText="1"/>
    </xf>
    <xf numFmtId="167" fontId="24" fillId="48" borderId="1" xfId="0" applyNumberFormat="1" applyFont="1" applyFill="1" applyBorder="1" applyAlignment="1">
      <alignment horizontal="center" wrapText="1"/>
    </xf>
    <xf numFmtId="167" fontId="0" fillId="17" borderId="1" xfId="0" applyNumberFormat="1" applyFill="1" applyBorder="1" applyAlignment="1">
      <alignment horizontal="left" wrapText="1"/>
    </xf>
    <xf numFmtId="167" fontId="0" fillId="17" borderId="1" xfId="0" applyNumberFormat="1" applyFill="1" applyBorder="1" applyAlignment="1">
      <alignment horizontal="center" wrapText="1"/>
    </xf>
    <xf numFmtId="167" fontId="24" fillId="17" borderId="1" xfId="0" applyNumberFormat="1" applyFont="1" applyFill="1" applyBorder="1" applyAlignment="1">
      <alignment horizontal="center" wrapText="1"/>
    </xf>
    <xf numFmtId="167" fontId="15" fillId="18" borderId="1" xfId="0" applyNumberFormat="1" applyFont="1" applyFill="1" applyBorder="1" applyAlignment="1">
      <alignment horizontal="center" wrapText="1"/>
    </xf>
    <xf numFmtId="167" fontId="0" fillId="49" borderId="1" xfId="0" applyNumberFormat="1" applyFill="1" applyBorder="1" applyAlignment="1">
      <alignment horizontal="left" wrapText="1"/>
    </xf>
    <xf numFmtId="167" fontId="0" fillId="49" borderId="1" xfId="0" applyNumberFormat="1" applyFill="1" applyBorder="1" applyAlignment="1">
      <alignment horizontal="center" wrapText="1"/>
    </xf>
    <xf numFmtId="167" fontId="24" fillId="49" borderId="1" xfId="0" applyNumberFormat="1" applyFont="1" applyFill="1" applyBorder="1" applyAlignment="1">
      <alignment horizontal="center" wrapText="1"/>
    </xf>
    <xf numFmtId="167" fontId="23" fillId="0" borderId="1" xfId="0" applyNumberFormat="1" applyFont="1" applyBorder="1" applyAlignment="1">
      <alignment horizontal="left" wrapText="1"/>
    </xf>
    <xf numFmtId="167" fontId="23" fillId="0" borderId="1" xfId="0" applyNumberFormat="1" applyFont="1" applyBorder="1" applyAlignment="1">
      <alignment horizontal="center" wrapText="1"/>
    </xf>
    <xf numFmtId="167" fontId="0" fillId="50" borderId="1" xfId="0" applyNumberFormat="1" applyFill="1" applyBorder="1" applyAlignment="1">
      <alignment horizontal="left" wrapText="1"/>
    </xf>
    <xf numFmtId="167" fontId="0" fillId="50" borderId="1" xfId="0" applyNumberFormat="1" applyFill="1" applyBorder="1" applyAlignment="1">
      <alignment horizontal="center" wrapText="1"/>
    </xf>
    <xf numFmtId="167" fontId="24" fillId="50" borderId="1" xfId="0" applyNumberFormat="1" applyFont="1" applyFill="1" applyBorder="1" applyAlignment="1">
      <alignment horizontal="center" wrapText="1"/>
    </xf>
    <xf numFmtId="167" fontId="0" fillId="5" borderId="1" xfId="0" applyNumberFormat="1" applyFill="1" applyBorder="1" applyAlignment="1">
      <alignment horizontal="center" wrapText="1"/>
    </xf>
    <xf numFmtId="167" fontId="0" fillId="42" borderId="1" xfId="0" applyNumberFormat="1" applyFill="1" applyBorder="1" applyAlignment="1">
      <alignment horizontal="left" wrapText="1"/>
    </xf>
    <xf numFmtId="167" fontId="0" fillId="42" borderId="1" xfId="0" applyNumberFormat="1" applyFill="1" applyBorder="1" applyAlignment="1">
      <alignment horizontal="center" wrapText="1"/>
    </xf>
    <xf numFmtId="167" fontId="0" fillId="10" borderId="1" xfId="0" applyNumberFormat="1" applyFill="1" applyBorder="1" applyAlignment="1">
      <alignment horizontal="left" wrapText="1"/>
    </xf>
    <xf numFmtId="167" fontId="0" fillId="10" borderId="1" xfId="0" applyNumberFormat="1" applyFill="1" applyBorder="1" applyAlignment="1">
      <alignment horizontal="center" wrapText="1"/>
    </xf>
    <xf numFmtId="167" fontId="24" fillId="10" borderId="1" xfId="0" applyNumberFormat="1" applyFont="1" applyFill="1" applyBorder="1" applyAlignment="1">
      <alignment horizontal="center" wrapText="1"/>
    </xf>
    <xf numFmtId="167" fontId="0" fillId="12" borderId="1" xfId="0" applyNumberFormat="1" applyFill="1" applyBorder="1" applyAlignment="1">
      <alignment horizontal="center" wrapText="1"/>
    </xf>
    <xf numFmtId="167" fontId="0" fillId="0" borderId="0" xfId="0" applyNumberFormat="1" applyAlignment="1">
      <alignment horizontal="left" wrapText="1"/>
    </xf>
    <xf numFmtId="167" fontId="12" fillId="6" borderId="0" xfId="0" applyNumberFormat="1" applyFont="1" applyFill="1" applyAlignment="1">
      <alignment horizontal="center" wrapText="1"/>
    </xf>
    <xf numFmtId="3" fontId="25" fillId="29" borderId="1" xfId="0" applyNumberFormat="1" applyFont="1" applyFill="1" applyBorder="1" applyAlignment="1">
      <alignment wrapText="1"/>
    </xf>
    <xf numFmtId="167" fontId="0" fillId="10" borderId="1" xfId="0" applyNumberFormat="1" applyFill="1" applyBorder="1" applyAlignment="1">
      <alignment wrapText="1"/>
    </xf>
    <xf numFmtId="167" fontId="23" fillId="0" borderId="1" xfId="0" applyNumberFormat="1" applyFont="1" applyBorder="1" applyAlignment="1">
      <alignment wrapText="1"/>
    </xf>
    <xf numFmtId="167" fontId="10" fillId="32" borderId="1" xfId="0" applyNumberFormat="1" applyFont="1" applyFill="1" applyBorder="1" applyAlignment="1">
      <alignment horizontal="right" wrapText="1"/>
    </xf>
    <xf numFmtId="167" fontId="26" fillId="0" borderId="0" xfId="0" applyNumberFormat="1" applyFont="1" applyAlignment="1">
      <alignment wrapText="1"/>
    </xf>
    <xf numFmtId="167" fontId="0" fillId="54" borderId="1" xfId="0" applyNumberFormat="1" applyFill="1" applyBorder="1" applyAlignment="1">
      <alignment wrapText="1"/>
    </xf>
    <xf numFmtId="4" fontId="43" fillId="0" borderId="0" xfId="0" applyNumberFormat="1" applyFont="1" applyBorder="1"/>
    <xf numFmtId="0" fontId="5" fillId="29" borderId="5" xfId="0" applyFont="1" applyFill="1" applyBorder="1" applyAlignment="1">
      <alignment wrapText="1"/>
    </xf>
    <xf numFmtId="4" fontId="11" fillId="29" borderId="1" xfId="0" applyNumberFormat="1" applyFont="1" applyFill="1" applyBorder="1"/>
    <xf numFmtId="4" fontId="5" fillId="29" borderId="1" xfId="0" applyNumberFormat="1" applyFont="1" applyFill="1" applyBorder="1"/>
    <xf numFmtId="0" fontId="4" fillId="29" borderId="5" xfId="0" applyFont="1" applyFill="1" applyBorder="1" applyAlignment="1">
      <alignment wrapText="1"/>
    </xf>
    <xf numFmtId="0" fontId="4" fillId="43" borderId="5" xfId="0" applyFont="1" applyFill="1" applyBorder="1" applyAlignment="1">
      <alignment wrapText="1"/>
    </xf>
    <xf numFmtId="2" fontId="4" fillId="0" borderId="1" xfId="0" applyNumberFormat="1" applyFont="1" applyBorder="1"/>
    <xf numFmtId="0" fontId="4" fillId="0" borderId="0" xfId="0" applyFont="1" applyAlignment="1">
      <alignment wrapText="1"/>
    </xf>
    <xf numFmtId="167" fontId="10" fillId="29" borderId="1" xfId="0" applyNumberFormat="1" applyFont="1" applyFill="1" applyBorder="1" applyAlignment="1">
      <alignment horizontal="left" vertical="center" wrapText="1"/>
    </xf>
    <xf numFmtId="167" fontId="0" fillId="29" borderId="1" xfId="0" applyNumberFormat="1" applyFill="1" applyBorder="1" applyAlignment="1">
      <alignment horizontal="center" vertical="center" wrapText="1"/>
    </xf>
    <xf numFmtId="167" fontId="0" fillId="29" borderId="1" xfId="0" applyNumberFormat="1" applyFill="1" applyBorder="1" applyAlignment="1">
      <alignment horizontal="center" vertical="center"/>
    </xf>
    <xf numFmtId="0" fontId="16" fillId="29" borderId="0" xfId="0" applyFont="1" applyFill="1" applyAlignment="1">
      <alignment horizontal="center" vertical="center"/>
    </xf>
    <xf numFmtId="167" fontId="0" fillId="29" borderId="1" xfId="0" applyNumberFormat="1" applyFill="1" applyBorder="1" applyAlignment="1">
      <alignment horizontal="left" vertical="center" wrapText="1"/>
    </xf>
    <xf numFmtId="167" fontId="0" fillId="52" borderId="1" xfId="0" applyNumberFormat="1" applyFill="1" applyBorder="1" applyAlignment="1">
      <alignment horizontal="center" vertical="center" wrapText="1"/>
    </xf>
    <xf numFmtId="167" fontId="9" fillId="29" borderId="1" xfId="0" applyNumberFormat="1" applyFont="1" applyFill="1" applyBorder="1" applyAlignment="1">
      <alignment horizontal="left" vertical="center" wrapText="1"/>
    </xf>
    <xf numFmtId="167" fontId="8" fillId="57" borderId="1" xfId="0" applyNumberFormat="1" applyFont="1" applyFill="1" applyBorder="1" applyAlignment="1">
      <alignment horizontal="left" vertical="center" wrapText="1"/>
    </xf>
    <xf numFmtId="167" fontId="0" fillId="57" borderId="1" xfId="0" applyNumberFormat="1" applyFill="1" applyBorder="1" applyAlignment="1">
      <alignment horizontal="center" vertical="center" wrapText="1"/>
    </xf>
    <xf numFmtId="167" fontId="0" fillId="57" borderId="1" xfId="0" applyNumberFormat="1" applyFill="1" applyBorder="1" applyAlignment="1">
      <alignment horizontal="center" vertical="center"/>
    </xf>
    <xf numFmtId="167" fontId="0" fillId="52" borderId="1" xfId="0" applyNumberFormat="1" applyFill="1" applyBorder="1" applyAlignment="1">
      <alignment horizontal="center" vertical="center"/>
    </xf>
    <xf numFmtId="0" fontId="16" fillId="57" borderId="0" xfId="0" applyFont="1" applyFill="1" applyAlignment="1">
      <alignment horizontal="center" vertical="center"/>
    </xf>
    <xf numFmtId="0" fontId="4" fillId="0" borderId="1" xfId="0" applyFont="1" applyBorder="1" applyAlignment="1">
      <alignment wrapText="1"/>
    </xf>
    <xf numFmtId="167" fontId="29" fillId="0" borderId="1" xfId="0" applyNumberFormat="1" applyFont="1" applyBorder="1" applyAlignment="1">
      <alignment horizontal="center" vertical="top" wrapText="1"/>
    </xf>
    <xf numFmtId="167" fontId="29" fillId="0" borderId="1" xfId="0" applyNumberFormat="1" applyFont="1" applyBorder="1" applyAlignment="1">
      <alignment vertical="top" wrapText="1"/>
    </xf>
    <xf numFmtId="167" fontId="30" fillId="0" borderId="1" xfId="0" applyNumberFormat="1" applyFont="1" applyBorder="1" applyAlignment="1">
      <alignment vertical="top" wrapText="1"/>
    </xf>
    <xf numFmtId="167" fontId="17" fillId="0" borderId="1" xfId="0" applyNumberFormat="1" applyFont="1" applyBorder="1" applyAlignment="1">
      <alignment horizontal="center" vertical="top" wrapText="1"/>
    </xf>
    <xf numFmtId="167" fontId="0" fillId="30" borderId="0" xfId="0" applyNumberFormat="1" applyFill="1" applyBorder="1" applyAlignment="1">
      <alignment horizontal="left" vertical="center" wrapText="1"/>
    </xf>
    <xf numFmtId="167" fontId="0" fillId="30" borderId="0" xfId="0" applyNumberFormat="1" applyFill="1" applyBorder="1" applyAlignment="1">
      <alignment horizontal="center" vertical="center" wrapText="1"/>
    </xf>
    <xf numFmtId="167" fontId="0" fillId="30" borderId="0" xfId="0" applyNumberFormat="1" applyFill="1" applyBorder="1" applyAlignment="1">
      <alignment horizontal="center" vertical="center"/>
    </xf>
    <xf numFmtId="167" fontId="23" fillId="30" borderId="0" xfId="0" applyNumberFormat="1" applyFont="1" applyFill="1" applyBorder="1" applyAlignment="1">
      <alignment horizontal="center" vertical="center" wrapText="1"/>
    </xf>
    <xf numFmtId="4" fontId="17" fillId="70" borderId="1" xfId="0" applyNumberFormat="1" applyFont="1" applyFill="1" applyBorder="1"/>
    <xf numFmtId="4" fontId="17" fillId="71" borderId="1" xfId="0" applyNumberFormat="1" applyFont="1" applyFill="1" applyBorder="1"/>
    <xf numFmtId="4" fontId="0" fillId="5" borderId="1" xfId="0" applyNumberFormat="1" applyFill="1" applyBorder="1" applyAlignment="1">
      <alignment horizontal="center" wrapText="1"/>
    </xf>
    <xf numFmtId="167" fontId="3" fillId="0" borderId="1" xfId="0" applyNumberFormat="1" applyFont="1" applyBorder="1" applyAlignment="1">
      <alignment horizontal="left" vertical="center" wrapText="1"/>
    </xf>
    <xf numFmtId="166" fontId="17" fillId="0" borderId="0" xfId="6" applyNumberFormat="1" applyFont="1"/>
    <xf numFmtId="0" fontId="2" fillId="0" borderId="0" xfId="0" applyFont="1"/>
    <xf numFmtId="0" fontId="11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9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9" fillId="0" borderId="0" xfId="0" applyFont="1" applyAlignment="1">
      <alignment horizontal="left" wrapText="1"/>
    </xf>
    <xf numFmtId="167" fontId="10" fillId="0" borderId="40" xfId="0" applyNumberFormat="1" applyFont="1" applyBorder="1" applyAlignment="1">
      <alignment horizontal="left" vertical="center" wrapText="1"/>
    </xf>
    <xf numFmtId="167" fontId="0" fillId="0" borderId="0" xfId="0" applyNumberFormat="1" applyAlignment="1">
      <alignment horizontal="left" vertical="center" wrapText="1"/>
    </xf>
    <xf numFmtId="0" fontId="8" fillId="0" borderId="0" xfId="0" applyFont="1" applyAlignment="1">
      <alignment horizontal="left" vertical="top" wrapText="1"/>
    </xf>
    <xf numFmtId="0" fontId="0" fillId="32" borderId="5" xfId="0" applyFill="1" applyBorder="1" applyAlignment="1">
      <alignment horizontal="center" vertical="center"/>
    </xf>
    <xf numFmtId="0" fontId="0" fillId="32" borderId="10" xfId="0" applyFill="1" applyBorder="1" applyAlignment="1">
      <alignment horizontal="center" vertical="center"/>
    </xf>
    <xf numFmtId="0" fontId="0" fillId="32" borderId="11" xfId="0" applyFill="1" applyBorder="1" applyAlignment="1">
      <alignment horizontal="center" vertical="center"/>
    </xf>
    <xf numFmtId="167" fontId="0" fillId="32" borderId="5" xfId="0" applyNumberFormat="1" applyFill="1" applyBorder="1" applyAlignment="1">
      <alignment horizontal="center" vertical="center" wrapText="1"/>
    </xf>
    <xf numFmtId="167" fontId="0" fillId="32" borderId="10" xfId="0" applyNumberFormat="1" applyFill="1" applyBorder="1" applyAlignment="1">
      <alignment horizontal="center" vertical="center" wrapText="1"/>
    </xf>
    <xf numFmtId="167" fontId="0" fillId="32" borderId="11" xfId="0" applyNumberFormat="1" applyFill="1" applyBorder="1" applyAlignment="1">
      <alignment horizontal="center" vertical="center" wrapText="1"/>
    </xf>
    <xf numFmtId="0" fontId="0" fillId="32" borderId="1" xfId="0" applyFill="1" applyBorder="1" applyAlignment="1">
      <alignment horizontal="center" vertical="center" wrapText="1"/>
    </xf>
    <xf numFmtId="0" fontId="0" fillId="32" borderId="6" xfId="0" applyFill="1" applyBorder="1" applyAlignment="1">
      <alignment horizontal="center" vertical="center" wrapText="1"/>
    </xf>
    <xf numFmtId="0" fontId="0" fillId="32" borderId="8" xfId="0" applyFill="1" applyBorder="1" applyAlignment="1">
      <alignment horizontal="center" vertical="center" wrapText="1"/>
    </xf>
    <xf numFmtId="0" fontId="10" fillId="32" borderId="7" xfId="0" applyFont="1" applyFill="1" applyBorder="1" applyAlignment="1">
      <alignment horizontal="center" vertical="top" wrapText="1"/>
    </xf>
    <xf numFmtId="0" fontId="0" fillId="32" borderId="9" xfId="0" applyFill="1" applyBorder="1" applyAlignment="1">
      <alignment horizontal="center" vertical="top" wrapText="1"/>
    </xf>
    <xf numFmtId="167" fontId="0" fillId="32" borderId="0" xfId="0" applyNumberForma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5" fillId="0" borderId="9" xfId="0" applyFont="1" applyBorder="1" applyAlignment="1">
      <alignment horizontal="left"/>
    </xf>
    <xf numFmtId="2" fontId="23" fillId="0" borderId="0" xfId="0" applyNumberFormat="1" applyFont="1" applyAlignment="1">
      <alignment horizontal="center" vertical="top" wrapText="1"/>
    </xf>
    <xf numFmtId="0" fontId="23" fillId="0" borderId="0" xfId="0" applyFont="1" applyAlignment="1">
      <alignment horizontal="center" vertical="top" wrapText="1"/>
    </xf>
    <xf numFmtId="4" fontId="32" fillId="12" borderId="2" xfId="0" applyNumberFormat="1" applyFont="1" applyFill="1" applyBorder="1" applyAlignment="1">
      <alignment horizontal="center" vertical="center" wrapText="1"/>
    </xf>
    <xf numFmtId="4" fontId="32" fillId="12" borderId="27" xfId="0" applyNumberFormat="1" applyFont="1" applyFill="1" applyBorder="1" applyAlignment="1">
      <alignment horizontal="center" vertical="center" wrapText="1"/>
    </xf>
    <xf numFmtId="4" fontId="32" fillId="12" borderId="4" xfId="0" applyNumberFormat="1" applyFont="1" applyFill="1" applyBorder="1" applyAlignment="1">
      <alignment horizontal="center" vertical="center" wrapText="1"/>
    </xf>
    <xf numFmtId="4" fontId="32" fillId="22" borderId="2" xfId="0" applyNumberFormat="1" applyFont="1" applyFill="1" applyBorder="1" applyAlignment="1">
      <alignment horizontal="center" vertical="center" wrapText="1"/>
    </xf>
    <xf numFmtId="4" fontId="32" fillId="22" borderId="27" xfId="0" applyNumberFormat="1" applyFont="1" applyFill="1" applyBorder="1" applyAlignment="1">
      <alignment horizontal="center" vertical="center" wrapText="1"/>
    </xf>
    <xf numFmtId="4" fontId="32" fillId="22" borderId="4" xfId="0" applyNumberFormat="1" applyFont="1" applyFill="1" applyBorder="1" applyAlignment="1">
      <alignment horizontal="center" vertical="center" wrapText="1"/>
    </xf>
    <xf numFmtId="4" fontId="32" fillId="21" borderId="2" xfId="0" applyNumberFormat="1" applyFont="1" applyFill="1" applyBorder="1" applyAlignment="1">
      <alignment horizontal="center" vertical="center" wrapText="1"/>
    </xf>
    <xf numFmtId="4" fontId="32" fillId="21" borderId="4" xfId="0" applyNumberFormat="1" applyFont="1" applyFill="1" applyBorder="1" applyAlignment="1">
      <alignment horizontal="center" vertical="center" wrapText="1"/>
    </xf>
    <xf numFmtId="4" fontId="32" fillId="33" borderId="5" xfId="0" applyNumberFormat="1" applyFont="1" applyFill="1" applyBorder="1" applyAlignment="1">
      <alignment horizontal="center" vertical="center" wrapText="1"/>
    </xf>
    <xf numFmtId="4" fontId="32" fillId="33" borderId="11" xfId="0" applyNumberFormat="1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47" fillId="0" borderId="1" xfId="0" applyFont="1" applyBorder="1" applyAlignment="1">
      <alignment horizontal="center"/>
    </xf>
    <xf numFmtId="0" fontId="39" fillId="0" borderId="0" xfId="0" applyFont="1" applyAlignment="1">
      <alignment horizontal="left" vertical="center" wrapText="1"/>
    </xf>
    <xf numFmtId="0" fontId="38" fillId="25" borderId="33" xfId="0" applyFont="1" applyFill="1" applyBorder="1" applyAlignment="1">
      <alignment vertical="center" wrapText="1"/>
    </xf>
    <xf numFmtId="0" fontId="38" fillId="25" borderId="37" xfId="0" applyFont="1" applyFill="1" applyBorder="1" applyAlignment="1">
      <alignment vertical="center" wrapText="1"/>
    </xf>
    <xf numFmtId="0" fontId="38" fillId="25" borderId="34" xfId="0" applyFont="1" applyFill="1" applyBorder="1" applyAlignment="1">
      <alignment vertical="center" wrapText="1"/>
    </xf>
    <xf numFmtId="0" fontId="38" fillId="25" borderId="35" xfId="0" applyFont="1" applyFill="1" applyBorder="1" applyAlignment="1">
      <alignment vertical="center" wrapText="1"/>
    </xf>
    <xf numFmtId="0" fontId="38" fillId="25" borderId="36" xfId="0" applyFont="1" applyFill="1" applyBorder="1" applyAlignment="1">
      <alignment vertical="center" wrapText="1"/>
    </xf>
    <xf numFmtId="0" fontId="38" fillId="25" borderId="38" xfId="0" applyFont="1" applyFill="1" applyBorder="1" applyAlignment="1">
      <alignment vertical="center" wrapText="1"/>
    </xf>
    <xf numFmtId="0" fontId="38" fillId="25" borderId="28" xfId="0" applyFont="1" applyFill="1" applyBorder="1" applyAlignment="1">
      <alignment vertical="center" wrapText="1"/>
    </xf>
    <xf numFmtId="0" fontId="38" fillId="25" borderId="39" xfId="0" applyFont="1" applyFill="1" applyBorder="1" applyAlignment="1">
      <alignment vertical="center" wrapText="1"/>
    </xf>
    <xf numFmtId="0" fontId="38" fillId="25" borderId="30" xfId="0" applyFont="1" applyFill="1" applyBorder="1" applyAlignment="1">
      <alignment vertical="center" wrapText="1"/>
    </xf>
    <xf numFmtId="0" fontId="38" fillId="25" borderId="31" xfId="0" applyFont="1" applyFill="1" applyBorder="1" applyAlignment="1">
      <alignment vertical="center" wrapText="1"/>
    </xf>
    <xf numFmtId="0" fontId="38" fillId="25" borderId="32" xfId="0" applyFont="1" applyFill="1" applyBorder="1" applyAlignment="1">
      <alignment vertical="center" wrapText="1"/>
    </xf>
    <xf numFmtId="0" fontId="55" fillId="0" borderId="35" xfId="0" applyFont="1" applyBorder="1" applyAlignment="1">
      <alignment horizontal="left" vertical="center" wrapText="1"/>
    </xf>
    <xf numFmtId="0" fontId="37" fillId="0" borderId="28" xfId="0" applyFont="1" applyBorder="1" applyAlignment="1">
      <alignment horizontal="center" vertical="center" wrapText="1"/>
    </xf>
  </cellXfs>
  <cellStyles count="7">
    <cellStyle name="20% — акцент1" xfId="1" builtinId="30"/>
    <cellStyle name="Акцент2" xfId="2" builtinId="33"/>
    <cellStyle name="Гиперссылка" xfId="3" builtinId="8"/>
    <cellStyle name="Обычный" xfId="0" builtinId="0"/>
    <cellStyle name="Обычный 2" xfId="4" xr:uid="{00000000-0005-0000-0000-000004000000}"/>
    <cellStyle name="Плохой" xfId="5" builtinId="27"/>
    <cellStyle name="Процентный" xfId="6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'объем работ 100% загр'!$C$29:$H$29</c:f>
              <c:strCache>
                <c:ptCount val="6"/>
                <c:pt idx="0">
                  <c:v>Планируемый объем реализации в год, тыс тонн</c:v>
                </c:pt>
              </c:strCache>
            </c:strRef>
          </c:tx>
          <c:spPr bwMode="auto">
            <a:prstGeom prst="rect">
              <a:avLst/>
            </a:prstGeom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 bwMode="auto">
              <a:solidFill>
                <a:schemeClr val="dk1">
                  <a:lumMod val="65000"/>
                  <a:lumOff val="35000"/>
                  <a:alpha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'объем работ 100% загр'!$C$30:$M$30</c:f>
              <c:strCache>
                <c:ptCount val="11"/>
                <c:pt idx="0">
                  <c:v>1 год</c:v>
                </c:pt>
                <c:pt idx="1">
                  <c:v>2 год</c:v>
                </c:pt>
                <c:pt idx="2">
                  <c:v>3 год</c:v>
                </c:pt>
                <c:pt idx="3">
                  <c:v>4 год</c:v>
                </c:pt>
                <c:pt idx="4">
                  <c:v>5 год</c:v>
                </c:pt>
                <c:pt idx="5">
                  <c:v>6 год </c:v>
                </c:pt>
                <c:pt idx="6">
                  <c:v>7 год</c:v>
                </c:pt>
                <c:pt idx="7">
                  <c:v>8 год</c:v>
                </c:pt>
                <c:pt idx="8">
                  <c:v>9 год</c:v>
                </c:pt>
                <c:pt idx="9">
                  <c:v>10 год</c:v>
                </c:pt>
                <c:pt idx="10">
                  <c:v>11 год</c:v>
                </c:pt>
              </c:strCache>
            </c:strRef>
          </c:cat>
          <c:val>
            <c:numRef>
              <c:f>'объем работ 100% загр'!$C$31:$M$31</c:f>
              <c:numCache>
                <c:formatCode>#\ ##0.0</c:formatCode>
                <c:ptCount val="11"/>
                <c:pt idx="0">
                  <c:v>0</c:v>
                </c:pt>
                <c:pt idx="1">
                  <c:v>6.3</c:v>
                </c:pt>
                <c:pt idx="2">
                  <c:v>9</c:v>
                </c:pt>
                <c:pt idx="3">
                  <c:v>9.6000000000000014</c:v>
                </c:pt>
                <c:pt idx="4">
                  <c:v>11.475</c:v>
                </c:pt>
                <c:pt idx="5">
                  <c:v>12.150000000000004</c:v>
                </c:pt>
                <c:pt idx="6">
                  <c:v>12.825000000000003</c:v>
                </c:pt>
                <c:pt idx="7">
                  <c:v>13.500000000000004</c:v>
                </c:pt>
                <c:pt idx="8">
                  <c:v>13.500000000000004</c:v>
                </c:pt>
                <c:pt idx="9">
                  <c:v>13.5</c:v>
                </c:pt>
                <c:pt idx="10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0C-4D06-90A3-F31F6C5D948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001684416"/>
        <c:axId val="2015665872"/>
      </c:barChart>
      <c:catAx>
        <c:axId val="200168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 bwMode="auto">
          <a:prstGeom prst="rect">
            <a:avLst/>
          </a:prstGeom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15665872"/>
        <c:crosses val="autoZero"/>
        <c:auto val="1"/>
        <c:lblAlgn val="ctr"/>
        <c:lblOffset val="100"/>
        <c:noMultiLvlLbl val="0"/>
      </c:catAx>
      <c:valAx>
        <c:axId val="2015665872"/>
        <c:scaling>
          <c:orientation val="minMax"/>
        </c:scaling>
        <c:delete val="1"/>
        <c:axPos val="l"/>
        <c:majorGridlines>
          <c:spPr bwMode="auto">
            <a:prstGeom prst="rect">
              <a:avLst/>
            </a:prstGeom>
            <a:ln w="9525" cap="flat" cmpd="sng" algn="ctr">
              <a:gradFill>
                <a:gsLst>
                  <a:gs pos="0">
                    <a:schemeClr val="lt1">
                      <a:lumMod val="75000"/>
                      <a:alpha val="36000"/>
                    </a:schemeClr>
                  </a:gs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2001684416"/>
        <c:crosses val="autoZero"/>
        <c:crossBetween val="between"/>
      </c:valAx>
      <c:spPr>
        <a:prstGeom prst="rect">
          <a:avLst/>
        </a:prstGeom>
        <a:noFill/>
        <a:ln>
          <a:noFill/>
        </a:ln>
        <a:effectLst/>
      </c:spPr>
    </c:plotArea>
    <c:legend>
      <c:legendPos val="t"/>
      <c:overlay val="0"/>
      <c:spPr bwMode="auto">
        <a:prstGeom prst="rect">
          <a:avLst/>
        </a:prstGeom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 bwMode="auto">
    <a:xfrm>
      <a:off x="0" y="0"/>
      <a:ext cx="0" cy="0"/>
    </a:xfrm>
    <a:prstGeom prst="rect">
      <a:avLst/>
    </a:prstGeom>
    <a:gradFill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'объем работ 100% загр'!$C$33:$M$33</c:f>
              <c:strCache>
                <c:ptCount val="11"/>
                <c:pt idx="0">
                  <c:v>Планиуремый объем загрузки в год, %</c:v>
                </c:pt>
              </c:strCache>
            </c:strRef>
          </c:tx>
          <c:spPr bwMode="auto">
            <a:prstGeom prst="rect">
              <a:avLst/>
            </a:prstGeom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 bwMode="auto">
              <a:solidFill>
                <a:schemeClr val="dk1">
                  <a:lumMod val="65000"/>
                  <a:lumOff val="35000"/>
                  <a:alpha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'объем работ 100% загр'!$C$34:$M$34</c:f>
              <c:strCache>
                <c:ptCount val="11"/>
                <c:pt idx="0">
                  <c:v>1 год</c:v>
                </c:pt>
                <c:pt idx="1">
                  <c:v>2 год</c:v>
                </c:pt>
                <c:pt idx="2">
                  <c:v>3 год</c:v>
                </c:pt>
                <c:pt idx="3">
                  <c:v>4 год</c:v>
                </c:pt>
                <c:pt idx="4">
                  <c:v>5 год</c:v>
                </c:pt>
                <c:pt idx="5">
                  <c:v>6 год </c:v>
                </c:pt>
                <c:pt idx="6">
                  <c:v>7 год</c:v>
                </c:pt>
                <c:pt idx="7">
                  <c:v>8 год</c:v>
                </c:pt>
                <c:pt idx="8">
                  <c:v>9 год</c:v>
                </c:pt>
                <c:pt idx="9">
                  <c:v>10 год</c:v>
                </c:pt>
                <c:pt idx="10">
                  <c:v>11 год</c:v>
                </c:pt>
              </c:strCache>
            </c:strRef>
          </c:cat>
          <c:val>
            <c:numRef>
              <c:f>'объем работ 100% загр'!$C$35:$M$35</c:f>
              <c:numCache>
                <c:formatCode>0%</c:formatCode>
                <c:ptCount val="11"/>
                <c:pt idx="0">
                  <c:v>0</c:v>
                </c:pt>
                <c:pt idx="1">
                  <c:v>0.6</c:v>
                </c:pt>
                <c:pt idx="2">
                  <c:v>0.8</c:v>
                </c:pt>
                <c:pt idx="3">
                  <c:v>0.8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5-4AD2-9706-772339C6061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29864416"/>
        <c:axId val="1934812544"/>
      </c:barChart>
      <c:catAx>
        <c:axId val="19298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 bwMode="auto">
          <a:prstGeom prst="rect">
            <a:avLst/>
          </a:prstGeom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34812544"/>
        <c:crosses val="autoZero"/>
        <c:auto val="1"/>
        <c:lblAlgn val="ctr"/>
        <c:lblOffset val="100"/>
        <c:noMultiLvlLbl val="0"/>
      </c:catAx>
      <c:valAx>
        <c:axId val="1934812544"/>
        <c:scaling>
          <c:orientation val="minMax"/>
        </c:scaling>
        <c:delete val="1"/>
        <c:axPos val="l"/>
        <c:majorGridlines>
          <c:spPr bwMode="auto">
            <a:prstGeom prst="rect">
              <a:avLst/>
            </a:prstGeom>
            <a:ln w="9525" cap="flat" cmpd="sng" algn="ctr">
              <a:gradFill>
                <a:gsLst>
                  <a:gs pos="0">
                    <a:schemeClr val="lt1">
                      <a:lumMod val="75000"/>
                      <a:alpha val="36000"/>
                    </a:schemeClr>
                  </a:gs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929864416"/>
        <c:crosses val="autoZero"/>
        <c:crossBetween val="between"/>
      </c:valAx>
      <c:spPr>
        <a:prstGeom prst="rect">
          <a:avLst/>
        </a:prstGeom>
        <a:noFill/>
        <a:ln>
          <a:noFill/>
        </a:ln>
        <a:effectLst/>
      </c:spPr>
    </c:plotArea>
    <c:legend>
      <c:legendPos val="t"/>
      <c:overlay val="0"/>
      <c:spPr bwMode="auto">
        <a:prstGeom prst="rect">
          <a:avLst/>
        </a:prstGeom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 bwMode="auto">
    <a:xfrm>
      <a:off x="0" y="0"/>
      <a:ext cx="0" cy="0"/>
    </a:xfrm>
    <a:prstGeom prst="rect">
      <a:avLst/>
    </a:prstGeom>
    <a:gradFill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spc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Структура источников финансирования, %</a:t>
            </a:r>
          </a:p>
        </c:rich>
      </c:tx>
      <c:overlay val="0"/>
      <c:spPr>
        <a:prstGeom prst="rect">
          <a:avLst/>
        </a:prstGeom>
        <a:noFill/>
        <a:ln>
          <a:noFill/>
        </a:ln>
        <a:effectLst/>
      </c:sp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prstGeom prst="rect">
                <a:avLst/>
              </a:prstGeom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03C-4893-A634-E14F72EBD98D}"/>
              </c:ext>
            </c:extLst>
          </c:dPt>
          <c:dPt>
            <c:idx val="1"/>
            <c:bubble3D val="0"/>
            <c:spPr>
              <a:prstGeom prst="rect">
                <a:avLst/>
              </a:prstGeom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03C-4893-A634-E14F72EBD98D}"/>
              </c:ext>
            </c:extLst>
          </c:dPt>
          <c:dLbls>
            <c:dLbl>
              <c:idx val="0"/>
              <c:layout>
                <c:manualLayout>
                  <c:x val="4.8611104856787393E-2"/>
                  <c:y val="-0.1075268817204300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3C-4893-A634-E14F72EBD98D}"/>
                </c:ext>
              </c:extLst>
            </c:dLbl>
            <c:dLbl>
              <c:idx val="1"/>
              <c:layout>
                <c:manualLayout>
                  <c:x val="-0.13775038049634794"/>
                  <c:y val="0.1196391349084843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3C-4893-A634-E14F72EBD9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prstGeom prst="rect">
                  <a:avLst/>
                </a:prstGeom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'Расходы на П, строит-во, ввод'!$V$16:$V$18</c:f>
              <c:strCache>
                <c:ptCount val="3"/>
                <c:pt idx="0">
                  <c:v>Собственные средства</c:v>
                </c:pt>
                <c:pt idx="1">
                  <c:v>Заемные средства</c:v>
                </c:pt>
                <c:pt idx="2">
                  <c:v>Господдержка</c:v>
                </c:pt>
              </c:strCache>
            </c:strRef>
          </c:cat>
          <c:val>
            <c:numRef>
              <c:f>'Расходы на П, строит-во, ввод'!$AB$16:$AB$17</c:f>
              <c:numCache>
                <c:formatCode>0.0%</c:formatCode>
                <c:ptCount val="2"/>
                <c:pt idx="0">
                  <c:v>0.2872106122626597</c:v>
                </c:pt>
                <c:pt idx="1">
                  <c:v>0.71278938773734024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3C-4893-A634-E14F72EBD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prstGeom prst="rect">
          <a:avLst/>
        </a:prstGeom>
        <a:noFill/>
        <a:ln>
          <a:noFill/>
        </a:ln>
        <a:effectLst/>
      </c:spPr>
    </c:plotArea>
    <c:legend>
      <c:legendPos val="b"/>
      <c:overlay val="0"/>
      <c:spPr>
        <a:prstGeom prst="rect">
          <a:avLst/>
        </a:prstGeom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xfrm>
      <a:off x="0" y="0"/>
      <a:ext cx="0" cy="0"/>
    </a:xfrm>
    <a:prstGeom prst="rect">
      <a:avLst/>
    </a:prstGeom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prstGeom prst="rect">
          <a:avLst/>
        </a:prstGeom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4111723595490806"/>
          <c:y val="0.14273371937868215"/>
          <c:w val="0.17486504715934431"/>
          <c:h val="0.27649429877325399"/>
        </c:manualLayout>
      </c:layout>
      <c:doughnutChart>
        <c:varyColors val="1"/>
        <c:ser>
          <c:idx val="0"/>
          <c:order val="0"/>
          <c:tx>
            <c:strRef>
              <c:f>'Расходы на П, строит-во, ввод'!$AB$1</c:f>
              <c:strCache>
                <c:ptCount val="1"/>
                <c:pt idx="0">
                  <c:v>Структура вложений, %</c:v>
                </c:pt>
              </c:strCache>
            </c:strRef>
          </c:tx>
          <c:dPt>
            <c:idx val="0"/>
            <c:bubble3D val="0"/>
            <c:spPr>
              <a:prstGeom prst="rect">
                <a:avLst/>
              </a:prstGeom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8B2-4B4F-81FF-C442E077CB95}"/>
              </c:ext>
            </c:extLst>
          </c:dPt>
          <c:dPt>
            <c:idx val="1"/>
            <c:bubble3D val="0"/>
            <c:spPr>
              <a:prstGeom prst="rect">
                <a:avLst/>
              </a:prstGeom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8B2-4B4F-81FF-C442E077CB95}"/>
              </c:ext>
            </c:extLst>
          </c:dPt>
          <c:dPt>
            <c:idx val="2"/>
            <c:bubble3D val="0"/>
            <c:spPr>
              <a:prstGeom prst="rect">
                <a:avLst/>
              </a:prstGeom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8B2-4B4F-81FF-C442E077CB95}"/>
              </c:ext>
            </c:extLst>
          </c:dPt>
          <c:dPt>
            <c:idx val="3"/>
            <c:bubble3D val="0"/>
            <c:spPr>
              <a:prstGeom prst="rect">
                <a:avLst/>
              </a:prstGeom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8B2-4B4F-81FF-C442E077CB95}"/>
              </c:ext>
            </c:extLst>
          </c:dPt>
          <c:dPt>
            <c:idx val="4"/>
            <c:bubble3D val="0"/>
            <c:spPr>
              <a:prstGeom prst="rect">
                <a:avLst/>
              </a:prstGeom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8B2-4B4F-81FF-C442E077CB95}"/>
              </c:ext>
            </c:extLst>
          </c:dPt>
          <c:dLbls>
            <c:dLbl>
              <c:idx val="0"/>
              <c:layout>
                <c:manualLayout>
                  <c:x val="-9.8480311275839921E-2"/>
                  <c:y val="-4.59499109112756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B2-4B4F-81FF-C442E077CB95}"/>
                </c:ext>
              </c:extLst>
            </c:dLbl>
            <c:dLbl>
              <c:idx val="1"/>
              <c:layout>
                <c:manualLayout>
                  <c:x val="0.11489787085392138"/>
                  <c:y val="-2.993964755673871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B2-4B4F-81FF-C442E077CB95}"/>
                </c:ext>
              </c:extLst>
            </c:dLbl>
            <c:dLbl>
              <c:idx val="2"/>
              <c:layout>
                <c:manualLayout>
                  <c:x val="0.10648982004090878"/>
                  <c:y val="0.1097974668857090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B2-4B4F-81FF-C442E077CB95}"/>
                </c:ext>
              </c:extLst>
            </c:dLbl>
            <c:dLbl>
              <c:idx val="3"/>
              <c:layout>
                <c:manualLayout>
                  <c:x val="-0.12835075215474154"/>
                  <c:y val="4.411880673565643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B2-4B4F-81FF-C442E077CB95}"/>
                </c:ext>
              </c:extLst>
            </c:dLbl>
            <c:dLbl>
              <c:idx val="4"/>
              <c:layout>
                <c:manualLayout>
                  <c:x val="-0.12556051841224719"/>
                  <c:y val="1.76475226942625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B2-4B4F-81FF-C442E077C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prstGeom prst="rect">
                  <a:avLst/>
                </a:prstGeom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('Расходы на П, строит-во, ввод'!$V$2:$V$5,'Расходы на П, строит-во, ввод'!$V$7:$V$11,'Расходы на П, строит-во, ввод'!$V$13)</c:f>
              <c:strCache>
                <c:ptCount val="5"/>
                <c:pt idx="0">
                  <c:v>Подготовка площадки, тыс. руб.</c:v>
                </c:pt>
                <c:pt idx="1">
                  <c:v>Возведение модульных производственно-бытовых помещений (450 кв м), подключение к теплу, воде, тыс. руб.</c:v>
                </c:pt>
                <c:pt idx="2">
                  <c:v>Приобретение производственной линии*, спецтехники, тыс. руб.</c:v>
                </c:pt>
                <c:pt idx="3">
                  <c:v>Оборудование по генерации э/э, прочие, тыс. руб.</c:v>
                </c:pt>
                <c:pt idx="4">
                  <c:v>Операционные р-ды</c:v>
                </c:pt>
              </c:strCache>
            </c:strRef>
          </c:cat>
          <c:val>
            <c:numRef>
              <c:f>('Расходы на П, строит-во, ввод'!$AB$2:$AB$5,'Расходы на П, строит-во, ввод'!$AB$7:$AB$11,'Расходы на П, строит-во, ввод'!$AB$13)</c:f>
              <c:numCache>
                <c:formatCode>0.0%</c:formatCode>
                <c:ptCount val="5"/>
                <c:pt idx="0">
                  <c:v>2.8226459754398674E-2</c:v>
                </c:pt>
                <c:pt idx="1">
                  <c:v>0.20092349609931978</c:v>
                </c:pt>
                <c:pt idx="2">
                  <c:v>0.14540903509841743</c:v>
                </c:pt>
                <c:pt idx="3">
                  <c:v>0.5438583028435906</c:v>
                </c:pt>
                <c:pt idx="4">
                  <c:v>8.1582706204273464E-2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B2-4B4F-81FF-C442E077C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prstGeom prst="rect">
          <a:avLst/>
        </a:prstGeom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8457154532811612E-2"/>
          <c:y val="0.43362012873659372"/>
          <c:w val="0.89424640620090989"/>
          <c:h val="0.53549670654844683"/>
        </c:manualLayout>
      </c:layout>
      <c:overlay val="0"/>
      <c:spPr>
        <a:prstGeom prst="rect">
          <a:avLst/>
        </a:prstGeom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xfrm>
      <a:off x="0" y="0"/>
      <a:ext cx="0" cy="0"/>
    </a:xfrm>
    <a:prstGeom prst="rect">
      <a:avLst/>
    </a:prstGeom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Структура персонала</a:t>
            </a:r>
          </a:p>
        </c:rich>
      </c:tx>
      <c:overlay val="0"/>
      <c:spPr>
        <a:prstGeom prst="rect">
          <a:avLst/>
        </a:prstGeom>
        <a:noFill/>
        <a:ln>
          <a:noFill/>
        </a:ln>
        <a:effectLst/>
      </c:sp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prstGeom prst="rect">
                <a:avLst/>
              </a:prstGeom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D41-4BA0-99A8-118424AD9B7B}"/>
              </c:ext>
            </c:extLst>
          </c:dPt>
          <c:dPt>
            <c:idx val="1"/>
            <c:bubble3D val="0"/>
            <c:spPr>
              <a:prstGeom prst="rect">
                <a:avLst/>
              </a:prstGeom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D41-4BA0-99A8-118424AD9B7B}"/>
              </c:ext>
            </c:extLst>
          </c:dPt>
          <c:dLbls>
            <c:dLbl>
              <c:idx val="0"/>
              <c:layout>
                <c:manualLayout>
                  <c:x val="9.7222222222222224E-2"/>
                  <c:y val="-6.0185185185185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41-4BA0-99A8-118424AD9B7B}"/>
                </c:ext>
              </c:extLst>
            </c:dLbl>
            <c:dLbl>
              <c:idx val="1"/>
              <c:layout>
                <c:manualLayout>
                  <c:x val="-0.12777777777777782"/>
                  <c:y val="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41-4BA0-99A8-118424AD9B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prstGeom prst="rect">
                  <a:avLst/>
                </a:prstGeom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'Расходы на ЗП ОТ'!$N$80:$N$81</c:f>
              <c:strCache>
                <c:ptCount val="2"/>
                <c:pt idx="0">
                  <c:v>АУП</c:v>
                </c:pt>
                <c:pt idx="1">
                  <c:v>Производственные рабочие</c:v>
                </c:pt>
              </c:strCache>
            </c:strRef>
          </c:cat>
          <c:val>
            <c:numRef>
              <c:f>'Расходы на ЗП ОТ'!$O$80:$O$81</c:f>
              <c:numCache>
                <c:formatCode>0.0%</c:formatCode>
                <c:ptCount val="2"/>
                <c:pt idx="0">
                  <c:v>0.26253132832080206</c:v>
                </c:pt>
                <c:pt idx="1">
                  <c:v>0.73746867167919794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41-4BA0-99A8-118424AD9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prstGeom prst="rect">
          <a:avLst/>
        </a:prstGeom>
        <a:noFill/>
        <a:ln>
          <a:noFill/>
        </a:ln>
        <a:effectLst/>
      </c:spPr>
    </c:plotArea>
    <c:legend>
      <c:legendPos val="b"/>
      <c:overlay val="0"/>
      <c:spPr>
        <a:prstGeom prst="rect">
          <a:avLst/>
        </a:prstGeom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xfrm>
      <a:off x="0" y="0"/>
      <a:ext cx="0" cy="0"/>
    </a:xfrm>
    <a:prstGeom prst="rect">
      <a:avLst/>
    </a:prstGeom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График вложений</a:t>
            </a:r>
            <a:r>
              <a:rPr lang="ru-RU" baseline="0"/>
              <a:t> </a:t>
            </a:r>
            <a:r>
              <a:rPr lang="en-US" baseline="0"/>
              <a:t>(CAPEX+OPEX)</a:t>
            </a:r>
            <a:r>
              <a:rPr lang="ru-RU"/>
              <a:t>, млн руб</a:t>
            </a:r>
          </a:p>
        </c:rich>
      </c:tx>
      <c:overlay val="0"/>
      <c:spPr>
        <a:prstGeom prst="rect">
          <a:avLst/>
        </a:prstGeom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rstGeom prst="rect">
              <a:avLst/>
            </a:prstGeom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BE-4BB3-A2B8-E4B897915E3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BE-4BB3-A2B8-E4B897915E3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BE-4BB3-A2B8-E4B897915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'Расходы на П, строит-во, ввод'!$W$1:$Z$1</c:f>
              <c:strCache>
                <c:ptCount val="4"/>
                <c:pt idx="0">
                  <c:v>1 год</c:v>
                </c:pt>
                <c:pt idx="1">
                  <c:v>2 год</c:v>
                </c:pt>
                <c:pt idx="2">
                  <c:v>3 год</c:v>
                </c:pt>
                <c:pt idx="3">
                  <c:v>4 год</c:v>
                </c:pt>
              </c:strCache>
            </c:strRef>
          </c:cat>
          <c:val>
            <c:numRef>
              <c:f>'Расходы на П, строит-во, ввод'!$W$20:$Z$20</c:f>
              <c:numCache>
                <c:formatCode>0.0</c:formatCode>
                <c:ptCount val="4"/>
                <c:pt idx="0">
                  <c:v>-70.146947836469167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BE-4BB3-A2B8-E4B897915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638607"/>
        <c:axId val="165639023"/>
      </c:barChart>
      <c:catAx>
        <c:axId val="165638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prstGeom prst="rect">
            <a:avLst/>
          </a:prstGeom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639023"/>
        <c:crosses val="autoZero"/>
        <c:auto val="1"/>
        <c:lblAlgn val="ctr"/>
        <c:lblOffset val="100"/>
        <c:noMultiLvlLbl val="0"/>
      </c:catAx>
      <c:valAx>
        <c:axId val="165639023"/>
        <c:scaling>
          <c:orientation val="minMax"/>
        </c:scaling>
        <c:delete val="0"/>
        <c:axPos val="l"/>
        <c:majorGridlines>
          <c:spPr>
            <a:prstGeom prst="rect">
              <a:avLst/>
            </a:prstGeom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prstGeom prst="rect">
            <a:avLst/>
          </a:prstGeom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638607"/>
        <c:crosses val="autoZero"/>
        <c:crossBetween val="between"/>
      </c:valAx>
      <c:spPr>
        <a:prstGeom prst="rect">
          <a:avLst/>
        </a:prstGeom>
        <a:noFill/>
        <a:ln>
          <a:noFill/>
        </a:ln>
        <a:effectLst/>
      </c:spPr>
    </c:plotArea>
    <c:plotVisOnly val="1"/>
    <c:dispBlanksAs val="gap"/>
    <c:showDLblsOverMax val="0"/>
  </c:chart>
  <c:spPr>
    <a:xfrm>
      <a:off x="0" y="0"/>
      <a:ext cx="0" cy="0"/>
    </a:xfrm>
    <a:prstGeom prst="rect">
      <a:avLst/>
    </a:prstGeom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Чистый денежный поток, млн руб.</a:t>
            </a:r>
          </a:p>
        </c:rich>
      </c:tx>
      <c:overlay val="0"/>
      <c:spPr>
        <a:prstGeom prst="rect">
          <a:avLst/>
        </a:prstGeom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rstGeom prst="rect">
              <a:avLst/>
            </a:prstGeom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prstGeom prst="rect">
                <a:avLst/>
              </a:prstGeom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20-41C5-A374-FAA0C79958BB}"/>
              </c:ext>
            </c:extLst>
          </c:dPt>
          <c:dPt>
            <c:idx val="3"/>
            <c:invertIfNegative val="0"/>
            <c:bubble3D val="0"/>
            <c:spPr>
              <a:prstGeom prst="rect">
                <a:avLst/>
              </a:prstGeom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20-41C5-A374-FAA0C79958BB}"/>
              </c:ext>
            </c:extLst>
          </c:dPt>
          <c:dLbls>
            <c:dLbl>
              <c:idx val="0"/>
              <c:layout>
                <c:manualLayout>
                  <c:x val="-2.3651140096690331E-3"/>
                  <c:y val="-0.163260790317876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20-41C5-A374-FAA0C79958BB}"/>
                </c:ext>
              </c:extLst>
            </c:dLbl>
            <c:dLbl>
              <c:idx val="3"/>
              <c:layout>
                <c:manualLayout>
                  <c:x val="-4.3359922613072868E-17"/>
                  <c:y val="-2.726232137649468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20-41C5-A374-FAA0C79958BB}"/>
                </c:ext>
              </c:extLst>
            </c:dLbl>
            <c:dLbl>
              <c:idx val="4"/>
              <c:layout>
                <c:manualLayout>
                  <c:x val="-2.3651140096690331E-3"/>
                  <c:y val="-4.31379410906969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20-41C5-A374-FAA0C79958BB}"/>
                </c:ext>
              </c:extLst>
            </c:dLbl>
            <c:dLbl>
              <c:idx val="5"/>
              <c:layout>
                <c:manualLayout>
                  <c:x val="2.3651140096690331E-3"/>
                  <c:y val="-5.912839020122484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20-41C5-A374-FAA0C79958BB}"/>
                </c:ext>
              </c:extLst>
            </c:dLbl>
            <c:dLbl>
              <c:idx val="6"/>
              <c:layout>
                <c:manualLayout>
                  <c:x val="4.7302280193379795E-3"/>
                  <c:y val="-0.1182863079615048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20-41C5-A374-FAA0C79958BB}"/>
                </c:ext>
              </c:extLst>
            </c:dLbl>
            <c:dLbl>
              <c:idx val="7"/>
              <c:layout>
                <c:manualLayout>
                  <c:x val="-8.6719845226145736E-17"/>
                  <c:y val="-0.1534849810440362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20-41C5-A374-FAA0C79958BB}"/>
                </c:ext>
              </c:extLst>
            </c:dLbl>
            <c:dLbl>
              <c:idx val="8"/>
              <c:layout>
                <c:manualLayout>
                  <c:x val="2.3651140096690331E-3"/>
                  <c:y val="-0.191276246719160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20-41C5-A374-FAA0C79958BB}"/>
                </c:ext>
              </c:extLst>
            </c:dLbl>
            <c:dLbl>
              <c:idx val="9"/>
              <c:layout>
                <c:manualLayout>
                  <c:x val="0"/>
                  <c:y val="-0.2306386701662292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20-41C5-A374-FAA0C79958BB}"/>
                </c:ext>
              </c:extLst>
            </c:dLbl>
            <c:dLbl>
              <c:idx val="10"/>
              <c:layout>
                <c:manualLayout>
                  <c:x val="0"/>
                  <c:y val="-0.2345552639253426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20-41C5-A374-FAA0C79958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'NPV, IRR, PI ТОР'!$B$3:$L$3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'NPV, IRR, PI ТОР'!$B$34:$L$34</c:f>
              <c:numCache>
                <c:formatCode>#\ ##0.0</c:formatCode>
                <c:ptCount val="11"/>
                <c:pt idx="0">
                  <c:v>-70.146947836469167</c:v>
                </c:pt>
                <c:pt idx="1">
                  <c:v>4.9816642237898758</c:v>
                </c:pt>
                <c:pt idx="2">
                  <c:v>6.2532262795231617</c:v>
                </c:pt>
                <c:pt idx="3">
                  <c:v>9.9562783694911889</c:v>
                </c:pt>
                <c:pt idx="4">
                  <c:v>19.805851268591876</c:v>
                </c:pt>
                <c:pt idx="5">
                  <c:v>27.12316657906851</c:v>
                </c:pt>
                <c:pt idx="6">
                  <c:v>38.908107528835259</c:v>
                </c:pt>
                <c:pt idx="7">
                  <c:v>43.741345299635526</c:v>
                </c:pt>
                <c:pt idx="8">
                  <c:v>45.42704347386789</c:v>
                </c:pt>
                <c:pt idx="9">
                  <c:v>47.07505321209306</c:v>
                </c:pt>
                <c:pt idx="10">
                  <c:v>47.717703599407997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20-41C5-A374-FAA0C7995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267662367"/>
        <c:axId val="267663615"/>
      </c:barChart>
      <c:catAx>
        <c:axId val="267662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prstGeom prst="rect">
            <a:avLst/>
          </a:prstGeom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67663615"/>
        <c:crosses val="autoZero"/>
        <c:auto val="1"/>
        <c:lblAlgn val="ctr"/>
        <c:lblOffset val="100"/>
        <c:noMultiLvlLbl val="0"/>
      </c:catAx>
      <c:valAx>
        <c:axId val="267663615"/>
        <c:scaling>
          <c:orientation val="minMax"/>
        </c:scaling>
        <c:delete val="0"/>
        <c:axPos val="l"/>
        <c:majorGridlines>
          <c:spPr>
            <a:prstGeom prst="rect">
              <a:avLst/>
            </a:prstGeom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prstGeom prst="rect">
            <a:avLst/>
          </a:prstGeom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67662367"/>
        <c:crosses val="autoZero"/>
        <c:crossBetween val="between"/>
      </c:valAx>
      <c:spPr>
        <a:prstGeom prst="rect">
          <a:avLst/>
        </a:prstGeom>
        <a:noFill/>
        <a:ln>
          <a:noFill/>
        </a:ln>
        <a:effectLst/>
      </c:spPr>
    </c:plotArea>
    <c:plotVisOnly val="1"/>
    <c:dispBlanksAs val="gap"/>
    <c:showDLblsOverMax val="0"/>
  </c:chart>
  <c:spPr>
    <a:xfrm>
      <a:off x="0" y="0"/>
      <a:ext cx="0" cy="0"/>
    </a:xfrm>
    <a:prstGeom prst="rect">
      <a:avLst/>
    </a:prstGeom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Налоги и взносы, млн руб.</a:t>
            </a:r>
          </a:p>
        </c:rich>
      </c:tx>
      <c:overlay val="0"/>
      <c:spPr>
        <a:prstGeom prst="rect">
          <a:avLst/>
        </a:prstGeom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'Налоги ТОР'!$A$26</c:f>
              <c:strCache>
                <c:ptCount val="1"/>
                <c:pt idx="0">
                  <c:v>ФБ</c:v>
                </c:pt>
              </c:strCache>
            </c:strRef>
          </c:tx>
          <c:spPr>
            <a:prstGeom prst="rect">
              <a:avLst/>
            </a:prstGeom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'Налоги ТОР'!$C$25:$L$25</c:f>
              <c:strCache>
                <c:ptCount val="10"/>
                <c:pt idx="0">
                  <c:v>2 год</c:v>
                </c:pt>
                <c:pt idx="1">
                  <c:v>3 год</c:v>
                </c:pt>
                <c:pt idx="2">
                  <c:v>4 год</c:v>
                </c:pt>
                <c:pt idx="3">
                  <c:v>5 год</c:v>
                </c:pt>
                <c:pt idx="4">
                  <c:v>6 год</c:v>
                </c:pt>
                <c:pt idx="5">
                  <c:v>7 год</c:v>
                </c:pt>
                <c:pt idx="6">
                  <c:v>8 год</c:v>
                </c:pt>
                <c:pt idx="7">
                  <c:v>9 год</c:v>
                </c:pt>
                <c:pt idx="8">
                  <c:v>10 год</c:v>
                </c:pt>
                <c:pt idx="9">
                  <c:v>11 год</c:v>
                </c:pt>
              </c:strCache>
            </c:strRef>
          </c:cat>
          <c:val>
            <c:numRef>
              <c:f>'Налоги ТОР'!$C$26:$L$26</c:f>
              <c:numCache>
                <c:formatCode>0.0</c:formatCode>
                <c:ptCount val="10"/>
                <c:pt idx="0" formatCode="General">
                  <c:v>0</c:v>
                </c:pt>
                <c:pt idx="1">
                  <c:v>11.257162875599995</c:v>
                </c:pt>
                <c:pt idx="2">
                  <c:v>12.537389768892</c:v>
                </c:pt>
                <c:pt idx="3">
                  <c:v>15.633365585423173</c:v>
                </c:pt>
                <c:pt idx="4">
                  <c:v>17.634127174123623</c:v>
                </c:pt>
                <c:pt idx="5">
                  <c:v>19.825278358910243</c:v>
                </c:pt>
                <c:pt idx="6">
                  <c:v>21.722369796704978</c:v>
                </c:pt>
                <c:pt idx="7">
                  <c:v>22.560163639299883</c:v>
                </c:pt>
                <c:pt idx="8">
                  <c:v>23.408916204041251</c:v>
                </c:pt>
                <c:pt idx="9">
                  <c:v>24.074904358325227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A-4097-B13B-2831A4058985}"/>
            </c:ext>
          </c:extLst>
        </c:ser>
        <c:ser>
          <c:idx val="1"/>
          <c:order val="1"/>
          <c:tx>
            <c:strRef>
              <c:f>'Налоги ТОР'!$A$27</c:f>
              <c:strCache>
                <c:ptCount val="1"/>
                <c:pt idx="0">
                  <c:v>РБ</c:v>
                </c:pt>
              </c:strCache>
            </c:strRef>
          </c:tx>
          <c:spPr>
            <a:prstGeom prst="rect">
              <a:avLst/>
            </a:prstGeom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'Налоги ТОР'!$C$25:$L$25</c:f>
              <c:strCache>
                <c:ptCount val="10"/>
                <c:pt idx="0">
                  <c:v>2 год</c:v>
                </c:pt>
                <c:pt idx="1">
                  <c:v>3 год</c:v>
                </c:pt>
                <c:pt idx="2">
                  <c:v>4 год</c:v>
                </c:pt>
                <c:pt idx="3">
                  <c:v>5 год</c:v>
                </c:pt>
                <c:pt idx="4">
                  <c:v>6 год</c:v>
                </c:pt>
                <c:pt idx="5">
                  <c:v>7 год</c:v>
                </c:pt>
                <c:pt idx="6">
                  <c:v>8 год</c:v>
                </c:pt>
                <c:pt idx="7">
                  <c:v>9 год</c:v>
                </c:pt>
                <c:pt idx="8">
                  <c:v>10 год</c:v>
                </c:pt>
                <c:pt idx="9">
                  <c:v>11 год</c:v>
                </c:pt>
              </c:strCache>
            </c:strRef>
          </c:cat>
          <c:val>
            <c:numRef>
              <c:f>'Налоги ТОР'!$C$27:$L$27</c:f>
              <c:numCache>
                <c:formatCode>0.0</c:formatCode>
                <c:ptCount val="10"/>
                <c:pt idx="0" formatCode="General">
                  <c:v>0</c:v>
                </c:pt>
                <c:pt idx="1">
                  <c:v>1.11803016</c:v>
                </c:pt>
                <c:pt idx="2">
                  <c:v>1.1962922712000001</c:v>
                </c:pt>
                <c:pt idx="3">
                  <c:v>1.2800327301840002</c:v>
                </c:pt>
                <c:pt idx="4">
                  <c:v>3.3520176337375238</c:v>
                </c:pt>
                <c:pt idx="5">
                  <c:v>5.999497828337125</c:v>
                </c:pt>
                <c:pt idx="6">
                  <c:v>6.6377680950403661</c:v>
                </c:pt>
                <c:pt idx="7">
                  <c:v>6.9338464779724971</c:v>
                </c:pt>
                <c:pt idx="8">
                  <c:v>7.233282008141301</c:v>
                </c:pt>
                <c:pt idx="9">
                  <c:v>10.184407818048392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2A-4097-B13B-2831A4058985}"/>
            </c:ext>
          </c:extLst>
        </c:ser>
        <c:ser>
          <c:idx val="2"/>
          <c:order val="2"/>
          <c:tx>
            <c:strRef>
              <c:f>'Налоги ТОР'!$A$28</c:f>
              <c:strCache>
                <c:ptCount val="1"/>
                <c:pt idx="0">
                  <c:v>МБ</c:v>
                </c:pt>
              </c:strCache>
            </c:strRef>
          </c:tx>
          <c:spPr>
            <a:prstGeom prst="rect">
              <a:avLst/>
            </a:prstGeom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'Налоги ТОР'!$C$25:$L$25</c:f>
              <c:strCache>
                <c:ptCount val="10"/>
                <c:pt idx="0">
                  <c:v>2 год</c:v>
                </c:pt>
                <c:pt idx="1">
                  <c:v>3 год</c:v>
                </c:pt>
                <c:pt idx="2">
                  <c:v>4 год</c:v>
                </c:pt>
                <c:pt idx="3">
                  <c:v>5 год</c:v>
                </c:pt>
                <c:pt idx="4">
                  <c:v>6 год</c:v>
                </c:pt>
                <c:pt idx="5">
                  <c:v>7 год</c:v>
                </c:pt>
                <c:pt idx="6">
                  <c:v>8 год</c:v>
                </c:pt>
                <c:pt idx="7">
                  <c:v>9 год</c:v>
                </c:pt>
                <c:pt idx="8">
                  <c:v>10 год</c:v>
                </c:pt>
                <c:pt idx="9">
                  <c:v>11 год</c:v>
                </c:pt>
              </c:strCache>
            </c:strRef>
          </c:cat>
          <c:val>
            <c:numRef>
              <c:f>'Налоги ТОР'!$C$28:$L$28</c:f>
              <c:numCache>
                <c:formatCode>0.000</c:formatCode>
                <c:ptCount val="10"/>
                <c:pt idx="0" formatCode="General">
                  <c:v>0</c:v>
                </c:pt>
                <c:pt idx="1">
                  <c:v>0.19729943999999999</c:v>
                </c:pt>
                <c:pt idx="2">
                  <c:v>0.21111040080000001</c:v>
                </c:pt>
                <c:pt idx="3">
                  <c:v>0.22588812885600004</c:v>
                </c:pt>
                <c:pt idx="4">
                  <c:v>0.24170029787592007</c:v>
                </c:pt>
                <c:pt idx="5">
                  <c:v>0.25861931872723443</c:v>
                </c:pt>
                <c:pt idx="6">
                  <c:v>0.27514732493421867</c:v>
                </c:pt>
                <c:pt idx="7">
                  <c:v>0.29440763767961398</c:v>
                </c:pt>
                <c:pt idx="8">
                  <c:v>0.31501617231718698</c:v>
                </c:pt>
                <c:pt idx="9">
                  <c:v>0.33706730437939014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2A-4097-B13B-2831A4058985}"/>
            </c:ext>
          </c:extLst>
        </c:ser>
        <c:ser>
          <c:idx val="3"/>
          <c:order val="3"/>
          <c:tx>
            <c:strRef>
              <c:f>'Налоги ТОР'!$A$29</c:f>
              <c:strCache>
                <c:ptCount val="1"/>
                <c:pt idx="0">
                  <c:v>Соц. Отчисления</c:v>
                </c:pt>
              </c:strCache>
            </c:strRef>
          </c:tx>
          <c:spPr>
            <a:prstGeom prst="rect">
              <a:avLst/>
            </a:prstGeom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'Налоги ТОР'!$C$25:$L$25</c:f>
              <c:strCache>
                <c:ptCount val="10"/>
                <c:pt idx="0">
                  <c:v>2 год</c:v>
                </c:pt>
                <c:pt idx="1">
                  <c:v>3 год</c:v>
                </c:pt>
                <c:pt idx="2">
                  <c:v>4 год</c:v>
                </c:pt>
                <c:pt idx="3">
                  <c:v>5 год</c:v>
                </c:pt>
                <c:pt idx="4">
                  <c:v>6 год</c:v>
                </c:pt>
                <c:pt idx="5">
                  <c:v>7 год</c:v>
                </c:pt>
                <c:pt idx="6">
                  <c:v>8 год</c:v>
                </c:pt>
                <c:pt idx="7">
                  <c:v>9 год</c:v>
                </c:pt>
                <c:pt idx="8">
                  <c:v>10 год</c:v>
                </c:pt>
                <c:pt idx="9">
                  <c:v>11 год</c:v>
                </c:pt>
              </c:strCache>
            </c:strRef>
          </c:cat>
          <c:val>
            <c:numRef>
              <c:f>'Налоги ТОР'!$C$29:$L$29</c:f>
              <c:numCache>
                <c:formatCode>0.00</c:formatCode>
                <c:ptCount val="10"/>
                <c:pt idx="0" formatCode="General">
                  <c:v>0</c:v>
                </c:pt>
                <c:pt idx="1">
                  <c:v>3.06572976</c:v>
                </c:pt>
                <c:pt idx="2">
                  <c:v>3.2803308431999998</c:v>
                </c:pt>
                <c:pt idx="3">
                  <c:v>3.5099540022240006</c:v>
                </c:pt>
                <c:pt idx="4">
                  <c:v>3.7556507823796812</c:v>
                </c:pt>
                <c:pt idx="5">
                  <c:v>4.0185463371462582</c:v>
                </c:pt>
                <c:pt idx="6">
                  <c:v>4.2753661259009359</c:v>
                </c:pt>
                <c:pt idx="7">
                  <c:v>4.5746417547140013</c:v>
                </c:pt>
                <c:pt idx="8">
                  <c:v>4.8948666775439822</c:v>
                </c:pt>
                <c:pt idx="9">
                  <c:v>5.2375073449720606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2A-4097-B13B-2831A4058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9222399"/>
        <c:axId val="329215327"/>
      </c:barChart>
      <c:lineChart>
        <c:grouping val="stacked"/>
        <c:varyColors val="0"/>
        <c:ser>
          <c:idx val="4"/>
          <c:order val="4"/>
          <c:tx>
            <c:strRef>
              <c:f>'Налоги ТОР'!$A$30</c:f>
              <c:strCache>
                <c:ptCount val="1"/>
                <c:pt idx="0">
                  <c:v>ИТОГО</c:v>
                </c:pt>
              </c:strCache>
            </c:strRef>
          </c:tx>
          <c:spPr>
            <a:prstGeom prst="rect">
              <a:avLst/>
            </a:prstGeom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prstGeom prst="rect">
                <a:avLst/>
              </a:prstGeom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'Налоги ТОР'!$C$25:$L$25</c:f>
              <c:strCache>
                <c:ptCount val="10"/>
                <c:pt idx="0">
                  <c:v>2 год</c:v>
                </c:pt>
                <c:pt idx="1">
                  <c:v>3 год</c:v>
                </c:pt>
                <c:pt idx="2">
                  <c:v>4 год</c:v>
                </c:pt>
                <c:pt idx="3">
                  <c:v>5 год</c:v>
                </c:pt>
                <c:pt idx="4">
                  <c:v>6 год</c:v>
                </c:pt>
                <c:pt idx="5">
                  <c:v>7 год</c:v>
                </c:pt>
                <c:pt idx="6">
                  <c:v>8 год</c:v>
                </c:pt>
                <c:pt idx="7">
                  <c:v>9 год</c:v>
                </c:pt>
                <c:pt idx="8">
                  <c:v>10 год</c:v>
                </c:pt>
                <c:pt idx="9">
                  <c:v>11 год</c:v>
                </c:pt>
              </c:strCache>
            </c:strRef>
          </c:cat>
          <c:val>
            <c:numRef>
              <c:f>'Налоги ТОР'!$C$30:$L$30</c:f>
              <c:numCache>
                <c:formatCode>0.00</c:formatCode>
                <c:ptCount val="10"/>
                <c:pt idx="0">
                  <c:v>0</c:v>
                </c:pt>
                <c:pt idx="1">
                  <c:v>15.638222235599995</c:v>
                </c:pt>
                <c:pt idx="2">
                  <c:v>17.225123284092</c:v>
                </c:pt>
                <c:pt idx="3">
                  <c:v>20.64924044668717</c:v>
                </c:pt>
                <c:pt idx="4">
                  <c:v>24.983495888116749</c:v>
                </c:pt>
                <c:pt idx="5">
                  <c:v>30.101941843120859</c:v>
                </c:pt>
                <c:pt idx="6">
                  <c:v>32.910651342580501</c:v>
                </c:pt>
                <c:pt idx="7">
                  <c:v>34.363059509666002</c:v>
                </c:pt>
                <c:pt idx="8">
                  <c:v>35.852081062043723</c:v>
                </c:pt>
                <c:pt idx="9">
                  <c:v>39.833886825725067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2A-4097-B13B-2831A4058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222399"/>
        <c:axId val="329215327"/>
      </c:lineChart>
      <c:catAx>
        <c:axId val="329222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prstGeom prst="rect">
            <a:avLst/>
          </a:prstGeom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9215327"/>
        <c:crosses val="autoZero"/>
        <c:auto val="1"/>
        <c:lblAlgn val="ctr"/>
        <c:lblOffset val="100"/>
        <c:noMultiLvlLbl val="0"/>
      </c:catAx>
      <c:valAx>
        <c:axId val="329215327"/>
        <c:scaling>
          <c:orientation val="minMax"/>
        </c:scaling>
        <c:delete val="0"/>
        <c:axPos val="l"/>
        <c:majorGridlines>
          <c:spPr>
            <a:prstGeom prst="rect">
              <a:avLst/>
            </a:prstGeom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prstGeom prst="rect">
            <a:avLst/>
          </a:prstGeom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9222399"/>
        <c:crosses val="autoZero"/>
        <c:crossBetween val="between"/>
      </c:valAx>
      <c:spPr>
        <a:prstGeom prst="rect">
          <a:avLst/>
        </a:prstGeom>
        <a:noFill/>
        <a:ln>
          <a:noFill/>
        </a:ln>
        <a:effectLst/>
      </c:spPr>
    </c:plotArea>
    <c:legend>
      <c:legendPos val="b"/>
      <c:overlay val="0"/>
      <c:spPr>
        <a:prstGeom prst="rect">
          <a:avLst/>
        </a:prstGeom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xfrm>
      <a:off x="0" y="0"/>
      <a:ext cx="0" cy="0"/>
    </a:xfrm>
    <a:prstGeom prst="rect">
      <a:avLst/>
    </a:prstGeom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'NPV, IRR, PI ТОР'!$A$38</c:f>
              <c:strCache>
                <c:ptCount val="1"/>
                <c:pt idx="0">
                  <c:v>Чистая прибыль, млн руб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'NPV, IRR, PI ТОР'!$B$37:$L$37</c:f>
              <c:strCache>
                <c:ptCount val="11"/>
                <c:pt idx="0">
                  <c:v>1 год</c:v>
                </c:pt>
                <c:pt idx="1">
                  <c:v>2 год</c:v>
                </c:pt>
                <c:pt idx="2">
                  <c:v>3 год</c:v>
                </c:pt>
                <c:pt idx="3">
                  <c:v>4 год</c:v>
                </c:pt>
                <c:pt idx="4">
                  <c:v>5 год</c:v>
                </c:pt>
                <c:pt idx="5">
                  <c:v>6 год</c:v>
                </c:pt>
                <c:pt idx="6">
                  <c:v>7 год</c:v>
                </c:pt>
                <c:pt idx="7">
                  <c:v>8 год</c:v>
                </c:pt>
                <c:pt idx="8">
                  <c:v>9 год</c:v>
                </c:pt>
                <c:pt idx="9">
                  <c:v>10 год</c:v>
                </c:pt>
                <c:pt idx="10">
                  <c:v>11 год</c:v>
                </c:pt>
              </c:strCache>
            </c:strRef>
          </c:cat>
          <c:val>
            <c:numRef>
              <c:f>'NPV, IRR, PI ТОР'!$B$38:$L$38</c:f>
              <c:numCache>
                <c:formatCode>#\ ##0.0</c:formatCode>
                <c:ptCount val="11"/>
                <c:pt idx="0">
                  <c:v>-3.4815023148819781</c:v>
                </c:pt>
                <c:pt idx="1">
                  <c:v>12.464072302343444</c:v>
                </c:pt>
                <c:pt idx="2">
                  <c:v>15.024634770667813</c:v>
                </c:pt>
                <c:pt idx="3">
                  <c:v>20.238744403260011</c:v>
                </c:pt>
                <c:pt idx="4">
                  <c:v>31.859685934067826</c:v>
                </c:pt>
                <c:pt idx="5">
                  <c:v>36.291773788538336</c:v>
                </c:pt>
                <c:pt idx="6">
                  <c:v>38.908107528835259</c:v>
                </c:pt>
                <c:pt idx="7">
                  <c:v>43.741345299635526</c:v>
                </c:pt>
                <c:pt idx="8">
                  <c:v>45.42704347386789</c:v>
                </c:pt>
                <c:pt idx="9">
                  <c:v>47.07505321209306</c:v>
                </c:pt>
                <c:pt idx="10">
                  <c:v>47.717703599407997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38-4F6F-90ED-3327C8FA6A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4783311"/>
        <c:axId val="139310159"/>
      </c:barChart>
      <c:catAx>
        <c:axId val="394783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9310159"/>
        <c:crosses val="autoZero"/>
        <c:auto val="1"/>
        <c:lblAlgn val="ctr"/>
        <c:lblOffset val="100"/>
        <c:noMultiLvlLbl val="0"/>
      </c:catAx>
      <c:valAx>
        <c:axId val="139310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94783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cap="all"/>
  </cs:categoryAxis>
  <cs:chartArea>
    <cs:lnRef idx="0"/>
    <cs:fillRef idx="0"/>
    <cs:effectRef idx="0"/>
    <cs:fontRef idx="minor">
      <a:schemeClr val="dk1"/>
    </cs:fontRef>
    <cs:spPr bwMode="auto">
      <a:prstGeom prst="rect">
        <a:avLst/>
      </a:prstGeom>
      <a:gradFill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 b="1" i="0" u="none" strike="noStrike"/>
  </cs:dataLabel>
  <cs:dataLabelCallout>
    <cs:lnRef idx="0"/>
    <cs:fillRef idx="0"/>
    <cs:effectRef idx="0"/>
    <cs:fontRef idx="minor">
      <a:schemeClr val="lt1"/>
    </cs:fontRef>
    <cs:spPr bwMode="auto">
      <a:prstGeom prst="rect">
        <a:avLst/>
      </a:prstGeom>
      <a:solidFill>
        <a:schemeClr val="dk1">
          <a:lumMod val="65000"/>
          <a:lumOff val="35000"/>
          <a:alpha val="75000"/>
        </a:schemeClr>
      </a:solidFill>
    </cs:spPr>
    <cs:defRPr sz="900" b="1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 bwMode="auto">
      <a:prstGeom prst="rect">
        <a:avLst/>
      </a:prstGeom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 bwMode="auto">
      <a:prstGeom prst="rect">
        <a:avLst/>
      </a:prstGeom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 bwMode="auto">
      <a:prstGeom prst="rect">
        <a:avLst/>
      </a:prstGeom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 bwMode="auto">
      <a:prstGeom prst="rect">
        <a:avLst/>
      </a:prstGeom>
      <a:solidFill>
        <a:schemeClr val="phClr">
          <a:alpha val="85000"/>
        </a:schemeClr>
      </a:solidFill>
    </cs:spPr>
  </cs:dataPointMarker>
  <cs:dataPointMarkerLayout/>
  <cs:dataPointWireframe>
    <cs:lnRef idx="0">
      <cs:styleClr val="auto"/>
    </cs:lnRef>
    <cs:fillRef idx="0"/>
    <cs:effectRef idx="0"/>
    <cs:fontRef idx="minor">
      <a:schemeClr val="dk1"/>
    </cs:fontRef>
    <cs:spPr bwMode="auto">
      <a:prstGeom prst="rect">
        <a:avLst/>
      </a:prstGeom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 w="9525">
        <a:solidFill>
          <a:schemeClr val="dk1">
            <a:lumMod val="35000"/>
            <a:lumOff val="6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 bwMode="auto">
      <a:prstGeom prst="rect">
        <a:avLst/>
      </a:prstGeom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 bwMode="auto">
      <a:prstGeom prst="rect">
        <a:avLst/>
      </a:prstGeom>
      <a:ln w="9525" cap="flat" cmpd="sng" algn="ctr">
        <a:gradFill>
          <a:gsLst>
            <a:gs pos="0">
              <a:schemeClr val="lt1">
                <a:lumMod val="75000"/>
                <a:alpha val="36000"/>
              </a:schemeClr>
            </a:gs>
            <a:gs pos="100000">
              <a:schemeClr val="dk1">
                <a:lumMod val="95000"/>
                <a:lumOff val="5000"/>
                <a:alpha val="42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 bwMode="auto">
      <a:prstGeom prst="rect">
        <a:avLst/>
      </a:prstGeom>
      <a:ln>
        <a:gradFill>
          <a:gsLst>
            <a:gs pos="0">
              <a:schemeClr val="lt1">
                <a:lumMod val="75000"/>
                <a:alpha val="36000"/>
              </a:schemeClr>
            </a:gs>
            <a:gs pos="100000">
              <a:schemeClr val="dk1">
                <a:lumMod val="95000"/>
                <a:lumOff val="5000"/>
                <a:alpha val="42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>
      <cs:styleClr val="auto"/>
    </cs:lnRef>
    <cs:fillRef idx="0"/>
    <cs:effectRef idx="0"/>
    <cs:fontRef idx="minor">
      <a:schemeClr val="dk1"/>
    </cs:fontRef>
    <cs:spPr bwMode="auto">
      <a:prstGeom prst="rect">
        <a:avLst/>
      </a:prstGeom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 bwMode="auto">
      <a:prstGeom prst="rect">
        <a:avLst/>
      </a:prstGeom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>
        <a:noFill/>
      </a:ln>
    </cs:spPr>
    <cs:defRPr sz="9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cap="all"/>
  </cs:categoryAxis>
  <cs:chartArea>
    <cs:lnRef idx="0"/>
    <cs:fillRef idx="0"/>
    <cs:effectRef idx="0"/>
    <cs:fontRef idx="minor">
      <a:schemeClr val="dk1"/>
    </cs:fontRef>
    <cs:spPr bwMode="auto">
      <a:prstGeom prst="rect">
        <a:avLst/>
      </a:prstGeom>
      <a:gradFill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 b="1" i="0" u="none" strike="noStrike"/>
  </cs:dataLabel>
  <cs:dataLabelCallout>
    <cs:lnRef idx="0"/>
    <cs:fillRef idx="0"/>
    <cs:effectRef idx="0"/>
    <cs:fontRef idx="minor">
      <a:schemeClr val="lt1"/>
    </cs:fontRef>
    <cs:spPr bwMode="auto">
      <a:prstGeom prst="rect">
        <a:avLst/>
      </a:prstGeom>
      <a:solidFill>
        <a:schemeClr val="dk1">
          <a:lumMod val="65000"/>
          <a:lumOff val="35000"/>
          <a:alpha val="75000"/>
        </a:schemeClr>
      </a:solidFill>
    </cs:spPr>
    <cs:defRPr sz="900" b="1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 bwMode="auto">
      <a:prstGeom prst="rect">
        <a:avLst/>
      </a:prstGeom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 bwMode="auto">
      <a:prstGeom prst="rect">
        <a:avLst/>
      </a:prstGeom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 bwMode="auto">
      <a:prstGeom prst="rect">
        <a:avLst/>
      </a:prstGeom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 bwMode="auto">
      <a:prstGeom prst="rect">
        <a:avLst/>
      </a:prstGeom>
      <a:solidFill>
        <a:schemeClr val="phClr">
          <a:alpha val="85000"/>
        </a:schemeClr>
      </a:solidFill>
    </cs:spPr>
  </cs:dataPointMarker>
  <cs:dataPointMarkerLayout/>
  <cs:dataPointWireframe>
    <cs:lnRef idx="0">
      <cs:styleClr val="auto"/>
    </cs:lnRef>
    <cs:fillRef idx="0"/>
    <cs:effectRef idx="0"/>
    <cs:fontRef idx="minor">
      <a:schemeClr val="dk1"/>
    </cs:fontRef>
    <cs:spPr bwMode="auto">
      <a:prstGeom prst="rect">
        <a:avLst/>
      </a:prstGeom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 w="9525">
        <a:solidFill>
          <a:schemeClr val="dk1">
            <a:lumMod val="35000"/>
            <a:lumOff val="6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 bwMode="auto">
      <a:prstGeom prst="rect">
        <a:avLst/>
      </a:prstGeom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 bwMode="auto">
      <a:prstGeom prst="rect">
        <a:avLst/>
      </a:prstGeom>
      <a:ln w="9525" cap="flat" cmpd="sng" algn="ctr">
        <a:gradFill>
          <a:gsLst>
            <a:gs pos="0">
              <a:schemeClr val="lt1">
                <a:lumMod val="75000"/>
                <a:alpha val="36000"/>
              </a:schemeClr>
            </a:gs>
            <a:gs pos="100000">
              <a:schemeClr val="dk1">
                <a:lumMod val="95000"/>
                <a:lumOff val="5000"/>
                <a:alpha val="42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 bwMode="auto">
      <a:prstGeom prst="rect">
        <a:avLst/>
      </a:prstGeom>
      <a:ln>
        <a:gradFill>
          <a:gsLst>
            <a:gs pos="0">
              <a:schemeClr val="lt1">
                <a:lumMod val="75000"/>
                <a:alpha val="36000"/>
              </a:schemeClr>
            </a:gs>
            <a:gs pos="100000">
              <a:schemeClr val="dk1">
                <a:lumMod val="95000"/>
                <a:lumOff val="5000"/>
                <a:alpha val="42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>
      <cs:styleClr val="auto"/>
    </cs:lnRef>
    <cs:fillRef idx="0"/>
    <cs:effectRef idx="0"/>
    <cs:fontRef idx="minor">
      <a:schemeClr val="dk1"/>
    </cs:fontRef>
    <cs:spPr bwMode="auto">
      <a:prstGeom prst="rect">
        <a:avLst/>
      </a:prstGeom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 bwMode="auto">
      <a:prstGeom prst="rect">
        <a:avLst/>
      </a:prstGeom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>
        <a:noFill/>
      </a:ln>
    </cs:spPr>
    <cs:defRPr sz="9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44</xdr:row>
      <xdr:rowOff>161925</xdr:rowOff>
    </xdr:from>
    <xdr:to>
      <xdr:col>1</xdr:col>
      <xdr:colOff>1362075</xdr:colOff>
      <xdr:row>48</xdr:row>
      <xdr:rowOff>76200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8353425"/>
          <a:ext cx="13049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48</xdr:row>
      <xdr:rowOff>152400</xdr:rowOff>
    </xdr:from>
    <xdr:to>
      <xdr:col>1</xdr:col>
      <xdr:colOff>1143000</xdr:colOff>
      <xdr:row>50</xdr:row>
      <xdr:rowOff>133350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9867900"/>
          <a:ext cx="100965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29118</xdr:colOff>
      <xdr:row>0</xdr:row>
      <xdr:rowOff>8164</xdr:rowOff>
    </xdr:from>
    <xdr:to>
      <xdr:col>11</xdr:col>
      <xdr:colOff>238124</xdr:colOff>
      <xdr:row>13</xdr:row>
      <xdr:rowOff>0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437810</xdr:colOff>
      <xdr:row>0</xdr:row>
      <xdr:rowOff>11904</xdr:rowOff>
    </xdr:from>
    <xdr:to>
      <xdr:col>18</xdr:col>
      <xdr:colOff>285750</xdr:colOff>
      <xdr:row>13</xdr:row>
      <xdr:rowOff>17623</xdr:rowOff>
    </xdr:to>
    <xdr:graphicFrame macro="">
      <xdr:nvGraphicFramePr>
        <xdr:cNvPr id="3" name="Диаграмма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47624</xdr:colOff>
      <xdr:row>14</xdr:row>
      <xdr:rowOff>28573</xdr:rowOff>
    </xdr:from>
    <xdr:to>
      <xdr:col>9</xdr:col>
      <xdr:colOff>514350</xdr:colOff>
      <xdr:row>29</xdr:row>
      <xdr:rowOff>47624</xdr:rowOff>
    </xdr:to>
    <xdr:graphicFrame macro="">
      <xdr:nvGraphicFramePr>
        <xdr:cNvPr id="4" name="Диаграмма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56129</xdr:colOff>
      <xdr:row>14</xdr:row>
      <xdr:rowOff>38440</xdr:rowOff>
    </xdr:from>
    <xdr:to>
      <xdr:col>17</xdr:col>
      <xdr:colOff>357188</xdr:colOff>
      <xdr:row>29</xdr:row>
      <xdr:rowOff>59531</xdr:rowOff>
    </xdr:to>
    <xdr:graphicFrame macro="">
      <xdr:nvGraphicFramePr>
        <xdr:cNvPr id="5" name="Диаграмма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39688</xdr:colOff>
      <xdr:row>30</xdr:row>
      <xdr:rowOff>46567</xdr:rowOff>
    </xdr:from>
    <xdr:to>
      <xdr:col>9</xdr:col>
      <xdr:colOff>583406</xdr:colOff>
      <xdr:row>44</xdr:row>
      <xdr:rowOff>122767</xdr:rowOff>
    </xdr:to>
    <xdr:graphicFrame macro="">
      <xdr:nvGraphicFramePr>
        <xdr:cNvPr id="9" name="Диаграмма 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86177</xdr:colOff>
      <xdr:row>29</xdr:row>
      <xdr:rowOff>185851</xdr:rowOff>
    </xdr:from>
    <xdr:to>
      <xdr:col>17</xdr:col>
      <xdr:colOff>321469</xdr:colOff>
      <xdr:row>44</xdr:row>
      <xdr:rowOff>71551</xdr:rowOff>
    </xdr:to>
    <xdr:graphicFrame macro="">
      <xdr:nvGraphicFramePr>
        <xdr:cNvPr id="10" name="Диаграмма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67468</xdr:colOff>
      <xdr:row>29</xdr:row>
      <xdr:rowOff>124618</xdr:rowOff>
    </xdr:from>
    <xdr:to>
      <xdr:col>3</xdr:col>
      <xdr:colOff>496094</xdr:colOff>
      <xdr:row>44</xdr:row>
      <xdr:rowOff>10318</xdr:rowOff>
    </xdr:to>
    <xdr:graphicFrame macro="">
      <xdr:nvGraphicFramePr>
        <xdr:cNvPr id="11" name="Диаграмма 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71437</xdr:colOff>
      <xdr:row>45</xdr:row>
      <xdr:rowOff>180182</xdr:rowOff>
    </xdr:from>
    <xdr:to>
      <xdr:col>3</xdr:col>
      <xdr:colOff>500062</xdr:colOff>
      <xdr:row>56</xdr:row>
      <xdr:rowOff>142875</xdr:rowOff>
    </xdr:to>
    <xdr:graphicFrame macro="">
      <xdr:nvGraphicFramePr>
        <xdr:cNvPr id="12" name="Диаграмма 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291913</xdr:colOff>
      <xdr:row>45</xdr:row>
      <xdr:rowOff>166968</xdr:rowOff>
    </xdr:from>
    <xdr:to>
      <xdr:col>16</xdr:col>
      <xdr:colOff>596713</xdr:colOff>
      <xdr:row>61</xdr:row>
      <xdr:rowOff>14568</xdr:rowOff>
    </xdr:to>
    <xdr:graphicFrame macro="">
      <xdr:nvGraphicFramePr>
        <xdr:cNvPr id="6" name="Диаграмма 1">
          <a:extLst>
            <a:ext uri="{FF2B5EF4-FFF2-40B4-BE49-F238E27FC236}">
              <a16:creationId xmlns:a16="http://schemas.microsoft.com/office/drawing/2014/main" id="{D766F48B-94CB-1004-95BE-EEEC6CE7B0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781050</xdr:colOff>
      <xdr:row>26</xdr:row>
      <xdr:rowOff>114300</xdr:rowOff>
    </xdr:from>
    <xdr:to>
      <xdr:col>12</xdr:col>
      <xdr:colOff>1371600</xdr:colOff>
      <xdr:row>58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857" t="35864" r="14364" b="6089"/>
        <a:stretch/>
      </xdr:blipFill>
      <xdr:spPr>
        <a:xfrm>
          <a:off x="1123950" y="8553450"/>
          <a:ext cx="11296650" cy="5981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296031</xdr:colOff>
      <xdr:row>41</xdr:row>
      <xdr:rowOff>171450</xdr:rowOff>
    </xdr:from>
    <xdr:to>
      <xdr:col>23</xdr:col>
      <xdr:colOff>529901</xdr:colOff>
      <xdr:row>79</xdr:row>
      <xdr:rowOff>131762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534" t="3242" r="24079" b="10406"/>
        <a:stretch/>
      </xdr:blipFill>
      <xdr:spPr>
        <a:xfrm>
          <a:off x="10735431" y="11093450"/>
          <a:ext cx="10571670" cy="6716712"/>
        </a:xfrm>
        <a:prstGeom prst="rect">
          <a:avLst/>
        </a:prstGeom>
      </xdr:spPr>
    </xdr:pic>
    <xdr:clientData/>
  </xdr:twoCellAnchor>
  <xdr:twoCellAnchor editAs="oneCell">
    <xdr:from>
      <xdr:col>24</xdr:col>
      <xdr:colOff>553944</xdr:colOff>
      <xdr:row>41</xdr:row>
      <xdr:rowOff>45244</xdr:rowOff>
    </xdr:from>
    <xdr:to>
      <xdr:col>36</xdr:col>
      <xdr:colOff>480195</xdr:colOff>
      <xdr:row>78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795" t="3010" r="51296" b="21865"/>
        <a:stretch/>
      </xdr:blipFill>
      <xdr:spPr>
        <a:xfrm>
          <a:off x="21940744" y="10967244"/>
          <a:ext cx="7241451" cy="6647656"/>
        </a:xfrm>
        <a:prstGeom prst="rect">
          <a:avLst/>
        </a:prstGeom>
      </xdr:spPr>
    </xdr:pic>
    <xdr:clientData/>
  </xdr:twoCellAnchor>
  <xdr:twoCellAnchor editAs="oneCell">
    <xdr:from>
      <xdr:col>12</xdr:col>
      <xdr:colOff>1084262</xdr:colOff>
      <xdr:row>83</xdr:row>
      <xdr:rowOff>6350</xdr:rowOff>
    </xdr:from>
    <xdr:to>
      <xdr:col>29</xdr:col>
      <xdr:colOff>60317</xdr:colOff>
      <xdr:row>121</xdr:row>
      <xdr:rowOff>16829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521" t="2264" r="15413" b="13397"/>
        <a:stretch/>
      </xdr:blipFill>
      <xdr:spPr>
        <a:xfrm>
          <a:off x="12412662" y="18395950"/>
          <a:ext cx="12082455" cy="676687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70</xdr:row>
      <xdr:rowOff>57150</xdr:rowOff>
    </xdr:from>
    <xdr:to>
      <xdr:col>12</xdr:col>
      <xdr:colOff>1230313</xdr:colOff>
      <xdr:row>113</xdr:row>
      <xdr:rowOff>158750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044" t="2963" r="26761" b="16286"/>
        <a:stretch/>
      </xdr:blipFill>
      <xdr:spPr>
        <a:xfrm>
          <a:off x="419101" y="16135350"/>
          <a:ext cx="12139612" cy="7747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1809750</xdr:colOff>
      <xdr:row>26</xdr:row>
      <xdr:rowOff>152400</xdr:rowOff>
    </xdr:from>
    <xdr:to>
      <xdr:col>33</xdr:col>
      <xdr:colOff>228600</xdr:colOff>
      <xdr:row>41</xdr:row>
      <xdr:rowOff>152400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125" t="3519" r="21241" b="68700"/>
        <a:stretch/>
      </xdr:blipFill>
      <xdr:spPr>
        <a:xfrm>
          <a:off x="12858750" y="8591550"/>
          <a:ext cx="13830300" cy="2857500"/>
        </a:xfrm>
        <a:prstGeom prst="rect">
          <a:avLst/>
        </a:prstGeom>
      </xdr:spPr>
    </xdr:pic>
    <xdr:clientData/>
  </xdr:twoCellAnchor>
  <xdr:twoCellAnchor editAs="oneCell">
    <xdr:from>
      <xdr:col>30</xdr:col>
      <xdr:colOff>298450</xdr:colOff>
      <xdr:row>82</xdr:row>
      <xdr:rowOff>58738</xdr:rowOff>
    </xdr:from>
    <xdr:to>
      <xdr:col>51</xdr:col>
      <xdr:colOff>485775</xdr:colOff>
      <xdr:row>125</xdr:row>
      <xdr:rowOff>128588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7523" t="3592" r="15879" b="9844"/>
        <a:stretch/>
      </xdr:blipFill>
      <xdr:spPr>
        <a:xfrm>
          <a:off x="25342850" y="18270538"/>
          <a:ext cx="12988925" cy="7715250"/>
        </a:xfrm>
        <a:prstGeom prst="rect">
          <a:avLst/>
        </a:prstGeom>
      </xdr:spPr>
    </xdr:pic>
    <xdr:clientData/>
  </xdr:twoCellAnchor>
  <xdr:twoCellAnchor editAs="oneCell">
    <xdr:from>
      <xdr:col>20</xdr:col>
      <xdr:colOff>595312</xdr:colOff>
      <xdr:row>0</xdr:row>
      <xdr:rowOff>71437</xdr:rowOff>
    </xdr:from>
    <xdr:to>
      <xdr:col>42</xdr:col>
      <xdr:colOff>333375</xdr:colOff>
      <xdr:row>24</xdr:row>
      <xdr:rowOff>5079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4949" t="2546" r="21996" b="20592"/>
        <a:stretch/>
      </xdr:blipFill>
      <xdr:spPr>
        <a:xfrm>
          <a:off x="19169062" y="71437"/>
          <a:ext cx="13358813" cy="790575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95248</xdr:colOff>
      <xdr:row>144</xdr:row>
      <xdr:rowOff>166686</xdr:rowOff>
    </xdr:from>
    <xdr:to>
      <xdr:col>22</xdr:col>
      <xdr:colOff>430239</xdr:colOff>
      <xdr:row>186</xdr:row>
      <xdr:rowOff>122465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5078" t="3935" r="34757" b="10868"/>
        <a:stretch/>
      </xdr:blipFill>
      <xdr:spPr>
        <a:xfrm>
          <a:off x="10259784" y="30959650"/>
          <a:ext cx="9955241" cy="7956779"/>
        </a:xfrm>
        <a:prstGeom prst="rect">
          <a:avLst/>
        </a:prstGeom>
      </xdr:spPr>
    </xdr:pic>
    <xdr:clientData/>
  </xdr:twoCellAnchor>
  <xdr:twoCellAnchor editAs="oneCell">
    <xdr:from>
      <xdr:col>38</xdr:col>
      <xdr:colOff>257428</xdr:colOff>
      <xdr:row>28</xdr:row>
      <xdr:rowOff>152400</xdr:rowOff>
    </xdr:from>
    <xdr:to>
      <xdr:col>66</xdr:col>
      <xdr:colOff>387349</xdr:colOff>
      <xdr:row>403</xdr:row>
      <xdr:rowOff>28575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2A9EBBEC-C390-463B-AD3F-D9A76DCC5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178628" y="8763000"/>
          <a:ext cx="17198721" cy="6655117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Татьяна" id="{1E9CECF3-830F-4805-E288-AB8559039FC6}"/>
  <person displayName="Автор" id="{10F9DCC5-A38C-81A5-4889-60F3C36BA471}"/>
</personList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37" personId="{1E9CECF3-830F-4805-E288-AB8559039FC6}" id="{001E000B-00DB-439C-A31E-002B0021009E}" done="0">
    <text xml:space="preserve">кВт/тонну
</text>
  </threadedComment>
  <threadedComment ref="B38" personId="{1E9CECF3-830F-4805-E288-AB8559039FC6}" id="{00620084-00B7-4E7D-BB4B-008000CF007E}" done="0">
    <text xml:space="preserve">куб м/тонну
</text>
  </threadedComment>
  <threadedComment ref="B39" personId="{1E9CECF3-830F-4805-E288-AB8559039FC6}" id="{00A2004D-0091-4291-8568-00350057001F}" done="0">
    <text xml:space="preserve">тонн/тонну
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1" personId="{10F9DCC5-A38C-81A5-4889-60F3C36BA471}" id="{00780033-00BE-488E-A84B-001A00D700EE}" done="0">
    <text xml:space="preserve">нет льгот по взносам
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N75" personId="{10F9DCC5-A38C-81A5-4889-60F3C36BA471}" id="{006E0050-0026-4680-9ABD-00380023000B}" done="0">
    <text xml:space="preserve">сумма взносов ТОР за 10 лет
</text>
  </threadedComment>
  <threadedComment ref="N77" personId="{10F9DCC5-A38C-81A5-4889-60F3C36BA471}" id="{00F70035-0092-4761-BB1B-00CC0005007B}" done="0">
    <text xml:space="preserve">разница во взносах
</text>
  </threadedComment>
  <threadedComment ref="N76" personId="{10F9DCC5-A38C-81A5-4889-60F3C36BA471}" id="{006F00A1-0007-49FD-8BFE-00D900D100E7}" done="0">
    <text xml:space="preserve">сумма взносов без ТОР
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bumzav.ru/catalog/carton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2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C17"/>
  <sheetViews>
    <sheetView workbookViewId="0">
      <selection activeCell="C5" sqref="C5"/>
    </sheetView>
  </sheetViews>
  <sheetFormatPr defaultRowHeight="14.4" x14ac:dyDescent="0.3"/>
  <cols>
    <col min="2" max="2" width="27.6640625" customWidth="1"/>
    <col min="3" max="3" width="41.5546875" customWidth="1"/>
  </cols>
  <sheetData>
    <row r="2" spans="2:3" x14ac:dyDescent="0.3">
      <c r="B2" t="s">
        <v>388</v>
      </c>
      <c r="C2" s="284"/>
    </row>
    <row r="3" spans="2:3" x14ac:dyDescent="0.3">
      <c r="B3" t="s">
        <v>389</v>
      </c>
      <c r="C3" s="281"/>
    </row>
    <row r="4" spans="2:3" x14ac:dyDescent="0.3">
      <c r="B4" t="s">
        <v>390</v>
      </c>
      <c r="C4" s="285"/>
    </row>
    <row r="5" spans="2:3" x14ac:dyDescent="0.3">
      <c r="B5" t="s">
        <v>391</v>
      </c>
      <c r="C5" s="282"/>
    </row>
    <row r="6" spans="2:3" x14ac:dyDescent="0.3">
      <c r="B6" t="s">
        <v>402</v>
      </c>
      <c r="C6" s="286"/>
    </row>
    <row r="7" spans="2:3" x14ac:dyDescent="0.3">
      <c r="B7" s="287" t="s">
        <v>424</v>
      </c>
      <c r="C7" s="297"/>
    </row>
    <row r="8" spans="2:3" x14ac:dyDescent="0.3">
      <c r="C8" s="283"/>
    </row>
    <row r="9" spans="2:3" x14ac:dyDescent="0.3">
      <c r="B9" s="334" t="s">
        <v>433</v>
      </c>
      <c r="C9" s="333"/>
    </row>
    <row r="12" spans="2:3" x14ac:dyDescent="0.3">
      <c r="B12" t="s">
        <v>392</v>
      </c>
    </row>
    <row r="13" spans="2:3" x14ac:dyDescent="0.3">
      <c r="B13" t="s">
        <v>393</v>
      </c>
      <c r="C13" t="s">
        <v>61</v>
      </c>
    </row>
    <row r="14" spans="2:3" x14ac:dyDescent="0.3">
      <c r="B14" t="s">
        <v>394</v>
      </c>
      <c r="C14" t="s">
        <v>395</v>
      </c>
    </row>
    <row r="15" spans="2:3" x14ac:dyDescent="0.3">
      <c r="B15" t="s">
        <v>396</v>
      </c>
      <c r="C15" t="s">
        <v>397</v>
      </c>
    </row>
    <row r="16" spans="2:3" x14ac:dyDescent="0.3">
      <c r="B16" t="s">
        <v>398</v>
      </c>
      <c r="C16" t="s">
        <v>399</v>
      </c>
    </row>
    <row r="17" spans="2:3" x14ac:dyDescent="0.3">
      <c r="B17" t="s">
        <v>400</v>
      </c>
      <c r="C17" t="s">
        <v>401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T49"/>
  <sheetViews>
    <sheetView zoomScale="80" zoomScaleNormal="80" workbookViewId="0">
      <selection activeCell="G12" sqref="G12"/>
    </sheetView>
  </sheetViews>
  <sheetFormatPr defaultColWidth="9.109375" defaultRowHeight="14.4" x14ac:dyDescent="0.3"/>
  <cols>
    <col min="1" max="1" width="30.109375" style="63" customWidth="1"/>
    <col min="2" max="2" width="11.5546875" style="63" customWidth="1"/>
    <col min="3" max="3" width="11.88671875" style="63" customWidth="1"/>
    <col min="4" max="4" width="11" style="63" customWidth="1"/>
    <col min="5" max="5" width="11.88671875" style="63" customWidth="1"/>
    <col min="6" max="6" width="11.6640625" style="63" customWidth="1"/>
    <col min="7" max="7" width="11.5546875" style="63" customWidth="1"/>
    <col min="8" max="8" width="11.109375" style="63" customWidth="1"/>
    <col min="9" max="9" width="11.6640625" style="63" customWidth="1"/>
    <col min="10" max="10" width="11.33203125" style="63" customWidth="1"/>
    <col min="11" max="11" width="12" style="63" customWidth="1"/>
    <col min="12" max="12" width="12.88671875" style="63" customWidth="1"/>
    <col min="13" max="13" width="11.44140625" style="63" customWidth="1"/>
    <col min="14" max="14" width="11.109375" style="63" customWidth="1"/>
    <col min="15" max="15" width="11.33203125" style="63" customWidth="1"/>
    <col min="16" max="16" width="12.44140625" style="63" customWidth="1"/>
    <col min="17" max="17" width="12.109375" style="63" customWidth="1"/>
    <col min="18" max="18" width="11.88671875" style="63" customWidth="1"/>
    <col min="19" max="20" width="12" style="63" customWidth="1"/>
    <col min="21" max="21" width="12.44140625" style="63" customWidth="1"/>
    <col min="22" max="22" width="12" style="63" customWidth="1"/>
    <col min="23" max="23" width="12.6640625" style="63" customWidth="1"/>
    <col min="24" max="24" width="11.44140625" style="63" customWidth="1"/>
    <col min="25" max="26" width="11.6640625" style="63" customWidth="1"/>
    <col min="27" max="27" width="11.88671875" style="63" customWidth="1"/>
    <col min="28" max="28" width="12.109375" style="63" customWidth="1"/>
    <col min="29" max="29" width="12.44140625" style="63" customWidth="1"/>
    <col min="30" max="30" width="11.33203125" style="63" customWidth="1"/>
    <col min="31" max="31" width="13.44140625" style="63" customWidth="1"/>
    <col min="32" max="32" width="11.88671875" style="63" customWidth="1"/>
    <col min="33" max="33" width="11.33203125" style="63" customWidth="1"/>
    <col min="34" max="34" width="11.44140625" style="63" customWidth="1"/>
    <col min="35" max="35" width="11.6640625" style="63" customWidth="1"/>
    <col min="36" max="36" width="11.109375" style="63" customWidth="1"/>
    <col min="37" max="37" width="11.33203125" style="63" customWidth="1"/>
    <col min="38" max="38" width="11.109375" style="63" customWidth="1"/>
    <col min="39" max="39" width="15" style="63" customWidth="1"/>
    <col min="40" max="40" width="14" style="63" customWidth="1"/>
    <col min="41" max="41" width="13.6640625" style="63" customWidth="1"/>
    <col min="42" max="43" width="14.33203125" style="63" customWidth="1"/>
    <col min="44" max="44" width="12.44140625" style="63" customWidth="1"/>
    <col min="45" max="45" width="12.5546875" style="63" customWidth="1"/>
    <col min="46" max="46" width="13.88671875" style="63" customWidth="1"/>
    <col min="47" max="16384" width="9.109375" style="63"/>
  </cols>
  <sheetData>
    <row r="1" spans="1:46" x14ac:dyDescent="0.3">
      <c r="A1" s="63" t="s">
        <v>65</v>
      </c>
    </row>
    <row r="2" spans="1:46" s="523" customFormat="1" x14ac:dyDescent="0.3">
      <c r="B2" s="536" t="s">
        <v>511</v>
      </c>
      <c r="C2" s="523" t="str">
        <f>'выручка по кв и годам'!D1</f>
        <v>I кв. 1 г.</v>
      </c>
      <c r="D2" s="523" t="str">
        <f>'выручка по кв и годам'!E1</f>
        <v>II кв. 1 г.</v>
      </c>
      <c r="E2" s="523" t="str">
        <f>'выручка по кв и годам'!F1</f>
        <v>III кв. 1 г.</v>
      </c>
      <c r="F2" s="523" t="str">
        <f>'выручка по кв и годам'!G1</f>
        <v>IV кв. 1 г.</v>
      </c>
      <c r="G2" s="523" t="str">
        <f>'выручка по кв и годам'!H1</f>
        <v>I кв. 2 г.</v>
      </c>
      <c r="H2" s="523" t="str">
        <f>'выручка по кв и годам'!I1</f>
        <v>II кв. 2 г.</v>
      </c>
      <c r="I2" s="523" t="str">
        <f>'выручка по кв и годам'!J1</f>
        <v>III кв. 2 г.</v>
      </c>
      <c r="J2" s="523" t="str">
        <f>'выручка по кв и годам'!K1</f>
        <v>IV кв. 2 г.</v>
      </c>
      <c r="K2" s="523" t="str">
        <f>'выручка по кв и годам'!L1</f>
        <v>I кв. 3 г.</v>
      </c>
      <c r="L2" s="523" t="str">
        <f>'выручка по кв и годам'!M1</f>
        <v>II кв. 3 г.</v>
      </c>
      <c r="M2" s="523" t="str">
        <f>'выручка по кв и годам'!N1</f>
        <v>III кв. 3 г.</v>
      </c>
      <c r="N2" s="523" t="str">
        <f>'выручка по кв и годам'!O1</f>
        <v>IV кв. 3 г.</v>
      </c>
      <c r="O2" s="523" t="str">
        <f>'выручка по кв и годам'!P1</f>
        <v>I кв. 4 г.</v>
      </c>
      <c r="P2" s="523" t="str">
        <f>'выручка по кв и годам'!Q1</f>
        <v>II кв. 4 г.</v>
      </c>
      <c r="Q2" s="523" t="str">
        <f>'выручка по кв и годам'!R1</f>
        <v>III кв. 4 г.</v>
      </c>
      <c r="R2" s="523" t="str">
        <f>'выручка по кв и годам'!S1</f>
        <v>IV кв. 4 г.</v>
      </c>
      <c r="S2" s="523" t="str">
        <f>'выручка по кв и годам'!T1</f>
        <v>I кв. 5 г.</v>
      </c>
      <c r="T2" s="523" t="str">
        <f>'выручка по кв и годам'!U1</f>
        <v>II кв. 5 г.</v>
      </c>
      <c r="U2" s="523" t="str">
        <f>'выручка по кв и годам'!V1</f>
        <v>III кв. 5 г.</v>
      </c>
      <c r="V2" s="523" t="str">
        <f>'выручка по кв и годам'!W1</f>
        <v>IV кв. 5 г.</v>
      </c>
      <c r="W2" s="523" t="str">
        <f>'выручка по кв и годам'!X1</f>
        <v>I кв. 6 г.</v>
      </c>
      <c r="X2" s="523" t="str">
        <f>'выручка по кв и годам'!Y1</f>
        <v>II кв. 6 г.</v>
      </c>
      <c r="Y2" s="523" t="str">
        <f>'выручка по кв и годам'!Z1</f>
        <v>III кв. 6 г.</v>
      </c>
      <c r="Z2" s="523" t="str">
        <f>'выручка по кв и годам'!AA1</f>
        <v>IV кв. 6 г.</v>
      </c>
      <c r="AA2" s="523" t="str">
        <f>'выручка по кв и годам'!AB1</f>
        <v>I кв. 7 г.</v>
      </c>
      <c r="AB2" s="523" t="str">
        <f>'выручка по кв и годам'!AC1</f>
        <v>II кв. 7 г.</v>
      </c>
      <c r="AC2" s="523" t="str">
        <f>'выручка по кв и годам'!AD1</f>
        <v>III кв. 7 г.</v>
      </c>
      <c r="AD2" s="523" t="str">
        <f>'выручка по кв и годам'!AE1</f>
        <v>IV кв. 7 г.</v>
      </c>
      <c r="AE2" s="523" t="str">
        <f>'выручка по кв и годам'!AF1</f>
        <v>I кв. 8 г.</v>
      </c>
      <c r="AF2" s="523" t="str">
        <f>'выручка по кв и годам'!AG1</f>
        <v>II кв. 8 г.</v>
      </c>
      <c r="AG2" s="523" t="str">
        <f>'выручка по кв и годам'!AH1</f>
        <v>III кв. 8 г.</v>
      </c>
      <c r="AH2" s="523" t="str">
        <f>'выручка по кв и годам'!AI1</f>
        <v>IV кв. 8 г.</v>
      </c>
      <c r="AI2" s="523" t="str">
        <f>'выручка по кв и годам'!AJ1</f>
        <v>I кв. 9 г.</v>
      </c>
      <c r="AJ2" s="523" t="str">
        <f>'выручка по кв и годам'!AK1</f>
        <v>II кв. 9 г.</v>
      </c>
      <c r="AK2" s="523" t="str">
        <f>'выручка по кв и годам'!AL1</f>
        <v>III кв. 9 г.</v>
      </c>
      <c r="AL2" s="523" t="str">
        <f>'выручка по кв и годам'!AM1</f>
        <v>IV кв. 9 г.</v>
      </c>
      <c r="AM2" s="523" t="str">
        <f>'выручка по кв и годам'!AN1</f>
        <v>I кв. 10 г.</v>
      </c>
      <c r="AN2" s="523" t="str">
        <f>'выручка по кв и годам'!AO1</f>
        <v>II кв. 10 г.</v>
      </c>
      <c r="AO2" s="523" t="str">
        <f>'выручка по кв и годам'!AP1</f>
        <v>III кв. 10 г.</v>
      </c>
      <c r="AP2" s="523" t="str">
        <f>'выручка по кв и годам'!AQ1</f>
        <v>IV кв. 10 г.</v>
      </c>
      <c r="AQ2" s="523" t="str">
        <f>'выручка по кв и годам'!AR1</f>
        <v>I кв. 11 г.</v>
      </c>
      <c r="AR2" s="523" t="str">
        <f>'выручка по кв и годам'!AS1</f>
        <v>II кв. 11 г.</v>
      </c>
      <c r="AS2" s="523" t="str">
        <f>'выручка по кв и годам'!AT1</f>
        <v>III кв. 11 г.</v>
      </c>
      <c r="AT2" s="523" t="str">
        <f>'выручка по кв и годам'!AU1</f>
        <v>IV кв. 11 г.</v>
      </c>
    </row>
    <row r="3" spans="1:46" ht="28.8" x14ac:dyDescent="0.3">
      <c r="A3" s="67" t="str">
        <f>'объем работ 100% загр'!A10</f>
        <v>картон для строительных материалов (для гипсокартона)</v>
      </c>
      <c r="B3" s="526" t="s">
        <v>514</v>
      </c>
      <c r="C3" s="63">
        <f>'объем работ 100% загр'!C10</f>
        <v>0</v>
      </c>
      <c r="D3" s="63">
        <f>C3</f>
        <v>0</v>
      </c>
      <c r="E3" s="63">
        <f t="shared" ref="E3:F3" si="0">D3</f>
        <v>0</v>
      </c>
      <c r="F3" s="63">
        <f t="shared" si="0"/>
        <v>0</v>
      </c>
      <c r="G3" s="63">
        <f>'объем работ 100% загр'!D10/4</f>
        <v>1.575</v>
      </c>
      <c r="H3" s="63">
        <f>G3</f>
        <v>1.575</v>
      </c>
      <c r="I3" s="63">
        <f t="shared" ref="I3:J3" si="1">H3</f>
        <v>1.575</v>
      </c>
      <c r="J3" s="63">
        <f t="shared" si="1"/>
        <v>1.575</v>
      </c>
      <c r="K3" s="63">
        <f>'объем работ 100% загр'!E10/4</f>
        <v>2.25</v>
      </c>
      <c r="L3" s="63">
        <f>K3</f>
        <v>2.25</v>
      </c>
      <c r="M3" s="63">
        <f t="shared" ref="M3:N3" si="2">L3</f>
        <v>2.25</v>
      </c>
      <c r="N3" s="63">
        <f t="shared" si="2"/>
        <v>2.25</v>
      </c>
      <c r="O3" s="63">
        <f>'объем работ 100% загр'!F10/4</f>
        <v>2.4000000000000004</v>
      </c>
      <c r="P3" s="63">
        <f>O3</f>
        <v>2.4000000000000004</v>
      </c>
      <c r="Q3" s="63">
        <f t="shared" ref="Q3:R3" si="3">P3</f>
        <v>2.4000000000000004</v>
      </c>
      <c r="R3" s="63">
        <f t="shared" si="3"/>
        <v>2.4000000000000004</v>
      </c>
      <c r="S3" s="63">
        <f>'объем работ 100% загр'!G10/4</f>
        <v>2.8687499999999999</v>
      </c>
      <c r="T3" s="63">
        <f>S3</f>
        <v>2.8687499999999999</v>
      </c>
      <c r="U3" s="63">
        <f t="shared" ref="U3:V3" si="4">T3</f>
        <v>2.8687499999999999</v>
      </c>
      <c r="V3" s="63">
        <f t="shared" si="4"/>
        <v>2.8687499999999999</v>
      </c>
      <c r="W3" s="63">
        <f>'объем работ 100% загр'!H10/4</f>
        <v>3.037500000000001</v>
      </c>
      <c r="X3" s="63">
        <f>W3</f>
        <v>3.037500000000001</v>
      </c>
      <c r="Y3" s="63">
        <f t="shared" ref="Y3:Z3" si="5">X3</f>
        <v>3.037500000000001</v>
      </c>
      <c r="Z3" s="63">
        <f t="shared" si="5"/>
        <v>3.037500000000001</v>
      </c>
      <c r="AA3" s="63">
        <f>'объем работ 100% загр'!I10/4</f>
        <v>3.2062500000000007</v>
      </c>
      <c r="AB3" s="63">
        <f>AA3</f>
        <v>3.2062500000000007</v>
      </c>
      <c r="AC3" s="63">
        <f t="shared" ref="AC3:AD3" si="6">AB3</f>
        <v>3.2062500000000007</v>
      </c>
      <c r="AD3" s="63">
        <f t="shared" si="6"/>
        <v>3.2062500000000007</v>
      </c>
      <c r="AE3" s="63">
        <f>'объем работ 100% загр'!J10/4</f>
        <v>3.3750000000000009</v>
      </c>
      <c r="AF3" s="63">
        <f>AE3</f>
        <v>3.3750000000000009</v>
      </c>
      <c r="AG3" s="63">
        <f t="shared" ref="AG3:AH3" si="7">AF3</f>
        <v>3.3750000000000009</v>
      </c>
      <c r="AH3" s="63">
        <f t="shared" si="7"/>
        <v>3.3750000000000009</v>
      </c>
      <c r="AI3" s="63">
        <f>'объем работ 100% загр'!K10/4</f>
        <v>3.3750000000000009</v>
      </c>
      <c r="AJ3" s="63">
        <f>AI3</f>
        <v>3.3750000000000009</v>
      </c>
      <c r="AK3" s="63">
        <f t="shared" ref="AK3:AL3" si="8">AJ3</f>
        <v>3.3750000000000009</v>
      </c>
      <c r="AL3" s="63">
        <f t="shared" si="8"/>
        <v>3.3750000000000009</v>
      </c>
      <c r="AM3" s="63">
        <f>'объем работ 100% загр'!L10/4</f>
        <v>3.375</v>
      </c>
      <c r="AN3" s="63">
        <f>AM3</f>
        <v>3.375</v>
      </c>
      <c r="AO3" s="63">
        <f t="shared" ref="AO3:AP3" si="9">AN3</f>
        <v>3.375</v>
      </c>
      <c r="AP3" s="63">
        <f t="shared" si="9"/>
        <v>3.375</v>
      </c>
      <c r="AQ3" s="63">
        <f>'объем работ 100% загр'!M10/4</f>
        <v>3.375</v>
      </c>
      <c r="AR3" s="63">
        <f>AQ3</f>
        <v>3.375</v>
      </c>
      <c r="AS3" s="63">
        <f t="shared" ref="AS3:AT3" si="10">AR3</f>
        <v>3.375</v>
      </c>
      <c r="AT3" s="63">
        <f t="shared" si="10"/>
        <v>3.375</v>
      </c>
    </row>
    <row r="6" spans="1:46" x14ac:dyDescent="0.3">
      <c r="A6" s="524" t="s">
        <v>513</v>
      </c>
      <c r="B6" s="524" t="s">
        <v>514</v>
      </c>
      <c r="C6" s="63">
        <f>C3*допущения!$C$71</f>
        <v>0</v>
      </c>
      <c r="D6" s="63">
        <f>D3*допущения!$C$71</f>
        <v>0</v>
      </c>
      <c r="E6" s="63">
        <f>E3*допущения!$C$71</f>
        <v>0</v>
      </c>
      <c r="F6" s="63">
        <f>F3*допущения!$C$71</f>
        <v>0</v>
      </c>
      <c r="G6" s="63">
        <f>G3*допущения!$C$71</f>
        <v>1.7325000000000002</v>
      </c>
      <c r="H6" s="63">
        <f>H3*допущения!$C$71</f>
        <v>1.7325000000000002</v>
      </c>
      <c r="I6" s="63">
        <f>I3*допущения!$C$71</f>
        <v>1.7325000000000002</v>
      </c>
      <c r="J6" s="63">
        <f>J3*допущения!$C$71</f>
        <v>1.7325000000000002</v>
      </c>
      <c r="K6" s="63">
        <f>K3*допущения!$C$71</f>
        <v>2.4750000000000001</v>
      </c>
      <c r="L6" s="63">
        <f>L3*допущения!$C$71</f>
        <v>2.4750000000000001</v>
      </c>
      <c r="M6" s="63">
        <f>M3*допущения!$C$71</f>
        <v>2.4750000000000001</v>
      </c>
      <c r="N6" s="63">
        <f>N3*допущения!$C$71</f>
        <v>2.4750000000000001</v>
      </c>
      <c r="O6" s="63">
        <f>O3*допущения!$C$71</f>
        <v>2.6400000000000006</v>
      </c>
      <c r="P6" s="63">
        <f>P3*допущения!$C$71</f>
        <v>2.6400000000000006</v>
      </c>
      <c r="Q6" s="63">
        <f>Q3*допущения!$C$71</f>
        <v>2.6400000000000006</v>
      </c>
      <c r="R6" s="63">
        <f>R3*допущения!$C$71</f>
        <v>2.6400000000000006</v>
      </c>
      <c r="S6" s="63">
        <f>S3*допущения!$C$71</f>
        <v>3.1556250000000001</v>
      </c>
      <c r="T6" s="63">
        <f>T3*допущения!$C$71</f>
        <v>3.1556250000000001</v>
      </c>
      <c r="U6" s="63">
        <f>U3*допущения!$C$71</f>
        <v>3.1556250000000001</v>
      </c>
      <c r="V6" s="63">
        <f>V3*допущения!$C$71</f>
        <v>3.1556250000000001</v>
      </c>
      <c r="W6" s="63">
        <f>W3*допущения!$C$71</f>
        <v>3.3412500000000014</v>
      </c>
      <c r="X6" s="63">
        <f>X3*допущения!$C$71</f>
        <v>3.3412500000000014</v>
      </c>
      <c r="Y6" s="63">
        <f>Y3*допущения!$C$71</f>
        <v>3.3412500000000014</v>
      </c>
      <c r="Z6" s="63">
        <f>Z3*допущения!$C$71</f>
        <v>3.3412500000000014</v>
      </c>
      <c r="AA6" s="63">
        <f>AA3*допущения!$C$71</f>
        <v>3.5268750000000009</v>
      </c>
      <c r="AB6" s="63">
        <f>AB3*допущения!$C$71</f>
        <v>3.5268750000000009</v>
      </c>
      <c r="AC6" s="63">
        <f>AC3*допущения!$C$71</f>
        <v>3.5268750000000009</v>
      </c>
      <c r="AD6" s="63">
        <f>AD3*допущения!$C$71</f>
        <v>3.5268750000000009</v>
      </c>
      <c r="AE6" s="63">
        <f>AE3*допущения!$C$71</f>
        <v>3.7125000000000012</v>
      </c>
      <c r="AF6" s="63">
        <f>AF3*допущения!$C$71</f>
        <v>3.7125000000000012</v>
      </c>
      <c r="AG6" s="63">
        <f>AG3*допущения!$C$71</f>
        <v>3.7125000000000012</v>
      </c>
      <c r="AH6" s="63">
        <f>AH3*допущения!$C$71</f>
        <v>3.7125000000000012</v>
      </c>
      <c r="AI6" s="63">
        <f>AI3*допущения!$C$71</f>
        <v>3.7125000000000012</v>
      </c>
      <c r="AJ6" s="63">
        <f>AJ3*допущения!$C$71</f>
        <v>3.7125000000000012</v>
      </c>
      <c r="AK6" s="63">
        <f>AK3*допущения!$C$71</f>
        <v>3.7125000000000012</v>
      </c>
      <c r="AL6" s="63">
        <f>AL3*допущения!$C$71</f>
        <v>3.7125000000000012</v>
      </c>
      <c r="AM6" s="63">
        <f>AM3*допущения!$C$71</f>
        <v>3.7125000000000004</v>
      </c>
      <c r="AN6" s="63">
        <f>AN3*допущения!$C$71</f>
        <v>3.7125000000000004</v>
      </c>
      <c r="AO6" s="63">
        <f>AO3*допущения!$C$71</f>
        <v>3.7125000000000004</v>
      </c>
      <c r="AP6" s="63">
        <f>AP3*допущения!$C$71</f>
        <v>3.7125000000000004</v>
      </c>
      <c r="AQ6" s="63">
        <f>AQ3*допущения!$C$71</f>
        <v>3.7125000000000004</v>
      </c>
      <c r="AR6" s="63">
        <f>AR3*допущения!$C$71</f>
        <v>3.7125000000000004</v>
      </c>
      <c r="AS6" s="63">
        <f>AS3*допущения!$C$71</f>
        <v>3.7125000000000004</v>
      </c>
      <c r="AT6" s="63">
        <f>AT3*допущения!$C$71</f>
        <v>3.7125000000000004</v>
      </c>
    </row>
    <row r="7" spans="1:46" x14ac:dyDescent="0.3">
      <c r="A7" s="526" t="s">
        <v>547</v>
      </c>
      <c r="B7" s="533" t="s">
        <v>541</v>
      </c>
      <c r="G7" s="63">
        <f>G3*допущения!$C$72*1000</f>
        <v>31500</v>
      </c>
      <c r="H7" s="63">
        <f>H3*допущения!$C$72*1000</f>
        <v>31500</v>
      </c>
      <c r="I7" s="63">
        <f>I3*допущения!$C$72*1000</f>
        <v>31500</v>
      </c>
      <c r="J7" s="63">
        <f>J3*допущения!$C$72*1000</f>
        <v>31500</v>
      </c>
      <c r="K7" s="63">
        <f>K3*допущения!$C$72*1000</f>
        <v>45000</v>
      </c>
      <c r="L7" s="63">
        <f>L3*допущения!$C$72*1000</f>
        <v>45000</v>
      </c>
      <c r="M7" s="63">
        <f>M3*допущения!$C$72*1000</f>
        <v>45000</v>
      </c>
      <c r="N7" s="63">
        <f>N3*допущения!$C$72*1000</f>
        <v>45000</v>
      </c>
      <c r="O7" s="63">
        <f>O3*допущения!$C$72*1000</f>
        <v>48000.000000000007</v>
      </c>
      <c r="P7" s="63">
        <f>P3*допущения!$C$72*1000</f>
        <v>48000.000000000007</v>
      </c>
      <c r="Q7" s="63">
        <f>Q3*допущения!$C$72*1000</f>
        <v>48000.000000000007</v>
      </c>
      <c r="R7" s="63">
        <f>R3*допущения!$C$72*1000</f>
        <v>48000.000000000007</v>
      </c>
      <c r="S7" s="63">
        <f>S3*допущения!$C$72*1000</f>
        <v>57375</v>
      </c>
      <c r="T7" s="63">
        <f>T3*допущения!$C$72*1000</f>
        <v>57375</v>
      </c>
      <c r="U7" s="63">
        <f>U3*допущения!$C$72*1000</f>
        <v>57375</v>
      </c>
      <c r="V7" s="63">
        <f>V3*допущения!$C$72*1000</f>
        <v>57375</v>
      </c>
      <c r="W7" s="63">
        <f>W3*допущения!$C$72*1000</f>
        <v>60750.000000000022</v>
      </c>
      <c r="X7" s="63">
        <f>X3*допущения!$C$72*1000</f>
        <v>60750.000000000022</v>
      </c>
      <c r="Y7" s="63">
        <f>Y3*допущения!$C$72*1000</f>
        <v>60750.000000000022</v>
      </c>
      <c r="Z7" s="63">
        <f>Z3*допущения!$C$72*1000</f>
        <v>60750.000000000022</v>
      </c>
      <c r="AA7" s="63">
        <f>AA3*допущения!$C$72*1000</f>
        <v>64125.000000000015</v>
      </c>
      <c r="AB7" s="63">
        <f>AB3*допущения!$C$72*1000</f>
        <v>64125.000000000015</v>
      </c>
      <c r="AC7" s="63">
        <f>AC3*допущения!$C$72*1000</f>
        <v>64125.000000000015</v>
      </c>
      <c r="AD7" s="63">
        <f>AD3*допущения!$C$72*1000</f>
        <v>64125.000000000015</v>
      </c>
      <c r="AE7" s="63">
        <f>AE3*допущения!$C$72*1000</f>
        <v>67500.000000000015</v>
      </c>
      <c r="AF7" s="63">
        <f>AF3*допущения!$C$72*1000</f>
        <v>67500.000000000015</v>
      </c>
      <c r="AG7" s="63">
        <f>AG3*допущения!$C$72*1000</f>
        <v>67500.000000000015</v>
      </c>
      <c r="AH7" s="63">
        <f>AH3*допущения!$C$72*1000</f>
        <v>67500.000000000015</v>
      </c>
      <c r="AI7" s="63">
        <f>AI3*допущения!$C$72*1000</f>
        <v>67500.000000000015</v>
      </c>
      <c r="AJ7" s="63">
        <f>AJ3*допущения!$C$72*1000</f>
        <v>67500.000000000015</v>
      </c>
      <c r="AK7" s="63">
        <f>AK3*допущения!$C$72*1000</f>
        <v>67500.000000000015</v>
      </c>
      <c r="AL7" s="63">
        <f>AL3*допущения!$C$72*1000</f>
        <v>67500.000000000015</v>
      </c>
      <c r="AM7" s="63">
        <f>AM3*допущения!$C$72*1000</f>
        <v>67500</v>
      </c>
      <c r="AN7" s="63">
        <f>AN3*допущения!$C$72*1000</f>
        <v>67500</v>
      </c>
      <c r="AO7" s="63">
        <f>AO3*допущения!$C$72*1000</f>
        <v>67500</v>
      </c>
      <c r="AP7" s="63">
        <f>AP3*допущения!$C$72*1000</f>
        <v>67500</v>
      </c>
      <c r="AQ7" s="63">
        <f>AQ3*допущения!$C$72*1000</f>
        <v>67500</v>
      </c>
      <c r="AR7" s="63">
        <f>AR3*допущения!$C$72*1000</f>
        <v>67500</v>
      </c>
      <c r="AS7" s="63">
        <f>AS3*допущения!$C$72*1000</f>
        <v>67500</v>
      </c>
      <c r="AT7" s="63">
        <f>AT3*допущения!$C$72*1000</f>
        <v>67500</v>
      </c>
    </row>
    <row r="8" spans="1:46" x14ac:dyDescent="0.3">
      <c r="A8" s="524" t="s">
        <v>515</v>
      </c>
      <c r="B8" s="526" t="s">
        <v>542</v>
      </c>
      <c r="G8" s="63">
        <f>допущения!$C$73*Себестоимость!G3*1000</f>
        <v>1260000</v>
      </c>
      <c r="H8" s="63">
        <f>допущения!$C$73*Себестоимость!H3*1000</f>
        <v>1260000</v>
      </c>
      <c r="I8" s="63">
        <f>допущения!$C$73*Себестоимость!I3*1000</f>
        <v>1260000</v>
      </c>
      <c r="J8" s="63">
        <f>допущения!$C$73*Себестоимость!J3*1000</f>
        <v>1260000</v>
      </c>
      <c r="K8" s="63">
        <f>допущения!$C$73*Себестоимость!K3*1000</f>
        <v>1800000</v>
      </c>
      <c r="L8" s="63">
        <f>допущения!$C$73*Себестоимость!L3*1000</f>
        <v>1800000</v>
      </c>
      <c r="M8" s="63">
        <f>допущения!$C$73*Себестоимость!M3*1000</f>
        <v>1800000</v>
      </c>
      <c r="N8" s="63">
        <f>допущения!$C$73*Себестоимость!N3*1000</f>
        <v>1800000</v>
      </c>
      <c r="O8" s="63">
        <f>допущения!$C$73*Себестоимость!O3*1000</f>
        <v>1920000.0000000002</v>
      </c>
      <c r="P8" s="63">
        <f>допущения!$C$73*Себестоимость!P3*1000</f>
        <v>1920000.0000000002</v>
      </c>
      <c r="Q8" s="63">
        <f>допущения!$C$73*Себестоимость!Q3*1000</f>
        <v>1920000.0000000002</v>
      </c>
      <c r="R8" s="63">
        <f>допущения!$C$73*Себестоимость!R3*1000</f>
        <v>1920000.0000000002</v>
      </c>
      <c r="S8" s="63">
        <f>допущения!$C$73*Себестоимость!S3*1000</f>
        <v>2295000</v>
      </c>
      <c r="T8" s="63">
        <f>допущения!$C$73*Себестоимость!T3*1000</f>
        <v>2295000</v>
      </c>
      <c r="U8" s="63">
        <f>допущения!$C$73*Себестоимость!U3*1000</f>
        <v>2295000</v>
      </c>
      <c r="V8" s="63">
        <f>допущения!$C$73*Себестоимость!V3*1000</f>
        <v>2295000</v>
      </c>
      <c r="W8" s="63">
        <f>допущения!$C$73*Себестоимость!W3*1000</f>
        <v>2430000.0000000009</v>
      </c>
      <c r="X8" s="63">
        <f>допущения!$C$73*Себестоимость!X3*1000</f>
        <v>2430000.0000000009</v>
      </c>
      <c r="Y8" s="63">
        <f>допущения!$C$73*Себестоимость!Y3*1000</f>
        <v>2430000.0000000009</v>
      </c>
      <c r="Z8" s="63">
        <f>допущения!$C$73*Себестоимость!Z3*1000</f>
        <v>2430000.0000000009</v>
      </c>
      <c r="AA8" s="63">
        <f>допущения!$C$73*Себестоимость!AA3*1000</f>
        <v>2565000.0000000005</v>
      </c>
      <c r="AB8" s="63">
        <f>допущения!$C$73*Себестоимость!AB3*1000</f>
        <v>2565000.0000000005</v>
      </c>
      <c r="AC8" s="63">
        <f>допущения!$C$73*Себестоимость!AC3*1000</f>
        <v>2565000.0000000005</v>
      </c>
      <c r="AD8" s="63">
        <f>допущения!$C$73*Себестоимость!AD3*1000</f>
        <v>2565000.0000000005</v>
      </c>
      <c r="AE8" s="63">
        <f>допущения!$C$73*Себестоимость!AE3*1000</f>
        <v>2700000.0000000009</v>
      </c>
      <c r="AF8" s="63">
        <f>допущения!$C$73*Себестоимость!AF3*1000</f>
        <v>2700000.0000000009</v>
      </c>
      <c r="AG8" s="63">
        <f>допущения!$C$73*Себестоимость!AG3*1000</f>
        <v>2700000.0000000009</v>
      </c>
      <c r="AH8" s="63">
        <f>допущения!$C$73*Себестоимость!AH3*1000</f>
        <v>2700000.0000000009</v>
      </c>
      <c r="AI8" s="63">
        <f>допущения!$C$73*Себестоимость!AI3*1000</f>
        <v>2700000.0000000009</v>
      </c>
      <c r="AJ8" s="63">
        <f>допущения!$C$73*Себестоимость!AJ3*1000</f>
        <v>2700000.0000000009</v>
      </c>
      <c r="AK8" s="63">
        <f>допущения!$C$73*Себестоимость!AK3*1000</f>
        <v>2700000.0000000009</v>
      </c>
      <c r="AL8" s="63">
        <f>допущения!$C$73*Себестоимость!AL3*1000</f>
        <v>2700000.0000000009</v>
      </c>
      <c r="AM8" s="63">
        <f>допущения!$C$73*Себестоимость!AM3*1000</f>
        <v>2700000</v>
      </c>
      <c r="AN8" s="63">
        <f>допущения!$C$73*Себестоимость!AN3*1000</f>
        <v>2700000</v>
      </c>
      <c r="AO8" s="63">
        <f>допущения!$C$73*Себестоимость!AO3*1000</f>
        <v>2700000</v>
      </c>
      <c r="AP8" s="63">
        <f>допущения!$C$73*Себестоимость!AP3*1000</f>
        <v>2700000</v>
      </c>
      <c r="AQ8" s="63">
        <f>допущения!$C$73*Себестоимость!AQ3*1000</f>
        <v>2700000</v>
      </c>
      <c r="AR8" s="63">
        <f>допущения!$C$73*Себестоимость!AR3*1000</f>
        <v>2700000</v>
      </c>
      <c r="AS8" s="63">
        <f>допущения!$C$73*Себестоимость!AS3*1000</f>
        <v>2700000</v>
      </c>
      <c r="AT8" s="63">
        <f>допущения!$C$73*Себестоимость!AT3*1000</f>
        <v>2700000</v>
      </c>
    </row>
    <row r="9" spans="1:46" x14ac:dyDescent="0.3">
      <c r="A9" s="524" t="s">
        <v>516</v>
      </c>
      <c r="B9" s="526" t="s">
        <v>514</v>
      </c>
      <c r="G9" s="63">
        <f>G3*допущения!$C$75</f>
        <v>3150</v>
      </c>
      <c r="H9" s="63">
        <f>H3*допущения!$C$75</f>
        <v>3150</v>
      </c>
      <c r="I9" s="63">
        <f>I3*допущения!$C$75</f>
        <v>3150</v>
      </c>
      <c r="J9" s="63">
        <f>J3*допущения!$C$75</f>
        <v>3150</v>
      </c>
      <c r="K9" s="63">
        <f>K3*допущения!$C$75</f>
        <v>4500</v>
      </c>
      <c r="L9" s="63">
        <f>L3*допущения!$C$75</f>
        <v>4500</v>
      </c>
      <c r="M9" s="63">
        <f>M3*допущения!$C$75</f>
        <v>4500</v>
      </c>
      <c r="N9" s="63">
        <f>N3*допущения!$C$75</f>
        <v>4500</v>
      </c>
      <c r="O9" s="63">
        <f>O3*допущения!$C$75</f>
        <v>4800.0000000000009</v>
      </c>
      <c r="P9" s="63">
        <f>P3*допущения!$C$75</f>
        <v>4800.0000000000009</v>
      </c>
      <c r="Q9" s="63">
        <f>Q3*допущения!$C$75</f>
        <v>4800.0000000000009</v>
      </c>
      <c r="R9" s="63">
        <f>R3*допущения!$C$75</f>
        <v>4800.0000000000009</v>
      </c>
      <c r="S9" s="63">
        <f>S3*допущения!$C$75</f>
        <v>5737.5</v>
      </c>
      <c r="T9" s="63">
        <f>T3*допущения!$C$75</f>
        <v>5737.5</v>
      </c>
      <c r="U9" s="63">
        <f>U3*допущения!$C$75</f>
        <v>5737.5</v>
      </c>
      <c r="V9" s="63">
        <f>V3*допущения!$C$75</f>
        <v>5737.5</v>
      </c>
      <c r="W9" s="63">
        <f>W3*допущения!$C$75</f>
        <v>6075.0000000000018</v>
      </c>
      <c r="X9" s="63">
        <f>X3*допущения!$C$75</f>
        <v>6075.0000000000018</v>
      </c>
      <c r="Y9" s="63">
        <f>Y3*допущения!$C$75</f>
        <v>6075.0000000000018</v>
      </c>
      <c r="Z9" s="63">
        <f>Z3*допущения!$C$75</f>
        <v>6075.0000000000018</v>
      </c>
      <c r="AA9" s="63">
        <f>AA3*допущения!$C$75</f>
        <v>6412.5000000000018</v>
      </c>
      <c r="AB9" s="63">
        <f>AB3*допущения!$C$75</f>
        <v>6412.5000000000018</v>
      </c>
      <c r="AC9" s="63">
        <f>AC3*допущения!$C$75</f>
        <v>6412.5000000000018</v>
      </c>
      <c r="AD9" s="63">
        <f>AD3*допущения!$C$75</f>
        <v>6412.5000000000018</v>
      </c>
      <c r="AE9" s="63">
        <f>AE3*допущения!$C$75</f>
        <v>6750.0000000000018</v>
      </c>
      <c r="AF9" s="63">
        <f>AF3*допущения!$C$75</f>
        <v>6750.0000000000018</v>
      </c>
      <c r="AG9" s="63">
        <f>AG3*допущения!$C$75</f>
        <v>6750.0000000000018</v>
      </c>
      <c r="AH9" s="63">
        <f>AH3*допущения!$C$75</f>
        <v>6750.0000000000018</v>
      </c>
      <c r="AI9" s="63">
        <f>AI3*допущения!$C$75</f>
        <v>6750.0000000000018</v>
      </c>
      <c r="AJ9" s="63">
        <f>AJ3*допущения!$C$75</f>
        <v>6750.0000000000018</v>
      </c>
      <c r="AK9" s="63">
        <f>AK3*допущения!$C$75</f>
        <v>6750.0000000000018</v>
      </c>
      <c r="AL9" s="63">
        <f>AL3*допущения!$C$75</f>
        <v>6750.0000000000018</v>
      </c>
      <c r="AM9" s="63">
        <f>AM3*допущения!$C$75</f>
        <v>6750</v>
      </c>
      <c r="AN9" s="63">
        <f>AN3*допущения!$C$75</f>
        <v>6750</v>
      </c>
      <c r="AO9" s="63">
        <f>AO3*допущения!$C$75</f>
        <v>6750</v>
      </c>
      <c r="AP9" s="63">
        <f>AP3*допущения!$C$75</f>
        <v>6750</v>
      </c>
      <c r="AQ9" s="63">
        <f>AQ3*допущения!$C$75</f>
        <v>6750</v>
      </c>
      <c r="AR9" s="63">
        <f>AR3*допущения!$C$75</f>
        <v>6750</v>
      </c>
      <c r="AS9" s="63">
        <f>AS3*допущения!$C$75</f>
        <v>6750</v>
      </c>
      <c r="AT9" s="63">
        <f>AT3*допущения!$C$75</f>
        <v>6750</v>
      </c>
    </row>
    <row r="11" spans="1:46" s="523" customFormat="1" x14ac:dyDescent="0.3">
      <c r="A11" s="522" t="s">
        <v>543</v>
      </c>
      <c r="C11" s="523" t="str">
        <f>C2</f>
        <v>I кв. 1 г.</v>
      </c>
      <c r="D11" s="523" t="str">
        <f t="shared" ref="D11:AT11" si="11">D2</f>
        <v>II кв. 1 г.</v>
      </c>
      <c r="E11" s="523" t="str">
        <f t="shared" si="11"/>
        <v>III кв. 1 г.</v>
      </c>
      <c r="F11" s="523" t="str">
        <f t="shared" si="11"/>
        <v>IV кв. 1 г.</v>
      </c>
      <c r="G11" s="523" t="str">
        <f t="shared" si="11"/>
        <v>I кв. 2 г.</v>
      </c>
      <c r="H11" s="523" t="str">
        <f t="shared" si="11"/>
        <v>II кв. 2 г.</v>
      </c>
      <c r="I11" s="523" t="str">
        <f t="shared" si="11"/>
        <v>III кв. 2 г.</v>
      </c>
      <c r="J11" s="523" t="str">
        <f t="shared" si="11"/>
        <v>IV кв. 2 г.</v>
      </c>
      <c r="K11" s="523" t="str">
        <f t="shared" si="11"/>
        <v>I кв. 3 г.</v>
      </c>
      <c r="L11" s="523" t="str">
        <f t="shared" si="11"/>
        <v>II кв. 3 г.</v>
      </c>
      <c r="M11" s="523" t="str">
        <f t="shared" si="11"/>
        <v>III кв. 3 г.</v>
      </c>
      <c r="N11" s="523" t="str">
        <f t="shared" si="11"/>
        <v>IV кв. 3 г.</v>
      </c>
      <c r="O11" s="523" t="str">
        <f t="shared" si="11"/>
        <v>I кв. 4 г.</v>
      </c>
      <c r="P11" s="523" t="str">
        <f t="shared" si="11"/>
        <v>II кв. 4 г.</v>
      </c>
      <c r="Q11" s="523" t="str">
        <f t="shared" si="11"/>
        <v>III кв. 4 г.</v>
      </c>
      <c r="R11" s="523" t="str">
        <f t="shared" si="11"/>
        <v>IV кв. 4 г.</v>
      </c>
      <c r="S11" s="523" t="str">
        <f t="shared" si="11"/>
        <v>I кв. 5 г.</v>
      </c>
      <c r="T11" s="523" t="str">
        <f t="shared" si="11"/>
        <v>II кв. 5 г.</v>
      </c>
      <c r="U11" s="523" t="str">
        <f t="shared" si="11"/>
        <v>III кв. 5 г.</v>
      </c>
      <c r="V11" s="523" t="str">
        <f t="shared" si="11"/>
        <v>IV кв. 5 г.</v>
      </c>
      <c r="W11" s="523" t="str">
        <f t="shared" si="11"/>
        <v>I кв. 6 г.</v>
      </c>
      <c r="X11" s="523" t="str">
        <f t="shared" si="11"/>
        <v>II кв. 6 г.</v>
      </c>
      <c r="Y11" s="523" t="str">
        <f t="shared" si="11"/>
        <v>III кв. 6 г.</v>
      </c>
      <c r="Z11" s="523" t="str">
        <f t="shared" si="11"/>
        <v>IV кв. 6 г.</v>
      </c>
      <c r="AA11" s="523" t="str">
        <f t="shared" si="11"/>
        <v>I кв. 7 г.</v>
      </c>
      <c r="AB11" s="523" t="str">
        <f t="shared" si="11"/>
        <v>II кв. 7 г.</v>
      </c>
      <c r="AC11" s="523" t="str">
        <f t="shared" si="11"/>
        <v>III кв. 7 г.</v>
      </c>
      <c r="AD11" s="523" t="str">
        <f t="shared" si="11"/>
        <v>IV кв. 7 г.</v>
      </c>
      <c r="AE11" s="523" t="str">
        <f t="shared" si="11"/>
        <v>I кв. 8 г.</v>
      </c>
      <c r="AF11" s="523" t="str">
        <f t="shared" si="11"/>
        <v>II кв. 8 г.</v>
      </c>
      <c r="AG11" s="523" t="str">
        <f t="shared" si="11"/>
        <v>III кв. 8 г.</v>
      </c>
      <c r="AH11" s="523" t="str">
        <f t="shared" si="11"/>
        <v>IV кв. 8 г.</v>
      </c>
      <c r="AI11" s="523" t="str">
        <f t="shared" si="11"/>
        <v>I кв. 9 г.</v>
      </c>
      <c r="AJ11" s="523" t="str">
        <f t="shared" si="11"/>
        <v>II кв. 9 г.</v>
      </c>
      <c r="AK11" s="523" t="str">
        <f t="shared" si="11"/>
        <v>III кв. 9 г.</v>
      </c>
      <c r="AL11" s="523" t="str">
        <f t="shared" si="11"/>
        <v>IV кв. 9 г.</v>
      </c>
      <c r="AM11" s="523" t="str">
        <f t="shared" si="11"/>
        <v>I кв. 10 г.</v>
      </c>
      <c r="AN11" s="523" t="str">
        <f t="shared" si="11"/>
        <v>II кв. 10 г.</v>
      </c>
      <c r="AO11" s="523" t="str">
        <f t="shared" si="11"/>
        <v>III кв. 10 г.</v>
      </c>
      <c r="AP11" s="523" t="str">
        <f t="shared" si="11"/>
        <v>IV кв. 10 г.</v>
      </c>
      <c r="AQ11" s="523" t="str">
        <f t="shared" si="11"/>
        <v>I кв. 11 г.</v>
      </c>
      <c r="AR11" s="523" t="str">
        <f t="shared" si="11"/>
        <v>II кв. 11 г.</v>
      </c>
      <c r="AS11" s="523" t="str">
        <f t="shared" si="11"/>
        <v>III кв. 11 г.</v>
      </c>
      <c r="AT11" s="523" t="str">
        <f t="shared" si="11"/>
        <v>IV кв. 11 г.</v>
      </c>
    </row>
    <row r="12" spans="1:46" x14ac:dyDescent="0.3">
      <c r="A12" s="524" t="s">
        <v>548</v>
      </c>
      <c r="B12" s="524" t="s">
        <v>512</v>
      </c>
      <c r="C12" s="63">
        <f>C6*допущения!$C$70*1000</f>
        <v>0</v>
      </c>
      <c r="D12" s="63">
        <f>D6*допущения!$C$70</f>
        <v>0</v>
      </c>
      <c r="E12" s="63">
        <f>E6*допущения!$C$70</f>
        <v>0</v>
      </c>
      <c r="F12" s="63">
        <f>F6*допущения!$C$70</f>
        <v>0</v>
      </c>
      <c r="G12" s="63">
        <f>G6*допущения!$C$70*1000</f>
        <v>12993.75</v>
      </c>
      <c r="H12" s="63">
        <f>H6*допущения!$C$70*1000</f>
        <v>12993.75</v>
      </c>
      <c r="I12" s="63">
        <f>I6*допущения!$C$70*1000</f>
        <v>12993.75</v>
      </c>
      <c r="J12" s="63">
        <f>J6*допущения!$C$70*1000</f>
        <v>12993.75</v>
      </c>
      <c r="K12" s="63">
        <f>K6*допущения!$C$70*1000</f>
        <v>18562.5</v>
      </c>
      <c r="L12" s="63">
        <f>L6*допущения!$C$70*1000</f>
        <v>18562.5</v>
      </c>
      <c r="M12" s="63">
        <f>M6*допущения!$C$70*1000</f>
        <v>18562.5</v>
      </c>
      <c r="N12" s="63">
        <f>N6*допущения!$C$70*1000</f>
        <v>18562.5</v>
      </c>
      <c r="O12" s="63">
        <f>O6*допущения!$C$70*1000</f>
        <v>19800.000000000004</v>
      </c>
      <c r="P12" s="63">
        <f>P6*допущения!$C$70*1000</f>
        <v>19800.000000000004</v>
      </c>
      <c r="Q12" s="63">
        <f>Q6*допущения!$C$70*1000</f>
        <v>19800.000000000004</v>
      </c>
      <c r="R12" s="63">
        <f>R6*допущения!$C$70*1000</f>
        <v>19800.000000000004</v>
      </c>
      <c r="S12" s="63">
        <f>S6*допущения!$C$70*1000</f>
        <v>23667.1875</v>
      </c>
      <c r="T12" s="63">
        <f>T6*допущения!$C$70*1000</f>
        <v>23667.1875</v>
      </c>
      <c r="U12" s="63">
        <f>U6*допущения!$C$70*1000</f>
        <v>23667.1875</v>
      </c>
      <c r="V12" s="63">
        <f>V6*допущения!$C$70*1000</f>
        <v>23667.1875</v>
      </c>
      <c r="W12" s="63">
        <f>W6*допущения!$C$70*1000</f>
        <v>25059.375000000011</v>
      </c>
      <c r="X12" s="63">
        <f>X6*допущения!$C$70*1000</f>
        <v>25059.375000000011</v>
      </c>
      <c r="Y12" s="63">
        <f>Y6*допущения!$C$70*1000</f>
        <v>25059.375000000011</v>
      </c>
      <c r="Z12" s="63">
        <f>Z6*допущения!$C$70*1000</f>
        <v>25059.375000000011</v>
      </c>
      <c r="AA12" s="63">
        <f>AA6*допущения!$C$70*1000</f>
        <v>26451.562500000004</v>
      </c>
      <c r="AB12" s="63">
        <f>AB6*допущения!$C$70*1000</f>
        <v>26451.562500000004</v>
      </c>
      <c r="AC12" s="63">
        <f>AC6*допущения!$C$70*1000</f>
        <v>26451.562500000004</v>
      </c>
      <c r="AD12" s="63">
        <f>AD6*допущения!$C$70*1000</f>
        <v>26451.562500000004</v>
      </c>
      <c r="AE12" s="63">
        <f>AE6*допущения!$C$70*1000</f>
        <v>27843.750000000011</v>
      </c>
      <c r="AF12" s="63">
        <f>AF6*допущения!$C$70*1000</f>
        <v>27843.750000000011</v>
      </c>
      <c r="AG12" s="63">
        <f>AG6*допущения!$C$70*1000</f>
        <v>27843.750000000011</v>
      </c>
      <c r="AH12" s="63">
        <f>AH6*допущения!$C$70*1000</f>
        <v>27843.750000000011</v>
      </c>
      <c r="AI12" s="63">
        <f>AI6*допущения!$C$70*1000</f>
        <v>27843.750000000011</v>
      </c>
      <c r="AJ12" s="63">
        <f>AJ6*допущения!$C$70*1000</f>
        <v>27843.750000000011</v>
      </c>
      <c r="AK12" s="63">
        <f>AK6*допущения!$C$70*1000</f>
        <v>27843.750000000011</v>
      </c>
      <c r="AL12" s="63">
        <f>AL6*допущения!$C$70*1000</f>
        <v>27843.750000000011</v>
      </c>
      <c r="AM12" s="63">
        <f>AM6*допущения!$C$70*1000</f>
        <v>27843.750000000004</v>
      </c>
      <c r="AN12" s="63">
        <f>AN6*допущения!$C$70*1000</f>
        <v>27843.750000000004</v>
      </c>
      <c r="AO12" s="63">
        <f>AO6*допущения!$C$70*1000</f>
        <v>27843.750000000004</v>
      </c>
      <c r="AP12" s="63">
        <f>AP6*допущения!$C$70*1000</f>
        <v>27843.750000000004</v>
      </c>
      <c r="AQ12" s="63">
        <f>AQ6*допущения!$C$70*1000</f>
        <v>27843.750000000004</v>
      </c>
      <c r="AR12" s="63">
        <f>AR6*допущения!$C$70*1000</f>
        <v>27843.750000000004</v>
      </c>
      <c r="AS12" s="63">
        <f>AS6*допущения!$C$70*1000</f>
        <v>27843.750000000004</v>
      </c>
      <c r="AT12" s="63">
        <f>AT6*допущения!$C$70*1000</f>
        <v>27843.750000000004</v>
      </c>
    </row>
    <row r="13" spans="1:46" ht="28.8" x14ac:dyDescent="0.3">
      <c r="A13" s="532" t="str">
        <f>'Расходы ТОР'!A5</f>
        <v>Расходы на спецодежду, средства защиты</v>
      </c>
      <c r="B13" s="524" t="s">
        <v>512</v>
      </c>
      <c r="C13" s="63">
        <f>'Расходы ТОР'!B5</f>
        <v>0</v>
      </c>
      <c r="D13" s="63">
        <f>'Расходы ТОР'!C5</f>
        <v>0</v>
      </c>
      <c r="E13" s="63">
        <f>'Расходы ТОР'!D5</f>
        <v>0</v>
      </c>
      <c r="F13" s="63">
        <f>'Расходы ТОР'!E5</f>
        <v>0</v>
      </c>
      <c r="G13" s="63">
        <f>'Расходы ТОР'!F5</f>
        <v>38.50365</v>
      </c>
      <c r="H13" s="63">
        <f>'Расходы ТОР'!G5</f>
        <v>38.50365</v>
      </c>
      <c r="I13" s="63">
        <f>'Расходы ТОР'!H5</f>
        <v>38.50365</v>
      </c>
      <c r="J13" s="63">
        <f>'Расходы ТОР'!I5</f>
        <v>38.50365</v>
      </c>
      <c r="K13" s="63">
        <f>'Расходы ТОР'!J5</f>
        <v>41.198905500000002</v>
      </c>
      <c r="L13" s="63">
        <f>'Расходы ТОР'!K5</f>
        <v>41.198905500000002</v>
      </c>
      <c r="M13" s="63">
        <f>'Расходы ТОР'!L5</f>
        <v>41.198905500000002</v>
      </c>
      <c r="N13" s="63">
        <f>'Расходы ТОР'!M5</f>
        <v>41.198905500000002</v>
      </c>
      <c r="O13" s="63">
        <f>'Расходы ТОР'!N5</f>
        <v>44.082828885000005</v>
      </c>
      <c r="P13" s="63">
        <f>'Расходы ТОР'!O5</f>
        <v>44.082828885000005</v>
      </c>
      <c r="Q13" s="63">
        <f>'Расходы ТОР'!P5</f>
        <v>44.082828885000005</v>
      </c>
      <c r="R13" s="63">
        <f>'Расходы ТОР'!Q5</f>
        <v>44.082828885000005</v>
      </c>
      <c r="S13" s="63">
        <f>'Расходы ТОР'!R5</f>
        <v>47.16862690695001</v>
      </c>
      <c r="T13" s="63">
        <f>'Расходы ТОР'!S5</f>
        <v>47.16862690695001</v>
      </c>
      <c r="U13" s="63">
        <f>'Расходы ТОР'!T5</f>
        <v>47.16862690695001</v>
      </c>
      <c r="V13" s="63">
        <f>'Расходы ТОР'!U5</f>
        <v>47.16862690695001</v>
      </c>
      <c r="W13" s="63">
        <f>'Расходы ТОР'!V5</f>
        <v>50.470430790436517</v>
      </c>
      <c r="X13" s="63">
        <f>'Расходы ТОР'!W5</f>
        <v>50.470430790436517</v>
      </c>
      <c r="Y13" s="63">
        <f>'Расходы ТОР'!X5</f>
        <v>50.470430790436517</v>
      </c>
      <c r="Z13" s="63">
        <f>'Расходы ТОР'!Y5</f>
        <v>50.470430790436517</v>
      </c>
      <c r="AA13" s="63">
        <f>'Расходы ТОР'!Z5</f>
        <v>54.003360945767078</v>
      </c>
      <c r="AB13" s="63">
        <f>'Расходы ТОР'!AA5</f>
        <v>54.003360945767078</v>
      </c>
      <c r="AC13" s="63">
        <f>'Расходы ТОР'!AB5</f>
        <v>54.003360945767078</v>
      </c>
      <c r="AD13" s="63">
        <f>'Расходы ТОР'!AC5</f>
        <v>54.003360945767078</v>
      </c>
      <c r="AE13" s="63">
        <f>'Расходы ТОР'!AD5</f>
        <v>57.454641729052405</v>
      </c>
      <c r="AF13" s="63">
        <f>'Расходы ТОР'!AE5</f>
        <v>57.454641729052405</v>
      </c>
      <c r="AG13" s="63">
        <f>'Расходы ТОР'!AF5</f>
        <v>57.454641729052405</v>
      </c>
      <c r="AH13" s="63">
        <f>'Расходы ТОР'!AG5</f>
        <v>57.454641729052405</v>
      </c>
      <c r="AI13" s="63">
        <f>'Расходы ТОР'!AH5</f>
        <v>61.47646665008606</v>
      </c>
      <c r="AJ13" s="63">
        <f>'Расходы ТОР'!AI5</f>
        <v>61.47646665008606</v>
      </c>
      <c r="AK13" s="63">
        <f>'Расходы ТОР'!AJ5</f>
        <v>61.47646665008606</v>
      </c>
      <c r="AL13" s="63">
        <f>'Расходы ТОР'!AK5</f>
        <v>61.47646665008606</v>
      </c>
      <c r="AM13" s="63">
        <f>'Расходы ТОР'!AL5</f>
        <v>65.779819315592093</v>
      </c>
      <c r="AN13" s="63">
        <f>'Расходы ТОР'!AM5</f>
        <v>65.779819315592093</v>
      </c>
      <c r="AO13" s="63">
        <f>'Расходы ТОР'!AN5</f>
        <v>65.779819315592093</v>
      </c>
      <c r="AP13" s="63">
        <f>'Расходы ТОР'!AO5</f>
        <v>65.779819315592093</v>
      </c>
      <c r="AQ13" s="63">
        <f>'Расходы ТОР'!AP5</f>
        <v>65.779819315592093</v>
      </c>
      <c r="AR13" s="63">
        <f>'Расходы ТОР'!AQ5</f>
        <v>65.779819315592093</v>
      </c>
      <c r="AS13" s="63">
        <f>'Расходы ТОР'!AR5</f>
        <v>65.779819315592093</v>
      </c>
      <c r="AT13" s="63">
        <f>'Расходы ТОР'!AS5</f>
        <v>65.779819315592093</v>
      </c>
    </row>
    <row r="14" spans="1:46" ht="33" customHeight="1" x14ac:dyDescent="0.3">
      <c r="A14" s="524" t="str">
        <f>A7</f>
        <v>Расход воды</v>
      </c>
      <c r="B14" s="524" t="s">
        <v>512</v>
      </c>
      <c r="C14" s="63">
        <f>C7*допущения!$C$57</f>
        <v>0</v>
      </c>
      <c r="D14" s="63">
        <f>D7*допущения!$C$57</f>
        <v>0</v>
      </c>
      <c r="E14" s="63">
        <f>E7*допущения!$C$57</f>
        <v>0</v>
      </c>
      <c r="F14" s="63">
        <f>F7*допущения!$C$57</f>
        <v>0</v>
      </c>
      <c r="G14" s="63">
        <f>G7*(допущения!$C$57+допущения!$C$59)</f>
        <v>3080.07</v>
      </c>
      <c r="H14" s="63">
        <f>H7*(допущения!$C$57+допущения!$C$59)</f>
        <v>3080.07</v>
      </c>
      <c r="I14" s="63">
        <f>I7*(допущения!$C$57+допущения!$C$59)</f>
        <v>3080.07</v>
      </c>
      <c r="J14" s="63">
        <f>J7*(допущения!$C$57+допущения!$C$59)</f>
        <v>3080.07</v>
      </c>
      <c r="K14" s="63">
        <f>K7*(допущения!$C$57+допущения!$C$59)</f>
        <v>4400.1000000000004</v>
      </c>
      <c r="L14" s="63">
        <f>L7*(допущения!$C$57+допущения!$C$59)</f>
        <v>4400.1000000000004</v>
      </c>
      <c r="M14" s="63">
        <f>M7*(допущения!$C$57+допущения!$C$59)</f>
        <v>4400.1000000000004</v>
      </c>
      <c r="N14" s="63">
        <f>N7*(допущения!$C$57+допущения!$C$59)</f>
        <v>4400.1000000000004</v>
      </c>
      <c r="O14" s="63">
        <f>O7*(допущения!$C$57+допущения!$C$59)</f>
        <v>4693.4400000000014</v>
      </c>
      <c r="P14" s="63">
        <f>P7*(допущения!$C$57+допущения!$C$59)</f>
        <v>4693.4400000000014</v>
      </c>
      <c r="Q14" s="63">
        <f>Q7*(допущения!$C$57+допущения!$C$59)</f>
        <v>4693.4400000000014</v>
      </c>
      <c r="R14" s="63">
        <f>R7*(допущения!$C$57+допущения!$C$59)</f>
        <v>4693.4400000000014</v>
      </c>
      <c r="S14" s="63">
        <f>S7*(допущения!$C$57+допущения!$C$59)</f>
        <v>5610.1275000000005</v>
      </c>
      <c r="T14" s="63">
        <f>T7*(допущения!$C$57+допущения!$C$59)</f>
        <v>5610.1275000000005</v>
      </c>
      <c r="U14" s="63">
        <f>U7*(допущения!$C$57+допущения!$C$59)</f>
        <v>5610.1275000000005</v>
      </c>
      <c r="V14" s="63">
        <f>V7*(допущения!$C$57+допущения!$C$59)</f>
        <v>5610.1275000000005</v>
      </c>
      <c r="W14" s="63">
        <f>W7*(допущения!$C$57+допущения!$C$59)</f>
        <v>5940.135000000002</v>
      </c>
      <c r="X14" s="63">
        <f>X7*(допущения!$C$57+допущения!$C$59)</f>
        <v>5940.135000000002</v>
      </c>
      <c r="Y14" s="63">
        <f>Y7*(допущения!$C$57+допущения!$C$59)</f>
        <v>5940.135000000002</v>
      </c>
      <c r="Z14" s="63">
        <f>Z7*(допущения!$C$57+допущения!$C$59)</f>
        <v>5940.135000000002</v>
      </c>
      <c r="AA14" s="63">
        <f>AA7*(допущения!$C$57+допущения!$C$59)</f>
        <v>6270.1425000000017</v>
      </c>
      <c r="AB14" s="63">
        <f>AB7*(допущения!$C$57+допущения!$C$59)</f>
        <v>6270.1425000000017</v>
      </c>
      <c r="AC14" s="63">
        <f>AC7*(допущения!$C$57+допущения!$C$59)</f>
        <v>6270.1425000000017</v>
      </c>
      <c r="AD14" s="63">
        <f>AD7*(допущения!$C$57+допущения!$C$59)</f>
        <v>6270.1425000000017</v>
      </c>
      <c r="AE14" s="63">
        <f>AE7*(допущения!$C$57+допущения!$C$59)</f>
        <v>6600.1500000000015</v>
      </c>
      <c r="AF14" s="63">
        <f>AF7*(допущения!$C$57+допущения!$C$59)</f>
        <v>6600.1500000000015</v>
      </c>
      <c r="AG14" s="63">
        <f>AG7*(допущения!$C$57+допущения!$C$59)</f>
        <v>6600.1500000000015</v>
      </c>
      <c r="AH14" s="63">
        <f>AH7*(допущения!$C$57+допущения!$C$59)</f>
        <v>6600.1500000000015</v>
      </c>
      <c r="AI14" s="63">
        <f>AI7*(допущения!$C$57+допущения!$C$59)</f>
        <v>6600.1500000000015</v>
      </c>
      <c r="AJ14" s="63">
        <f>AJ7*(допущения!$C$57+допущения!$C$59)</f>
        <v>6600.1500000000015</v>
      </c>
      <c r="AK14" s="63">
        <f>AK7*(допущения!$C$57+допущения!$C$59)</f>
        <v>6600.1500000000015</v>
      </c>
      <c r="AL14" s="63">
        <f>AL7*(допущения!$C$57+допущения!$C$59)</f>
        <v>6600.1500000000015</v>
      </c>
      <c r="AM14" s="63">
        <f>AM7*(допущения!$C$57+допущения!$C$59)</f>
        <v>6600.1500000000005</v>
      </c>
      <c r="AN14" s="63">
        <f>AN7*(допущения!$C$57+допущения!$C$59)</f>
        <v>6600.1500000000005</v>
      </c>
      <c r="AO14" s="63">
        <f>AO7*(допущения!$C$57+допущения!$C$59)</f>
        <v>6600.1500000000005</v>
      </c>
      <c r="AP14" s="63">
        <f>AP7*(допущения!$C$57+допущения!$C$59)</f>
        <v>6600.1500000000005</v>
      </c>
      <c r="AQ14" s="63">
        <f>AQ7*(допущения!$C$57+допущения!$C$59)</f>
        <v>6600.1500000000005</v>
      </c>
      <c r="AR14" s="63">
        <f>AR7*(допущения!$C$57+допущения!$C$59)</f>
        <v>6600.1500000000005</v>
      </c>
      <c r="AS14" s="63">
        <f>AS7*(допущения!$C$57+допущения!$C$59)</f>
        <v>6600.1500000000005</v>
      </c>
      <c r="AT14" s="63">
        <f>AT7*(допущения!$C$57+допущения!$C$59)</f>
        <v>6600.1500000000005</v>
      </c>
    </row>
    <row r="15" spans="1:46" ht="33" customHeight="1" x14ac:dyDescent="0.3">
      <c r="A15" s="524" t="s">
        <v>544</v>
      </c>
      <c r="B15" s="524" t="s">
        <v>512</v>
      </c>
      <c r="C15" s="63">
        <f>допущения!$C$66*допущения!$C$76*Себестоимость!C8</f>
        <v>0</v>
      </c>
      <c r="D15" s="63">
        <f>допущения!$C$66*допущения!$C$76*Себестоимость!D8</f>
        <v>0</v>
      </c>
      <c r="E15" s="63">
        <f>допущения!$C$66*допущения!$C$76*Себестоимость!E8</f>
        <v>0</v>
      </c>
      <c r="F15" s="63">
        <f>допущения!$C$66*допущения!$C$76*Себестоимость!F8</f>
        <v>0</v>
      </c>
      <c r="G15" s="63">
        <f>допущения!$C$66*допущения!$C$76*Себестоимость!G8</f>
        <v>3024.0000000000005</v>
      </c>
      <c r="H15" s="63">
        <f>допущения!$C$66*допущения!$C$76*Себестоимость!H8</f>
        <v>3024.0000000000005</v>
      </c>
      <c r="I15" s="63">
        <f>допущения!$C$66*допущения!$C$76*Себестоимость!I8</f>
        <v>3024.0000000000005</v>
      </c>
      <c r="J15" s="63">
        <f>допущения!$C$66*допущения!$C$76*Себестоимость!J8</f>
        <v>3024.0000000000005</v>
      </c>
      <c r="K15" s="63">
        <f>допущения!$C$66*допущения!$C$76*Себестоимость!K8</f>
        <v>4320</v>
      </c>
      <c r="L15" s="63">
        <f>допущения!$C$66*допущения!$C$76*Себестоимость!L8</f>
        <v>4320</v>
      </c>
      <c r="M15" s="63">
        <f>допущения!$C$66*допущения!$C$76*Себестоимость!M8</f>
        <v>4320</v>
      </c>
      <c r="N15" s="63">
        <f>допущения!$C$66*допущения!$C$76*Себестоимость!N8</f>
        <v>4320</v>
      </c>
      <c r="O15" s="63">
        <f>допущения!$C$66*допущения!$C$76*Себестоимость!O8</f>
        <v>4608.0000000000009</v>
      </c>
      <c r="P15" s="63">
        <f>допущения!$C$66*допущения!$C$76*Себестоимость!P8</f>
        <v>4608.0000000000009</v>
      </c>
      <c r="Q15" s="63">
        <f>допущения!$C$66*допущения!$C$76*Себестоимость!Q8</f>
        <v>4608.0000000000009</v>
      </c>
      <c r="R15" s="63">
        <f>допущения!$C$66*допущения!$C$76*Себестоимость!R8</f>
        <v>4608.0000000000009</v>
      </c>
      <c r="S15" s="63">
        <f>допущения!$C$66*допущения!$C$76*Себестоимость!S8</f>
        <v>5508.0000000000009</v>
      </c>
      <c r="T15" s="63">
        <f>допущения!$C$66*допущения!$C$76*Себестоимость!T8</f>
        <v>5508.0000000000009</v>
      </c>
      <c r="U15" s="63">
        <f>допущения!$C$66*допущения!$C$76*Себестоимость!U8</f>
        <v>5508.0000000000009</v>
      </c>
      <c r="V15" s="63">
        <f>допущения!$C$66*допущения!$C$76*Себестоимость!V8</f>
        <v>5508.0000000000009</v>
      </c>
      <c r="W15" s="63">
        <f>допущения!$C$66*допущения!$C$76*Себестоимость!W8</f>
        <v>5832.0000000000027</v>
      </c>
      <c r="X15" s="63">
        <f>допущения!$C$66*допущения!$C$76*Себестоимость!X8</f>
        <v>5832.0000000000027</v>
      </c>
      <c r="Y15" s="63">
        <f>допущения!$C$66*допущения!$C$76*Себестоимость!Y8</f>
        <v>5832.0000000000027</v>
      </c>
      <c r="Z15" s="63">
        <f>допущения!$C$66*допущения!$C$76*Себестоимость!Z8</f>
        <v>5832.0000000000027</v>
      </c>
      <c r="AA15" s="63">
        <f>допущения!$C$66*допущения!$C$76*Себестоимость!AA8</f>
        <v>6156.0000000000018</v>
      </c>
      <c r="AB15" s="63">
        <f>допущения!$C$66*допущения!$C$76*Себестоимость!AB8</f>
        <v>6156.0000000000018</v>
      </c>
      <c r="AC15" s="63">
        <f>допущения!$C$66*допущения!$C$76*Себестоимость!AC8</f>
        <v>6156.0000000000018</v>
      </c>
      <c r="AD15" s="63">
        <f>допущения!$C$66*допущения!$C$76*Себестоимость!AD8</f>
        <v>6156.0000000000018</v>
      </c>
      <c r="AE15" s="63">
        <f>допущения!$C$66*допущения!$C$76*Себестоимость!AE8</f>
        <v>6480.0000000000027</v>
      </c>
      <c r="AF15" s="63">
        <f>допущения!$C$66*допущения!$C$76*Себестоимость!AF8</f>
        <v>6480.0000000000027</v>
      </c>
      <c r="AG15" s="63">
        <f>допущения!$C$66*допущения!$C$76*Себестоимость!AG8</f>
        <v>6480.0000000000027</v>
      </c>
      <c r="AH15" s="63">
        <f>допущения!$C$66*допущения!$C$76*Себестоимость!AH8</f>
        <v>6480.0000000000027</v>
      </c>
      <c r="AI15" s="63">
        <f>допущения!$C$66*допущения!$C$76*Себестоимость!AI8</f>
        <v>6480.0000000000027</v>
      </c>
      <c r="AJ15" s="63">
        <f>допущения!$C$66*допущения!$C$76*Себестоимость!AJ8</f>
        <v>6480.0000000000027</v>
      </c>
      <c r="AK15" s="63">
        <f>допущения!$C$66*допущения!$C$76*Себестоимость!AK8</f>
        <v>6480.0000000000027</v>
      </c>
      <c r="AL15" s="63">
        <f>допущения!$C$66*допущения!$C$76*Себестоимость!AL8</f>
        <v>6480.0000000000027</v>
      </c>
      <c r="AM15" s="63">
        <f>допущения!$C$66*допущения!$C$76*Себестоимость!AM8</f>
        <v>6480.0000000000009</v>
      </c>
      <c r="AN15" s="63">
        <f>допущения!$C$66*допущения!$C$76*Себестоимость!AN8</f>
        <v>6480.0000000000009</v>
      </c>
      <c r="AO15" s="63">
        <f>допущения!$C$66*допущения!$C$76*Себестоимость!AO8</f>
        <v>6480.0000000000009</v>
      </c>
      <c r="AP15" s="63">
        <f>допущения!$C$66*допущения!$C$76*Себестоимость!AP8</f>
        <v>6480.0000000000009</v>
      </c>
      <c r="AQ15" s="63">
        <f>допущения!$C$66*допущения!$C$76*Себестоимость!AQ8</f>
        <v>6480.0000000000009</v>
      </c>
      <c r="AR15" s="63">
        <f>допущения!$C$66*допущения!$C$76*Себестоимость!AR8</f>
        <v>6480.0000000000009</v>
      </c>
      <c r="AS15" s="63">
        <f>допущения!$C$66*допущения!$C$76*Себестоимость!AS8</f>
        <v>6480.0000000000009</v>
      </c>
      <c r="AT15" s="63">
        <f>допущения!$C$66*допущения!$C$76*Себестоимость!AT8</f>
        <v>6480.0000000000009</v>
      </c>
    </row>
    <row r="16" spans="1:46" ht="39.75" customHeight="1" x14ac:dyDescent="0.3">
      <c r="A16" s="524" t="s">
        <v>266</v>
      </c>
      <c r="B16" s="524" t="s">
        <v>512</v>
      </c>
      <c r="C16" s="63">
        <f>'Расходы ТОР'!B10</f>
        <v>0</v>
      </c>
      <c r="D16" s="63">
        <f>'Расходы ТОР'!C10</f>
        <v>0</v>
      </c>
      <c r="E16" s="63">
        <f>'Расходы ТОР'!D10</f>
        <v>0</v>
      </c>
      <c r="F16" s="63">
        <f>'Расходы ТОР'!E10</f>
        <v>0</v>
      </c>
      <c r="G16" s="63">
        <f>'Расходы ТОР'!F10</f>
        <v>1299.375</v>
      </c>
      <c r="H16" s="63">
        <f>'Расходы ТОР'!G10</f>
        <v>1299.375</v>
      </c>
      <c r="I16" s="63">
        <f>'Расходы ТОР'!H10</f>
        <v>1299.375</v>
      </c>
      <c r="J16" s="63">
        <f>'Расходы ТОР'!I10</f>
        <v>1299.375</v>
      </c>
      <c r="K16" s="63">
        <f>'Расходы ТОР'!J10</f>
        <v>1856.25</v>
      </c>
      <c r="L16" s="63">
        <f>'Расходы ТОР'!K10</f>
        <v>1856.25</v>
      </c>
      <c r="M16" s="63">
        <f>'Расходы ТОР'!L10</f>
        <v>1856.25</v>
      </c>
      <c r="N16" s="63">
        <f>'Расходы ТОР'!M10</f>
        <v>1856.25</v>
      </c>
      <c r="O16" s="63">
        <f>'Расходы ТОР'!N10</f>
        <v>1980.0000000000005</v>
      </c>
      <c r="P16" s="63">
        <f>'Расходы ТОР'!O10</f>
        <v>1980.0000000000005</v>
      </c>
      <c r="Q16" s="63">
        <f>'Расходы ТОР'!P10</f>
        <v>1980.0000000000005</v>
      </c>
      <c r="R16" s="63">
        <f>'Расходы ТОР'!Q10</f>
        <v>1980.0000000000005</v>
      </c>
      <c r="S16" s="63">
        <f>'Расходы ТОР'!R10</f>
        <v>2366.71875</v>
      </c>
      <c r="T16" s="63">
        <f>'Расходы ТОР'!S10</f>
        <v>2366.71875</v>
      </c>
      <c r="U16" s="63">
        <f>'Расходы ТОР'!T10</f>
        <v>2366.71875</v>
      </c>
      <c r="V16" s="63">
        <f>'Расходы ТОР'!U10</f>
        <v>2366.71875</v>
      </c>
      <c r="W16" s="63">
        <f>'Расходы ТОР'!V10</f>
        <v>2505.9375000000014</v>
      </c>
      <c r="X16" s="63">
        <f>'Расходы ТОР'!W10</f>
        <v>2505.9375000000014</v>
      </c>
      <c r="Y16" s="63">
        <f>'Расходы ТОР'!X10</f>
        <v>2505.9375000000014</v>
      </c>
      <c r="Z16" s="63">
        <f>'Расходы ТОР'!Y10</f>
        <v>2505.9375000000014</v>
      </c>
      <c r="AA16" s="63">
        <f>'Расходы ТОР'!Z10</f>
        <v>2645.1562500000005</v>
      </c>
      <c r="AB16" s="63">
        <f>'Расходы ТОР'!AA10</f>
        <v>2645.1562500000005</v>
      </c>
      <c r="AC16" s="63">
        <f>'Расходы ТОР'!AB10</f>
        <v>2645.1562500000005</v>
      </c>
      <c r="AD16" s="63">
        <f>'Расходы ТОР'!AC10</f>
        <v>2645.1562500000005</v>
      </c>
      <c r="AE16" s="63">
        <f>'Расходы ТОР'!AD10</f>
        <v>2784.3750000000014</v>
      </c>
      <c r="AF16" s="63">
        <f>'Расходы ТОР'!AE10</f>
        <v>2784.3750000000014</v>
      </c>
      <c r="AG16" s="63">
        <f>'Расходы ТОР'!AF10</f>
        <v>2784.3750000000014</v>
      </c>
      <c r="AH16" s="63">
        <f>'Расходы ТОР'!AG10</f>
        <v>2784.3750000000014</v>
      </c>
      <c r="AI16" s="63">
        <f>'Расходы ТОР'!AH10</f>
        <v>2784.3750000000014</v>
      </c>
      <c r="AJ16" s="63">
        <f>'Расходы ТОР'!AI10</f>
        <v>2784.3750000000014</v>
      </c>
      <c r="AK16" s="63">
        <f>'Расходы ТОР'!AJ10</f>
        <v>2784.3750000000014</v>
      </c>
      <c r="AL16" s="63">
        <f>'Расходы ТОР'!AK10</f>
        <v>2784.3750000000014</v>
      </c>
      <c r="AM16" s="63">
        <f>'Расходы ТОР'!AL10</f>
        <v>2784.3750000000005</v>
      </c>
      <c r="AN16" s="63">
        <f>'Расходы ТОР'!AM10</f>
        <v>2784.3750000000005</v>
      </c>
      <c r="AO16" s="63">
        <f>'Расходы ТОР'!AN10</f>
        <v>2784.3750000000005</v>
      </c>
      <c r="AP16" s="63">
        <f>'Расходы ТОР'!AO10</f>
        <v>2784.3750000000005</v>
      </c>
      <c r="AQ16" s="63">
        <f>'Расходы ТОР'!AP10</f>
        <v>2784.3750000000005</v>
      </c>
      <c r="AR16" s="63">
        <f>'Расходы ТОР'!AQ10</f>
        <v>2784.3750000000005</v>
      </c>
      <c r="AS16" s="63">
        <f>'Расходы ТОР'!AR10</f>
        <v>2784.3750000000005</v>
      </c>
      <c r="AT16" s="63">
        <f>'Расходы ТОР'!AS10</f>
        <v>2784.3750000000005</v>
      </c>
    </row>
    <row r="17" spans="1:46" s="548" customFormat="1" ht="32.25" customHeight="1" x14ac:dyDescent="0.3">
      <c r="A17" s="541" t="s">
        <v>19</v>
      </c>
      <c r="B17" s="551" t="s">
        <v>512</v>
      </c>
      <c r="C17" s="552">
        <f>SUM(C12:C16)</f>
        <v>0</v>
      </c>
      <c r="D17" s="552">
        <f t="shared" ref="D17:AT17" si="12">SUM(D12:D16)</f>
        <v>0</v>
      </c>
      <c r="E17" s="552">
        <f t="shared" si="12"/>
        <v>0</v>
      </c>
      <c r="F17" s="552">
        <f t="shared" si="12"/>
        <v>0</v>
      </c>
      <c r="G17" s="552">
        <f>SUM(G12:G16)</f>
        <v>20435.698650000002</v>
      </c>
      <c r="H17" s="552">
        <f t="shared" si="12"/>
        <v>20435.698650000002</v>
      </c>
      <c r="I17" s="552">
        <f t="shared" si="12"/>
        <v>20435.698650000002</v>
      </c>
      <c r="J17" s="552">
        <f t="shared" si="12"/>
        <v>20435.698650000002</v>
      </c>
      <c r="K17" s="552">
        <f t="shared" si="12"/>
        <v>29180.0489055</v>
      </c>
      <c r="L17" s="552">
        <f t="shared" si="12"/>
        <v>29180.0489055</v>
      </c>
      <c r="M17" s="552">
        <f t="shared" si="12"/>
        <v>29180.0489055</v>
      </c>
      <c r="N17" s="552">
        <f t="shared" si="12"/>
        <v>29180.0489055</v>
      </c>
      <c r="O17" s="552">
        <f t="shared" si="12"/>
        <v>31125.522828885005</v>
      </c>
      <c r="P17" s="552">
        <f t="shared" si="12"/>
        <v>31125.522828885005</v>
      </c>
      <c r="Q17" s="552">
        <f t="shared" si="12"/>
        <v>31125.522828885005</v>
      </c>
      <c r="R17" s="552">
        <f t="shared" si="12"/>
        <v>31125.522828885005</v>
      </c>
      <c r="S17" s="552">
        <f t="shared" si="12"/>
        <v>37199.202376906949</v>
      </c>
      <c r="T17" s="552">
        <f t="shared" si="12"/>
        <v>37199.202376906949</v>
      </c>
      <c r="U17" s="552">
        <f t="shared" si="12"/>
        <v>37199.202376906949</v>
      </c>
      <c r="V17" s="552">
        <f t="shared" si="12"/>
        <v>37199.202376906949</v>
      </c>
      <c r="W17" s="552">
        <f t="shared" si="12"/>
        <v>39387.917930790449</v>
      </c>
      <c r="X17" s="552">
        <f t="shared" si="12"/>
        <v>39387.917930790449</v>
      </c>
      <c r="Y17" s="552">
        <f t="shared" si="12"/>
        <v>39387.917930790449</v>
      </c>
      <c r="Z17" s="552">
        <f t="shared" si="12"/>
        <v>39387.917930790449</v>
      </c>
      <c r="AA17" s="552">
        <f t="shared" si="12"/>
        <v>41576.864610945777</v>
      </c>
      <c r="AB17" s="552">
        <f t="shared" si="12"/>
        <v>41576.864610945777</v>
      </c>
      <c r="AC17" s="552">
        <f t="shared" si="12"/>
        <v>41576.864610945777</v>
      </c>
      <c r="AD17" s="552">
        <f t="shared" si="12"/>
        <v>41576.864610945777</v>
      </c>
      <c r="AE17" s="552">
        <f t="shared" si="12"/>
        <v>43765.729641729064</v>
      </c>
      <c r="AF17" s="552">
        <f t="shared" si="12"/>
        <v>43765.729641729064</v>
      </c>
      <c r="AG17" s="552">
        <f t="shared" si="12"/>
        <v>43765.729641729064</v>
      </c>
      <c r="AH17" s="552">
        <f t="shared" si="12"/>
        <v>43765.729641729064</v>
      </c>
      <c r="AI17" s="552">
        <f t="shared" si="12"/>
        <v>43769.751466650094</v>
      </c>
      <c r="AJ17" s="552">
        <f t="shared" si="12"/>
        <v>43769.751466650094</v>
      </c>
      <c r="AK17" s="552">
        <f t="shared" si="12"/>
        <v>43769.751466650094</v>
      </c>
      <c r="AL17" s="552">
        <f t="shared" si="12"/>
        <v>43769.751466650094</v>
      </c>
      <c r="AM17" s="552">
        <f t="shared" si="12"/>
        <v>43774.054819315592</v>
      </c>
      <c r="AN17" s="552">
        <f t="shared" si="12"/>
        <v>43774.054819315592</v>
      </c>
      <c r="AO17" s="552">
        <f t="shared" si="12"/>
        <v>43774.054819315592</v>
      </c>
      <c r="AP17" s="552">
        <f t="shared" si="12"/>
        <v>43774.054819315592</v>
      </c>
      <c r="AQ17" s="552">
        <f t="shared" si="12"/>
        <v>43774.054819315592</v>
      </c>
      <c r="AR17" s="552">
        <f t="shared" si="12"/>
        <v>43774.054819315592</v>
      </c>
      <c r="AS17" s="552">
        <f t="shared" si="12"/>
        <v>43774.054819315592</v>
      </c>
      <c r="AT17" s="552">
        <f t="shared" si="12"/>
        <v>43774.054819315592</v>
      </c>
    </row>
    <row r="19" spans="1:46" s="550" customFormat="1" ht="28.8" x14ac:dyDescent="0.3">
      <c r="A19" s="555" t="s">
        <v>534</v>
      </c>
      <c r="B19" s="549" t="s">
        <v>552</v>
      </c>
      <c r="G19" s="550">
        <f>G17/(G3*1000)</f>
        <v>12.975046761904764</v>
      </c>
      <c r="H19" s="550">
        <f t="shared" ref="H19:AT19" si="13">H17/(H3*1000)</f>
        <v>12.975046761904764</v>
      </c>
      <c r="I19" s="550">
        <f t="shared" si="13"/>
        <v>12.975046761904764</v>
      </c>
      <c r="J19" s="550">
        <f t="shared" si="13"/>
        <v>12.975046761904764</v>
      </c>
      <c r="K19" s="550">
        <f t="shared" si="13"/>
        <v>12.968910624666666</v>
      </c>
      <c r="L19" s="550">
        <f t="shared" si="13"/>
        <v>12.968910624666666</v>
      </c>
      <c r="M19" s="550">
        <f t="shared" si="13"/>
        <v>12.968910624666666</v>
      </c>
      <c r="N19" s="550">
        <f t="shared" si="13"/>
        <v>12.968910624666666</v>
      </c>
      <c r="O19" s="550">
        <f t="shared" si="13"/>
        <v>12.96896784536875</v>
      </c>
      <c r="P19" s="550">
        <f t="shared" si="13"/>
        <v>12.96896784536875</v>
      </c>
      <c r="Q19" s="550">
        <f t="shared" si="13"/>
        <v>12.96896784536875</v>
      </c>
      <c r="R19" s="550">
        <f t="shared" si="13"/>
        <v>12.96896784536875</v>
      </c>
      <c r="S19" s="550">
        <f t="shared" si="13"/>
        <v>12.967042222886954</v>
      </c>
      <c r="T19" s="550">
        <f t="shared" si="13"/>
        <v>12.967042222886954</v>
      </c>
      <c r="U19" s="550">
        <f t="shared" si="13"/>
        <v>12.967042222886954</v>
      </c>
      <c r="V19" s="550">
        <f t="shared" si="13"/>
        <v>12.967042222886954</v>
      </c>
      <c r="W19" s="550">
        <f t="shared" si="13"/>
        <v>12.967215779684095</v>
      </c>
      <c r="X19" s="550">
        <f t="shared" si="13"/>
        <v>12.967215779684095</v>
      </c>
      <c r="Y19" s="550">
        <f t="shared" si="13"/>
        <v>12.967215779684095</v>
      </c>
      <c r="Z19" s="550">
        <f t="shared" si="13"/>
        <v>12.967215779684095</v>
      </c>
      <c r="AA19" s="550">
        <f t="shared" si="13"/>
        <v>12.967443153511351</v>
      </c>
      <c r="AB19" s="550">
        <f t="shared" si="13"/>
        <v>12.967443153511351</v>
      </c>
      <c r="AC19" s="550">
        <f t="shared" si="13"/>
        <v>12.967443153511351</v>
      </c>
      <c r="AD19" s="550">
        <f t="shared" si="13"/>
        <v>12.967443153511351</v>
      </c>
      <c r="AE19" s="550">
        <f t="shared" si="13"/>
        <v>12.967623597549348</v>
      </c>
      <c r="AF19" s="550">
        <f t="shared" si="13"/>
        <v>12.967623597549348</v>
      </c>
      <c r="AG19" s="550">
        <f t="shared" si="13"/>
        <v>12.967623597549348</v>
      </c>
      <c r="AH19" s="550">
        <f t="shared" si="13"/>
        <v>12.967623597549348</v>
      </c>
      <c r="AI19" s="550">
        <f t="shared" si="13"/>
        <v>12.968815249377801</v>
      </c>
      <c r="AJ19" s="550">
        <f t="shared" si="13"/>
        <v>12.968815249377801</v>
      </c>
      <c r="AK19" s="550">
        <f t="shared" si="13"/>
        <v>12.968815249377801</v>
      </c>
      <c r="AL19" s="550">
        <f t="shared" si="13"/>
        <v>12.968815249377801</v>
      </c>
      <c r="AM19" s="550">
        <f t="shared" si="13"/>
        <v>12.97009031683425</v>
      </c>
      <c r="AN19" s="550">
        <f t="shared" si="13"/>
        <v>12.97009031683425</v>
      </c>
      <c r="AO19" s="550">
        <f t="shared" si="13"/>
        <v>12.97009031683425</v>
      </c>
      <c r="AP19" s="550">
        <f t="shared" si="13"/>
        <v>12.97009031683425</v>
      </c>
      <c r="AQ19" s="550">
        <f t="shared" si="13"/>
        <v>12.97009031683425</v>
      </c>
      <c r="AR19" s="550">
        <f t="shared" si="13"/>
        <v>12.97009031683425</v>
      </c>
      <c r="AS19" s="550">
        <f t="shared" si="13"/>
        <v>12.97009031683425</v>
      </c>
      <c r="AT19" s="550">
        <f t="shared" si="13"/>
        <v>12.97009031683425</v>
      </c>
    </row>
    <row r="20" spans="1:46" x14ac:dyDescent="0.3">
      <c r="A20" s="531"/>
      <c r="B20" s="525"/>
    </row>
    <row r="21" spans="1:46" s="523" customFormat="1" x14ac:dyDescent="0.3">
      <c r="A21" s="528" t="s">
        <v>553</v>
      </c>
      <c r="B21" s="529"/>
      <c r="C21" s="530" t="str">
        <f>C11</f>
        <v>I кв. 1 г.</v>
      </c>
      <c r="D21" s="530" t="str">
        <f t="shared" ref="D21:AT21" si="14">D11</f>
        <v>II кв. 1 г.</v>
      </c>
      <c r="E21" s="530" t="str">
        <f t="shared" si="14"/>
        <v>III кв. 1 г.</v>
      </c>
      <c r="F21" s="530" t="str">
        <f t="shared" si="14"/>
        <v>IV кв. 1 г.</v>
      </c>
      <c r="G21" s="530" t="str">
        <f t="shared" si="14"/>
        <v>I кв. 2 г.</v>
      </c>
      <c r="H21" s="530" t="str">
        <f t="shared" si="14"/>
        <v>II кв. 2 г.</v>
      </c>
      <c r="I21" s="530" t="str">
        <f t="shared" si="14"/>
        <v>III кв. 2 г.</v>
      </c>
      <c r="J21" s="530" t="str">
        <f t="shared" si="14"/>
        <v>IV кв. 2 г.</v>
      </c>
      <c r="K21" s="530" t="str">
        <f t="shared" si="14"/>
        <v>I кв. 3 г.</v>
      </c>
      <c r="L21" s="530" t="str">
        <f t="shared" si="14"/>
        <v>II кв. 3 г.</v>
      </c>
      <c r="M21" s="530" t="str">
        <f t="shared" si="14"/>
        <v>III кв. 3 г.</v>
      </c>
      <c r="N21" s="530" t="str">
        <f t="shared" si="14"/>
        <v>IV кв. 3 г.</v>
      </c>
      <c r="O21" s="530" t="str">
        <f t="shared" si="14"/>
        <v>I кв. 4 г.</v>
      </c>
      <c r="P21" s="530" t="str">
        <f t="shared" si="14"/>
        <v>II кв. 4 г.</v>
      </c>
      <c r="Q21" s="530" t="str">
        <f t="shared" si="14"/>
        <v>III кв. 4 г.</v>
      </c>
      <c r="R21" s="530" t="str">
        <f t="shared" si="14"/>
        <v>IV кв. 4 г.</v>
      </c>
      <c r="S21" s="530" t="str">
        <f t="shared" si="14"/>
        <v>I кв. 5 г.</v>
      </c>
      <c r="T21" s="530" t="str">
        <f t="shared" si="14"/>
        <v>II кв. 5 г.</v>
      </c>
      <c r="U21" s="530" t="str">
        <f t="shared" si="14"/>
        <v>III кв. 5 г.</v>
      </c>
      <c r="V21" s="530" t="str">
        <f t="shared" si="14"/>
        <v>IV кв. 5 г.</v>
      </c>
      <c r="W21" s="530" t="str">
        <f t="shared" si="14"/>
        <v>I кв. 6 г.</v>
      </c>
      <c r="X21" s="530" t="str">
        <f t="shared" si="14"/>
        <v>II кв. 6 г.</v>
      </c>
      <c r="Y21" s="530" t="str">
        <f t="shared" si="14"/>
        <v>III кв. 6 г.</v>
      </c>
      <c r="Z21" s="530" t="str">
        <f t="shared" si="14"/>
        <v>IV кв. 6 г.</v>
      </c>
      <c r="AA21" s="530" t="str">
        <f t="shared" si="14"/>
        <v>I кв. 7 г.</v>
      </c>
      <c r="AB21" s="530" t="str">
        <f t="shared" si="14"/>
        <v>II кв. 7 г.</v>
      </c>
      <c r="AC21" s="530" t="str">
        <f t="shared" si="14"/>
        <v>III кв. 7 г.</v>
      </c>
      <c r="AD21" s="530" t="str">
        <f t="shared" si="14"/>
        <v>IV кв. 7 г.</v>
      </c>
      <c r="AE21" s="530" t="str">
        <f t="shared" si="14"/>
        <v>I кв. 8 г.</v>
      </c>
      <c r="AF21" s="530" t="str">
        <f t="shared" si="14"/>
        <v>II кв. 8 г.</v>
      </c>
      <c r="AG21" s="530" t="str">
        <f t="shared" si="14"/>
        <v>III кв. 8 г.</v>
      </c>
      <c r="AH21" s="530" t="str">
        <f t="shared" si="14"/>
        <v>IV кв. 8 г.</v>
      </c>
      <c r="AI21" s="530" t="str">
        <f t="shared" si="14"/>
        <v>I кв. 9 г.</v>
      </c>
      <c r="AJ21" s="530" t="str">
        <f t="shared" si="14"/>
        <v>II кв. 9 г.</v>
      </c>
      <c r="AK21" s="530" t="str">
        <f t="shared" si="14"/>
        <v>III кв. 9 г.</v>
      </c>
      <c r="AL21" s="530" t="str">
        <f t="shared" si="14"/>
        <v>IV кв. 9 г.</v>
      </c>
      <c r="AM21" s="530" t="str">
        <f t="shared" si="14"/>
        <v>I кв. 10 г.</v>
      </c>
      <c r="AN21" s="530" t="str">
        <f t="shared" si="14"/>
        <v>II кв. 10 г.</v>
      </c>
      <c r="AO21" s="530" t="str">
        <f t="shared" si="14"/>
        <v>III кв. 10 г.</v>
      </c>
      <c r="AP21" s="530" t="str">
        <f t="shared" si="14"/>
        <v>IV кв. 10 г.</v>
      </c>
      <c r="AQ21" s="530" t="str">
        <f t="shared" si="14"/>
        <v>I кв. 11 г.</v>
      </c>
      <c r="AR21" s="530" t="str">
        <f t="shared" si="14"/>
        <v>II кв. 11 г.</v>
      </c>
      <c r="AS21" s="530" t="str">
        <f t="shared" si="14"/>
        <v>III кв. 11 г.</v>
      </c>
      <c r="AT21" s="530" t="str">
        <f t="shared" si="14"/>
        <v>IV кв. 11 г.</v>
      </c>
    </row>
    <row r="22" spans="1:46" s="540" customFormat="1" x14ac:dyDescent="0.3">
      <c r="A22" s="532" t="str">
        <f>'Расходы ТОР'!A2</f>
        <v>Арендная плата за зем. Участок</v>
      </c>
      <c r="B22" s="532"/>
      <c r="C22" s="533">
        <f>'Расходы ТОР'!B2</f>
        <v>0</v>
      </c>
      <c r="D22" s="533">
        <f>'Расходы ТОР'!C2</f>
        <v>0</v>
      </c>
      <c r="E22" s="533">
        <f>'Расходы ТОР'!D2</f>
        <v>0.41653993200000006</v>
      </c>
      <c r="F22" s="533">
        <f>'Расходы ТОР'!E2</f>
        <v>0.41653993200000006</v>
      </c>
      <c r="G22" s="533">
        <f>'Расходы ТОР'!F2</f>
        <v>0.41653993200000006</v>
      </c>
      <c r="H22" s="533">
        <f>'Расходы ТОР'!G2</f>
        <v>0.41653993200000006</v>
      </c>
      <c r="I22" s="533">
        <f>'Расходы ТОР'!H2</f>
        <v>0.41653993200000006</v>
      </c>
      <c r="J22" s="533">
        <f>'Расходы ТОР'!I2</f>
        <v>0.41653993200000006</v>
      </c>
      <c r="K22" s="533">
        <f>'Расходы ТОР'!J2</f>
        <v>0.41653993200000006</v>
      </c>
      <c r="L22" s="533">
        <f>'Расходы ТОР'!K2</f>
        <v>0.41653993200000006</v>
      </c>
      <c r="M22" s="533">
        <f>'Расходы ТОР'!L2</f>
        <v>0.41653993200000006</v>
      </c>
      <c r="N22" s="533">
        <f>'Расходы ТОР'!M2</f>
        <v>0.41653993200000006</v>
      </c>
      <c r="O22" s="533">
        <f>'Расходы ТОР'!N2</f>
        <v>0.41653993200000006</v>
      </c>
      <c r="P22" s="533">
        <f>'Расходы ТОР'!O2</f>
        <v>0.41653993200000006</v>
      </c>
      <c r="Q22" s="533">
        <f>'Расходы ТОР'!P2</f>
        <v>0.41653993200000006</v>
      </c>
      <c r="R22" s="533">
        <f>'Расходы ТОР'!Q2</f>
        <v>0.41653993200000006</v>
      </c>
      <c r="S22" s="533">
        <f>'Расходы ТОР'!R2</f>
        <v>0.41653993200000006</v>
      </c>
      <c r="T22" s="533">
        <f>'Расходы ТОР'!S2</f>
        <v>0.41653993200000006</v>
      </c>
      <c r="U22" s="533">
        <f>'Расходы ТОР'!T2</f>
        <v>0.41653993200000006</v>
      </c>
      <c r="V22" s="533">
        <f>'Расходы ТОР'!U2</f>
        <v>0.41653993200000006</v>
      </c>
      <c r="W22" s="533">
        <f>'Расходы ТОР'!V2</f>
        <v>0.41653993200000006</v>
      </c>
      <c r="X22" s="533">
        <f>'Расходы ТОР'!W2</f>
        <v>0.41653993200000006</v>
      </c>
      <c r="Y22" s="533">
        <f>'Расходы ТОР'!X2</f>
        <v>0.41653993200000006</v>
      </c>
      <c r="Z22" s="533">
        <f>'Расходы ТОР'!Y2</f>
        <v>0.41653993200000006</v>
      </c>
      <c r="AA22" s="533">
        <f>'Расходы ТОР'!Z2</f>
        <v>0.41653993200000006</v>
      </c>
      <c r="AB22" s="533">
        <f>'Расходы ТОР'!AA2</f>
        <v>0.41653993200000006</v>
      </c>
      <c r="AC22" s="533">
        <f>'Расходы ТОР'!AB2</f>
        <v>0.41653993200000006</v>
      </c>
      <c r="AD22" s="533">
        <f>'Расходы ТОР'!AC2</f>
        <v>0.41653993200000006</v>
      </c>
      <c r="AE22" s="533">
        <f>'Расходы ТОР'!AD2</f>
        <v>0.41653993200000006</v>
      </c>
      <c r="AF22" s="533">
        <f>'Расходы ТОР'!AE2</f>
        <v>0.41653993200000006</v>
      </c>
      <c r="AG22" s="533">
        <f>'Расходы ТОР'!AF2</f>
        <v>0.41653993200000006</v>
      </c>
      <c r="AH22" s="533">
        <f>'Расходы ТОР'!AG2</f>
        <v>0.41653993200000006</v>
      </c>
      <c r="AI22" s="533">
        <f>'Расходы ТОР'!AH2</f>
        <v>0.41653993200000006</v>
      </c>
      <c r="AJ22" s="533">
        <f>'Расходы ТОР'!AI2</f>
        <v>0.41653993200000006</v>
      </c>
      <c r="AK22" s="533">
        <f>'Расходы ТОР'!AJ2</f>
        <v>0.41653993200000006</v>
      </c>
      <c r="AL22" s="533">
        <f>'Расходы ТОР'!AK2</f>
        <v>0.41653993200000006</v>
      </c>
      <c r="AM22" s="533">
        <f>'Расходы ТОР'!AL2</f>
        <v>0.41653993200000006</v>
      </c>
      <c r="AN22" s="533">
        <f>'Расходы ТОР'!AM2</f>
        <v>0.41653993200000006</v>
      </c>
      <c r="AO22" s="533">
        <f>'Расходы ТОР'!AN2</f>
        <v>0.41653993200000006</v>
      </c>
      <c r="AP22" s="533">
        <f>'Расходы ТОР'!AO2</f>
        <v>0.41653993200000006</v>
      </c>
      <c r="AQ22" s="533">
        <f>'Расходы ТОР'!AP2</f>
        <v>0.41653993200000006</v>
      </c>
      <c r="AR22" s="533">
        <f>'Расходы ТОР'!AQ2</f>
        <v>0.41653993200000006</v>
      </c>
      <c r="AS22" s="533">
        <f>'Расходы ТОР'!AR2</f>
        <v>0.41653993200000006</v>
      </c>
      <c r="AT22" s="533">
        <f>'Расходы ТОР'!AS2</f>
        <v>0.41653993200000006</v>
      </c>
    </row>
    <row r="23" spans="1:46" ht="28.8" x14ac:dyDescent="0.3">
      <c r="A23" s="532" t="str">
        <f>'Расходы ТОР'!A3</f>
        <v>Заработная плата и страховые взносы</v>
      </c>
      <c r="B23" s="532"/>
      <c r="C23" s="533">
        <f>'Расходы ТОР'!B3</f>
        <v>0</v>
      </c>
      <c r="D23" s="533">
        <f>'Расходы ТОР'!C3</f>
        <v>0</v>
      </c>
      <c r="E23" s="533">
        <f>'Расходы ТОР'!D3</f>
        <v>0</v>
      </c>
      <c r="F23" s="533">
        <f>'Расходы ТОР'!E3</f>
        <v>0</v>
      </c>
      <c r="G23" s="533">
        <f>'Расходы ТОР'!F3</f>
        <v>3080.2919999999999</v>
      </c>
      <c r="H23" s="533">
        <f>'Расходы ТОР'!G3</f>
        <v>3080.2919999999999</v>
      </c>
      <c r="I23" s="533">
        <f>'Расходы ТОР'!H3</f>
        <v>3080.2919999999999</v>
      </c>
      <c r="J23" s="533">
        <f>'Расходы ТОР'!I3</f>
        <v>3080.2919999999999</v>
      </c>
      <c r="K23" s="533">
        <f>'Расходы ТОР'!J3</f>
        <v>3295.9124400000001</v>
      </c>
      <c r="L23" s="533">
        <f>'Расходы ТОР'!K3</f>
        <v>3295.9124400000001</v>
      </c>
      <c r="M23" s="533">
        <f>'Расходы ТОР'!L3</f>
        <v>3295.9124400000001</v>
      </c>
      <c r="N23" s="533">
        <f>'Расходы ТОР'!M3</f>
        <v>3295.9124400000001</v>
      </c>
      <c r="O23" s="533">
        <f>'Расходы ТОР'!N3</f>
        <v>3526.6263108000003</v>
      </c>
      <c r="P23" s="533">
        <f>'Расходы ТОР'!O3</f>
        <v>3526.6263108000003</v>
      </c>
      <c r="Q23" s="533">
        <f>'Расходы ТОР'!P3</f>
        <v>3526.6263108000003</v>
      </c>
      <c r="R23" s="533">
        <f>'Расходы ТОР'!Q3</f>
        <v>3526.6263108000003</v>
      </c>
      <c r="S23" s="533">
        <f>'Расходы ТОР'!R3</f>
        <v>3773.4901525560003</v>
      </c>
      <c r="T23" s="533">
        <f>'Расходы ТОР'!S3</f>
        <v>3773.4901525560003</v>
      </c>
      <c r="U23" s="533">
        <f>'Расходы ТОР'!T3</f>
        <v>3773.4901525560003</v>
      </c>
      <c r="V23" s="533">
        <f>'Расходы ТОР'!U3</f>
        <v>3773.4901525560003</v>
      </c>
      <c r="W23" s="533">
        <f>'Расходы ТОР'!V3</f>
        <v>4037.634463234921</v>
      </c>
      <c r="X23" s="533">
        <f>'Расходы ТОР'!W3</f>
        <v>4037.634463234921</v>
      </c>
      <c r="Y23" s="533">
        <f>'Расходы ТОР'!X3</f>
        <v>4037.634463234921</v>
      </c>
      <c r="Z23" s="533">
        <f>'Расходы ТОР'!Y3</f>
        <v>4037.634463234921</v>
      </c>
      <c r="AA23" s="533">
        <f>'Расходы ТОР'!Z3</f>
        <v>4320.2688756613661</v>
      </c>
      <c r="AB23" s="533">
        <f>'Расходы ТОР'!AA3</f>
        <v>4320.2688756613661</v>
      </c>
      <c r="AC23" s="533">
        <f>'Расходы ТОР'!AB3</f>
        <v>4320.2688756613661</v>
      </c>
      <c r="AD23" s="533">
        <f>'Расходы ТОР'!AC3</f>
        <v>4320.2688756613661</v>
      </c>
      <c r="AE23" s="533">
        <f>'Расходы ТОР'!AD3</f>
        <v>4596.371338324192</v>
      </c>
      <c r="AF23" s="533">
        <f>'Расходы ТОР'!AE3</f>
        <v>4596.371338324192</v>
      </c>
      <c r="AG23" s="533">
        <f>'Расходы ТОР'!AF3</f>
        <v>4596.371338324192</v>
      </c>
      <c r="AH23" s="533">
        <f>'Расходы ТОР'!AG3</f>
        <v>4596.371338324192</v>
      </c>
      <c r="AI23" s="533">
        <f>'Расходы ТОР'!AH3</f>
        <v>4918.1173320068847</v>
      </c>
      <c r="AJ23" s="533">
        <f>'Расходы ТОР'!AI3</f>
        <v>4918.1173320068847</v>
      </c>
      <c r="AK23" s="533">
        <f>'Расходы ТОР'!AJ3</f>
        <v>4918.1173320068847</v>
      </c>
      <c r="AL23" s="533">
        <f>'Расходы ТОР'!AK3</f>
        <v>4918.1173320068847</v>
      </c>
      <c r="AM23" s="533">
        <f>'Расходы ТОР'!AL3</f>
        <v>5262.3855452473672</v>
      </c>
      <c r="AN23" s="533">
        <f>'Расходы ТОР'!AM3</f>
        <v>5262.3855452473672</v>
      </c>
      <c r="AO23" s="533">
        <f>'Расходы ТОР'!AN3</f>
        <v>5262.3855452473672</v>
      </c>
      <c r="AP23" s="533">
        <f>'Расходы ТОР'!AO3</f>
        <v>5262.3855452473672</v>
      </c>
      <c r="AQ23" s="533">
        <f>'Расходы ТОР'!AP3</f>
        <v>5262.3855452473672</v>
      </c>
      <c r="AR23" s="533">
        <f>'Расходы ТОР'!AQ3</f>
        <v>5262.3855452473672</v>
      </c>
      <c r="AS23" s="533">
        <f>'Расходы ТОР'!AR3</f>
        <v>5262.3855452473672</v>
      </c>
      <c r="AT23" s="533">
        <f>'Расходы ТОР'!AS3</f>
        <v>5262.3855452473672</v>
      </c>
    </row>
    <row r="24" spans="1:46" ht="79.5" customHeight="1" x14ac:dyDescent="0.3">
      <c r="A24" s="532" t="str">
        <f>'Расходы ТОР'!A7</f>
        <v>Общехозяйственные расходы (коммунальные расходы, содержание здания, канцтовары, интернет, охрана и проч)</v>
      </c>
      <c r="B24" s="532"/>
      <c r="C24" s="533">
        <f>'Расходы ТОР'!B7</f>
        <v>0</v>
      </c>
      <c r="D24" s="533">
        <f>'Расходы ТОР'!C7</f>
        <v>0</v>
      </c>
      <c r="E24" s="533">
        <f>'Расходы ТОР'!D7</f>
        <v>0</v>
      </c>
      <c r="F24" s="533">
        <f>'Расходы ТОР'!E7</f>
        <v>0</v>
      </c>
      <c r="G24" s="533">
        <f>'Расходы ТОР'!F7</f>
        <v>901.53000000000009</v>
      </c>
      <c r="H24" s="533">
        <f>'Расходы ТОР'!G7</f>
        <v>901.53000000000009</v>
      </c>
      <c r="I24" s="533">
        <f>'Расходы ТОР'!H7</f>
        <v>901.53000000000009</v>
      </c>
      <c r="J24" s="533">
        <f>'Расходы ТОР'!I7</f>
        <v>901.53000000000009</v>
      </c>
      <c r="K24" s="533">
        <f>'Расходы ТОР'!J7</f>
        <v>1307.2184999999999</v>
      </c>
      <c r="L24" s="533">
        <f>'Расходы ТОР'!K7</f>
        <v>1307.2184999999999</v>
      </c>
      <c r="M24" s="533">
        <f>'Расходы ТОР'!L7</f>
        <v>1307.2184999999999</v>
      </c>
      <c r="N24" s="533">
        <f>'Расходы ТОР'!M7</f>
        <v>1307.2184999999999</v>
      </c>
      <c r="O24" s="533">
        <f>'Расходы ТОР'!N7</f>
        <v>1415.281896</v>
      </c>
      <c r="P24" s="533">
        <f>'Расходы ТОР'!O7</f>
        <v>1415.281896</v>
      </c>
      <c r="Q24" s="533">
        <f>'Расходы ТОР'!P7</f>
        <v>1415.281896</v>
      </c>
      <c r="R24" s="533">
        <f>'Расходы ТОР'!Q7</f>
        <v>1415.281896</v>
      </c>
      <c r="S24" s="533">
        <f>'Расходы ТОР'!R7</f>
        <v>1717.079703432187</v>
      </c>
      <c r="T24" s="533">
        <f>'Расходы ТОР'!S7</f>
        <v>1717.079703432187</v>
      </c>
      <c r="U24" s="533">
        <f>'Расходы ТОР'!T7</f>
        <v>1717.079703432187</v>
      </c>
      <c r="V24" s="533">
        <f>'Расходы ТОР'!U7</f>
        <v>1717.079703432187</v>
      </c>
      <c r="W24" s="533">
        <f>'Расходы ТОР'!V7</f>
        <v>1845.3556577474153</v>
      </c>
      <c r="X24" s="533">
        <f>'Расходы ТОР'!W7</f>
        <v>1845.3556577474153</v>
      </c>
      <c r="Y24" s="533">
        <f>'Расходы ТОР'!X7</f>
        <v>1845.3556577474153</v>
      </c>
      <c r="Z24" s="533">
        <f>'Расходы ТОР'!Y7</f>
        <v>1845.3556577474153</v>
      </c>
      <c r="AA24" s="533">
        <f>'Расходы ТОР'!Z7</f>
        <v>1977.0935477588278</v>
      </c>
      <c r="AB24" s="533">
        <f>'Расходы ТОР'!AA7</f>
        <v>1977.0935477588278</v>
      </c>
      <c r="AC24" s="533">
        <f>'Расходы ТОР'!AB7</f>
        <v>1977.0935477588278</v>
      </c>
      <c r="AD24" s="533">
        <f>'Расходы ТОР'!AC7</f>
        <v>1977.0935477588278</v>
      </c>
      <c r="AE24" s="533">
        <f>'Расходы ТОР'!AD7</f>
        <v>2112.3683694475894</v>
      </c>
      <c r="AF24" s="533">
        <f>'Расходы ТОР'!AE7</f>
        <v>2112.3683694475894</v>
      </c>
      <c r="AG24" s="533">
        <f>'Расходы ТОР'!AF7</f>
        <v>2112.3683694475894</v>
      </c>
      <c r="AH24" s="533">
        <f>'Расходы ТОР'!AG7</f>
        <v>2112.3683694475894</v>
      </c>
      <c r="AI24" s="533">
        <f>'Расходы ТОР'!AH7</f>
        <v>2144.0538949893034</v>
      </c>
      <c r="AJ24" s="533">
        <f>'Расходы ТОР'!AI7</f>
        <v>2144.0538949893034</v>
      </c>
      <c r="AK24" s="533">
        <f>'Расходы ТОР'!AJ7</f>
        <v>2144.0538949893034</v>
      </c>
      <c r="AL24" s="533">
        <f>'Расходы ТОР'!AK7</f>
        <v>2144.0538949893034</v>
      </c>
      <c r="AM24" s="533">
        <f>'Расходы ТОР'!AL7</f>
        <v>2176.2147034141426</v>
      </c>
      <c r="AN24" s="533">
        <f>'Расходы ТОР'!AM7</f>
        <v>2176.2147034141426</v>
      </c>
      <c r="AO24" s="533">
        <f>'Расходы ТОР'!AN7</f>
        <v>2176.2147034141426</v>
      </c>
      <c r="AP24" s="533">
        <f>'Расходы ТОР'!AO7</f>
        <v>2176.2147034141426</v>
      </c>
      <c r="AQ24" s="533">
        <f>'Расходы ТОР'!AP7</f>
        <v>2208.8579239653545</v>
      </c>
      <c r="AR24" s="533">
        <f>'Расходы ТОР'!AQ7</f>
        <v>2208.8579239653545</v>
      </c>
      <c r="AS24" s="533">
        <f>'Расходы ТОР'!AR7</f>
        <v>2208.8579239653545</v>
      </c>
      <c r="AT24" s="533">
        <f>'Расходы ТОР'!AS7</f>
        <v>2208.8579239653545</v>
      </c>
    </row>
    <row r="25" spans="1:46" ht="28.8" x14ac:dyDescent="0.3">
      <c r="A25" s="532" t="str">
        <f>'Расходы ТОР'!A8</f>
        <v>Запасные части, комлектующие, обслуживание оборудования</v>
      </c>
      <c r="B25" s="532"/>
      <c r="C25" s="533">
        <f>'Расходы ТОР'!B8</f>
        <v>0</v>
      </c>
      <c r="D25" s="533">
        <f>'Расходы ТОР'!C8</f>
        <v>0</v>
      </c>
      <c r="E25" s="533">
        <f>'Расходы ТОР'!D8</f>
        <v>0</v>
      </c>
      <c r="F25" s="533">
        <f>'Расходы ТОР'!E8</f>
        <v>0</v>
      </c>
      <c r="G25" s="533">
        <f>'Расходы ТОР'!F8</f>
        <v>601.0200000000001</v>
      </c>
      <c r="H25" s="533">
        <f>'Расходы ТОР'!G8</f>
        <v>601.0200000000001</v>
      </c>
      <c r="I25" s="533">
        <f>'Расходы ТОР'!H8</f>
        <v>601.0200000000001</v>
      </c>
      <c r="J25" s="533">
        <f>'Расходы ТОР'!I8</f>
        <v>601.0200000000001</v>
      </c>
      <c r="K25" s="533">
        <f>'Расходы ТОР'!J8</f>
        <v>871.47899999999993</v>
      </c>
      <c r="L25" s="533">
        <f>'Расходы ТОР'!K8</f>
        <v>871.47899999999993</v>
      </c>
      <c r="M25" s="533">
        <f>'Расходы ТОР'!L8</f>
        <v>871.47899999999993</v>
      </c>
      <c r="N25" s="533">
        <f>'Расходы ТОР'!M8</f>
        <v>871.47899999999993</v>
      </c>
      <c r="O25" s="533">
        <f>'Расходы ТОР'!N8</f>
        <v>943.52126400000009</v>
      </c>
      <c r="P25" s="533">
        <f>'Расходы ТОР'!O8</f>
        <v>943.52126400000009</v>
      </c>
      <c r="Q25" s="533">
        <f>'Расходы ТОР'!P8</f>
        <v>943.52126400000009</v>
      </c>
      <c r="R25" s="533">
        <f>'Расходы ТОР'!Q8</f>
        <v>943.52126400000009</v>
      </c>
      <c r="S25" s="533">
        <f>'Расходы ТОР'!R8</f>
        <v>1144.7198022881246</v>
      </c>
      <c r="T25" s="533">
        <f>'Расходы ТОР'!S8</f>
        <v>1144.7198022881246</v>
      </c>
      <c r="U25" s="533">
        <f>'Расходы ТОР'!T8</f>
        <v>1144.7198022881246</v>
      </c>
      <c r="V25" s="533">
        <f>'Расходы ТОР'!U8</f>
        <v>1144.7198022881246</v>
      </c>
      <c r="W25" s="533">
        <f>'Расходы ТОР'!V8</f>
        <v>1230.2371051649436</v>
      </c>
      <c r="X25" s="533">
        <f>'Расходы ТОР'!W8</f>
        <v>1230.2371051649436</v>
      </c>
      <c r="Y25" s="533">
        <f>'Расходы ТОР'!X8</f>
        <v>1230.2371051649436</v>
      </c>
      <c r="Z25" s="533">
        <f>'Расходы ТОР'!Y8</f>
        <v>1230.2371051649436</v>
      </c>
      <c r="AA25" s="533">
        <f>'Расходы ТОР'!Z8</f>
        <v>1318.0623651725521</v>
      </c>
      <c r="AB25" s="533">
        <f>'Расходы ТОР'!AA8</f>
        <v>1318.0623651725521</v>
      </c>
      <c r="AC25" s="533">
        <f>'Расходы ТОР'!AB8</f>
        <v>1318.0623651725521</v>
      </c>
      <c r="AD25" s="533">
        <f>'Расходы ТОР'!AC8</f>
        <v>1318.0623651725521</v>
      </c>
      <c r="AE25" s="533">
        <f>'Расходы ТОР'!AD8</f>
        <v>1408.2455796317265</v>
      </c>
      <c r="AF25" s="533">
        <f>'Расходы ТОР'!AE8</f>
        <v>1408.2455796317265</v>
      </c>
      <c r="AG25" s="533">
        <f>'Расходы ТОР'!AF8</f>
        <v>1408.2455796317265</v>
      </c>
      <c r="AH25" s="533">
        <f>'Расходы ТОР'!AG8</f>
        <v>1408.2455796317265</v>
      </c>
      <c r="AI25" s="533">
        <f>'Расходы ТОР'!AH8</f>
        <v>1429.3692633262024</v>
      </c>
      <c r="AJ25" s="533">
        <f>'Расходы ТОР'!AI8</f>
        <v>1429.3692633262024</v>
      </c>
      <c r="AK25" s="533">
        <f>'Расходы ТОР'!AJ8</f>
        <v>1429.3692633262024</v>
      </c>
      <c r="AL25" s="533">
        <f>'Расходы ТОР'!AK8</f>
        <v>1429.3692633262024</v>
      </c>
      <c r="AM25" s="533">
        <f>'Расходы ТОР'!AL8</f>
        <v>1450.8098022760951</v>
      </c>
      <c r="AN25" s="533">
        <f>'Расходы ТОР'!AM8</f>
        <v>1450.8098022760951</v>
      </c>
      <c r="AO25" s="533">
        <f>'Расходы ТОР'!AN8</f>
        <v>1450.8098022760951</v>
      </c>
      <c r="AP25" s="533">
        <f>'Расходы ТОР'!AO8</f>
        <v>1450.8098022760951</v>
      </c>
      <c r="AQ25" s="533">
        <f>'Расходы ТОР'!AP8</f>
        <v>1472.5719493102365</v>
      </c>
      <c r="AR25" s="533">
        <f>'Расходы ТОР'!AQ8</f>
        <v>1472.5719493102365</v>
      </c>
      <c r="AS25" s="533">
        <f>'Расходы ТОР'!AR8</f>
        <v>1472.5719493102365</v>
      </c>
      <c r="AT25" s="533">
        <f>'Расходы ТОР'!AS8</f>
        <v>1472.5719493102365</v>
      </c>
    </row>
    <row r="26" spans="1:46" x14ac:dyDescent="0.3">
      <c r="A26" s="532" t="str">
        <f>'Расходы ТОР'!A12</f>
        <v>Амортизация</v>
      </c>
      <c r="B26" s="533"/>
      <c r="C26" s="533">
        <f>'Расходы ТОР'!B12</f>
        <v>0</v>
      </c>
      <c r="D26" s="533">
        <f>'Расходы ТОР'!C12</f>
        <v>0</v>
      </c>
      <c r="E26" s="533">
        <f>'Расходы ТОР'!D12</f>
        <v>0</v>
      </c>
      <c r="F26" s="533">
        <f>'Расходы ТОР'!E12</f>
        <v>858.33333333333337</v>
      </c>
      <c r="G26" s="533">
        <f>'Расходы ТОР'!F12</f>
        <v>858.33333333333337</v>
      </c>
      <c r="H26" s="533">
        <f>'Расходы ТОР'!G12</f>
        <v>858.33333333333337</v>
      </c>
      <c r="I26" s="533">
        <f>'Расходы ТОР'!H12</f>
        <v>858.33333333333337</v>
      </c>
      <c r="J26" s="533">
        <f>'Расходы ТОР'!I12</f>
        <v>858.33333333333337</v>
      </c>
      <c r="K26" s="533">
        <f>'Расходы ТОР'!J12</f>
        <v>858.33333333333337</v>
      </c>
      <c r="L26" s="533">
        <f>'Расходы ТОР'!K12</f>
        <v>858.33333333333337</v>
      </c>
      <c r="M26" s="533">
        <f>'Расходы ТОР'!L12</f>
        <v>858.33333333333337</v>
      </c>
      <c r="N26" s="533">
        <f>'Расходы ТОР'!M12</f>
        <v>858.33333333333337</v>
      </c>
      <c r="O26" s="533">
        <f>'Расходы ТОР'!N12</f>
        <v>858.33333333333337</v>
      </c>
      <c r="P26" s="533">
        <f>'Расходы ТОР'!O12</f>
        <v>858.33333333333337</v>
      </c>
      <c r="Q26" s="533">
        <f>'Расходы ТОР'!P12</f>
        <v>858.33333333333337</v>
      </c>
      <c r="R26" s="533">
        <f>'Расходы ТОР'!Q12</f>
        <v>858.33333333333337</v>
      </c>
      <c r="S26" s="533">
        <f>'Расходы ТОР'!R12</f>
        <v>858.33333333333337</v>
      </c>
      <c r="T26" s="533">
        <f>'Расходы ТОР'!S12</f>
        <v>858.33333333333337</v>
      </c>
      <c r="U26" s="533">
        <f>'Расходы ТОР'!T12</f>
        <v>858.33333333333337</v>
      </c>
      <c r="V26" s="533">
        <f>'Расходы ТОР'!U12</f>
        <v>858.33333333333337</v>
      </c>
      <c r="W26" s="533">
        <f>'Расходы ТОР'!V12</f>
        <v>858.33333333333337</v>
      </c>
      <c r="X26" s="533">
        <f>'Расходы ТОР'!W12</f>
        <v>858.33333333333337</v>
      </c>
      <c r="Y26" s="533">
        <f>'Расходы ТОР'!X12</f>
        <v>858.33333333333337</v>
      </c>
      <c r="Z26" s="533">
        <f>'Расходы ТОР'!Y12</f>
        <v>858.33333333333337</v>
      </c>
      <c r="AA26" s="533">
        <f>'Расходы ТОР'!Z12</f>
        <v>858.33333333333337</v>
      </c>
      <c r="AB26" s="533">
        <f>'Расходы ТОР'!AA12</f>
        <v>858.33333333333337</v>
      </c>
      <c r="AC26" s="533">
        <f>'Расходы ТОР'!AB12</f>
        <v>858.33333333333337</v>
      </c>
      <c r="AD26" s="533">
        <f>'Расходы ТОР'!AC12</f>
        <v>858.33333333333337</v>
      </c>
      <c r="AE26" s="533">
        <f>'Расходы ТОР'!AD12</f>
        <v>858.33333333333337</v>
      </c>
      <c r="AF26" s="533">
        <f>'Расходы ТОР'!AE12</f>
        <v>858.33333333333337</v>
      </c>
      <c r="AG26" s="533">
        <f>'Расходы ТОР'!AF12</f>
        <v>858.33333333333337</v>
      </c>
      <c r="AH26" s="533">
        <f>'Расходы ТОР'!AG12</f>
        <v>858.33333333333337</v>
      </c>
      <c r="AI26" s="533">
        <f>'Расходы ТОР'!AH12</f>
        <v>858.33333333333337</v>
      </c>
      <c r="AJ26" s="533">
        <f>'Расходы ТОР'!AI12</f>
        <v>858.33333333333337</v>
      </c>
      <c r="AK26" s="533">
        <f>'Расходы ТОР'!AJ12</f>
        <v>858.33333333333337</v>
      </c>
      <c r="AL26" s="533">
        <f>'Расходы ТОР'!AK12</f>
        <v>858.33333333333337</v>
      </c>
      <c r="AM26" s="533">
        <f>'Расходы ТОР'!AL12</f>
        <v>858.33333333333337</v>
      </c>
      <c r="AN26" s="533">
        <f>'Расходы ТОР'!AM12</f>
        <v>858.33333333333337</v>
      </c>
      <c r="AO26" s="533">
        <f>'Расходы ТОР'!AN12</f>
        <v>858.33333333333337</v>
      </c>
      <c r="AP26" s="533">
        <f>'Расходы ТОР'!AO12</f>
        <v>858.33333333333337</v>
      </c>
      <c r="AQ26" s="533">
        <f>'Расходы ТОР'!AP12</f>
        <v>858.33333333333337</v>
      </c>
      <c r="AR26" s="533">
        <f>'Расходы ТОР'!AQ12</f>
        <v>858.33333333333337</v>
      </c>
      <c r="AS26" s="533">
        <f>'Расходы ТОР'!AR12</f>
        <v>858.33333333333337</v>
      </c>
      <c r="AT26" s="533">
        <f>'Расходы ТОР'!AS12</f>
        <v>858.33333333333337</v>
      </c>
    </row>
    <row r="27" spans="1:46" x14ac:dyDescent="0.3">
      <c r="A27" s="532" t="str">
        <f>'Расходы ТОР'!A17</f>
        <v>Обновление основных средств</v>
      </c>
      <c r="B27" s="533"/>
      <c r="C27" s="533">
        <f>'Расходы ТОР'!B17</f>
        <v>0</v>
      </c>
      <c r="D27" s="533">
        <f>'Расходы ТОР'!C17</f>
        <v>0</v>
      </c>
      <c r="E27" s="533">
        <f>'Расходы ТОР'!D17</f>
        <v>0</v>
      </c>
      <c r="F27" s="533">
        <f>'Расходы ТОР'!E17</f>
        <v>0</v>
      </c>
      <c r="G27" s="533">
        <f>'Расходы ТОР'!F17</f>
        <v>0</v>
      </c>
      <c r="H27" s="533">
        <f>'Расходы ТОР'!G17</f>
        <v>0</v>
      </c>
      <c r="I27" s="533">
        <f>'Расходы ТОР'!H17</f>
        <v>0</v>
      </c>
      <c r="J27" s="533">
        <f>'Расходы ТОР'!I17</f>
        <v>0</v>
      </c>
      <c r="K27" s="533">
        <f>'Расходы ТОР'!J17</f>
        <v>35.235424999999999</v>
      </c>
      <c r="L27" s="533">
        <f>'Расходы ТОР'!K17</f>
        <v>35.235424999999999</v>
      </c>
      <c r="M27" s="533">
        <f>'Расходы ТОР'!L17</f>
        <v>35.235424999999999</v>
      </c>
      <c r="N27" s="533">
        <f>'Расходы ТОР'!M17</f>
        <v>35.235424999999999</v>
      </c>
      <c r="O27" s="533">
        <f>'Расходы ТОР'!N17</f>
        <v>35.235424999999999</v>
      </c>
      <c r="P27" s="533">
        <f>'Расходы ТОР'!O17</f>
        <v>35.235424999999999</v>
      </c>
      <c r="Q27" s="533">
        <f>'Расходы ТОР'!P17</f>
        <v>35.235424999999999</v>
      </c>
      <c r="R27" s="533">
        <f>'Расходы ТОР'!Q17</f>
        <v>35.235424999999999</v>
      </c>
      <c r="S27" s="533">
        <f>'Расходы ТОР'!R17</f>
        <v>35.235424999999999</v>
      </c>
      <c r="T27" s="533">
        <f>'Расходы ТОР'!S17</f>
        <v>35.235424999999999</v>
      </c>
      <c r="U27" s="533">
        <f>'Расходы ТОР'!T17</f>
        <v>35.235424999999999</v>
      </c>
      <c r="V27" s="533">
        <f>'Расходы ТОР'!U17</f>
        <v>35.235424999999999</v>
      </c>
      <c r="W27" s="533">
        <f>'Расходы ТОР'!V17</f>
        <v>35.235424999999999</v>
      </c>
      <c r="X27" s="533">
        <f>'Расходы ТОР'!W17</f>
        <v>35.235424999999999</v>
      </c>
      <c r="Y27" s="533">
        <f>'Расходы ТОР'!X17</f>
        <v>35.235424999999999</v>
      </c>
      <c r="Z27" s="533">
        <f>'Расходы ТОР'!Y17</f>
        <v>35.235424999999999</v>
      </c>
      <c r="AA27" s="533">
        <f>'Расходы ТОР'!Z17</f>
        <v>35.235424999999999</v>
      </c>
      <c r="AB27" s="533">
        <f>'Расходы ТОР'!AA17</f>
        <v>35.235424999999999</v>
      </c>
      <c r="AC27" s="533">
        <f>'Расходы ТОР'!AB17</f>
        <v>35.235424999999999</v>
      </c>
      <c r="AD27" s="533">
        <f>'Расходы ТОР'!AC17</f>
        <v>35.235424999999999</v>
      </c>
      <c r="AE27" s="533">
        <f>'Расходы ТОР'!AD17</f>
        <v>35.235424999999999</v>
      </c>
      <c r="AF27" s="533">
        <f>'Расходы ТОР'!AE17</f>
        <v>35.235424999999999</v>
      </c>
      <c r="AG27" s="533">
        <f>'Расходы ТОР'!AF17</f>
        <v>35.235424999999999</v>
      </c>
      <c r="AH27" s="533">
        <f>'Расходы ТОР'!AG17</f>
        <v>35.235424999999999</v>
      </c>
      <c r="AI27" s="533">
        <f>'Расходы ТОР'!AH17</f>
        <v>35.235424999999999</v>
      </c>
      <c r="AJ27" s="533">
        <f>'Расходы ТОР'!AI17</f>
        <v>35.235424999999999</v>
      </c>
      <c r="AK27" s="533">
        <f>'Расходы ТОР'!AJ17</f>
        <v>35.235424999999999</v>
      </c>
      <c r="AL27" s="533">
        <f>'Расходы ТОР'!AK17</f>
        <v>35.235424999999999</v>
      </c>
      <c r="AM27" s="533">
        <f>'Расходы ТОР'!AL17</f>
        <v>35.235424999999999</v>
      </c>
      <c r="AN27" s="533">
        <f>'Расходы ТОР'!AM17</f>
        <v>35.235424999999999</v>
      </c>
      <c r="AO27" s="533">
        <f>'Расходы ТОР'!AN17</f>
        <v>35.235424999999999</v>
      </c>
      <c r="AP27" s="533">
        <f>'Расходы ТОР'!AO17</f>
        <v>35.235424999999999</v>
      </c>
      <c r="AQ27" s="533">
        <f>'Расходы ТОР'!AP17</f>
        <v>35.235424999999999</v>
      </c>
      <c r="AR27" s="533">
        <f>'Расходы ТОР'!AQ17</f>
        <v>35.235424999999999</v>
      </c>
      <c r="AS27" s="533">
        <f>'Расходы ТОР'!AR17</f>
        <v>35.235424999999999</v>
      </c>
      <c r="AT27" s="533">
        <f>'Расходы ТОР'!AS17</f>
        <v>35.235424999999999</v>
      </c>
    </row>
    <row r="28" spans="1:46" s="548" customFormat="1" x14ac:dyDescent="0.3">
      <c r="A28" s="543" t="s">
        <v>18</v>
      </c>
      <c r="B28" s="543"/>
      <c r="C28" s="543">
        <f>SUM(C22:C27)</f>
        <v>0</v>
      </c>
      <c r="D28" s="543">
        <f t="shared" ref="D28:AT28" si="15">SUM(D22:D27)</f>
        <v>0</v>
      </c>
      <c r="E28" s="543">
        <f t="shared" si="15"/>
        <v>0.41653993200000006</v>
      </c>
      <c r="F28" s="543">
        <f t="shared" si="15"/>
        <v>858.74987326533335</v>
      </c>
      <c r="G28" s="543">
        <f t="shared" si="15"/>
        <v>5441.5918732653336</v>
      </c>
      <c r="H28" s="543">
        <f t="shared" si="15"/>
        <v>5441.5918732653336</v>
      </c>
      <c r="I28" s="543">
        <f t="shared" si="15"/>
        <v>5441.5918732653336</v>
      </c>
      <c r="J28" s="543">
        <f t="shared" si="15"/>
        <v>5441.5918732653336</v>
      </c>
      <c r="K28" s="543">
        <f t="shared" si="15"/>
        <v>6368.5952382653331</v>
      </c>
      <c r="L28" s="543">
        <f t="shared" si="15"/>
        <v>6368.5952382653331</v>
      </c>
      <c r="M28" s="543">
        <f t="shared" si="15"/>
        <v>6368.5952382653331</v>
      </c>
      <c r="N28" s="543">
        <f t="shared" si="15"/>
        <v>6368.5952382653331</v>
      </c>
      <c r="O28" s="543">
        <f t="shared" si="15"/>
        <v>6779.4147690653326</v>
      </c>
      <c r="P28" s="543">
        <f t="shared" si="15"/>
        <v>6779.4147690653326</v>
      </c>
      <c r="Q28" s="543">
        <f t="shared" si="15"/>
        <v>6779.4147690653326</v>
      </c>
      <c r="R28" s="543">
        <f t="shared" si="15"/>
        <v>6779.4147690653326</v>
      </c>
      <c r="S28" s="543">
        <f t="shared" si="15"/>
        <v>7529.2749565416452</v>
      </c>
      <c r="T28" s="543">
        <f t="shared" si="15"/>
        <v>7529.2749565416452</v>
      </c>
      <c r="U28" s="543">
        <f t="shared" si="15"/>
        <v>7529.2749565416452</v>
      </c>
      <c r="V28" s="543">
        <f t="shared" si="15"/>
        <v>7529.2749565416452</v>
      </c>
      <c r="W28" s="543">
        <f t="shared" si="15"/>
        <v>8007.2125244126128</v>
      </c>
      <c r="X28" s="543">
        <f t="shared" si="15"/>
        <v>8007.2125244126128</v>
      </c>
      <c r="Y28" s="543">
        <f t="shared" si="15"/>
        <v>8007.2125244126128</v>
      </c>
      <c r="Z28" s="543">
        <f t="shared" si="15"/>
        <v>8007.2125244126128</v>
      </c>
      <c r="AA28" s="543">
        <f t="shared" si="15"/>
        <v>8509.410086858079</v>
      </c>
      <c r="AB28" s="543">
        <f t="shared" si="15"/>
        <v>8509.410086858079</v>
      </c>
      <c r="AC28" s="543">
        <f t="shared" si="15"/>
        <v>8509.410086858079</v>
      </c>
      <c r="AD28" s="543">
        <f t="shared" si="15"/>
        <v>8509.410086858079</v>
      </c>
      <c r="AE28" s="543">
        <f t="shared" si="15"/>
        <v>9010.9705856688415</v>
      </c>
      <c r="AF28" s="543">
        <f t="shared" si="15"/>
        <v>9010.9705856688415</v>
      </c>
      <c r="AG28" s="543">
        <f t="shared" si="15"/>
        <v>9010.9705856688415</v>
      </c>
      <c r="AH28" s="543">
        <f t="shared" si="15"/>
        <v>9010.9705856688415</v>
      </c>
      <c r="AI28" s="543">
        <f t="shared" si="15"/>
        <v>9385.5257885877254</v>
      </c>
      <c r="AJ28" s="543">
        <f t="shared" si="15"/>
        <v>9385.5257885877254</v>
      </c>
      <c r="AK28" s="543">
        <f t="shared" si="15"/>
        <v>9385.5257885877254</v>
      </c>
      <c r="AL28" s="543">
        <f t="shared" si="15"/>
        <v>9385.5257885877254</v>
      </c>
      <c r="AM28" s="543">
        <f t="shared" si="15"/>
        <v>9783.3953492029395</v>
      </c>
      <c r="AN28" s="543">
        <f t="shared" si="15"/>
        <v>9783.3953492029395</v>
      </c>
      <c r="AO28" s="543">
        <f t="shared" si="15"/>
        <v>9783.3953492029395</v>
      </c>
      <c r="AP28" s="543">
        <f t="shared" si="15"/>
        <v>9783.3953492029395</v>
      </c>
      <c r="AQ28" s="543">
        <f t="shared" si="15"/>
        <v>9837.8007167882934</v>
      </c>
      <c r="AR28" s="543">
        <f t="shared" si="15"/>
        <v>9837.8007167882934</v>
      </c>
      <c r="AS28" s="543">
        <f t="shared" si="15"/>
        <v>9837.8007167882934</v>
      </c>
      <c r="AT28" s="543">
        <f t="shared" si="15"/>
        <v>9837.8007167882934</v>
      </c>
    </row>
    <row r="29" spans="1:46" s="537" customFormat="1" ht="28.8" x14ac:dyDescent="0.3">
      <c r="A29" s="546" t="s">
        <v>535</v>
      </c>
      <c r="B29" s="547" t="s">
        <v>550</v>
      </c>
      <c r="C29" s="534"/>
      <c r="D29" s="534"/>
      <c r="E29" s="534"/>
      <c r="F29" s="534"/>
      <c r="G29" s="534">
        <f>(G17+G28)/(G3*1000)</f>
        <v>16.430025729057355</v>
      </c>
      <c r="H29" s="534">
        <f t="shared" ref="H29:AT29" si="16">(H17+H28)/(H3*1000)</f>
        <v>16.430025729057355</v>
      </c>
      <c r="I29" s="534">
        <f t="shared" si="16"/>
        <v>16.430025729057355</v>
      </c>
      <c r="J29" s="534">
        <f t="shared" si="16"/>
        <v>16.430025729057355</v>
      </c>
      <c r="K29" s="534">
        <f t="shared" si="16"/>
        <v>15.799397397229038</v>
      </c>
      <c r="L29" s="534">
        <f t="shared" si="16"/>
        <v>15.799397397229038</v>
      </c>
      <c r="M29" s="534">
        <f t="shared" si="16"/>
        <v>15.799397397229038</v>
      </c>
      <c r="N29" s="534">
        <f t="shared" si="16"/>
        <v>15.799397397229038</v>
      </c>
      <c r="O29" s="534">
        <f t="shared" si="16"/>
        <v>15.793723999145971</v>
      </c>
      <c r="P29" s="534">
        <f t="shared" si="16"/>
        <v>15.793723999145971</v>
      </c>
      <c r="Q29" s="534">
        <f t="shared" si="16"/>
        <v>15.793723999145971</v>
      </c>
      <c r="R29" s="534">
        <f t="shared" si="16"/>
        <v>15.793723999145971</v>
      </c>
      <c r="S29" s="534">
        <f t="shared" si="16"/>
        <v>15.591626085733715</v>
      </c>
      <c r="T29" s="534">
        <f t="shared" si="16"/>
        <v>15.591626085733715</v>
      </c>
      <c r="U29" s="534">
        <f t="shared" si="16"/>
        <v>15.591626085733715</v>
      </c>
      <c r="V29" s="534">
        <f t="shared" si="16"/>
        <v>15.591626085733715</v>
      </c>
      <c r="W29" s="534">
        <f t="shared" si="16"/>
        <v>15.603335129284954</v>
      </c>
      <c r="X29" s="534">
        <f t="shared" si="16"/>
        <v>15.603335129284954</v>
      </c>
      <c r="Y29" s="534">
        <f t="shared" si="16"/>
        <v>15.603335129284954</v>
      </c>
      <c r="Z29" s="534">
        <f t="shared" si="16"/>
        <v>15.603335129284954</v>
      </c>
      <c r="AA29" s="534">
        <f t="shared" si="16"/>
        <v>15.621450198145448</v>
      </c>
      <c r="AB29" s="534">
        <f t="shared" si="16"/>
        <v>15.621450198145448</v>
      </c>
      <c r="AC29" s="534">
        <f t="shared" si="16"/>
        <v>15.621450198145448</v>
      </c>
      <c r="AD29" s="534">
        <f t="shared" si="16"/>
        <v>15.621450198145448</v>
      </c>
      <c r="AE29" s="534">
        <f t="shared" si="16"/>
        <v>15.637540808117892</v>
      </c>
      <c r="AF29" s="534">
        <f t="shared" si="16"/>
        <v>15.637540808117892</v>
      </c>
      <c r="AG29" s="534">
        <f t="shared" si="16"/>
        <v>15.637540808117892</v>
      </c>
      <c r="AH29" s="534">
        <f t="shared" si="16"/>
        <v>15.637540808117892</v>
      </c>
      <c r="AI29" s="534">
        <f t="shared" si="16"/>
        <v>15.749711779329719</v>
      </c>
      <c r="AJ29" s="534">
        <f t="shared" si="16"/>
        <v>15.749711779329719</v>
      </c>
      <c r="AK29" s="534">
        <f t="shared" si="16"/>
        <v>15.749711779329719</v>
      </c>
      <c r="AL29" s="534">
        <f t="shared" si="16"/>
        <v>15.749711779329719</v>
      </c>
      <c r="AM29" s="534">
        <f t="shared" si="16"/>
        <v>15.86887412400549</v>
      </c>
      <c r="AN29" s="534">
        <f t="shared" si="16"/>
        <v>15.86887412400549</v>
      </c>
      <c r="AO29" s="534">
        <f t="shared" si="16"/>
        <v>15.86887412400549</v>
      </c>
      <c r="AP29" s="534">
        <f t="shared" si="16"/>
        <v>15.86887412400549</v>
      </c>
      <c r="AQ29" s="534">
        <f t="shared" si="16"/>
        <v>15.88499423291967</v>
      </c>
      <c r="AR29" s="534">
        <f t="shared" si="16"/>
        <v>15.88499423291967</v>
      </c>
      <c r="AS29" s="534">
        <f t="shared" si="16"/>
        <v>15.88499423291967</v>
      </c>
      <c r="AT29" s="534">
        <f t="shared" si="16"/>
        <v>15.88499423291967</v>
      </c>
    </row>
    <row r="32" spans="1:46" s="523" customFormat="1" x14ac:dyDescent="0.3">
      <c r="A32" s="529" t="str">
        <f>A11</f>
        <v>Прямые расходы, тыс руб</v>
      </c>
      <c r="B32" s="554" t="str">
        <f>'Расходы ТОР'!B24</f>
        <v>1 год</v>
      </c>
      <c r="C32" s="554" t="str">
        <f>'Расходы ТОР'!C24</f>
        <v>2 год</v>
      </c>
      <c r="D32" s="554" t="str">
        <f>'Расходы ТОР'!D24</f>
        <v>3 год</v>
      </c>
      <c r="E32" s="554" t="str">
        <f>'Расходы ТОР'!E24</f>
        <v>4 год</v>
      </c>
      <c r="F32" s="554" t="str">
        <f>'Расходы ТОР'!F24</f>
        <v>5 год</v>
      </c>
      <c r="G32" s="554" t="str">
        <f>'Расходы ТОР'!G24</f>
        <v>6 год</v>
      </c>
      <c r="H32" s="554" t="str">
        <f>'Расходы ТОР'!H24</f>
        <v>7 год</v>
      </c>
      <c r="I32" s="554" t="str">
        <f>'Расходы ТОР'!I24</f>
        <v>8 год</v>
      </c>
      <c r="J32" s="554" t="str">
        <f>'Расходы ТОР'!J24</f>
        <v>9 год</v>
      </c>
      <c r="K32" s="554" t="str">
        <f>'Расходы ТОР'!K24</f>
        <v>10 год</v>
      </c>
      <c r="L32" s="554" t="str">
        <f>'Расходы ТОР'!L24</f>
        <v>11 год</v>
      </c>
    </row>
    <row r="33" spans="1:12" x14ac:dyDescent="0.3">
      <c r="A33" s="532" t="str">
        <f t="shared" ref="A33:A38" si="17">A12</f>
        <v>макулатура</v>
      </c>
      <c r="B33" s="63">
        <f>SUM(C12:F12)</f>
        <v>0</v>
      </c>
      <c r="C33" s="63">
        <f>SUM(G12:J12)</f>
        <v>51975</v>
      </c>
      <c r="D33" s="63">
        <f>SUM(K12:N12)</f>
        <v>74250</v>
      </c>
      <c r="E33" s="63">
        <f>SUM(O12:R12)</f>
        <v>79200.000000000015</v>
      </c>
      <c r="F33" s="63">
        <f>SUM(S12:V12)</f>
        <v>94668.75</v>
      </c>
      <c r="G33" s="63">
        <f>SUM(W12:Z12)</f>
        <v>100237.50000000004</v>
      </c>
      <c r="H33" s="63">
        <f>SUM(AA12:AD12)</f>
        <v>105806.25000000001</v>
      </c>
      <c r="I33" s="63">
        <f>SUM(AE12:AH12)</f>
        <v>111375.00000000004</v>
      </c>
      <c r="J33" s="63">
        <f>SUM(AI12:AL12)</f>
        <v>111375.00000000004</v>
      </c>
      <c r="K33" s="63">
        <f>SUM(AM12:AP12)</f>
        <v>111375.00000000001</v>
      </c>
      <c r="L33" s="63">
        <f>SUM(AQ12:AT12)</f>
        <v>111375.00000000001</v>
      </c>
    </row>
    <row r="34" spans="1:12" ht="28.8" x14ac:dyDescent="0.3">
      <c r="A34" s="532" t="str">
        <f t="shared" si="17"/>
        <v>Расходы на спецодежду, средства защиты</v>
      </c>
      <c r="B34" s="63">
        <f t="shared" ref="B34:B37" si="18">SUM(C13:F13)</f>
        <v>0</v>
      </c>
      <c r="C34" s="63">
        <f>SUM(G13:J13)</f>
        <v>154.0146</v>
      </c>
      <c r="D34" s="63">
        <f t="shared" ref="D34:D37" si="19">SUM(K13:N13)</f>
        <v>164.79562200000001</v>
      </c>
      <c r="E34" s="63">
        <f t="shared" ref="E34:E38" si="20">SUM(O13:R13)</f>
        <v>176.33131554000002</v>
      </c>
      <c r="F34" s="63">
        <f t="shared" ref="F34:F38" si="21">SUM(S13:V13)</f>
        <v>188.67450762780004</v>
      </c>
      <c r="G34" s="63">
        <f t="shared" ref="G34:G38" si="22">SUM(W13:Z13)</f>
        <v>201.88172316174607</v>
      </c>
      <c r="H34" s="63">
        <f t="shared" ref="H34:H38" si="23">SUM(AA13:AD13)</f>
        <v>216.01344378306831</v>
      </c>
      <c r="I34" s="63">
        <f t="shared" ref="I34:I38" si="24">SUM(AE13:AH13)</f>
        <v>229.81856691620962</v>
      </c>
      <c r="J34" s="63">
        <f t="shared" ref="J34:J38" si="25">SUM(AI13:AL13)</f>
        <v>245.90586660034424</v>
      </c>
      <c r="K34" s="63">
        <f t="shared" ref="K34:K38" si="26">SUM(AM13:AP13)</f>
        <v>263.11927726236837</v>
      </c>
      <c r="L34" s="63">
        <f t="shared" ref="L34:L38" si="27">SUM(AQ13:AT13)</f>
        <v>263.11927726236837</v>
      </c>
    </row>
    <row r="35" spans="1:12" x14ac:dyDescent="0.3">
      <c r="A35" s="532" t="str">
        <f t="shared" si="17"/>
        <v>Расход воды</v>
      </c>
      <c r="B35" s="63">
        <f t="shared" si="18"/>
        <v>0</v>
      </c>
      <c r="C35" s="63">
        <f t="shared" ref="C35:C38" si="28">SUM(G14:J14)</f>
        <v>12320.28</v>
      </c>
      <c r="D35" s="63">
        <f t="shared" si="19"/>
        <v>17600.400000000001</v>
      </c>
      <c r="E35" s="63">
        <f t="shared" si="20"/>
        <v>18773.760000000006</v>
      </c>
      <c r="F35" s="63">
        <f t="shared" si="21"/>
        <v>22440.510000000002</v>
      </c>
      <c r="G35" s="63">
        <f t="shared" si="22"/>
        <v>23760.540000000008</v>
      </c>
      <c r="H35" s="63">
        <f t="shared" si="23"/>
        <v>25080.570000000007</v>
      </c>
      <c r="I35" s="63">
        <f t="shared" si="24"/>
        <v>26400.600000000006</v>
      </c>
      <c r="J35" s="63">
        <f t="shared" si="25"/>
        <v>26400.600000000006</v>
      </c>
      <c r="K35" s="63">
        <f t="shared" si="26"/>
        <v>26400.600000000002</v>
      </c>
      <c r="L35" s="63">
        <f t="shared" si="27"/>
        <v>26400.600000000002</v>
      </c>
    </row>
    <row r="36" spans="1:12" x14ac:dyDescent="0.3">
      <c r="A36" s="532" t="str">
        <f t="shared" si="17"/>
        <v>Расход газа</v>
      </c>
      <c r="B36" s="63">
        <f t="shared" si="18"/>
        <v>0</v>
      </c>
      <c r="C36" s="63">
        <f t="shared" si="28"/>
        <v>12096.000000000002</v>
      </c>
      <c r="D36" s="63">
        <f t="shared" si="19"/>
        <v>17280</v>
      </c>
      <c r="E36" s="63">
        <f t="shared" si="20"/>
        <v>18432.000000000004</v>
      </c>
      <c r="F36" s="63">
        <f t="shared" si="21"/>
        <v>22032.000000000004</v>
      </c>
      <c r="G36" s="63">
        <f t="shared" si="22"/>
        <v>23328.000000000011</v>
      </c>
      <c r="H36" s="63">
        <f t="shared" si="23"/>
        <v>24624.000000000007</v>
      </c>
      <c r="I36" s="63">
        <f t="shared" si="24"/>
        <v>25920.000000000011</v>
      </c>
      <c r="J36" s="63">
        <f t="shared" si="25"/>
        <v>25920.000000000011</v>
      </c>
      <c r="K36" s="63">
        <f t="shared" si="26"/>
        <v>25920.000000000004</v>
      </c>
      <c r="L36" s="63">
        <f t="shared" si="27"/>
        <v>25920.000000000004</v>
      </c>
    </row>
    <row r="37" spans="1:12" x14ac:dyDescent="0.3">
      <c r="A37" s="532" t="str">
        <f t="shared" si="17"/>
        <v>Прочие</v>
      </c>
      <c r="B37" s="63">
        <f t="shared" si="18"/>
        <v>0</v>
      </c>
      <c r="C37" s="63">
        <f t="shared" si="28"/>
        <v>5197.5</v>
      </c>
      <c r="D37" s="63">
        <f t="shared" si="19"/>
        <v>7425</v>
      </c>
      <c r="E37" s="63">
        <f t="shared" si="20"/>
        <v>7920.0000000000018</v>
      </c>
      <c r="F37" s="63">
        <f t="shared" si="21"/>
        <v>9466.875</v>
      </c>
      <c r="G37" s="63">
        <f t="shared" si="22"/>
        <v>10023.750000000005</v>
      </c>
      <c r="H37" s="63">
        <f t="shared" si="23"/>
        <v>10580.625000000002</v>
      </c>
      <c r="I37" s="63">
        <f t="shared" si="24"/>
        <v>11137.500000000005</v>
      </c>
      <c r="J37" s="63">
        <f t="shared" si="25"/>
        <v>11137.500000000005</v>
      </c>
      <c r="K37" s="63">
        <f t="shared" si="26"/>
        <v>11137.500000000002</v>
      </c>
      <c r="L37" s="63">
        <f t="shared" si="27"/>
        <v>11137.500000000002</v>
      </c>
    </row>
    <row r="38" spans="1:12" x14ac:dyDescent="0.3">
      <c r="A38" s="532" t="str">
        <f t="shared" si="17"/>
        <v>Итого</v>
      </c>
      <c r="B38" s="63">
        <f>SUM(B33:B37)</f>
        <v>0</v>
      </c>
      <c r="C38" s="63">
        <f t="shared" si="28"/>
        <v>81742.794600000008</v>
      </c>
      <c r="D38" s="63">
        <f>SUM(D33:D37)</f>
        <v>116720.195622</v>
      </c>
      <c r="E38" s="63">
        <f t="shared" si="20"/>
        <v>124502.09131554002</v>
      </c>
      <c r="F38" s="63">
        <f t="shared" si="21"/>
        <v>148796.8095076278</v>
      </c>
      <c r="G38" s="63">
        <f t="shared" si="22"/>
        <v>157551.67172316179</v>
      </c>
      <c r="H38" s="63">
        <f t="shared" si="23"/>
        <v>166307.45844378311</v>
      </c>
      <c r="I38" s="63">
        <f t="shared" si="24"/>
        <v>175062.91856691625</v>
      </c>
      <c r="J38" s="63">
        <f t="shared" si="25"/>
        <v>175079.00586660038</v>
      </c>
      <c r="K38" s="63">
        <f t="shared" si="26"/>
        <v>175096.21927726237</v>
      </c>
      <c r="L38" s="63">
        <f t="shared" si="27"/>
        <v>175096.21927726237</v>
      </c>
    </row>
    <row r="39" spans="1:12" s="548" customFormat="1" ht="28.8" x14ac:dyDescent="0.3">
      <c r="A39" s="542" t="str">
        <f>A19</f>
        <v>Себестоимость по прямым затратам</v>
      </c>
      <c r="C39" s="548">
        <f>C38/('объем работ 100% загр'!D10*1000)</f>
        <v>12.975046761904764</v>
      </c>
      <c r="D39" s="548">
        <f>D38/('объем работ 100% загр'!E10*1000)</f>
        <v>12.968910624666666</v>
      </c>
      <c r="E39" s="548">
        <f>E38/('объем работ 100% загр'!F10*1000)</f>
        <v>12.96896784536875</v>
      </c>
      <c r="F39" s="548">
        <f>F38/('объем работ 100% загр'!G10*1000)</f>
        <v>12.967042222886954</v>
      </c>
      <c r="G39" s="548">
        <f>G38/('объем работ 100% загр'!H10*1000)</f>
        <v>12.967215779684095</v>
      </c>
      <c r="H39" s="548">
        <f>H38/('объем работ 100% загр'!I10*1000)</f>
        <v>12.967443153511351</v>
      </c>
      <c r="I39" s="548">
        <f>I38/('объем работ 100% загр'!J10*1000)</f>
        <v>12.967623597549348</v>
      </c>
      <c r="J39" s="548">
        <f>J38/('объем работ 100% загр'!K10*1000)</f>
        <v>12.968815249377801</v>
      </c>
      <c r="K39" s="548">
        <f>K38/('объем работ 100% загр'!L10*1000)</f>
        <v>12.97009031683425</v>
      </c>
      <c r="L39" s="548">
        <f>L38/('объем работ 100% загр'!M10*1000)</f>
        <v>12.97009031683425</v>
      </c>
    </row>
    <row r="40" spans="1:12" s="523" customFormat="1" x14ac:dyDescent="0.3">
      <c r="A40" s="529" t="str">
        <f t="shared" ref="A40:A47" si="29">A21</f>
        <v>Косвенные расходы, тыс руб</v>
      </c>
      <c r="B40" s="554" t="str">
        <f>B32</f>
        <v>1 год</v>
      </c>
      <c r="C40" s="554" t="str">
        <f t="shared" ref="C40:L40" si="30">C32</f>
        <v>2 год</v>
      </c>
      <c r="D40" s="554" t="str">
        <f t="shared" si="30"/>
        <v>3 год</v>
      </c>
      <c r="E40" s="554" t="str">
        <f t="shared" si="30"/>
        <v>4 год</v>
      </c>
      <c r="F40" s="554" t="str">
        <f t="shared" si="30"/>
        <v>5 год</v>
      </c>
      <c r="G40" s="554" t="str">
        <f t="shared" si="30"/>
        <v>6 год</v>
      </c>
      <c r="H40" s="554" t="str">
        <f t="shared" si="30"/>
        <v>7 год</v>
      </c>
      <c r="I40" s="554" t="str">
        <f t="shared" si="30"/>
        <v>8 год</v>
      </c>
      <c r="J40" s="554" t="str">
        <f t="shared" si="30"/>
        <v>9 год</v>
      </c>
      <c r="K40" s="554" t="str">
        <f t="shared" si="30"/>
        <v>10 год</v>
      </c>
      <c r="L40" s="554" t="str">
        <f t="shared" si="30"/>
        <v>11 год</v>
      </c>
    </row>
    <row r="41" spans="1:12" x14ac:dyDescent="0.3">
      <c r="A41" s="532" t="str">
        <f t="shared" si="29"/>
        <v>Арендная плата за зем. Участок</v>
      </c>
      <c r="B41" s="63">
        <f>SUM(C22:F22)</f>
        <v>0.83307986400000011</v>
      </c>
      <c r="C41" s="63">
        <f>SUM(G22:J22)</f>
        <v>1.6661597280000002</v>
      </c>
      <c r="D41" s="63">
        <f>SUM(K22:N22)</f>
        <v>1.6661597280000002</v>
      </c>
      <c r="E41" s="63">
        <f>SUM(O22:R22)</f>
        <v>1.6661597280000002</v>
      </c>
      <c r="F41" s="63">
        <f>SUM(S22:V22)</f>
        <v>1.6661597280000002</v>
      </c>
      <c r="G41" s="63">
        <f>SUM(W22:Z22)</f>
        <v>1.6661597280000002</v>
      </c>
      <c r="H41" s="63">
        <f>SUM(AA22:AD22)</f>
        <v>1.6661597280000002</v>
      </c>
      <c r="I41" s="63">
        <f>SUM(AE22:AH22)</f>
        <v>1.6661597280000002</v>
      </c>
      <c r="J41" s="63">
        <f>SUM(AI22:AL22)</f>
        <v>1.6661597280000002</v>
      </c>
      <c r="K41" s="63">
        <f>SUM(AM22:AP22)</f>
        <v>1.6661597280000002</v>
      </c>
      <c r="L41" s="63">
        <f>SUM(AQ22:AT22)</f>
        <v>1.6661597280000002</v>
      </c>
    </row>
    <row r="42" spans="1:12" ht="28.8" x14ac:dyDescent="0.3">
      <c r="A42" s="532" t="str">
        <f t="shared" si="29"/>
        <v>Заработная плата и страховые взносы</v>
      </c>
      <c r="B42" s="63">
        <f t="shared" ref="B42:B46" si="31">SUM(C23:F23)</f>
        <v>0</v>
      </c>
      <c r="C42" s="63">
        <f t="shared" ref="C42:C46" si="32">SUM(G23:J23)</f>
        <v>12321.168</v>
      </c>
      <c r="D42" s="63">
        <f t="shared" ref="D42:D46" si="33">SUM(K23:N23)</f>
        <v>13183.64976</v>
      </c>
      <c r="E42" s="63">
        <f t="shared" ref="E42:E46" si="34">SUM(O23:R23)</f>
        <v>14106.505243200001</v>
      </c>
      <c r="F42" s="63">
        <f t="shared" ref="F42:F46" si="35">SUM(S23:V23)</f>
        <v>15093.960610224001</v>
      </c>
      <c r="G42" s="63">
        <f t="shared" ref="G42:G46" si="36">SUM(W23:Z23)</f>
        <v>16150.537852939684</v>
      </c>
      <c r="H42" s="63">
        <f t="shared" ref="H42:H46" si="37">SUM(AA23:AD23)</f>
        <v>17281.075502645464</v>
      </c>
      <c r="I42" s="63">
        <f t="shared" ref="I42:I46" si="38">SUM(AE23:AH23)</f>
        <v>18385.485353296768</v>
      </c>
      <c r="J42" s="63">
        <f t="shared" ref="J42:J46" si="39">SUM(AI23:AL23)</f>
        <v>19672.469328027539</v>
      </c>
      <c r="K42" s="63">
        <f t="shared" ref="K42:K46" si="40">SUM(AM23:AP23)</f>
        <v>21049.542180989469</v>
      </c>
      <c r="L42" s="63">
        <f t="shared" ref="L42:L46" si="41">SUM(AQ23:AT23)</f>
        <v>21049.542180989469</v>
      </c>
    </row>
    <row r="43" spans="1:12" ht="72" x14ac:dyDescent="0.3">
      <c r="A43" s="532" t="str">
        <f t="shared" si="29"/>
        <v>Общехозяйственные расходы (коммунальные расходы, содержание здания, канцтовары, интернет, охрана и проч)</v>
      </c>
      <c r="B43" s="63">
        <f t="shared" si="31"/>
        <v>0</v>
      </c>
      <c r="C43" s="63">
        <f t="shared" si="32"/>
        <v>3606.1200000000003</v>
      </c>
      <c r="D43" s="63">
        <f t="shared" si="33"/>
        <v>5228.8739999999998</v>
      </c>
      <c r="E43" s="63">
        <f t="shared" si="34"/>
        <v>5661.1275839999998</v>
      </c>
      <c r="F43" s="63">
        <f t="shared" si="35"/>
        <v>6868.318813728748</v>
      </c>
      <c r="G43" s="63">
        <f t="shared" si="36"/>
        <v>7381.4226309896612</v>
      </c>
      <c r="H43" s="63">
        <f t="shared" si="37"/>
        <v>7908.374191035311</v>
      </c>
      <c r="I43" s="63">
        <f t="shared" si="38"/>
        <v>8449.4734777903577</v>
      </c>
      <c r="J43" s="63">
        <f t="shared" si="39"/>
        <v>8576.2155799572138</v>
      </c>
      <c r="K43" s="63">
        <f t="shared" si="40"/>
        <v>8704.8588136565704</v>
      </c>
      <c r="L43" s="63">
        <f t="shared" si="41"/>
        <v>8835.4316958614181</v>
      </c>
    </row>
    <row r="44" spans="1:12" ht="28.8" x14ac:dyDescent="0.3">
      <c r="A44" s="532" t="str">
        <f t="shared" si="29"/>
        <v>Запасные части, комлектующие, обслуживание оборудования</v>
      </c>
      <c r="B44" s="63">
        <f t="shared" si="31"/>
        <v>0</v>
      </c>
      <c r="C44" s="63">
        <f t="shared" si="32"/>
        <v>2404.0800000000004</v>
      </c>
      <c r="D44" s="63">
        <f t="shared" si="33"/>
        <v>3485.9159999999997</v>
      </c>
      <c r="E44" s="63">
        <f t="shared" si="34"/>
        <v>3774.0850560000003</v>
      </c>
      <c r="F44" s="63">
        <f t="shared" si="35"/>
        <v>4578.8792091524983</v>
      </c>
      <c r="G44" s="63">
        <f t="shared" si="36"/>
        <v>4920.9484206597745</v>
      </c>
      <c r="H44" s="63">
        <f t="shared" si="37"/>
        <v>5272.2494606902083</v>
      </c>
      <c r="I44" s="63">
        <f t="shared" si="38"/>
        <v>5632.9823185269061</v>
      </c>
      <c r="J44" s="63">
        <f t="shared" si="39"/>
        <v>5717.4770533048095</v>
      </c>
      <c r="K44" s="63">
        <f t="shared" si="40"/>
        <v>5803.2392091043803</v>
      </c>
      <c r="L44" s="63">
        <f t="shared" si="41"/>
        <v>5890.287797240946</v>
      </c>
    </row>
    <row r="45" spans="1:12" x14ac:dyDescent="0.3">
      <c r="A45" s="532" t="str">
        <f t="shared" si="29"/>
        <v>Амортизация</v>
      </c>
      <c r="B45" s="63">
        <f t="shared" si="31"/>
        <v>858.33333333333337</v>
      </c>
      <c r="C45" s="63">
        <f t="shared" si="32"/>
        <v>3433.3333333333335</v>
      </c>
      <c r="D45" s="63">
        <f t="shared" si="33"/>
        <v>3433.3333333333335</v>
      </c>
      <c r="E45" s="63">
        <f t="shared" si="34"/>
        <v>3433.3333333333335</v>
      </c>
      <c r="F45" s="63">
        <f t="shared" si="35"/>
        <v>3433.3333333333335</v>
      </c>
      <c r="G45" s="63">
        <f t="shared" si="36"/>
        <v>3433.3333333333335</v>
      </c>
      <c r="H45" s="63">
        <f t="shared" si="37"/>
        <v>3433.3333333333335</v>
      </c>
      <c r="I45" s="63">
        <f t="shared" si="38"/>
        <v>3433.3333333333335</v>
      </c>
      <c r="J45" s="63">
        <f t="shared" si="39"/>
        <v>3433.3333333333335</v>
      </c>
      <c r="K45" s="63">
        <f t="shared" si="40"/>
        <v>3433.3333333333335</v>
      </c>
      <c r="L45" s="63">
        <f t="shared" si="41"/>
        <v>3433.3333333333335</v>
      </c>
    </row>
    <row r="46" spans="1:12" x14ac:dyDescent="0.3">
      <c r="A46" s="532" t="str">
        <f t="shared" si="29"/>
        <v>Обновление основных средств</v>
      </c>
      <c r="B46" s="63">
        <f t="shared" si="31"/>
        <v>0</v>
      </c>
      <c r="C46" s="63">
        <f t="shared" si="32"/>
        <v>0</v>
      </c>
      <c r="D46" s="63">
        <f t="shared" si="33"/>
        <v>140.9417</v>
      </c>
      <c r="E46" s="63">
        <f t="shared" si="34"/>
        <v>140.9417</v>
      </c>
      <c r="F46" s="63">
        <f t="shared" si="35"/>
        <v>140.9417</v>
      </c>
      <c r="G46" s="63">
        <f t="shared" si="36"/>
        <v>140.9417</v>
      </c>
      <c r="H46" s="63">
        <f t="shared" si="37"/>
        <v>140.9417</v>
      </c>
      <c r="I46" s="63">
        <f t="shared" si="38"/>
        <v>140.9417</v>
      </c>
      <c r="J46" s="63">
        <f t="shared" si="39"/>
        <v>140.9417</v>
      </c>
      <c r="K46" s="63">
        <f t="shared" si="40"/>
        <v>140.9417</v>
      </c>
      <c r="L46" s="63">
        <f t="shared" si="41"/>
        <v>140.9417</v>
      </c>
    </row>
    <row r="47" spans="1:12" s="548" customFormat="1" x14ac:dyDescent="0.3">
      <c r="A47" s="542" t="str">
        <f t="shared" si="29"/>
        <v>итого</v>
      </c>
      <c r="B47" s="548">
        <f>SUM(B41:B46)</f>
        <v>859.16641319733333</v>
      </c>
      <c r="C47" s="548">
        <f t="shared" ref="C47:L47" si="42">SUM(C41:C46)</f>
        <v>21766.367493061334</v>
      </c>
      <c r="D47" s="548">
        <f>SUM(D41:D46)</f>
        <v>25474.380953061333</v>
      </c>
      <c r="E47" s="548">
        <f t="shared" si="42"/>
        <v>27117.65907626133</v>
      </c>
      <c r="F47" s="548">
        <f t="shared" si="42"/>
        <v>30117.099826166581</v>
      </c>
      <c r="G47" s="548">
        <f t="shared" si="42"/>
        <v>32028.850097650451</v>
      </c>
      <c r="H47" s="548">
        <f t="shared" si="42"/>
        <v>34037.640347432316</v>
      </c>
      <c r="I47" s="548">
        <f t="shared" si="42"/>
        <v>36043.882342675366</v>
      </c>
      <c r="J47" s="548">
        <f t="shared" si="42"/>
        <v>37542.103154350902</v>
      </c>
      <c r="K47" s="548">
        <f t="shared" si="42"/>
        <v>39133.581396811758</v>
      </c>
      <c r="L47" s="548">
        <f t="shared" si="42"/>
        <v>39351.202867153173</v>
      </c>
    </row>
    <row r="48" spans="1:12" s="548" customFormat="1" x14ac:dyDescent="0.3">
      <c r="A48" s="542" t="s">
        <v>561</v>
      </c>
      <c r="B48" s="548">
        <f>B38+B47</f>
        <v>859.16641319733333</v>
      </c>
      <c r="C48" s="548">
        <f t="shared" ref="C48:L48" si="43">C38+C47</f>
        <v>103509.16209306134</v>
      </c>
      <c r="D48" s="548">
        <f>D38+D47</f>
        <v>142194.57657506134</v>
      </c>
      <c r="E48" s="548">
        <f t="shared" si="43"/>
        <v>151619.75039180135</v>
      </c>
      <c r="F48" s="548">
        <f t="shared" si="43"/>
        <v>178913.90933379438</v>
      </c>
      <c r="G48" s="548">
        <f t="shared" si="43"/>
        <v>189580.52182081225</v>
      </c>
      <c r="H48" s="548">
        <f t="shared" si="43"/>
        <v>200345.09879121542</v>
      </c>
      <c r="I48" s="548">
        <f t="shared" si="43"/>
        <v>211106.80090959161</v>
      </c>
      <c r="J48" s="548">
        <f t="shared" si="43"/>
        <v>212621.10902095126</v>
      </c>
      <c r="K48" s="548">
        <f t="shared" si="43"/>
        <v>214229.80067407413</v>
      </c>
      <c r="L48" s="548">
        <f t="shared" si="43"/>
        <v>214447.42214441556</v>
      </c>
    </row>
    <row r="49" spans="1:13" s="550" customFormat="1" x14ac:dyDescent="0.3">
      <c r="A49" s="553" t="str">
        <f>A29</f>
        <v>Полная себестоимсть</v>
      </c>
      <c r="C49" s="550">
        <f>C48/('объем работ 100% загр'!D10*1000)</f>
        <v>16.430025729057355</v>
      </c>
      <c r="D49" s="550">
        <f>D48/('объем работ 100% загр'!E10*1000)</f>
        <v>15.799397397229038</v>
      </c>
      <c r="E49" s="550">
        <f>E48/('объем работ 100% загр'!F10*1000)</f>
        <v>15.793723999145971</v>
      </c>
      <c r="F49" s="550">
        <f>F48/('объем работ 100% загр'!G10*1000)</f>
        <v>15.591626085733715</v>
      </c>
      <c r="G49" s="550">
        <f>G48/('объем работ 100% загр'!H10*1000)</f>
        <v>15.603335129284954</v>
      </c>
      <c r="H49" s="550">
        <f>H48/('объем работ 100% загр'!I10*1000)</f>
        <v>15.621450198145448</v>
      </c>
      <c r="I49" s="550">
        <f>I48/('объем работ 100% загр'!J10*1000)</f>
        <v>15.637540808117892</v>
      </c>
      <c r="J49" s="550">
        <f>J48/('объем работ 100% загр'!K10*1000)</f>
        <v>15.749711779329719</v>
      </c>
      <c r="K49" s="550">
        <f>K48/('объем работ 100% загр'!L10*1000)</f>
        <v>15.86887412400549</v>
      </c>
      <c r="L49" s="550">
        <f>L48/('объем работ 100% загр'!M10*1000)</f>
        <v>15.88499423291967</v>
      </c>
      <c r="M49" s="557">
        <f>AVERAGE(C49:L49)</f>
        <v>15.798067948296923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AA59"/>
  <sheetViews>
    <sheetView topLeftCell="A7" zoomScale="60" zoomScaleNormal="60" workbookViewId="0">
      <selection activeCell="M26" sqref="M26:M29"/>
    </sheetView>
  </sheetViews>
  <sheetFormatPr defaultRowHeight="14.4" x14ac:dyDescent="0.3"/>
  <cols>
    <col min="1" max="1" width="19" style="64" customWidth="1"/>
    <col min="2" max="2" width="10.33203125" style="64" customWidth="1"/>
    <col min="3" max="3" width="13.44140625" style="64" customWidth="1"/>
    <col min="4" max="4" width="13.109375" customWidth="1"/>
    <col min="5" max="5" width="12.109375" customWidth="1"/>
    <col min="6" max="6" width="12.6640625" customWidth="1"/>
    <col min="7" max="7" width="13.109375" customWidth="1"/>
    <col min="8" max="8" width="12.33203125" customWidth="1"/>
    <col min="9" max="9" width="13.44140625" customWidth="1"/>
    <col min="10" max="10" width="10.88671875" customWidth="1"/>
    <col min="11" max="11" width="11.109375" customWidth="1"/>
    <col min="12" max="12" width="13.88671875" customWidth="1"/>
    <col min="13" max="13" width="11.33203125" customWidth="1"/>
    <col min="15" max="15" width="19.44140625" customWidth="1"/>
    <col min="16" max="16" width="9" customWidth="1"/>
    <col min="17" max="17" width="9.6640625" customWidth="1"/>
    <col min="18" max="18" width="11.33203125" customWidth="1"/>
    <col min="19" max="19" width="11.44140625" customWidth="1"/>
    <col min="20" max="20" width="10.109375" customWidth="1"/>
    <col min="21" max="21" width="11.109375" customWidth="1"/>
    <col min="22" max="22" width="10.109375" customWidth="1"/>
    <col min="23" max="24" width="11.44140625" customWidth="1"/>
    <col min="25" max="25" width="12.33203125" customWidth="1"/>
    <col min="26" max="26" width="12.5546875" customWidth="1"/>
    <col min="27" max="27" width="16" customWidth="1"/>
  </cols>
  <sheetData>
    <row r="1" spans="1:27" ht="26.25" customHeight="1" x14ac:dyDescent="0.3">
      <c r="A1" s="672" t="s">
        <v>505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O1" s="1" t="s">
        <v>506</v>
      </c>
    </row>
    <row r="2" spans="1:27" x14ac:dyDescent="0.3">
      <c r="A2" s="426"/>
      <c r="B2" s="426" t="str">
        <f>'объем работ 100% загр'!C3</f>
        <v>1 год</v>
      </c>
      <c r="C2" s="426" t="str">
        <f>'объем работ 100% загр'!D3</f>
        <v>2 год</v>
      </c>
      <c r="D2" s="426" t="str">
        <f>'объем работ 100% загр'!E3</f>
        <v>3 год</v>
      </c>
      <c r="E2" s="426" t="str">
        <f>'объем работ 100% загр'!F3</f>
        <v>4 год</v>
      </c>
      <c r="F2" s="426" t="str">
        <f>'объем работ 100% загр'!G3</f>
        <v>5 год</v>
      </c>
      <c r="G2" s="426" t="str">
        <f>'объем работ 100% загр'!H3</f>
        <v>6 год</v>
      </c>
      <c r="H2" s="426" t="str">
        <f>'объем работ 100% загр'!I3</f>
        <v>7 год</v>
      </c>
      <c r="I2" s="426" t="str">
        <f>'объем работ 100% загр'!J3</f>
        <v>8 год</v>
      </c>
      <c r="J2" s="426" t="str">
        <f>'объем работ 100% загр'!K3</f>
        <v>9 год</v>
      </c>
      <c r="K2" s="426" t="str">
        <f>'объем работ 100% загр'!L3</f>
        <v>10 год</v>
      </c>
      <c r="L2" s="426" t="str">
        <f>'объем работ 100% загр'!M3</f>
        <v>11 год</v>
      </c>
      <c r="O2" s="430"/>
      <c r="P2" s="431" t="s">
        <v>50</v>
      </c>
      <c r="Q2" s="431" t="s">
        <v>51</v>
      </c>
      <c r="R2" s="431" t="s">
        <v>52</v>
      </c>
      <c r="S2" s="431" t="s">
        <v>53</v>
      </c>
      <c r="T2" s="431" t="s">
        <v>54</v>
      </c>
      <c r="U2" s="431" t="s">
        <v>55</v>
      </c>
      <c r="V2" s="431" t="s">
        <v>56</v>
      </c>
      <c r="W2" s="431" t="s">
        <v>57</v>
      </c>
      <c r="X2" s="431" t="s">
        <v>58</v>
      </c>
      <c r="Y2" s="431" t="s">
        <v>59</v>
      </c>
      <c r="Z2" s="431" t="s">
        <v>60</v>
      </c>
      <c r="AA2" s="432" t="s">
        <v>18</v>
      </c>
    </row>
    <row r="3" spans="1:27" x14ac:dyDescent="0.3">
      <c r="A3" s="447" t="s">
        <v>208</v>
      </c>
      <c r="B3" s="448">
        <f>'Фин результат ТОР'!B25</f>
        <v>0</v>
      </c>
      <c r="C3" s="448">
        <f>'Фин результат ТОР'!C25</f>
        <v>0</v>
      </c>
      <c r="D3" s="448">
        <f>'Фин результат ТОР'!D25</f>
        <v>0</v>
      </c>
      <c r="E3" s="448">
        <f>'Фин результат ТОР'!E25</f>
        <v>0</v>
      </c>
      <c r="F3" s="448">
        <f>'Фин результат ТОР'!F25</f>
        <v>0</v>
      </c>
      <c r="G3" s="448">
        <f>'Фин результат ТОР'!G25</f>
        <v>2344.2091349287721</v>
      </c>
      <c r="H3" s="448">
        <f>'Фин результат ТОР'!H25</f>
        <v>5305.6510266593541</v>
      </c>
      <c r="I3" s="448">
        <f>'Фин результат ТОР'!I25</f>
        <v>5964.7289044957524</v>
      </c>
      <c r="J3" s="448">
        <f>'Фин результат ТОР'!J25</f>
        <v>6194.5968373456217</v>
      </c>
      <c r="K3" s="448">
        <f>'Фин результат ТОР'!K25</f>
        <v>6419.32543801269</v>
      </c>
      <c r="L3" s="448">
        <f>'Фин результат ТОР'!L25</f>
        <v>9089.1413998872376</v>
      </c>
      <c r="O3" s="451" t="str">
        <f t="shared" ref="O3:O9" si="0">A3</f>
        <v>Налог на прибыль:</v>
      </c>
      <c r="P3" s="452">
        <f>'Налоги без ТОР'!B3-'Налоги ТОР'!B3</f>
        <v>0</v>
      </c>
      <c r="Q3" s="452">
        <f>'Налоги без ТОР'!C3-'Налоги ТОР'!C3</f>
        <v>2492.814460468689</v>
      </c>
      <c r="R3" s="452">
        <f>'Налоги без ТОР'!D3-'Налоги ТОР'!D3</f>
        <v>3004.926954133563</v>
      </c>
      <c r="S3" s="452">
        <f>'Налоги без ТОР'!E3-'Налоги ТОР'!E3</f>
        <v>4047.7488806520023</v>
      </c>
      <c r="T3" s="452">
        <f>'Налоги без ТОР'!F3-'Налоги ТОР'!F3</f>
        <v>6371.9371868135659</v>
      </c>
      <c r="U3" s="452">
        <f>'Налоги без ТОР'!G3-'Налоги ТОР'!G3</f>
        <v>5382.9874497646506</v>
      </c>
      <c r="V3" s="452">
        <f>'Налоги без ТОР'!H3-'Налоги ТОР'!H3</f>
        <v>3537.1006844395688</v>
      </c>
      <c r="W3" s="452">
        <f>'Налоги без ТОР'!I3-'Налоги ТОР'!I3</f>
        <v>3976.485936330504</v>
      </c>
      <c r="X3" s="452">
        <f>'Налоги без ТОР'!J3-'Налоги ТОР'!J3</f>
        <v>4129.7312248970829</v>
      </c>
      <c r="Y3" s="452">
        <f>'Налоги без ТОР'!K3-'Налоги ТОР'!K3</f>
        <v>4279.5502920084609</v>
      </c>
      <c r="Z3" s="452">
        <f>'Налоги без ТОР'!L3-'Налоги ТОР'!L3</f>
        <v>2272.2275999718113</v>
      </c>
      <c r="AA3" s="452">
        <f t="shared" ref="AA3:AA23" si="1">SUM(P3:Z3)</f>
        <v>39495.510669479896</v>
      </c>
    </row>
    <row r="4" spans="1:27" ht="31.5" customHeight="1" x14ac:dyDescent="0.3">
      <c r="A4" s="148" t="s">
        <v>209</v>
      </c>
      <c r="B4" s="291" t="s">
        <v>210</v>
      </c>
      <c r="C4" s="291" t="str">
        <f t="shared" ref="C4:C5" si="2">B4</f>
        <v>0</v>
      </c>
      <c r="D4" s="291" t="str">
        <f t="shared" ref="D4:F5" si="3">C4</f>
        <v>0</v>
      </c>
      <c r="E4" s="291" t="str">
        <f t="shared" si="3"/>
        <v>0</v>
      </c>
      <c r="F4" s="291" t="str">
        <f t="shared" si="3"/>
        <v>0</v>
      </c>
      <c r="G4" s="291">
        <f>G3*(2/12)</f>
        <v>390.70152248812866</v>
      </c>
      <c r="H4" s="291">
        <f t="shared" ref="H4:K4" si="4">H3*(2/12)</f>
        <v>884.27517110989231</v>
      </c>
      <c r="I4" s="291">
        <f t="shared" si="4"/>
        <v>994.12148408262533</v>
      </c>
      <c r="J4" s="291">
        <f t="shared" si="4"/>
        <v>1032.4328062242703</v>
      </c>
      <c r="K4" s="291">
        <f t="shared" si="4"/>
        <v>1069.887573002115</v>
      </c>
      <c r="L4" s="291">
        <f>2/20*L3</f>
        <v>908.91413998872383</v>
      </c>
      <c r="O4" s="151" t="str">
        <f t="shared" si="0"/>
        <v>- федеральный бюджет</v>
      </c>
      <c r="P4" s="154">
        <f>'Налоги без ТОР'!B4-'Налоги ТОР'!B4</f>
        <v>0</v>
      </c>
      <c r="Q4" s="154">
        <f>'Налоги без ТОР'!C4-'Налоги ТОР'!C4</f>
        <v>249.28144604686889</v>
      </c>
      <c r="R4" s="154">
        <f>'Налоги без ТОР'!D4-'Налоги ТОР'!D4</f>
        <v>300.49269541335627</v>
      </c>
      <c r="S4" s="154">
        <f>'Налоги без ТОР'!E4-'Налоги ТОР'!E4</f>
        <v>404.77488806520023</v>
      </c>
      <c r="T4" s="154">
        <f>'Налоги без ТОР'!F4-'Налоги ТОР'!F4</f>
        <v>637.19371868135659</v>
      </c>
      <c r="U4" s="154">
        <f>'Налоги без ТОР'!G4-'Налоги ТОР'!G4</f>
        <v>382.01813598121356</v>
      </c>
      <c r="V4" s="154">
        <f>'Налоги без ТОР'!H4-'Налоги ТОР'!H4</f>
        <v>0</v>
      </c>
      <c r="W4" s="154">
        <f>'Налоги без ТОР'!I4-'Налоги ТОР'!I4</f>
        <v>0</v>
      </c>
      <c r="X4" s="154">
        <f>'Налоги без ТОР'!J4-'Налоги ТОР'!J4</f>
        <v>0</v>
      </c>
      <c r="Y4" s="154">
        <f>'Налоги без ТОР'!K4-'Налоги ТОР'!K4</f>
        <v>0</v>
      </c>
      <c r="Z4" s="154">
        <f>'Налоги без ТОР'!L4-'Налоги ТОР'!L4</f>
        <v>227.22275999718102</v>
      </c>
      <c r="AA4" s="154">
        <f t="shared" si="1"/>
        <v>2200.9836441851767</v>
      </c>
    </row>
    <row r="5" spans="1:27" ht="32.25" customHeight="1" x14ac:dyDescent="0.3">
      <c r="A5" s="148" t="s">
        <v>211</v>
      </c>
      <c r="B5" s="291" t="s">
        <v>210</v>
      </c>
      <c r="C5" s="291" t="str">
        <f t="shared" si="2"/>
        <v>0</v>
      </c>
      <c r="D5" s="291" t="str">
        <f t="shared" si="3"/>
        <v>0</v>
      </c>
      <c r="E5" s="291" t="str">
        <f t="shared" si="3"/>
        <v>0</v>
      </c>
      <c r="F5" s="291" t="str">
        <f t="shared" si="3"/>
        <v>0</v>
      </c>
      <c r="G5" s="292">
        <f>G3*(10/12)</f>
        <v>1953.5076124406435</v>
      </c>
      <c r="H5" s="292">
        <f t="shared" ref="H5:K5" si="5">H3*(10/12)</f>
        <v>4421.3758555494624</v>
      </c>
      <c r="I5" s="292">
        <f t="shared" si="5"/>
        <v>4970.6074204131273</v>
      </c>
      <c r="J5" s="292">
        <f t="shared" si="5"/>
        <v>5162.1640311213514</v>
      </c>
      <c r="K5" s="292">
        <f t="shared" si="5"/>
        <v>5349.4378650105755</v>
      </c>
      <c r="L5" s="292">
        <f>L3*(18/20)</f>
        <v>8180.2272598985137</v>
      </c>
      <c r="O5" s="151" t="str">
        <f t="shared" si="0"/>
        <v>- региональный бюджет</v>
      </c>
      <c r="P5" s="154">
        <f>'Налоги без ТОР'!B5-'Налоги ТОР'!B5</f>
        <v>0</v>
      </c>
      <c r="Q5" s="154">
        <f>'Налоги без ТОР'!C5-'Налоги ТОР'!C5</f>
        <v>2243.5330144218201</v>
      </c>
      <c r="R5" s="154">
        <f>'Налоги без ТОР'!D5-'Налоги ТОР'!D5</f>
        <v>2704.4342587202068</v>
      </c>
      <c r="S5" s="154">
        <f>'Налоги без ТОР'!E5-'Налоги ТОР'!E5</f>
        <v>3642.9739925868021</v>
      </c>
      <c r="T5" s="154">
        <f>'Налоги без ТОР'!F5-'Налоги ТОР'!F5</f>
        <v>5734.7434681322093</v>
      </c>
      <c r="U5" s="155">
        <f>'Налоги без ТОР'!G5-'Налоги ТОР'!G5</f>
        <v>5000.9693137834374</v>
      </c>
      <c r="V5" s="155">
        <f>'Налоги без ТОР'!H5-'Налоги ТОР'!H5</f>
        <v>3537.1006844395679</v>
      </c>
      <c r="W5" s="155">
        <f>'Налоги без ТОР'!I5-'Налоги ТОР'!I5</f>
        <v>3976.485936330504</v>
      </c>
      <c r="X5" s="155">
        <f>'Налоги без ТОР'!J5-'Налоги ТОР'!J5</f>
        <v>4129.731224897082</v>
      </c>
      <c r="Y5" s="155">
        <f>'Налоги без ТОР'!K5-'Налоги ТОР'!K5</f>
        <v>4279.55029200846</v>
      </c>
      <c r="Z5" s="155">
        <f>'Налоги без ТОР'!L5-'Налоги ТОР'!L5</f>
        <v>2045.0048399746311</v>
      </c>
      <c r="AA5" s="155">
        <f t="shared" si="1"/>
        <v>37294.527025294716</v>
      </c>
    </row>
    <row r="6" spans="1:27" ht="27.75" customHeight="1" x14ac:dyDescent="0.3">
      <c r="A6" s="447" t="s">
        <v>212</v>
      </c>
      <c r="B6" s="449">
        <f>B7</f>
        <v>0</v>
      </c>
      <c r="C6" s="449">
        <f t="shared" ref="C6:L6" si="6">C7</f>
        <v>0</v>
      </c>
      <c r="D6" s="449">
        <f t="shared" si="6"/>
        <v>0</v>
      </c>
      <c r="E6" s="449">
        <f t="shared" si="6"/>
        <v>0</v>
      </c>
      <c r="F6" s="449">
        <f t="shared" si="6"/>
        <v>0</v>
      </c>
      <c r="G6" s="449">
        <f t="shared" si="6"/>
        <v>28.875</v>
      </c>
      <c r="H6" s="449">
        <f t="shared" si="6"/>
        <v>112.6125</v>
      </c>
      <c r="I6" s="449">
        <f t="shared" si="6"/>
        <v>107.99249999999999</v>
      </c>
      <c r="J6" s="449">
        <f t="shared" si="6"/>
        <v>103.37249999999999</v>
      </c>
      <c r="K6" s="449">
        <f t="shared" si="6"/>
        <v>98.752499999999998</v>
      </c>
      <c r="L6" s="449">
        <f t="shared" si="6"/>
        <v>94.132499999999993</v>
      </c>
      <c r="O6" s="451" t="str">
        <f t="shared" si="0"/>
        <v>Налог на имущество:</v>
      </c>
      <c r="P6" s="452">
        <f>'Налоги без ТОР'!B6-'Налоги ТОР'!B6</f>
        <v>34.65</v>
      </c>
      <c r="Q6" s="452">
        <f>'Налоги без ТОР'!C6-'Налоги ТОР'!C6</f>
        <v>135.71250000000001</v>
      </c>
      <c r="R6" s="452">
        <f>'Налоги без ТОР'!D6-'Налоги ТОР'!D6</f>
        <v>131.0925</v>
      </c>
      <c r="S6" s="452">
        <f>'Налоги без ТОР'!E6-'Налоги ТОР'!E6</f>
        <v>126.4725</v>
      </c>
      <c r="T6" s="452">
        <f>'Налоги без ТОР'!F6-'Налоги ТОР'!F6</f>
        <v>121.85249999999999</v>
      </c>
      <c r="U6" s="452">
        <f>'Налоги без ТОР'!G6-'Налоги ТОР'!G6</f>
        <v>88.357499999999987</v>
      </c>
      <c r="V6" s="452">
        <f>'Налоги без ТОР'!H6-'Налоги ТОР'!H6</f>
        <v>0</v>
      </c>
      <c r="W6" s="452">
        <f>'Налоги без ТОР'!I6-'Налоги ТОР'!I6</f>
        <v>0</v>
      </c>
      <c r="X6" s="452">
        <f>'Налоги без ТОР'!J6-'Налоги ТОР'!J6</f>
        <v>0</v>
      </c>
      <c r="Y6" s="452">
        <f>'Налоги без ТОР'!K6-'Налоги ТОР'!K6</f>
        <v>0</v>
      </c>
      <c r="Z6" s="452">
        <f>'Налоги без ТОР'!L6-'Налоги ТОР'!L6</f>
        <v>0</v>
      </c>
      <c r="AA6" s="452">
        <f t="shared" si="1"/>
        <v>638.13749999999993</v>
      </c>
    </row>
    <row r="7" spans="1:27" ht="35.25" customHeight="1" x14ac:dyDescent="0.3">
      <c r="A7" s="148" t="s">
        <v>211</v>
      </c>
      <c r="B7" s="290">
        <f>'Расходы на П, строит-во, ввод'!B39</f>
        <v>0</v>
      </c>
      <c r="C7" s="290">
        <f>'Расходы на П, строит-во, ввод'!C39</f>
        <v>0</v>
      </c>
      <c r="D7" s="290">
        <f>'Расходы на П, строит-во, ввод'!D39</f>
        <v>0</v>
      </c>
      <c r="E7" s="290">
        <f>'Расходы на П, строит-во, ввод'!E39</f>
        <v>0</v>
      </c>
      <c r="F7" s="290">
        <f>'Расходы на П, строит-во, ввод'!F39</f>
        <v>0</v>
      </c>
      <c r="G7" s="290">
        <f>'Расходы на П, строит-во, ввод'!G39</f>
        <v>28.875</v>
      </c>
      <c r="H7" s="290">
        <f>'Расходы на П, строит-во, ввод'!H39</f>
        <v>112.6125</v>
      </c>
      <c r="I7" s="290">
        <f>'Расходы на П, строит-во, ввод'!I39</f>
        <v>107.99249999999999</v>
      </c>
      <c r="J7" s="290">
        <f>'Расходы на П, строит-во, ввод'!J39</f>
        <v>103.37249999999999</v>
      </c>
      <c r="K7" s="290">
        <f>'Расходы на П, строит-во, ввод'!K39</f>
        <v>98.752499999999998</v>
      </c>
      <c r="L7" s="290">
        <f>'Расходы на П, строит-во, ввод'!L39</f>
        <v>94.132499999999993</v>
      </c>
      <c r="O7" s="151" t="str">
        <f t="shared" si="0"/>
        <v>- региональный бюджет</v>
      </c>
      <c r="P7" s="154">
        <f>'Налоги без ТОР'!B7-'Налоги ТОР'!B7</f>
        <v>34.65</v>
      </c>
      <c r="Q7" s="154">
        <f>'Налоги без ТОР'!C7-'Налоги ТОР'!C7</f>
        <v>135.71250000000001</v>
      </c>
      <c r="R7" s="154">
        <f>'Налоги без ТОР'!D7-'Налоги ТОР'!D7</f>
        <v>131.0925</v>
      </c>
      <c r="S7" s="154">
        <f>'Налоги без ТОР'!E7-'Налоги ТОР'!E7</f>
        <v>126.4725</v>
      </c>
      <c r="T7" s="154">
        <f>'Налоги без ТОР'!F7-'Налоги ТОР'!F7</f>
        <v>121.85249999999999</v>
      </c>
      <c r="U7" s="154">
        <f>'Налоги без ТОР'!G7-'Налоги ТОР'!G7</f>
        <v>88.357499999999987</v>
      </c>
      <c r="V7" s="154">
        <f>'Налоги без ТОР'!H7-'Налоги ТОР'!H7</f>
        <v>0</v>
      </c>
      <c r="W7" s="154">
        <f>'Налоги без ТОР'!I7-'Налоги ТОР'!I7</f>
        <v>0</v>
      </c>
      <c r="X7" s="154">
        <f>'Налоги без ТОР'!J7-'Налоги ТОР'!J7</f>
        <v>0</v>
      </c>
      <c r="Y7" s="154">
        <f>'Налоги без ТОР'!K7-'Налоги ТОР'!K7</f>
        <v>0</v>
      </c>
      <c r="Z7" s="154">
        <f>'Налоги без ТОР'!L7-'Налоги ТОР'!L7</f>
        <v>0</v>
      </c>
      <c r="AA7" s="154">
        <f t="shared" si="1"/>
        <v>638.13749999999993</v>
      </c>
    </row>
    <row r="8" spans="1:27" ht="33" customHeight="1" x14ac:dyDescent="0.3">
      <c r="A8" s="152" t="s">
        <v>213</v>
      </c>
      <c r="B8" s="292">
        <v>0</v>
      </c>
      <c r="C8" s="293">
        <v>0</v>
      </c>
      <c r="D8" s="293">
        <v>0</v>
      </c>
      <c r="E8" s="293">
        <v>0</v>
      </c>
      <c r="F8" s="293">
        <v>0</v>
      </c>
      <c r="G8" s="293">
        <v>0</v>
      </c>
      <c r="H8" s="293">
        <v>0</v>
      </c>
      <c r="I8" s="293">
        <v>0</v>
      </c>
      <c r="J8" s="293">
        <v>0</v>
      </c>
      <c r="K8" s="293">
        <v>0</v>
      </c>
      <c r="L8" s="292">
        <v>0</v>
      </c>
      <c r="O8" s="451" t="str">
        <f t="shared" si="0"/>
        <v>Транспортный налог:</v>
      </c>
      <c r="P8" s="452">
        <f>'Налоги без ТОР'!B8-'Налоги ТОР'!B8</f>
        <v>0</v>
      </c>
      <c r="Q8" s="452">
        <f>'Налоги без ТОР'!C8-'Налоги ТОР'!C8</f>
        <v>0</v>
      </c>
      <c r="R8" s="452">
        <f>'Налоги без ТОР'!D8-'Налоги ТОР'!D8</f>
        <v>0</v>
      </c>
      <c r="S8" s="452">
        <f>'Налоги без ТОР'!E8-'Налоги ТОР'!E8</f>
        <v>0</v>
      </c>
      <c r="T8" s="452">
        <f>'Налоги без ТОР'!F8-'Налоги ТОР'!F8</f>
        <v>0</v>
      </c>
      <c r="U8" s="452">
        <f>'Налоги без ТОР'!G8-'Налоги ТОР'!G8</f>
        <v>0</v>
      </c>
      <c r="V8" s="452">
        <f>'Налоги без ТОР'!H8-'Налоги ТОР'!H8</f>
        <v>0</v>
      </c>
      <c r="W8" s="452">
        <f>'Налоги без ТОР'!I8-'Налоги ТОР'!I8</f>
        <v>0</v>
      </c>
      <c r="X8" s="452">
        <f>'Налоги без ТОР'!J8-'Налоги ТОР'!J8</f>
        <v>0</v>
      </c>
      <c r="Y8" s="452">
        <f>'Налоги без ТОР'!K8-'Налоги ТОР'!K8</f>
        <v>0</v>
      </c>
      <c r="Z8" s="452">
        <f>'Налоги без ТОР'!L8-'Налоги ТОР'!L8</f>
        <v>0</v>
      </c>
      <c r="AA8" s="452">
        <f t="shared" si="1"/>
        <v>0</v>
      </c>
    </row>
    <row r="9" spans="1:27" ht="28.8" x14ac:dyDescent="0.3">
      <c r="A9" s="148" t="s">
        <v>211</v>
      </c>
      <c r="B9" s="292">
        <v>0</v>
      </c>
      <c r="C9" s="293">
        <v>0</v>
      </c>
      <c r="D9" s="293">
        <v>0</v>
      </c>
      <c r="E9" s="293">
        <v>0</v>
      </c>
      <c r="F9" s="293">
        <v>0</v>
      </c>
      <c r="G9" s="293">
        <v>0</v>
      </c>
      <c r="H9" s="293">
        <v>0</v>
      </c>
      <c r="I9" s="293">
        <v>0</v>
      </c>
      <c r="J9" s="293">
        <v>0</v>
      </c>
      <c r="K9" s="293">
        <v>0</v>
      </c>
      <c r="L9" s="292">
        <v>0</v>
      </c>
      <c r="O9" s="151" t="str">
        <f t="shared" si="0"/>
        <v>- региональный бюджет</v>
      </c>
      <c r="P9" s="154">
        <f>'Налоги без ТОР'!B9-'Налоги ТОР'!B9</f>
        <v>0</v>
      </c>
      <c r="Q9" s="154">
        <f>'Налоги без ТОР'!C9-'Налоги ТОР'!C9</f>
        <v>0</v>
      </c>
      <c r="R9" s="154">
        <f>'Налоги без ТОР'!D9-'Налоги ТОР'!D9</f>
        <v>0</v>
      </c>
      <c r="S9" s="154">
        <f>'Налоги без ТОР'!E9-'Налоги ТОР'!E9</f>
        <v>0</v>
      </c>
      <c r="T9" s="154">
        <f>'Налоги без ТОР'!F9-'Налоги ТОР'!F9</f>
        <v>0</v>
      </c>
      <c r="U9" s="154">
        <f>'Налоги без ТОР'!G9-'Налоги ТОР'!G9</f>
        <v>0</v>
      </c>
      <c r="V9" s="154">
        <f>'Налоги без ТОР'!H9-'Налоги ТОР'!H9</f>
        <v>0</v>
      </c>
      <c r="W9" s="154">
        <f>'Налоги без ТОР'!I9-'Налоги ТОР'!I9</f>
        <v>0</v>
      </c>
      <c r="X9" s="154">
        <f>'Налоги без ТОР'!J9-'Налоги ТОР'!J9</f>
        <v>0</v>
      </c>
      <c r="Y9" s="154">
        <f>'Налоги без ТОР'!K9-'Налоги ТОР'!K9</f>
        <v>0</v>
      </c>
      <c r="Z9" s="154">
        <f>'Налоги без ТОР'!L9-'Налоги ТОР'!L9</f>
        <v>0</v>
      </c>
      <c r="AA9" s="154">
        <f t="shared" si="1"/>
        <v>0</v>
      </c>
    </row>
    <row r="10" spans="1:27" x14ac:dyDescent="0.3">
      <c r="A10" s="447" t="s">
        <v>214</v>
      </c>
      <c r="B10" s="448">
        <f>'Расходы на ЗП ТОР'!AW58</f>
        <v>0</v>
      </c>
      <c r="C10" s="448">
        <f>'Расходы на ЗП ТОР'!AX58</f>
        <v>1229.28</v>
      </c>
      <c r="D10" s="448">
        <f>'Расходы на ЗП ТОР'!AY58</f>
        <v>1315.3296</v>
      </c>
      <c r="E10" s="448">
        <f>'Расходы на ЗП ТОР'!AZ58</f>
        <v>1407.4026720000002</v>
      </c>
      <c r="F10" s="448">
        <f>'Расходы на ЗП ТОР'!BA58</f>
        <v>1505.9208590400003</v>
      </c>
      <c r="G10" s="448">
        <f>'Расходы на ЗП ТОР'!BB58</f>
        <v>1611.3353191728004</v>
      </c>
      <c r="H10" s="448">
        <f>'Расходы на ЗП ТОР'!BC58</f>
        <v>1724.1287915148964</v>
      </c>
      <c r="I10" s="448">
        <f>'Расходы на ЗП ТОР'!BD58</f>
        <v>1834.315499561458</v>
      </c>
      <c r="J10" s="448">
        <f>'Расходы на ЗП ТОР'!BE58</f>
        <v>1962.7175845307597</v>
      </c>
      <c r="K10" s="448">
        <f>'Расходы на ЗП ТОР'!BF58</f>
        <v>2100.1078154479133</v>
      </c>
      <c r="L10" s="448">
        <f>'Расходы на ЗП ТОР'!BG58</f>
        <v>2247.1153625292677</v>
      </c>
      <c r="O10" s="451" t="str">
        <f t="shared" ref="O10:O23" si="7">A10</f>
        <v>НДФЛ:</v>
      </c>
      <c r="P10" s="452">
        <f>'Налоги без ТОР'!B10-'Налоги ТОР'!B10</f>
        <v>0</v>
      </c>
      <c r="Q10" s="452">
        <f>'Налоги без ТОР'!C10-'Налоги ТОР'!C10</f>
        <v>0</v>
      </c>
      <c r="R10" s="452">
        <f>'Налоги без ТОР'!D10-'Налоги ТОР'!D10</f>
        <v>0</v>
      </c>
      <c r="S10" s="452">
        <f>'Налоги без ТОР'!E10-'Налоги ТОР'!E10</f>
        <v>0</v>
      </c>
      <c r="T10" s="452">
        <f>'Налоги без ТОР'!F10-'Налоги ТОР'!F10</f>
        <v>0</v>
      </c>
      <c r="U10" s="452">
        <f>'Налоги без ТОР'!G10-'Налоги ТОР'!G10</f>
        <v>0</v>
      </c>
      <c r="V10" s="452">
        <f>'Налоги без ТОР'!H10-'Налоги ТОР'!H10</f>
        <v>0</v>
      </c>
      <c r="W10" s="452">
        <f>'Налоги без ТОР'!I10-'Налоги ТОР'!I10</f>
        <v>0</v>
      </c>
      <c r="X10" s="452">
        <f>'Налоги без ТОР'!J10-'Налоги ТОР'!J10</f>
        <v>0</v>
      </c>
      <c r="Y10" s="452">
        <f>'Налоги без ТОР'!K10-'Налоги ТОР'!K10</f>
        <v>0</v>
      </c>
      <c r="Z10" s="452">
        <f>'Налоги без ТОР'!L10-'Налоги ТОР'!L10</f>
        <v>0</v>
      </c>
      <c r="AA10" s="452">
        <f t="shared" si="1"/>
        <v>0</v>
      </c>
    </row>
    <row r="11" spans="1:27" ht="28.8" x14ac:dyDescent="0.3">
      <c r="A11" s="148" t="s">
        <v>211</v>
      </c>
      <c r="B11" s="292">
        <v>0</v>
      </c>
      <c r="C11" s="293">
        <f>C10*0.85</f>
        <v>1044.8879999999999</v>
      </c>
      <c r="D11" s="293">
        <f t="shared" ref="D11:L11" si="8">D10*0.85</f>
        <v>1118.03016</v>
      </c>
      <c r="E11" s="293">
        <f t="shared" si="8"/>
        <v>1196.2922712000002</v>
      </c>
      <c r="F11" s="293">
        <f t="shared" si="8"/>
        <v>1280.0327301840002</v>
      </c>
      <c r="G11" s="293">
        <f t="shared" si="8"/>
        <v>1369.6350212968803</v>
      </c>
      <c r="H11" s="293">
        <f t="shared" si="8"/>
        <v>1465.5094727876619</v>
      </c>
      <c r="I11" s="293">
        <f t="shared" si="8"/>
        <v>1559.1681746272393</v>
      </c>
      <c r="J11" s="293">
        <f t="shared" si="8"/>
        <v>1668.3099468511457</v>
      </c>
      <c r="K11" s="293">
        <f t="shared" si="8"/>
        <v>1785.0916431307262</v>
      </c>
      <c r="L11" s="292">
        <f t="shared" si="8"/>
        <v>1910.0480581498775</v>
      </c>
      <c r="O11" s="151" t="str">
        <f t="shared" si="7"/>
        <v>- региональный бюджет</v>
      </c>
      <c r="P11" s="154">
        <f>'Налоги без ТОР'!B11-'Налоги ТОР'!B11</f>
        <v>0</v>
      </c>
      <c r="Q11" s="154">
        <f>'Налоги без ТОР'!C11-'Налоги ТОР'!C11</f>
        <v>0</v>
      </c>
      <c r="R11" s="154">
        <f>'Налоги без ТОР'!D11-'Налоги ТОР'!D11</f>
        <v>0</v>
      </c>
      <c r="S11" s="154">
        <f>'Налоги без ТОР'!E11-'Налоги ТОР'!E11</f>
        <v>0</v>
      </c>
      <c r="T11" s="154">
        <f>'Налоги без ТОР'!F11-'Налоги ТОР'!F11</f>
        <v>0</v>
      </c>
      <c r="U11" s="154">
        <f>'Налоги без ТОР'!G11-'Налоги ТОР'!G11</f>
        <v>0</v>
      </c>
      <c r="V11" s="154">
        <f>'Налоги без ТОР'!H11-'Налоги ТОР'!H11</f>
        <v>0</v>
      </c>
      <c r="W11" s="154">
        <f>'Налоги без ТОР'!I11-'Налоги ТОР'!I11</f>
        <v>0</v>
      </c>
      <c r="X11" s="154">
        <f>'Налоги без ТОР'!J11-'Налоги ТОР'!J11</f>
        <v>0</v>
      </c>
      <c r="Y11" s="154">
        <f>'Налоги без ТОР'!K11-'Налоги ТОР'!K11</f>
        <v>0</v>
      </c>
      <c r="Z11" s="154">
        <f>'Налоги без ТОР'!L11-'Налоги ТОР'!L11</f>
        <v>0</v>
      </c>
      <c r="AA11" s="154">
        <f t="shared" si="1"/>
        <v>0</v>
      </c>
    </row>
    <row r="12" spans="1:27" ht="28.8" x14ac:dyDescent="0.3">
      <c r="A12" s="148" t="s">
        <v>215</v>
      </c>
      <c r="B12" s="292">
        <v>0</v>
      </c>
      <c r="C12" s="293">
        <f>C10*0.15</f>
        <v>184.392</v>
      </c>
      <c r="D12" s="293">
        <f t="shared" ref="D12:L12" si="9">D10*0.15</f>
        <v>197.29944</v>
      </c>
      <c r="E12" s="293">
        <f t="shared" si="9"/>
        <v>211.11040080000001</v>
      </c>
      <c r="F12" s="293">
        <f t="shared" si="9"/>
        <v>225.88812885600004</v>
      </c>
      <c r="G12" s="293">
        <f t="shared" si="9"/>
        <v>241.70029787592006</v>
      </c>
      <c r="H12" s="293">
        <f t="shared" si="9"/>
        <v>258.61931872723443</v>
      </c>
      <c r="I12" s="293">
        <f t="shared" si="9"/>
        <v>275.14732493421866</v>
      </c>
      <c r="J12" s="293">
        <f t="shared" si="9"/>
        <v>294.40763767961397</v>
      </c>
      <c r="K12" s="293">
        <f t="shared" si="9"/>
        <v>315.016172317187</v>
      </c>
      <c r="L12" s="292">
        <f t="shared" si="9"/>
        <v>337.06730437939012</v>
      </c>
      <c r="O12" s="151" t="str">
        <f t="shared" si="7"/>
        <v>- муниципальный бюджет</v>
      </c>
      <c r="P12" s="154">
        <f>'Налоги без ТОР'!B12-'Налоги ТОР'!B12</f>
        <v>0</v>
      </c>
      <c r="Q12" s="154">
        <f>'Налоги без ТОР'!C12-'Налоги ТОР'!C12</f>
        <v>0</v>
      </c>
      <c r="R12" s="154">
        <f>'Налоги без ТОР'!D12-'Налоги ТОР'!D12</f>
        <v>0</v>
      </c>
      <c r="S12" s="154">
        <f>'Налоги без ТОР'!E12-'Налоги ТОР'!E12</f>
        <v>0</v>
      </c>
      <c r="T12" s="154">
        <f>'Налоги без ТОР'!F12-'Налоги ТОР'!F12</f>
        <v>0</v>
      </c>
      <c r="U12" s="154">
        <f>'Налоги без ТОР'!G12-'Налоги ТОР'!G12</f>
        <v>0</v>
      </c>
      <c r="V12" s="154">
        <f>'Налоги без ТОР'!H12-'Налоги ТОР'!H12</f>
        <v>0</v>
      </c>
      <c r="W12" s="154">
        <f>'Налоги без ТОР'!I12-'Налоги ТОР'!I12</f>
        <v>0</v>
      </c>
      <c r="X12" s="154">
        <f>'Налоги без ТОР'!J12-'Налоги ТОР'!J12</f>
        <v>0</v>
      </c>
      <c r="Y12" s="154">
        <f>'Налоги без ТОР'!K12-'Налоги ТОР'!K12</f>
        <v>0</v>
      </c>
      <c r="Z12" s="154">
        <f>'Налоги без ТОР'!L12-'Налоги ТОР'!L12</f>
        <v>0</v>
      </c>
      <c r="AA12" s="154">
        <f t="shared" si="1"/>
        <v>0</v>
      </c>
    </row>
    <row r="13" spans="1:27" ht="35.25" customHeight="1" x14ac:dyDescent="0.3">
      <c r="A13" s="148" t="s">
        <v>216</v>
      </c>
      <c r="B13" s="292">
        <v>0</v>
      </c>
      <c r="C13" s="293">
        <v>0</v>
      </c>
      <c r="D13" s="293">
        <v>0</v>
      </c>
      <c r="E13" s="293">
        <v>0</v>
      </c>
      <c r="F13" s="293">
        <v>0</v>
      </c>
      <c r="G13" s="293">
        <v>0</v>
      </c>
      <c r="H13" s="293">
        <v>0</v>
      </c>
      <c r="I13" s="293">
        <v>0</v>
      </c>
      <c r="J13" s="293">
        <v>0</v>
      </c>
      <c r="K13" s="293">
        <v>0</v>
      </c>
      <c r="L13" s="292">
        <v>0</v>
      </c>
      <c r="O13" s="151" t="str">
        <f t="shared" si="7"/>
        <v>- бюджет поселения</v>
      </c>
      <c r="P13" s="154">
        <f>'Налоги без ТОР'!B13-'Налоги ТОР'!B13</f>
        <v>0</v>
      </c>
      <c r="Q13" s="154">
        <f>'Налоги без ТОР'!C13-'Налоги ТОР'!C13</f>
        <v>0</v>
      </c>
      <c r="R13" s="154">
        <f>'Налоги без ТОР'!D13-'Налоги ТОР'!D13</f>
        <v>0</v>
      </c>
      <c r="S13" s="154">
        <f>'Налоги без ТОР'!E13-'Налоги ТОР'!E13</f>
        <v>0</v>
      </c>
      <c r="T13" s="154">
        <f>'Налоги без ТОР'!F13-'Налоги ТОР'!F13</f>
        <v>0</v>
      </c>
      <c r="U13" s="154">
        <f>'Налоги без ТОР'!G13-'Налоги ТОР'!G13</f>
        <v>0</v>
      </c>
      <c r="V13" s="154">
        <f>'Налоги без ТОР'!H13-'Налоги ТОР'!H13</f>
        <v>0</v>
      </c>
      <c r="W13" s="154">
        <f>'Налоги без ТОР'!I13-'Налоги ТОР'!I13</f>
        <v>0</v>
      </c>
      <c r="X13" s="154">
        <f>'Налоги без ТОР'!J13-'Налоги ТОР'!J13</f>
        <v>0</v>
      </c>
      <c r="Y13" s="154">
        <f>'Налоги без ТОР'!K13-'Налоги ТОР'!K13</f>
        <v>0</v>
      </c>
      <c r="Z13" s="154">
        <f>'Налоги без ТОР'!L13-'Налоги ТОР'!L13</f>
        <v>0</v>
      </c>
      <c r="AA13" s="154">
        <f t="shared" si="1"/>
        <v>0</v>
      </c>
    </row>
    <row r="14" spans="1:27" ht="31.5" customHeight="1" x14ac:dyDescent="0.3">
      <c r="A14" s="447" t="s">
        <v>217</v>
      </c>
      <c r="B14" s="448">
        <f>'Расходы на ЗП ТОР'!AW51</f>
        <v>0</v>
      </c>
      <c r="C14" s="448">
        <f>'Расходы на ЗП ТОР'!AX51</f>
        <v>2836.8</v>
      </c>
      <c r="D14" s="448">
        <f>'Расходы на ЗП ТОР'!AY51</f>
        <v>3035.3760000000002</v>
      </c>
      <c r="E14" s="448">
        <f>'Расходы на ЗП ТОР'!AZ51</f>
        <v>3247.85232</v>
      </c>
      <c r="F14" s="448">
        <f>'Расходы на ЗП ТОР'!BA51</f>
        <v>3475.2019824000008</v>
      </c>
      <c r="G14" s="448">
        <f>'Расходы на ЗП ТОР'!BB51</f>
        <v>3718.4661211680009</v>
      </c>
      <c r="H14" s="448">
        <f>'Расходы на ЗП ТОР'!BC51</f>
        <v>3978.7587496497608</v>
      </c>
      <c r="I14" s="448">
        <f>'Расходы на ЗП ТОР'!BD51</f>
        <v>4233.0357682187487</v>
      </c>
      <c r="J14" s="448">
        <f>'Расходы на ЗП ТОР'!BE51</f>
        <v>4529.3482719940603</v>
      </c>
      <c r="K14" s="448">
        <f>'Расходы на ЗП ТОР'!BF51</f>
        <v>4846.4026510336462</v>
      </c>
      <c r="L14" s="448">
        <f>'Расходы на ЗП ТОР'!BG51</f>
        <v>5185.6508366060007</v>
      </c>
      <c r="O14" s="451" t="str">
        <f t="shared" si="7"/>
        <v>Страховые платежи в ФНС</v>
      </c>
      <c r="P14" s="452">
        <f>'Налоги без ТОР'!B14-'Налоги ТОР'!B14</f>
        <v>0</v>
      </c>
      <c r="Q14" s="452">
        <f>'Налоги без ТОР'!C14-'Налоги ТОР'!C14</f>
        <v>0</v>
      </c>
      <c r="R14" s="452">
        <f>'Налоги без ТОР'!D14-'Налоги ТОР'!D14</f>
        <v>0</v>
      </c>
      <c r="S14" s="452">
        <f>'Налоги без ТОР'!E14-'Налоги ТОР'!E14</f>
        <v>0</v>
      </c>
      <c r="T14" s="452">
        <f>'Налоги без ТОР'!F14-'Налоги ТОР'!F14</f>
        <v>0</v>
      </c>
      <c r="U14" s="452">
        <f>'Налоги без ТОР'!G14-'Налоги ТОР'!G14</f>
        <v>0</v>
      </c>
      <c r="V14" s="452">
        <f>'Налоги без ТОР'!H14-'Налоги ТОР'!H14</f>
        <v>0</v>
      </c>
      <c r="W14" s="452">
        <f>'Налоги без ТОР'!I14-'Налоги ТОР'!I14</f>
        <v>0</v>
      </c>
      <c r="X14" s="452">
        <f>'Налоги без ТОР'!J14-'Налоги ТОР'!J14</f>
        <v>0</v>
      </c>
      <c r="Y14" s="452">
        <f>'Налоги без ТОР'!K14-'Налоги ТОР'!K14</f>
        <v>0</v>
      </c>
      <c r="Z14" s="452">
        <f>'Налоги без ТОР'!L14-'Налоги ТОР'!L14</f>
        <v>0</v>
      </c>
      <c r="AA14" s="452">
        <f t="shared" si="1"/>
        <v>0</v>
      </c>
    </row>
    <row r="15" spans="1:27" ht="30" customHeight="1" x14ac:dyDescent="0.3">
      <c r="A15" s="447" t="s">
        <v>218</v>
      </c>
      <c r="B15" s="448">
        <f>'Расходы на ЗП ТОР'!AW53</f>
        <v>0</v>
      </c>
      <c r="C15" s="448">
        <f>'Расходы на ЗП ТОР'!AX53</f>
        <v>28.368000000000002</v>
      </c>
      <c r="D15" s="448">
        <f>'Расходы на ЗП ТОР'!AY53</f>
        <v>30.353760000000001</v>
      </c>
      <c r="E15" s="448">
        <f>'Расходы на ЗП ТОР'!AZ53</f>
        <v>32.478523200000005</v>
      </c>
      <c r="F15" s="448">
        <f>'Расходы на ЗП ТОР'!BA53</f>
        <v>34.752019824000008</v>
      </c>
      <c r="G15" s="448">
        <f>'Расходы на ЗП ТОР'!BB53</f>
        <v>37.184661211680009</v>
      </c>
      <c r="H15" s="448">
        <f>'Расходы на ЗП ТОР'!BC53</f>
        <v>39.787587496497608</v>
      </c>
      <c r="I15" s="448">
        <f>'Расходы на ЗП ТОР'!BD53</f>
        <v>42.33035768218749</v>
      </c>
      <c r="J15" s="448">
        <f>'Расходы на ЗП ТОР'!BE53</f>
        <v>45.293482719940606</v>
      </c>
      <c r="K15" s="448">
        <f>'Расходы на ЗП ТОР'!BF53</f>
        <v>48.46402651033646</v>
      </c>
      <c r="L15" s="448">
        <f>'Расходы на ЗП ТОР'!BG53</f>
        <v>51.856508366059998</v>
      </c>
      <c r="O15" s="451" t="str">
        <f t="shared" si="7"/>
        <v>Страховые платежи в ФСС</v>
      </c>
      <c r="P15" s="452">
        <f>'Налоги без ТОР'!B15-'Налоги ТОР'!B15</f>
        <v>0</v>
      </c>
      <c r="Q15" s="453">
        <f>'Налоги без ТОР'!C15-'Налоги ТОР'!C15</f>
        <v>0</v>
      </c>
      <c r="R15" s="453">
        <f>'Налоги без ТОР'!D15-'Налоги ТОР'!D15</f>
        <v>0</v>
      </c>
      <c r="S15" s="453">
        <f>'Налоги без ТОР'!E15-'Налоги ТОР'!E15</f>
        <v>0</v>
      </c>
      <c r="T15" s="453">
        <f>'Налоги без ТОР'!F15-'Налоги ТОР'!F15</f>
        <v>0</v>
      </c>
      <c r="U15" s="453">
        <f>'Налоги без ТОР'!G15-'Налоги ТОР'!G15</f>
        <v>0</v>
      </c>
      <c r="V15" s="453">
        <f>'Налоги без ТОР'!H15-'Налоги ТОР'!H15</f>
        <v>0</v>
      </c>
      <c r="W15" s="453">
        <f>'Налоги без ТОР'!I15-'Налоги ТОР'!I15</f>
        <v>0</v>
      </c>
      <c r="X15" s="453">
        <f>'Налоги без ТОР'!J15-'Налоги ТОР'!J15</f>
        <v>0</v>
      </c>
      <c r="Y15" s="453">
        <f>'Налоги без ТОР'!K15-'Налоги ТОР'!K15</f>
        <v>0</v>
      </c>
      <c r="Z15" s="453">
        <f>'Налоги без ТОР'!L15-'Налоги ТОР'!L15</f>
        <v>0</v>
      </c>
      <c r="AA15" s="452">
        <f t="shared" si="1"/>
        <v>0</v>
      </c>
    </row>
    <row r="16" spans="1:27" x14ac:dyDescent="0.3">
      <c r="A16" s="447" t="s">
        <v>219</v>
      </c>
      <c r="B16" s="448">
        <f>'Расходы ТОР'!B37</f>
        <v>0</v>
      </c>
      <c r="C16" s="448">
        <f>'Расходы ТОР'!C37</f>
        <v>-2877.6605866666659</v>
      </c>
      <c r="D16" s="448">
        <f>'Расходы ТОР'!D37</f>
        <v>11257.162875599995</v>
      </c>
      <c r="E16" s="448">
        <f>'Расходы ТОР'!E37</f>
        <v>12537.389768892001</v>
      </c>
      <c r="F16" s="448">
        <f>'Расходы ТОР'!F37</f>
        <v>15633.365585423173</v>
      </c>
      <c r="G16" s="448">
        <f>'Расходы ТОР'!G37</f>
        <v>17243.425651635494</v>
      </c>
      <c r="H16" s="448">
        <f>'Расходы ТОР'!H37</f>
        <v>18941.00318780035</v>
      </c>
      <c r="I16" s="448">
        <f>'Расходы ТОР'!I37</f>
        <v>20728.248312622352</v>
      </c>
      <c r="J16" s="448">
        <f>'Расходы ТОР'!J37</f>
        <v>21527.730833075613</v>
      </c>
      <c r="K16" s="448">
        <f>'Расходы ТОР'!K37</f>
        <v>22339.028631039138</v>
      </c>
      <c r="L16" s="448">
        <f>'Расходы ТОР'!L37</f>
        <v>23165.990218336505</v>
      </c>
      <c r="O16" s="451" t="str">
        <f t="shared" si="7"/>
        <v>НДС:</v>
      </c>
      <c r="P16" s="452">
        <f>'Налоги без ТОР'!B16-'Налоги ТОР'!B16</f>
        <v>0</v>
      </c>
      <c r="Q16" s="452">
        <f>'Налоги без ТОР'!C16-'Налоги ТОР'!C16</f>
        <v>0</v>
      </c>
      <c r="R16" s="452">
        <f>'Налоги без ТОР'!D16-'Налоги ТОР'!D16</f>
        <v>0</v>
      </c>
      <c r="S16" s="452">
        <f>'Налоги без ТОР'!E16-'Налоги ТОР'!E16</f>
        <v>0</v>
      </c>
      <c r="T16" s="452">
        <f>'Налоги без ТОР'!F16-'Налоги ТОР'!F16</f>
        <v>0</v>
      </c>
      <c r="U16" s="452">
        <f>'Налоги без ТОР'!G16-'Налоги ТОР'!G16</f>
        <v>0</v>
      </c>
      <c r="V16" s="452">
        <f>'Налоги без ТОР'!H16-'Налоги ТОР'!H16</f>
        <v>0</v>
      </c>
      <c r="W16" s="452">
        <f>'Налоги без ТОР'!I16-'Налоги ТОР'!I16</f>
        <v>0</v>
      </c>
      <c r="X16" s="452">
        <f>'Налоги без ТОР'!J16-'Налоги ТОР'!J16</f>
        <v>0</v>
      </c>
      <c r="Y16" s="452">
        <f>'Налоги без ТОР'!K16-'Налоги ТОР'!K16</f>
        <v>0</v>
      </c>
      <c r="Z16" s="452">
        <f>'Налоги без ТОР'!L16-'Налоги ТОР'!L16</f>
        <v>0</v>
      </c>
      <c r="AA16" s="452">
        <f t="shared" si="1"/>
        <v>0</v>
      </c>
    </row>
    <row r="17" spans="1:27" ht="28.8" x14ac:dyDescent="0.3">
      <c r="A17" s="148" t="s">
        <v>209</v>
      </c>
      <c r="B17" s="292">
        <f>B16</f>
        <v>0</v>
      </c>
      <c r="C17" s="292">
        <f t="shared" ref="C17:L17" si="10">C16</f>
        <v>-2877.6605866666659</v>
      </c>
      <c r="D17" s="292">
        <f t="shared" si="10"/>
        <v>11257.162875599995</v>
      </c>
      <c r="E17" s="292">
        <f t="shared" si="10"/>
        <v>12537.389768892001</v>
      </c>
      <c r="F17" s="292">
        <f t="shared" si="10"/>
        <v>15633.365585423173</v>
      </c>
      <c r="G17" s="292">
        <f t="shared" si="10"/>
        <v>17243.425651635494</v>
      </c>
      <c r="H17" s="292">
        <f t="shared" si="10"/>
        <v>18941.00318780035</v>
      </c>
      <c r="I17" s="292">
        <f t="shared" si="10"/>
        <v>20728.248312622352</v>
      </c>
      <c r="J17" s="292">
        <f t="shared" si="10"/>
        <v>21527.730833075613</v>
      </c>
      <c r="K17" s="292">
        <f t="shared" si="10"/>
        <v>22339.028631039138</v>
      </c>
      <c r="L17" s="292">
        <f t="shared" si="10"/>
        <v>23165.990218336505</v>
      </c>
      <c r="O17" s="151" t="str">
        <f t="shared" si="7"/>
        <v>- федеральный бюджет</v>
      </c>
      <c r="P17" s="154">
        <f>'Налоги без ТОР'!B17-'Налоги ТОР'!B17</f>
        <v>0</v>
      </c>
      <c r="Q17" s="154">
        <f>'Налоги без ТОР'!C17-'Налоги ТОР'!C17</f>
        <v>0</v>
      </c>
      <c r="R17" s="154">
        <f>'Налоги без ТОР'!D17-'Налоги ТОР'!D17</f>
        <v>0</v>
      </c>
      <c r="S17" s="154">
        <f>'Налоги без ТОР'!E17-'Налоги ТОР'!E17</f>
        <v>0</v>
      </c>
      <c r="T17" s="154">
        <f>'Налоги без ТОР'!F17-'Налоги ТОР'!F17</f>
        <v>0</v>
      </c>
      <c r="U17" s="154">
        <f>'Налоги без ТОР'!G17-'Налоги ТОР'!G17</f>
        <v>0</v>
      </c>
      <c r="V17" s="154">
        <f>'Налоги без ТОР'!H17-'Налоги ТОР'!H17</f>
        <v>0</v>
      </c>
      <c r="W17" s="154">
        <f>'Налоги без ТОР'!I17-'Налоги ТОР'!I17</f>
        <v>0</v>
      </c>
      <c r="X17" s="154">
        <f>'Налоги без ТОР'!J17-'Налоги ТОР'!J17</f>
        <v>0</v>
      </c>
      <c r="Y17" s="154">
        <f>'Налоги без ТОР'!K17-'Налоги ТОР'!K17</f>
        <v>0</v>
      </c>
      <c r="Z17" s="154">
        <f>'Налоги без ТОР'!L17-'Налоги ТОР'!L17</f>
        <v>0</v>
      </c>
      <c r="AA17" s="154">
        <f t="shared" si="1"/>
        <v>0</v>
      </c>
    </row>
    <row r="18" spans="1:27" x14ac:dyDescent="0.3">
      <c r="A18" s="447" t="s">
        <v>220</v>
      </c>
      <c r="B18" s="450">
        <v>0</v>
      </c>
      <c r="C18" s="450">
        <v>0</v>
      </c>
      <c r="D18" s="450">
        <v>0</v>
      </c>
      <c r="E18" s="450">
        <v>0</v>
      </c>
      <c r="F18" s="450">
        <v>0</v>
      </c>
      <c r="G18" s="450">
        <v>0</v>
      </c>
      <c r="H18" s="450">
        <v>0</v>
      </c>
      <c r="I18" s="450">
        <v>0</v>
      </c>
      <c r="J18" s="450">
        <v>0</v>
      </c>
      <c r="K18" s="450">
        <v>0</v>
      </c>
      <c r="L18" s="450">
        <v>0</v>
      </c>
      <c r="O18" s="451" t="str">
        <f t="shared" si="7"/>
        <v>Земельный налог</v>
      </c>
      <c r="P18" s="452">
        <f>'Налоги без ТОР'!B18-'Налоги ТОР'!B18</f>
        <v>0</v>
      </c>
      <c r="Q18" s="452">
        <f>'Налоги без ТОР'!C18-'Налоги ТОР'!C18</f>
        <v>0</v>
      </c>
      <c r="R18" s="452">
        <f>'Налоги без ТОР'!D18-'Налоги ТОР'!D18</f>
        <v>0</v>
      </c>
      <c r="S18" s="452">
        <f>'Налоги без ТОР'!E18-'Налоги ТОР'!E18</f>
        <v>0</v>
      </c>
      <c r="T18" s="452">
        <f>'Налоги без ТОР'!F18-'Налоги ТОР'!F18</f>
        <v>0</v>
      </c>
      <c r="U18" s="452">
        <f>'Налоги без ТОР'!G18-'Налоги ТОР'!G18</f>
        <v>0</v>
      </c>
      <c r="V18" s="452">
        <f>'Налоги без ТОР'!H18-'Налоги ТОР'!H18</f>
        <v>0</v>
      </c>
      <c r="W18" s="452">
        <f>'Налоги без ТОР'!I18-'Налоги ТОР'!I18</f>
        <v>0</v>
      </c>
      <c r="X18" s="452">
        <f>'Налоги без ТОР'!J18-'Налоги ТОР'!J18</f>
        <v>0</v>
      </c>
      <c r="Y18" s="452">
        <f>'Налоги без ТОР'!K18-'Налоги ТОР'!K18</f>
        <v>0</v>
      </c>
      <c r="Z18" s="452">
        <f>'Налоги без ТОР'!L18-'Налоги ТОР'!L18</f>
        <v>0</v>
      </c>
      <c r="AA18" s="452">
        <f t="shared" si="1"/>
        <v>0</v>
      </c>
    </row>
    <row r="19" spans="1:27" ht="28.8" x14ac:dyDescent="0.3">
      <c r="A19" s="148" t="str">
        <f>A12</f>
        <v>- муниципальный бюджет</v>
      </c>
      <c r="B19" s="292">
        <v>0</v>
      </c>
      <c r="C19" s="292">
        <v>0</v>
      </c>
      <c r="D19" s="292">
        <v>0</v>
      </c>
      <c r="E19" s="292">
        <v>0</v>
      </c>
      <c r="F19" s="292">
        <v>0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0</v>
      </c>
      <c r="O19" s="151" t="str">
        <f t="shared" si="7"/>
        <v>- муниципальный бюджет</v>
      </c>
      <c r="P19" s="154">
        <f>'Налоги без ТОР'!B19-'Налоги ТОР'!B19</f>
        <v>0</v>
      </c>
      <c r="Q19" s="154">
        <f>'Налоги без ТОР'!C19-'Налоги ТОР'!C19</f>
        <v>0</v>
      </c>
      <c r="R19" s="154">
        <f>'Налоги без ТОР'!D19-'Налоги ТОР'!D19</f>
        <v>0</v>
      </c>
      <c r="S19" s="154">
        <f>'Налоги без ТОР'!E19-'Налоги ТОР'!E19</f>
        <v>0</v>
      </c>
      <c r="T19" s="154">
        <f>'Налоги без ТОР'!F19-'Налоги ТОР'!F19</f>
        <v>0</v>
      </c>
      <c r="U19" s="154">
        <f>'Налоги без ТОР'!G19-'Налоги ТОР'!G19</f>
        <v>0</v>
      </c>
      <c r="V19" s="154">
        <f>'Налоги без ТОР'!H19-'Налоги ТОР'!H19</f>
        <v>0</v>
      </c>
      <c r="W19" s="154">
        <f>'Налоги без ТОР'!I19-'Налоги ТОР'!I19</f>
        <v>0</v>
      </c>
      <c r="X19" s="154">
        <f>'Налоги без ТОР'!J19-'Налоги ТОР'!J19</f>
        <v>0</v>
      </c>
      <c r="Y19" s="154">
        <f>'Налоги без ТОР'!K19-'Налоги ТОР'!K19</f>
        <v>0</v>
      </c>
      <c r="Z19" s="154">
        <f>'Налоги без ТОР'!L19-'Налоги ТОР'!L19</f>
        <v>0</v>
      </c>
      <c r="AA19" s="154">
        <f t="shared" si="1"/>
        <v>0</v>
      </c>
    </row>
    <row r="20" spans="1:27" ht="16.5" customHeight="1" x14ac:dyDescent="0.3">
      <c r="A20" s="454" t="s">
        <v>221</v>
      </c>
      <c r="B20" s="455">
        <f>B4+B17</f>
        <v>0</v>
      </c>
      <c r="C20" s="456">
        <f>C4+C17</f>
        <v>-2877.6605866666659</v>
      </c>
      <c r="D20" s="457">
        <f>D4+D17</f>
        <v>11257.162875599995</v>
      </c>
      <c r="E20" s="455">
        <f>E4+E17</f>
        <v>12537.389768892001</v>
      </c>
      <c r="F20" s="455">
        <f t="shared" ref="F20:L20" si="11">F4+F17</f>
        <v>15633.365585423173</v>
      </c>
      <c r="G20" s="455">
        <f t="shared" si="11"/>
        <v>17634.127174123623</v>
      </c>
      <c r="H20" s="455">
        <f t="shared" si="11"/>
        <v>19825.278358910244</v>
      </c>
      <c r="I20" s="455">
        <f t="shared" si="11"/>
        <v>21722.369796704977</v>
      </c>
      <c r="J20" s="455">
        <f t="shared" si="11"/>
        <v>22560.163639299884</v>
      </c>
      <c r="K20" s="455">
        <f t="shared" si="11"/>
        <v>23408.916204041252</v>
      </c>
      <c r="L20" s="455">
        <f t="shared" si="11"/>
        <v>24074.904358325228</v>
      </c>
      <c r="O20" s="460" t="str">
        <f t="shared" si="7"/>
        <v>фб</v>
      </c>
      <c r="P20" s="424">
        <f>'Налоги без ТОР'!B20-'Налоги ТОР'!B20</f>
        <v>0</v>
      </c>
      <c r="Q20" s="424">
        <f>'Налоги без ТОР'!C20-'Налоги ТОР'!C20</f>
        <v>249.28144604686895</v>
      </c>
      <c r="R20" s="424">
        <f>'Налоги без ТОР'!D20-'Налоги ТОР'!D20</f>
        <v>300.49269541335707</v>
      </c>
      <c r="S20" s="424">
        <f>'Налоги без ТОР'!E20-'Налоги ТОР'!E20</f>
        <v>404.77488806519978</v>
      </c>
      <c r="T20" s="424">
        <f>'Налоги без ТОР'!F20-'Налоги ТОР'!F20</f>
        <v>637.19371868135568</v>
      </c>
      <c r="U20" s="424">
        <f>'Налоги без ТОР'!G20-'Налоги ТОР'!G20</f>
        <v>382.01813598121225</v>
      </c>
      <c r="V20" s="424">
        <f>'Налоги без ТОР'!H20-'Налоги ТОР'!H20</f>
        <v>0</v>
      </c>
      <c r="W20" s="424">
        <f>'Налоги без ТОР'!I20-'Налоги ТОР'!I20</f>
        <v>0</v>
      </c>
      <c r="X20" s="424">
        <f>'Налоги без ТОР'!J20-'Налоги ТОР'!J20</f>
        <v>0</v>
      </c>
      <c r="Y20" s="424">
        <f>'Налоги без ТОР'!K20-'Налоги ТОР'!K20</f>
        <v>0</v>
      </c>
      <c r="Z20" s="424">
        <f>'Налоги без ТОР'!L20-'Налоги ТОР'!L20</f>
        <v>227.22275999718113</v>
      </c>
      <c r="AA20" s="424">
        <f>SUM(P20:Z20)</f>
        <v>2200.9836441851749</v>
      </c>
    </row>
    <row r="21" spans="1:27" ht="16.5" customHeight="1" x14ac:dyDescent="0.3">
      <c r="A21" s="454" t="s">
        <v>222</v>
      </c>
      <c r="B21" s="455">
        <f>B5+B7+B9+B11</f>
        <v>0</v>
      </c>
      <c r="C21" s="456">
        <f>C5+C7+C9+C11</f>
        <v>1044.8879999999999</v>
      </c>
      <c r="D21" s="457">
        <f>D5+D7+D9+D11</f>
        <v>1118.03016</v>
      </c>
      <c r="E21" s="455">
        <f>E5+E7+E9+E11</f>
        <v>1196.2922712000002</v>
      </c>
      <c r="F21" s="455">
        <f t="shared" ref="F21:L21" si="12">F5+F7+F9+F11</f>
        <v>1280.0327301840002</v>
      </c>
      <c r="G21" s="455">
        <f t="shared" si="12"/>
        <v>3352.0176337375237</v>
      </c>
      <c r="H21" s="455">
        <f t="shared" si="12"/>
        <v>5999.4978283371247</v>
      </c>
      <c r="I21" s="455">
        <f t="shared" si="12"/>
        <v>6637.7680950403665</v>
      </c>
      <c r="J21" s="455">
        <f t="shared" si="12"/>
        <v>6933.8464779724973</v>
      </c>
      <c r="K21" s="455">
        <f t="shared" si="12"/>
        <v>7233.282008141301</v>
      </c>
      <c r="L21" s="455">
        <f t="shared" si="12"/>
        <v>10184.407818048392</v>
      </c>
      <c r="O21" s="460" t="str">
        <f t="shared" si="7"/>
        <v>рб</v>
      </c>
      <c r="P21" s="424">
        <f>'Налоги без ТОР'!B21-'Налоги ТОР'!B21</f>
        <v>34.65</v>
      </c>
      <c r="Q21" s="424">
        <f>'Налоги без ТОР'!C21-'Налоги ТОР'!C21</f>
        <v>2379.2455144218202</v>
      </c>
      <c r="R21" s="424">
        <f>'Налоги без ТОР'!D21-'Налоги ТОР'!D21</f>
        <v>2835.526758720207</v>
      </c>
      <c r="S21" s="424">
        <f>'Налоги без ТОР'!E21-'Налоги ТОР'!E21</f>
        <v>3769.4464925868024</v>
      </c>
      <c r="T21" s="424">
        <f>'Налоги без ТОР'!F21-'Налоги ТОР'!F21</f>
        <v>5856.5959681322092</v>
      </c>
      <c r="U21" s="424">
        <f>'Налоги без ТОР'!G21-'Налоги ТОР'!G21</f>
        <v>5089.3268137834384</v>
      </c>
      <c r="V21" s="424">
        <f>'Налоги без ТОР'!H21-'Налоги ТОР'!H21</f>
        <v>3537.1006844395679</v>
      </c>
      <c r="W21" s="424">
        <f>'Налоги без ТОР'!I21-'Налоги ТОР'!I21</f>
        <v>3976.485936330504</v>
      </c>
      <c r="X21" s="424">
        <f>'Налоги без ТОР'!J21-'Налоги ТОР'!J21</f>
        <v>4129.731224897082</v>
      </c>
      <c r="Y21" s="424">
        <f>'Налоги без ТОР'!K21-'Налоги ТОР'!K21</f>
        <v>4279.5502920084618</v>
      </c>
      <c r="Z21" s="424">
        <f>'Налоги без ТОР'!L21-'Налоги ТОР'!L21</f>
        <v>2045.0048399746302</v>
      </c>
      <c r="AA21" s="424">
        <f t="shared" si="1"/>
        <v>37932.66452529472</v>
      </c>
    </row>
    <row r="22" spans="1:27" x14ac:dyDescent="0.3">
      <c r="A22" s="454" t="s">
        <v>223</v>
      </c>
      <c r="B22" s="455">
        <f>B12</f>
        <v>0</v>
      </c>
      <c r="C22" s="456">
        <f>C12</f>
        <v>184.392</v>
      </c>
      <c r="D22" s="457">
        <f>D12</f>
        <v>197.29944</v>
      </c>
      <c r="E22" s="455">
        <f>E12</f>
        <v>211.11040080000001</v>
      </c>
      <c r="F22" s="455">
        <f t="shared" ref="F22:L22" si="13">F12</f>
        <v>225.88812885600004</v>
      </c>
      <c r="G22" s="455">
        <f t="shared" si="13"/>
        <v>241.70029787592006</v>
      </c>
      <c r="H22" s="455">
        <f t="shared" si="13"/>
        <v>258.61931872723443</v>
      </c>
      <c r="I22" s="455">
        <f t="shared" si="13"/>
        <v>275.14732493421866</v>
      </c>
      <c r="J22" s="455">
        <f t="shared" si="13"/>
        <v>294.40763767961397</v>
      </c>
      <c r="K22" s="455">
        <f t="shared" si="13"/>
        <v>315.016172317187</v>
      </c>
      <c r="L22" s="455">
        <f t="shared" si="13"/>
        <v>337.06730437939012</v>
      </c>
      <c r="M22" s="156"/>
      <c r="O22" s="460" t="str">
        <f t="shared" si="7"/>
        <v>мб</v>
      </c>
      <c r="P22" s="424">
        <f>'Налоги без ТОР'!B22-'Налоги ТОР'!B22</f>
        <v>0</v>
      </c>
      <c r="Q22" s="424">
        <f>'Налоги без ТОР'!C22-'Налоги ТОР'!C22</f>
        <v>0</v>
      </c>
      <c r="R22" s="424">
        <f>'Налоги без ТОР'!D22-'Налоги ТОР'!D22</f>
        <v>0</v>
      </c>
      <c r="S22" s="424">
        <f>'Налоги без ТОР'!E22-'Налоги ТОР'!E22</f>
        <v>0</v>
      </c>
      <c r="T22" s="424">
        <f>'Налоги без ТОР'!F22-'Налоги ТОР'!F22</f>
        <v>0</v>
      </c>
      <c r="U22" s="424">
        <f>'Налоги без ТОР'!G22-'Налоги ТОР'!G22</f>
        <v>0</v>
      </c>
      <c r="V22" s="424">
        <f>'Налоги без ТОР'!H22-'Налоги ТОР'!H22</f>
        <v>0</v>
      </c>
      <c r="W22" s="424">
        <f>'Налоги без ТОР'!I22-'Налоги ТОР'!I22</f>
        <v>0</v>
      </c>
      <c r="X22" s="424">
        <f>'Налоги без ТОР'!J22-'Налоги ТОР'!J22</f>
        <v>0</v>
      </c>
      <c r="Y22" s="424">
        <f>'Налоги без ТОР'!K22-'Налоги ТОР'!K22</f>
        <v>0</v>
      </c>
      <c r="Z22" s="424">
        <f>'Налоги без ТОР'!L22-'Налоги ТОР'!L22</f>
        <v>0</v>
      </c>
      <c r="AA22" s="424">
        <f t="shared" si="1"/>
        <v>0</v>
      </c>
    </row>
    <row r="23" spans="1:27" x14ac:dyDescent="0.3">
      <c r="A23" s="454" t="s">
        <v>224</v>
      </c>
      <c r="B23" s="455">
        <f>B13+B19</f>
        <v>0</v>
      </c>
      <c r="C23" s="456">
        <f>C13+C19</f>
        <v>0</v>
      </c>
      <c r="D23" s="458">
        <f>D13+D19</f>
        <v>0</v>
      </c>
      <c r="E23" s="459">
        <f t="shared" ref="E23:L23" si="14">E13+E19</f>
        <v>0</v>
      </c>
      <c r="F23" s="459">
        <f t="shared" si="14"/>
        <v>0</v>
      </c>
      <c r="G23" s="459">
        <f t="shared" si="14"/>
        <v>0</v>
      </c>
      <c r="H23" s="459">
        <f t="shared" si="14"/>
        <v>0</v>
      </c>
      <c r="I23" s="459">
        <f t="shared" si="14"/>
        <v>0</v>
      </c>
      <c r="J23" s="459">
        <f t="shared" si="14"/>
        <v>0</v>
      </c>
      <c r="K23" s="459">
        <f t="shared" si="14"/>
        <v>0</v>
      </c>
      <c r="L23" s="459">
        <f t="shared" si="14"/>
        <v>0</v>
      </c>
      <c r="M23" s="157"/>
      <c r="O23" s="461" t="str">
        <f t="shared" si="7"/>
        <v>бп</v>
      </c>
      <c r="P23" s="424">
        <f>'Налоги без ТОР'!B23-'Налоги ТОР'!B23</f>
        <v>0</v>
      </c>
      <c r="Q23" s="424">
        <f>'Налоги без ТОР'!C23-'Налоги ТОР'!C23</f>
        <v>0</v>
      </c>
      <c r="R23" s="424">
        <f>'Налоги без ТОР'!D23-'Налоги ТОР'!D23</f>
        <v>0</v>
      </c>
      <c r="S23" s="424">
        <f>'Налоги без ТОР'!E23-'Налоги ТОР'!E23</f>
        <v>0</v>
      </c>
      <c r="T23" s="424">
        <f>'Налоги без ТОР'!F23-'Налоги ТОР'!F23</f>
        <v>0</v>
      </c>
      <c r="U23" s="424">
        <f>'Налоги без ТОР'!G23-'Налоги ТОР'!G23</f>
        <v>0</v>
      </c>
      <c r="V23" s="424">
        <f>'Налоги без ТОР'!H23-'Налоги ТОР'!H23</f>
        <v>0</v>
      </c>
      <c r="W23" s="424">
        <f>'Налоги без ТОР'!I23-'Налоги ТОР'!I23</f>
        <v>0</v>
      </c>
      <c r="X23" s="424">
        <f>'Налоги без ТОР'!J23-'Налоги ТОР'!J23</f>
        <v>0</v>
      </c>
      <c r="Y23" s="424">
        <f>'Налоги без ТОР'!K23-'Налоги ТОР'!K23</f>
        <v>0</v>
      </c>
      <c r="Z23" s="424">
        <f>'Налоги без ТОР'!L23-'Налоги ТОР'!L23</f>
        <v>0</v>
      </c>
      <c r="AA23" s="424">
        <f t="shared" si="1"/>
        <v>0</v>
      </c>
    </row>
    <row r="24" spans="1:27" ht="28.8" x14ac:dyDescent="0.3">
      <c r="A24" s="153" t="s">
        <v>225</v>
      </c>
      <c r="B24" s="290">
        <f>'Расходы ТОР'!B25</f>
        <v>0.83307986400000011</v>
      </c>
      <c r="C24" s="290">
        <f>'Расходы ТОР'!C25</f>
        <v>1.6661597280000002</v>
      </c>
      <c r="D24" s="290">
        <f>'Расходы ТОР'!D25</f>
        <v>1.6661597280000002</v>
      </c>
      <c r="E24" s="290">
        <f>'Расходы ТОР'!E25</f>
        <v>1.6661597280000002</v>
      </c>
      <c r="F24" s="290">
        <f>'Расходы ТОР'!F25</f>
        <v>1.6661597280000002</v>
      </c>
      <c r="G24" s="290">
        <f>'Расходы ТОР'!G25</f>
        <v>1.6661597280000002</v>
      </c>
      <c r="H24" s="290">
        <f>'Расходы ТОР'!H25</f>
        <v>1.6661597280000002</v>
      </c>
      <c r="I24" s="290">
        <f>'Расходы ТОР'!I25</f>
        <v>1.6661597280000002</v>
      </c>
      <c r="J24" s="290">
        <f>'Расходы ТОР'!J25</f>
        <v>1.6661597280000002</v>
      </c>
      <c r="K24" s="290">
        <f>'Расходы ТОР'!K25</f>
        <v>1.6661597280000002</v>
      </c>
      <c r="L24" s="290">
        <f>'Расходы ТОР'!L25</f>
        <v>1.6661597280000002</v>
      </c>
      <c r="AA24" s="158">
        <f>SUM(AA20:AA23)</f>
        <v>40133.648169479893</v>
      </c>
    </row>
    <row r="25" spans="1:27" x14ac:dyDescent="0.3">
      <c r="A25" s="427"/>
      <c r="B25" s="426" t="str">
        <f>B2</f>
        <v>1 год</v>
      </c>
      <c r="C25" s="428" t="str">
        <f>C2</f>
        <v>2 год</v>
      </c>
      <c r="D25" s="428" t="str">
        <f t="shared" ref="D25:L25" si="15">D2</f>
        <v>3 год</v>
      </c>
      <c r="E25" s="428" t="str">
        <f t="shared" si="15"/>
        <v>4 год</v>
      </c>
      <c r="F25" s="428" t="str">
        <f t="shared" si="15"/>
        <v>5 год</v>
      </c>
      <c r="G25" s="428" t="str">
        <f t="shared" si="15"/>
        <v>6 год</v>
      </c>
      <c r="H25" s="428" t="str">
        <f t="shared" si="15"/>
        <v>7 год</v>
      </c>
      <c r="I25" s="428" t="str">
        <f t="shared" si="15"/>
        <v>8 год</v>
      </c>
      <c r="J25" s="428" t="str">
        <f t="shared" si="15"/>
        <v>9 год</v>
      </c>
      <c r="K25" s="428" t="str">
        <f t="shared" si="15"/>
        <v>10 год</v>
      </c>
      <c r="L25" s="428" t="str">
        <f t="shared" si="15"/>
        <v>11 год</v>
      </c>
    </row>
    <row r="26" spans="1:27" x14ac:dyDescent="0.3">
      <c r="A26" s="429" t="s">
        <v>226</v>
      </c>
      <c r="C26" s="64">
        <v>0</v>
      </c>
      <c r="D26" s="6">
        <f t="shared" ref="D26:D28" si="16">D20/1000</f>
        <v>11.257162875599995</v>
      </c>
      <c r="E26" s="6">
        <f t="shared" ref="E26:L28" si="17">E20/1000</f>
        <v>12.537389768892</v>
      </c>
      <c r="F26" s="6">
        <f t="shared" si="17"/>
        <v>15.633365585423173</v>
      </c>
      <c r="G26" s="6">
        <f t="shared" si="17"/>
        <v>17.634127174123623</v>
      </c>
      <c r="H26" s="6">
        <f t="shared" si="17"/>
        <v>19.825278358910243</v>
      </c>
      <c r="I26" s="6">
        <f t="shared" si="17"/>
        <v>21.722369796704978</v>
      </c>
      <c r="J26" s="6">
        <f t="shared" si="17"/>
        <v>22.560163639299883</v>
      </c>
      <c r="K26" s="6">
        <f t="shared" si="17"/>
        <v>23.408916204041251</v>
      </c>
      <c r="L26" s="6">
        <f t="shared" si="17"/>
        <v>24.074904358325227</v>
      </c>
      <c r="M26" s="6">
        <f>SUM(C26:L26)</f>
        <v>168.65367776132038</v>
      </c>
    </row>
    <row r="27" spans="1:27" x14ac:dyDescent="0.3">
      <c r="A27" s="423" t="s">
        <v>227</v>
      </c>
      <c r="C27" s="64">
        <v>0</v>
      </c>
      <c r="D27" s="6">
        <f t="shared" si="16"/>
        <v>1.11803016</v>
      </c>
      <c r="E27" s="6">
        <f t="shared" si="17"/>
        <v>1.1962922712000001</v>
      </c>
      <c r="F27" s="6">
        <f t="shared" si="17"/>
        <v>1.2800327301840002</v>
      </c>
      <c r="G27" s="6">
        <f t="shared" si="17"/>
        <v>3.3520176337375238</v>
      </c>
      <c r="H27" s="6">
        <f t="shared" si="17"/>
        <v>5.999497828337125</v>
      </c>
      <c r="I27" s="6">
        <f t="shared" si="17"/>
        <v>6.6377680950403661</v>
      </c>
      <c r="J27" s="6">
        <f t="shared" si="17"/>
        <v>6.9338464779724971</v>
      </c>
      <c r="K27" s="6">
        <f t="shared" si="17"/>
        <v>7.233282008141301</v>
      </c>
      <c r="L27" s="6">
        <f t="shared" si="17"/>
        <v>10.184407818048392</v>
      </c>
      <c r="M27" s="6">
        <f t="shared" ref="M27:M29" si="18">SUM(C27:L27)</f>
        <v>43.935175022661205</v>
      </c>
    </row>
    <row r="28" spans="1:27" x14ac:dyDescent="0.3">
      <c r="A28" s="423" t="s">
        <v>228</v>
      </c>
      <c r="C28" s="64">
        <v>0</v>
      </c>
      <c r="D28" s="159">
        <f t="shared" si="16"/>
        <v>0.19729943999999999</v>
      </c>
      <c r="E28" s="159">
        <f t="shared" si="17"/>
        <v>0.21111040080000001</v>
      </c>
      <c r="F28" s="159">
        <f t="shared" si="17"/>
        <v>0.22588812885600004</v>
      </c>
      <c r="G28" s="159">
        <f t="shared" si="17"/>
        <v>0.24170029787592007</v>
      </c>
      <c r="H28" s="159">
        <f t="shared" si="17"/>
        <v>0.25861931872723443</v>
      </c>
      <c r="I28" s="159">
        <f t="shared" si="17"/>
        <v>0.27514732493421867</v>
      </c>
      <c r="J28" s="159">
        <f t="shared" si="17"/>
        <v>0.29440763767961398</v>
      </c>
      <c r="K28" s="159">
        <f t="shared" si="17"/>
        <v>0.31501617231718698</v>
      </c>
      <c r="L28" s="159">
        <f t="shared" si="17"/>
        <v>0.33706730437939014</v>
      </c>
      <c r="M28" s="6">
        <f t="shared" si="18"/>
        <v>2.3562560255695644</v>
      </c>
    </row>
    <row r="29" spans="1:27" x14ac:dyDescent="0.3">
      <c r="A29" s="423" t="s">
        <v>507</v>
      </c>
      <c r="C29" s="64">
        <v>0</v>
      </c>
      <c r="D29" s="160">
        <f>(D14+D15)/1000</f>
        <v>3.06572976</v>
      </c>
      <c r="E29" s="160">
        <f t="shared" ref="E29:L29" si="19">(E14+E15)/1000</f>
        <v>3.2803308431999998</v>
      </c>
      <c r="F29" s="160">
        <f t="shared" si="19"/>
        <v>3.5099540022240006</v>
      </c>
      <c r="G29" s="160">
        <f t="shared" si="19"/>
        <v>3.7556507823796812</v>
      </c>
      <c r="H29" s="160">
        <f t="shared" si="19"/>
        <v>4.0185463371462582</v>
      </c>
      <c r="I29" s="160">
        <f t="shared" si="19"/>
        <v>4.2753661259009359</v>
      </c>
      <c r="J29" s="160">
        <f t="shared" si="19"/>
        <v>4.5746417547140013</v>
      </c>
      <c r="K29" s="160">
        <f t="shared" si="19"/>
        <v>4.8948666775439822</v>
      </c>
      <c r="L29" s="160">
        <f t="shared" si="19"/>
        <v>5.2375073449720606</v>
      </c>
      <c r="M29" s="6">
        <f t="shared" si="18"/>
        <v>36.612593628080916</v>
      </c>
    </row>
    <row r="30" spans="1:27" x14ac:dyDescent="0.3">
      <c r="A30" s="423" t="s">
        <v>26</v>
      </c>
      <c r="C30" s="150">
        <f>SUM(C26:C29)</f>
        <v>0</v>
      </c>
      <c r="D30" s="150">
        <f t="shared" ref="D30:L30" si="20">SUM(D26:D29)</f>
        <v>15.638222235599995</v>
      </c>
      <c r="E30" s="150">
        <f t="shared" si="20"/>
        <v>17.225123284092</v>
      </c>
      <c r="F30" s="150">
        <f t="shared" si="20"/>
        <v>20.64924044668717</v>
      </c>
      <c r="G30" s="150">
        <f t="shared" si="20"/>
        <v>24.983495888116749</v>
      </c>
      <c r="H30" s="150">
        <f t="shared" si="20"/>
        <v>30.101941843120859</v>
      </c>
      <c r="I30" s="150">
        <f t="shared" si="20"/>
        <v>32.910651342580501</v>
      </c>
      <c r="J30" s="150">
        <f t="shared" si="20"/>
        <v>34.363059509666002</v>
      </c>
      <c r="K30" s="150">
        <f t="shared" si="20"/>
        <v>35.852081062043723</v>
      </c>
      <c r="L30" s="150">
        <f t="shared" si="20"/>
        <v>39.833886825725067</v>
      </c>
    </row>
    <row r="32" spans="1:27" x14ac:dyDescent="0.3">
      <c r="A32" s="141"/>
      <c r="B32" s="426" t="str">
        <f>B2</f>
        <v>1 год</v>
      </c>
      <c r="C32" s="426" t="str">
        <f t="shared" ref="C32:L32" si="21">C2</f>
        <v>2 год</v>
      </c>
      <c r="D32" s="426" t="str">
        <f t="shared" si="21"/>
        <v>3 год</v>
      </c>
      <c r="E32" s="426" t="str">
        <f t="shared" si="21"/>
        <v>4 год</v>
      </c>
      <c r="F32" s="426" t="str">
        <f t="shared" si="21"/>
        <v>5 год</v>
      </c>
      <c r="G32" s="426" t="str">
        <f t="shared" si="21"/>
        <v>6 год</v>
      </c>
      <c r="H32" s="426" t="str">
        <f t="shared" si="21"/>
        <v>7 год</v>
      </c>
      <c r="I32" s="426" t="str">
        <f t="shared" si="21"/>
        <v>8 год</v>
      </c>
      <c r="J32" s="426" t="str">
        <f t="shared" si="21"/>
        <v>9 год</v>
      </c>
      <c r="K32" s="426" t="str">
        <f t="shared" si="21"/>
        <v>10 год</v>
      </c>
      <c r="L32" s="426" t="str">
        <f t="shared" si="21"/>
        <v>11 год</v>
      </c>
    </row>
    <row r="33" spans="1:26" ht="15.6" x14ac:dyDescent="0.3">
      <c r="A33" s="636" t="s">
        <v>574</v>
      </c>
      <c r="B33" s="637">
        <f>допущения!$C$20*SUM('Расходы ТОР'!B27-'Расходы ТОР'!B31)+'Расходы на П, строит-во, ввод'!B15</f>
        <v>10407.361666666668</v>
      </c>
      <c r="C33" s="637">
        <f>допущения!$C$20*SUM('Расходы ТОР'!C27-'Расходы ТОР'!C31)</f>
        <v>9914.1840000000011</v>
      </c>
      <c r="D33" s="637">
        <f>допущения!$C$20*SUM('Расходы ТОР'!D27-'Расходы ТОР'!D31)</f>
        <v>14152.816800000001</v>
      </c>
      <c r="E33" s="637">
        <f>допущения!$C$20*SUM('Расходы ТОР'!E27-'Расходы ТОР'!E31)</f>
        <v>15085.182988800005</v>
      </c>
      <c r="F33" s="637">
        <f>допущения!$C$20*SUM('Расходы ТОР'!F27-'Расходы ТОР'!F31)</f>
        <v>18017.974158169502</v>
      </c>
      <c r="G33" s="637">
        <f>допущения!$C$20*SUM('Расходы ТОР'!G27-'Расходы ТОР'!G31)</f>
        <v>19063.310315868057</v>
      </c>
      <c r="H33" s="637">
        <f>допущения!$C$20*SUM('Расходы ТОР'!H27-'Расходы ТОР'!H31)</f>
        <v>20106.800107861964</v>
      </c>
      <c r="I33" s="637">
        <f>допущения!$C$20*SUM('Расходы ТОР'!I27-'Расходы ТОР'!I31)</f>
        <v>21148.403536294631</v>
      </c>
      <c r="J33" s="637">
        <f>допущения!$C$20*SUM('Расходы ТОР'!J27-'Расходы ТОР'!J31)</f>
        <v>21131.504589339049</v>
      </c>
      <c r="K33" s="637">
        <f>допущения!$C$20*SUM('Расходы ТОР'!K27-'Расходы ТОР'!K31)</f>
        <v>21114.352158179128</v>
      </c>
      <c r="L33" s="637">
        <f>допущения!$C$20*SUM('Расходы ТОР'!L27-'Расходы ТОР'!L31)</f>
        <v>21096.942440551815</v>
      </c>
      <c r="M33" s="161"/>
      <c r="S33" s="160"/>
      <c r="T33" s="160"/>
      <c r="U33" s="160"/>
      <c r="V33" s="160"/>
      <c r="W33" s="160"/>
      <c r="X33" s="160"/>
      <c r="Y33" s="160"/>
      <c r="Z33" s="160"/>
    </row>
    <row r="34" spans="1:26" ht="15.6" x14ac:dyDescent="0.3">
      <c r="A34" s="638" t="s">
        <v>575</v>
      </c>
      <c r="B34" s="637">
        <f>допущения!$C$20*'выручка по кв и годам'!D20</f>
        <v>0</v>
      </c>
      <c r="C34" s="637">
        <f>допущения!$C$20*'выручка по кв и годам'!E20</f>
        <v>24040.800000000003</v>
      </c>
      <c r="D34" s="637">
        <f>допущения!$C$20*'выручка по кв и годам'!F20</f>
        <v>34859.159999999996</v>
      </c>
      <c r="E34" s="637">
        <f>допущения!$C$20*'выручка по кв и годам'!G20</f>
        <v>37740.850560000006</v>
      </c>
      <c r="F34" s="637">
        <f>допущения!$C$20*'выручка по кв и годам'!H20</f>
        <v>45788.792091524985</v>
      </c>
      <c r="G34" s="637">
        <f>допущения!$C$20*'выручка по кв и годам'!I20</f>
        <v>49209.48420659775</v>
      </c>
      <c r="H34" s="637">
        <f>допущения!$C$20*'выручка по кв и годам'!J20</f>
        <v>52722.494606902081</v>
      </c>
      <c r="I34" s="637">
        <f>допущения!$C$20*'выручка по кв и годам'!K20</f>
        <v>56329.823185269059</v>
      </c>
      <c r="J34" s="637">
        <f>допущения!$C$20*'выручка по кв и годам'!L20</f>
        <v>57174.770533048097</v>
      </c>
      <c r="K34" s="637">
        <f>допущения!$C$20*'выручка по кв и годам'!M20</f>
        <v>58032.39209104381</v>
      </c>
      <c r="L34" s="637">
        <f>допущения!$C$20*'выручка по кв и годам'!N20</f>
        <v>58902.877972409457</v>
      </c>
      <c r="M34" s="163"/>
      <c r="S34" s="160"/>
      <c r="T34" s="160"/>
      <c r="U34" s="160"/>
      <c r="V34" s="160"/>
      <c r="W34" s="160"/>
      <c r="X34" s="160"/>
      <c r="Y34" s="160"/>
      <c r="Z34" s="160"/>
    </row>
    <row r="35" spans="1:26" ht="15.6" x14ac:dyDescent="0.3">
      <c r="A35" s="639" t="s">
        <v>576</v>
      </c>
      <c r="B35" s="640">
        <f>B34-B33</f>
        <v>-10407.361666666668</v>
      </c>
      <c r="C35" s="640">
        <f t="shared" ref="C35:L35" si="22">C34-C33</f>
        <v>14126.616000000002</v>
      </c>
      <c r="D35" s="640">
        <f t="shared" si="22"/>
        <v>20706.343199999996</v>
      </c>
      <c r="E35" s="640">
        <f t="shared" si="22"/>
        <v>22655.6675712</v>
      </c>
      <c r="F35" s="640">
        <f t="shared" si="22"/>
        <v>27770.817933355484</v>
      </c>
      <c r="G35" s="640">
        <f t="shared" si="22"/>
        <v>30146.173890729693</v>
      </c>
      <c r="H35" s="640">
        <f t="shared" si="22"/>
        <v>32615.694499040117</v>
      </c>
      <c r="I35" s="640">
        <f t="shared" si="22"/>
        <v>35181.419648974428</v>
      </c>
      <c r="J35" s="640">
        <f t="shared" si="22"/>
        <v>36043.265943709048</v>
      </c>
      <c r="K35" s="640">
        <f t="shared" si="22"/>
        <v>36918.039932864682</v>
      </c>
      <c r="L35" s="640">
        <f t="shared" si="22"/>
        <v>37805.935531857642</v>
      </c>
      <c r="M35" s="163"/>
    </row>
    <row r="36" spans="1:26" ht="15.6" x14ac:dyDescent="0.3">
      <c r="A36" s="162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3"/>
    </row>
    <row r="37" spans="1:26" ht="15.6" x14ac:dyDescent="0.3">
      <c r="A37" s="164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63"/>
    </row>
    <row r="38" spans="1:26" ht="15.6" x14ac:dyDescent="0.3">
      <c r="A38" s="162"/>
      <c r="B38" s="162"/>
      <c r="C38" s="166"/>
      <c r="D38" s="166"/>
      <c r="E38" s="166"/>
      <c r="F38" s="166"/>
      <c r="G38" s="165"/>
      <c r="H38" s="165"/>
      <c r="I38" s="165"/>
      <c r="J38" s="165"/>
      <c r="K38" s="165"/>
      <c r="L38" s="165"/>
      <c r="M38" s="63"/>
      <c r="Q38" s="160"/>
    </row>
    <row r="39" spans="1:26" ht="15.6" x14ac:dyDescent="0.3">
      <c r="A39" s="162"/>
      <c r="B39" s="162"/>
      <c r="C39" s="166"/>
      <c r="D39" s="166"/>
      <c r="E39" s="166"/>
      <c r="F39" s="166"/>
      <c r="G39" s="165"/>
      <c r="H39" s="165"/>
      <c r="I39" s="165"/>
      <c r="J39" s="165"/>
      <c r="K39" s="165"/>
      <c r="L39" s="165"/>
      <c r="M39" s="63"/>
    </row>
    <row r="40" spans="1:26" ht="15.6" x14ac:dyDescent="0.3">
      <c r="A40" s="164"/>
      <c r="B40" s="162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63"/>
    </row>
    <row r="41" spans="1:26" ht="15.6" x14ac:dyDescent="0.3">
      <c r="A41" s="162"/>
      <c r="B41" s="162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63"/>
    </row>
    <row r="42" spans="1:26" ht="15.6" x14ac:dyDescent="0.3">
      <c r="A42" s="164"/>
      <c r="B42" s="162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63"/>
    </row>
    <row r="43" spans="1:26" ht="15.6" x14ac:dyDescent="0.3">
      <c r="A43" s="162"/>
      <c r="B43" s="162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63"/>
    </row>
    <row r="44" spans="1:26" ht="15.6" x14ac:dyDescent="0.3">
      <c r="A44" s="164"/>
      <c r="B44" s="162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63"/>
    </row>
    <row r="45" spans="1:26" ht="15.6" x14ac:dyDescent="0.3">
      <c r="A45" s="162"/>
      <c r="B45" s="162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63"/>
    </row>
    <row r="46" spans="1:26" ht="15.6" x14ac:dyDescent="0.3">
      <c r="A46" s="164"/>
      <c r="B46" s="162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63"/>
    </row>
    <row r="47" spans="1:26" ht="15.6" x14ac:dyDescent="0.3">
      <c r="A47" s="162"/>
      <c r="B47" s="162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63"/>
    </row>
    <row r="48" spans="1:26" ht="15.6" x14ac:dyDescent="0.3">
      <c r="A48" s="162"/>
      <c r="B48" s="162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63"/>
    </row>
    <row r="49" spans="1:13" ht="15.6" x14ac:dyDescent="0.3">
      <c r="A49" s="164"/>
      <c r="B49" s="162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63"/>
    </row>
    <row r="50" spans="1:13" ht="15.6" x14ac:dyDescent="0.3">
      <c r="A50" s="162"/>
      <c r="B50" s="162"/>
      <c r="C50" s="165"/>
      <c r="D50" s="167"/>
      <c r="E50" s="167"/>
      <c r="F50" s="167"/>
      <c r="G50" s="167"/>
      <c r="H50" s="167"/>
      <c r="I50" s="167"/>
      <c r="J50" s="167"/>
      <c r="K50" s="167"/>
      <c r="L50" s="167"/>
      <c r="M50" s="63"/>
    </row>
    <row r="51" spans="1:13" ht="15.6" x14ac:dyDescent="0.3">
      <c r="A51" s="162"/>
      <c r="B51" s="162"/>
      <c r="C51" s="165"/>
      <c r="D51" s="167"/>
      <c r="E51" s="167"/>
      <c r="F51" s="167"/>
      <c r="G51" s="167"/>
      <c r="H51" s="167"/>
      <c r="I51" s="167"/>
      <c r="J51" s="167"/>
      <c r="K51" s="167"/>
      <c r="L51" s="167"/>
      <c r="M51" s="63"/>
    </row>
    <row r="52" spans="1:13" ht="15.6" x14ac:dyDescent="0.3">
      <c r="A52" s="162"/>
      <c r="B52" s="162"/>
      <c r="C52" s="165"/>
      <c r="D52" s="167"/>
      <c r="E52" s="167"/>
      <c r="F52" s="167"/>
      <c r="G52" s="167"/>
      <c r="H52" s="167"/>
      <c r="I52" s="167"/>
      <c r="J52" s="167"/>
      <c r="K52" s="167"/>
      <c r="L52" s="167"/>
      <c r="M52" s="63"/>
    </row>
    <row r="53" spans="1:13" ht="15.6" x14ac:dyDescent="0.3">
      <c r="A53" s="164"/>
      <c r="B53" s="162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63"/>
    </row>
    <row r="54" spans="1:13" ht="15.6" x14ac:dyDescent="0.3">
      <c r="A54" s="164"/>
      <c r="B54" s="164"/>
      <c r="C54" s="168"/>
      <c r="D54" s="72"/>
      <c r="E54" s="72"/>
      <c r="F54" s="72"/>
      <c r="G54" s="72"/>
      <c r="H54" s="72"/>
      <c r="I54" s="72"/>
      <c r="J54" s="72"/>
      <c r="K54" s="72"/>
      <c r="L54" s="72"/>
      <c r="M54" s="63"/>
    </row>
    <row r="55" spans="1:13" x14ac:dyDescent="0.3">
      <c r="A55" s="67"/>
      <c r="B55" s="67"/>
      <c r="C55" s="67"/>
      <c r="D55" s="63"/>
      <c r="E55" s="63"/>
      <c r="F55" s="63"/>
      <c r="G55" s="63"/>
      <c r="H55" s="63"/>
      <c r="I55" s="63"/>
      <c r="J55" s="63"/>
      <c r="K55" s="63"/>
      <c r="L55" s="63"/>
      <c r="M55" s="169"/>
    </row>
    <row r="56" spans="1:13" x14ac:dyDescent="0.3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3"/>
    </row>
    <row r="57" spans="1:13" x14ac:dyDescent="0.3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3"/>
    </row>
    <row r="58" spans="1:13" x14ac:dyDescent="0.3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3"/>
    </row>
    <row r="59" spans="1:13" x14ac:dyDescent="0.3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3"/>
    </row>
  </sheetData>
  <mergeCells count="1">
    <mergeCell ref="A1:L1"/>
  </mergeCells>
  <phoneticPr fontId="46" type="noConversion"/>
  <pageMargins left="0.7" right="0.7" top="0.75" bottom="0.75" header="0.3" footer="0.3"/>
  <pageSetup paperSize="9" firstPageNumber="2147483648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67"/>
  <sheetViews>
    <sheetView zoomScale="70" workbookViewId="0">
      <selection activeCell="B16" sqref="B16:L16"/>
    </sheetView>
  </sheetViews>
  <sheetFormatPr defaultRowHeight="14.4" x14ac:dyDescent="0.3"/>
  <cols>
    <col min="1" max="1" width="19" style="64" customWidth="1"/>
    <col min="2" max="2" width="12" style="64" customWidth="1"/>
    <col min="3" max="3" width="14.33203125" customWidth="1"/>
    <col min="4" max="5" width="16.33203125" customWidth="1"/>
    <col min="6" max="6" width="15.33203125" customWidth="1"/>
    <col min="7" max="7" width="15.88671875" customWidth="1"/>
    <col min="8" max="8" width="16" customWidth="1"/>
    <col min="9" max="10" width="17.6640625" customWidth="1"/>
    <col min="11" max="11" width="15.5546875" customWidth="1"/>
    <col min="12" max="12" width="15.88671875" customWidth="1"/>
    <col min="13" max="13" width="17.6640625" customWidth="1"/>
    <col min="14" max="14" width="17.44140625" customWidth="1"/>
    <col min="15" max="15" width="16.88671875" customWidth="1"/>
    <col min="16" max="16" width="23.44140625" customWidth="1"/>
    <col min="17" max="17" width="17.33203125" customWidth="1"/>
    <col min="18" max="18" width="19.5546875" customWidth="1"/>
    <col min="19" max="19" width="16.88671875" customWidth="1"/>
    <col min="20" max="20" width="14.44140625" customWidth="1"/>
    <col min="21" max="21" width="14.6640625" customWidth="1"/>
    <col min="22" max="22" width="13.88671875" customWidth="1"/>
    <col min="23" max="23" width="17.88671875" customWidth="1"/>
    <col min="24" max="24" width="10.44140625" customWidth="1"/>
    <col min="25" max="25" width="12.44140625" customWidth="1"/>
    <col min="26" max="26" width="14.6640625" customWidth="1"/>
  </cols>
  <sheetData>
    <row r="1" spans="1:20" ht="25.8" x14ac:dyDescent="0.5">
      <c r="A1" s="170" t="s">
        <v>229</v>
      </c>
      <c r="B1" s="294"/>
      <c r="C1" s="294"/>
      <c r="D1" s="294"/>
      <c r="E1" s="294"/>
      <c r="F1" s="294"/>
      <c r="G1" s="294"/>
      <c r="H1" s="295"/>
      <c r="J1" s="67"/>
      <c r="K1" s="67"/>
      <c r="L1" s="168"/>
      <c r="M1" s="673"/>
      <c r="N1" s="673"/>
      <c r="O1" s="673"/>
    </row>
    <row r="2" spans="1:20" x14ac:dyDescent="0.3">
      <c r="A2" s="433"/>
      <c r="B2" s="433" t="str">
        <f>'Налоги ТОР'!B2</f>
        <v>1 год</v>
      </c>
      <c r="C2" s="433" t="str">
        <f>'Налоги ТОР'!C2</f>
        <v>2 год</v>
      </c>
      <c r="D2" s="433" t="str">
        <f>'Налоги ТОР'!D2</f>
        <v>3 год</v>
      </c>
      <c r="E2" s="433" t="str">
        <f>'Налоги ТОР'!E2</f>
        <v>4 год</v>
      </c>
      <c r="F2" s="433" t="str">
        <f>'Налоги ТОР'!F2</f>
        <v>5 год</v>
      </c>
      <c r="G2" s="433" t="str">
        <f>'Налоги ТОР'!G2</f>
        <v>6 год</v>
      </c>
      <c r="H2" s="433" t="str">
        <f>'Налоги ТОР'!H2</f>
        <v>7 год</v>
      </c>
      <c r="I2" s="433" t="str">
        <f>'Налоги ТОР'!I2</f>
        <v>8 год</v>
      </c>
      <c r="J2" s="433" t="str">
        <f>'Налоги ТОР'!J2</f>
        <v>9 год</v>
      </c>
      <c r="K2" s="433" t="str">
        <f>'Налоги ТОР'!K2</f>
        <v>10 год</v>
      </c>
      <c r="L2" s="433" t="str">
        <f>'Налоги ТОР'!L2</f>
        <v>11 год</v>
      </c>
      <c r="M2" s="674"/>
      <c r="N2" s="674"/>
      <c r="O2" s="674"/>
      <c r="P2" s="434"/>
      <c r="Q2" s="435" t="s">
        <v>230</v>
      </c>
      <c r="R2" s="436"/>
      <c r="S2" s="435" t="s">
        <v>230</v>
      </c>
      <c r="T2" s="437"/>
    </row>
    <row r="3" spans="1:20" x14ac:dyDescent="0.3">
      <c r="A3" s="172" t="s">
        <v>208</v>
      </c>
      <c r="B3" s="172">
        <f>IF('Фин результат ТОР'!B24&lt;0, 0, 0.2*'Фин результат ТОР'!B24)</f>
        <v>0</v>
      </c>
      <c r="C3" s="172">
        <f>IF('Фин результат ТОР'!C24&lt;0, 0, 0.2*'Фин результат ТОР'!C24)</f>
        <v>2492.814460468689</v>
      </c>
      <c r="D3" s="172">
        <f>IF('Фин результат ТОР'!D24&lt;0, 0, 0.2*'Фин результат ТОР'!D24)</f>
        <v>3004.926954133563</v>
      </c>
      <c r="E3" s="172">
        <f>IF('Фин результат ТОР'!E24&lt;0, 0, 0.2*'Фин результат ТОР'!E24)</f>
        <v>4047.7488806520023</v>
      </c>
      <c r="F3" s="172">
        <f>IF('Фин результат ТОР'!F24&lt;0, 0, 0.2*'Фин результат ТОР'!F24)</f>
        <v>6371.9371868135659</v>
      </c>
      <c r="G3" s="172">
        <f>IF('Фин результат ТОР'!G24&lt;0, 0, 0.2*'Фин результат ТОР'!G24)</f>
        <v>7727.1965846934227</v>
      </c>
      <c r="H3" s="172">
        <f>IF('Фин результат ТОР'!H24&lt;0, 0, 0.2*'Фин результат ТОР'!H24)</f>
        <v>8842.7517110989229</v>
      </c>
      <c r="I3" s="172">
        <f>IF('Фин результат ТОР'!I24&lt;0, 0, 0.2*'Фин результат ТОР'!I24)</f>
        <v>9941.2148408262565</v>
      </c>
      <c r="J3" s="172">
        <f>IF('Фин результат ТОР'!J24&lt;0, 0, 0.2*'Фин результат ТОР'!J24)</f>
        <v>10324.328062242705</v>
      </c>
      <c r="K3" s="172">
        <f>IF('Фин результат ТОР'!K24&lt;0, 0, 0.2*'Фин результат ТОР'!K24)</f>
        <v>10698.875730021151</v>
      </c>
      <c r="L3" s="172">
        <f>IF('Фин результат ТОР'!L24&lt;0, 0, 0.2*'Фин результат ТОР'!L24)</f>
        <v>11361.368999859049</v>
      </c>
      <c r="M3" s="673"/>
      <c r="N3" s="673"/>
      <c r="O3" s="673"/>
      <c r="P3" s="174" t="str">
        <f>A3</f>
        <v>Налог на прибыль:</v>
      </c>
      <c r="Q3" s="174">
        <f>SUM(B3:K3)</f>
        <v>63451.794410950279</v>
      </c>
      <c r="R3" s="7"/>
      <c r="S3" s="174" t="s">
        <v>221</v>
      </c>
      <c r="T3" s="175">
        <f>Q4+Q17</f>
        <v>143674.8737005165</v>
      </c>
    </row>
    <row r="4" spans="1:20" ht="28.8" x14ac:dyDescent="0.3">
      <c r="A4" s="172" t="s">
        <v>209</v>
      </c>
      <c r="B4" s="172">
        <f>B3*2/20</f>
        <v>0</v>
      </c>
      <c r="C4" s="172">
        <f t="shared" ref="C4:G4" si="0">C3*2/20</f>
        <v>249.28144604686889</v>
      </c>
      <c r="D4" s="172">
        <f t="shared" si="0"/>
        <v>300.49269541335627</v>
      </c>
      <c r="E4" s="172">
        <f t="shared" si="0"/>
        <v>404.77488806520023</v>
      </c>
      <c r="F4" s="172">
        <f t="shared" si="0"/>
        <v>637.19371868135659</v>
      </c>
      <c r="G4" s="172">
        <f t="shared" si="0"/>
        <v>772.71965846934222</v>
      </c>
      <c r="H4" s="172">
        <f>H3*2/20</f>
        <v>884.27517110989231</v>
      </c>
      <c r="I4" s="172">
        <f>I3*2/20</f>
        <v>994.12148408262567</v>
      </c>
      <c r="J4" s="172">
        <f>J3*2/20</f>
        <v>1032.4328062242705</v>
      </c>
      <c r="K4" s="172">
        <f>K3*2/20</f>
        <v>1069.887573002115</v>
      </c>
      <c r="L4" s="172">
        <f>L3*2/20</f>
        <v>1136.1368999859048</v>
      </c>
      <c r="M4" s="674"/>
      <c r="N4" s="674"/>
      <c r="O4" s="674"/>
      <c r="P4" s="174" t="str">
        <f t="shared" ref="P4:P18" si="1">A4</f>
        <v>- федеральный бюджет</v>
      </c>
      <c r="Q4" s="174">
        <f>SUM(B4:K4)</f>
        <v>6345.1794410950279</v>
      </c>
      <c r="R4" s="7"/>
      <c r="S4" s="174" t="s">
        <v>222</v>
      </c>
      <c r="T4" s="175">
        <f>Q5+Q7+Q9+Q11</f>
        <v>70683.314889932895</v>
      </c>
    </row>
    <row r="5" spans="1:20" ht="28.8" x14ac:dyDescent="0.3">
      <c r="A5" s="172" t="s">
        <v>211</v>
      </c>
      <c r="B5" s="172">
        <f>B3-B4</f>
        <v>0</v>
      </c>
      <c r="C5" s="172">
        <f t="shared" ref="C5:L5" si="2">C3-C4</f>
        <v>2243.5330144218201</v>
      </c>
      <c r="D5" s="172">
        <f t="shared" si="2"/>
        <v>2704.4342587202068</v>
      </c>
      <c r="E5" s="172">
        <f t="shared" si="2"/>
        <v>3642.9739925868021</v>
      </c>
      <c r="F5" s="172">
        <f t="shared" si="2"/>
        <v>5734.7434681322093</v>
      </c>
      <c r="G5" s="172">
        <f t="shared" si="2"/>
        <v>6954.4769262240807</v>
      </c>
      <c r="H5" s="172">
        <f t="shared" si="2"/>
        <v>7958.4765399890302</v>
      </c>
      <c r="I5" s="172">
        <f t="shared" si="2"/>
        <v>8947.0933567436314</v>
      </c>
      <c r="J5" s="172">
        <f t="shared" si="2"/>
        <v>9291.8952560184334</v>
      </c>
      <c r="K5" s="172">
        <f t="shared" si="2"/>
        <v>9628.9881570190355</v>
      </c>
      <c r="L5" s="172">
        <f t="shared" si="2"/>
        <v>10225.232099873145</v>
      </c>
      <c r="M5" s="673"/>
      <c r="N5" s="673"/>
      <c r="O5" s="673"/>
      <c r="P5" s="174" t="str">
        <f t="shared" si="1"/>
        <v>- региональный бюджет</v>
      </c>
      <c r="Q5" s="174">
        <f t="shared" ref="Q5:Q18" si="3">SUM(B5:K5)</f>
        <v>57106.614969855247</v>
      </c>
      <c r="R5" s="7"/>
      <c r="S5" s="174" t="s">
        <v>223</v>
      </c>
      <c r="T5" s="175">
        <f>Q12+Q18</f>
        <v>2203.5807211901742</v>
      </c>
    </row>
    <row r="6" spans="1:20" ht="20.25" customHeight="1" x14ac:dyDescent="0.3">
      <c r="A6" s="172" t="s">
        <v>212</v>
      </c>
      <c r="B6" s="172">
        <f>'Расходы на П, строит-во, ввод'!B40</f>
        <v>34.65</v>
      </c>
      <c r="C6" s="172">
        <f>'Расходы на П, строит-во, ввод'!C40</f>
        <v>135.71250000000001</v>
      </c>
      <c r="D6" s="172">
        <f>'Расходы на П, строит-во, ввод'!D40</f>
        <v>131.0925</v>
      </c>
      <c r="E6" s="172">
        <f>'Расходы на П, строит-во, ввод'!E40</f>
        <v>126.4725</v>
      </c>
      <c r="F6" s="172">
        <f>'Расходы на П, строит-во, ввод'!F40</f>
        <v>121.85249999999999</v>
      </c>
      <c r="G6" s="172">
        <f>'Расходы на П, строит-во, ввод'!G40</f>
        <v>117.23249999999999</v>
      </c>
      <c r="H6" s="172">
        <f>'Расходы на П, строит-во, ввод'!H40</f>
        <v>112.6125</v>
      </c>
      <c r="I6" s="172">
        <f>'Расходы на П, строит-во, ввод'!I40</f>
        <v>107.99249999999999</v>
      </c>
      <c r="J6" s="172">
        <f>'Расходы на П, строит-во, ввод'!J40</f>
        <v>103.37249999999999</v>
      </c>
      <c r="K6" s="172">
        <f>'Расходы на П, строит-во, ввод'!K40</f>
        <v>98.752499999999998</v>
      </c>
      <c r="L6" s="172">
        <f>'Расходы на П, строит-во, ввод'!L40</f>
        <v>94.132499999999993</v>
      </c>
      <c r="M6" s="674"/>
      <c r="N6" s="674"/>
      <c r="O6" s="674"/>
      <c r="P6" s="174" t="str">
        <f t="shared" si="1"/>
        <v>Налог на имущество:</v>
      </c>
      <c r="Q6" s="174">
        <f t="shared" si="3"/>
        <v>1089.7424999999998</v>
      </c>
      <c r="R6" s="7"/>
      <c r="S6" s="174" t="s">
        <v>224</v>
      </c>
      <c r="T6" s="175"/>
    </row>
    <row r="7" spans="1:20" ht="28.8" x14ac:dyDescent="0.3">
      <c r="A7" s="172" t="s">
        <v>211</v>
      </c>
      <c r="B7" s="172">
        <f>B6</f>
        <v>34.65</v>
      </c>
      <c r="C7" s="172">
        <f>'Расходы на П, строит-во, ввод'!C40</f>
        <v>135.71250000000001</v>
      </c>
      <c r="D7" s="172">
        <f>'Расходы на П, строит-во, ввод'!D40</f>
        <v>131.0925</v>
      </c>
      <c r="E7" s="172">
        <f>'Расходы на П, строит-во, ввод'!E40</f>
        <v>126.4725</v>
      </c>
      <c r="F7" s="172">
        <f>'Расходы на П, строит-во, ввод'!F40</f>
        <v>121.85249999999999</v>
      </c>
      <c r="G7" s="172">
        <f>'Расходы на П, строит-во, ввод'!G40</f>
        <v>117.23249999999999</v>
      </c>
      <c r="H7" s="172">
        <f>'Расходы на П, строит-во, ввод'!H40</f>
        <v>112.6125</v>
      </c>
      <c r="I7" s="172">
        <f>'Расходы на П, строит-во, ввод'!I40</f>
        <v>107.99249999999999</v>
      </c>
      <c r="J7" s="172">
        <f>'Расходы на П, строит-во, ввод'!J40</f>
        <v>103.37249999999999</v>
      </c>
      <c r="K7" s="172">
        <f>'Расходы на П, строит-во, ввод'!K40</f>
        <v>98.752499999999998</v>
      </c>
      <c r="L7" s="172">
        <f>'Расходы на П, строит-во, ввод'!L40</f>
        <v>94.132499999999993</v>
      </c>
      <c r="M7" s="673"/>
      <c r="N7" s="673"/>
      <c r="O7" s="673"/>
      <c r="P7" s="174" t="str">
        <f t="shared" si="1"/>
        <v>- региональный бюджет</v>
      </c>
      <c r="Q7" s="174">
        <f t="shared" si="3"/>
        <v>1089.7424999999998</v>
      </c>
      <c r="R7" s="7"/>
      <c r="S7" s="7"/>
      <c r="T7" s="176"/>
    </row>
    <row r="8" spans="1:20" ht="19.5" customHeight="1" x14ac:dyDescent="0.3">
      <c r="A8" s="172" t="s">
        <v>213</v>
      </c>
      <c r="B8" s="172">
        <f>'Расходы ТОР'!B38</f>
        <v>0</v>
      </c>
      <c r="C8" s="172">
        <f>'Расходы ТОР'!C38</f>
        <v>0</v>
      </c>
      <c r="D8" s="172">
        <f>'Расходы ТОР'!D38</f>
        <v>0</v>
      </c>
      <c r="E8" s="172">
        <f>'Расходы ТОР'!E38</f>
        <v>0</v>
      </c>
      <c r="F8" s="172">
        <f>'Расходы ТОР'!F38</f>
        <v>0</v>
      </c>
      <c r="G8" s="172">
        <v>0</v>
      </c>
      <c r="H8" s="172">
        <f>H9</f>
        <v>0</v>
      </c>
      <c r="I8" s="172">
        <f t="shared" ref="I8:L8" si="4">I9</f>
        <v>0</v>
      </c>
      <c r="J8" s="172">
        <f t="shared" si="4"/>
        <v>0</v>
      </c>
      <c r="K8" s="172">
        <f t="shared" si="4"/>
        <v>0</v>
      </c>
      <c r="L8" s="172">
        <f t="shared" si="4"/>
        <v>0</v>
      </c>
      <c r="M8" s="674"/>
      <c r="N8" s="674"/>
      <c r="O8" s="674"/>
      <c r="P8" s="174" t="str">
        <f t="shared" si="1"/>
        <v>Транспортный налог:</v>
      </c>
      <c r="Q8" s="174">
        <f t="shared" si="3"/>
        <v>0</v>
      </c>
      <c r="R8" s="7"/>
      <c r="S8" s="7"/>
      <c r="T8" s="176"/>
    </row>
    <row r="9" spans="1:20" ht="28.8" x14ac:dyDescent="0.3">
      <c r="A9" s="172" t="s">
        <v>211</v>
      </c>
      <c r="B9" s="172">
        <f>B8</f>
        <v>0</v>
      </c>
      <c r="C9" s="172">
        <f t="shared" ref="C9:G9" si="5">C8</f>
        <v>0</v>
      </c>
      <c r="D9" s="172">
        <f t="shared" si="5"/>
        <v>0</v>
      </c>
      <c r="E9" s="172">
        <f t="shared" si="5"/>
        <v>0</v>
      </c>
      <c r="F9" s="172">
        <f t="shared" si="5"/>
        <v>0</v>
      </c>
      <c r="G9" s="172">
        <f t="shared" si="5"/>
        <v>0</v>
      </c>
      <c r="H9" s="172">
        <v>0</v>
      </c>
      <c r="I9" s="172">
        <v>0</v>
      </c>
      <c r="J9" s="172">
        <v>0</v>
      </c>
      <c r="K9" s="172">
        <v>0</v>
      </c>
      <c r="L9" s="172">
        <v>0</v>
      </c>
      <c r="M9" s="673"/>
      <c r="N9" s="673"/>
      <c r="O9" s="673"/>
      <c r="P9" s="174" t="str">
        <f t="shared" si="1"/>
        <v>- региональный бюджет</v>
      </c>
      <c r="Q9" s="174">
        <f t="shared" si="3"/>
        <v>0</v>
      </c>
      <c r="R9" s="7"/>
      <c r="S9" s="7"/>
      <c r="T9" s="176"/>
    </row>
    <row r="10" spans="1:20" x14ac:dyDescent="0.3">
      <c r="A10" s="172" t="s">
        <v>214</v>
      </c>
      <c r="B10" s="172">
        <f>'Расходы на ЗП ОТ'!AW58</f>
        <v>0</v>
      </c>
      <c r="C10" s="172">
        <f>'Расходы на ЗП ОТ'!AX58</f>
        <v>1229.28</v>
      </c>
      <c r="D10" s="172">
        <f>'Расходы на ЗП ОТ'!AY58</f>
        <v>1315.3296</v>
      </c>
      <c r="E10" s="172">
        <f>'Расходы на ЗП ОТ'!AZ58</f>
        <v>1407.4026720000002</v>
      </c>
      <c r="F10" s="172">
        <f>'Расходы на ЗП ОТ'!BA58</f>
        <v>1505.9208590400003</v>
      </c>
      <c r="G10" s="172">
        <f>'Расходы на ЗП ОТ'!BB58</f>
        <v>1611.3353191728004</v>
      </c>
      <c r="H10" s="172">
        <f>'Расходы на ЗП ОТ'!BC58</f>
        <v>1724.1287915148964</v>
      </c>
      <c r="I10" s="172">
        <f>'Расходы на ЗП ОТ'!BD58</f>
        <v>1834.315499561458</v>
      </c>
      <c r="J10" s="172">
        <f>'Расходы на ЗП ОТ'!BE58</f>
        <v>1962.7175845307597</v>
      </c>
      <c r="K10" s="172">
        <f>'Расходы на ЗП ОТ'!BF58</f>
        <v>2100.1078154479133</v>
      </c>
      <c r="L10" s="172">
        <f>'Расходы на ЗП ОТ'!BG58</f>
        <v>2247.1153625292677</v>
      </c>
      <c r="M10" s="674"/>
      <c r="N10" s="674"/>
      <c r="O10" s="674"/>
      <c r="P10" s="174" t="str">
        <f t="shared" si="1"/>
        <v>НДФЛ:</v>
      </c>
      <c r="Q10" s="174">
        <f t="shared" si="3"/>
        <v>14690.538141267827</v>
      </c>
      <c r="R10" s="7"/>
      <c r="S10" s="7"/>
      <c r="T10" s="176"/>
    </row>
    <row r="11" spans="1:20" ht="28.8" x14ac:dyDescent="0.3">
      <c r="A11" s="172" t="s">
        <v>211</v>
      </c>
      <c r="B11" s="172">
        <f>B10*0.85</f>
        <v>0</v>
      </c>
      <c r="C11" s="172">
        <f t="shared" ref="C11:L11" si="6">C10*0.85</f>
        <v>1044.8879999999999</v>
      </c>
      <c r="D11" s="172">
        <f t="shared" si="6"/>
        <v>1118.03016</v>
      </c>
      <c r="E11" s="172">
        <f t="shared" si="6"/>
        <v>1196.2922712000002</v>
      </c>
      <c r="F11" s="172">
        <f t="shared" si="6"/>
        <v>1280.0327301840002</v>
      </c>
      <c r="G11" s="172">
        <f t="shared" si="6"/>
        <v>1369.6350212968803</v>
      </c>
      <c r="H11" s="172">
        <f t="shared" si="6"/>
        <v>1465.5094727876619</v>
      </c>
      <c r="I11" s="172">
        <f t="shared" si="6"/>
        <v>1559.1681746272393</v>
      </c>
      <c r="J11" s="172">
        <f t="shared" si="6"/>
        <v>1668.3099468511457</v>
      </c>
      <c r="K11" s="172">
        <f t="shared" si="6"/>
        <v>1785.0916431307262</v>
      </c>
      <c r="L11" s="172">
        <f t="shared" si="6"/>
        <v>1910.0480581498775</v>
      </c>
      <c r="M11" s="673"/>
      <c r="N11" s="673"/>
      <c r="O11" s="673"/>
      <c r="P11" s="174" t="str">
        <f t="shared" si="1"/>
        <v>- региональный бюджет</v>
      </c>
      <c r="Q11" s="174">
        <f t="shared" si="3"/>
        <v>12486.957420077655</v>
      </c>
      <c r="R11" s="7"/>
      <c r="S11" s="7"/>
      <c r="T11" s="176"/>
    </row>
    <row r="12" spans="1:20" ht="28.8" x14ac:dyDescent="0.3">
      <c r="A12" s="172" t="s">
        <v>215</v>
      </c>
      <c r="B12" s="172">
        <f>B10*0.15</f>
        <v>0</v>
      </c>
      <c r="C12" s="172">
        <f>C10*0.15</f>
        <v>184.392</v>
      </c>
      <c r="D12" s="172">
        <f>D10*0.15</f>
        <v>197.29944</v>
      </c>
      <c r="E12" s="172">
        <f t="shared" ref="E12:L12" si="7">E10*0.15</f>
        <v>211.11040080000001</v>
      </c>
      <c r="F12" s="172">
        <f t="shared" si="7"/>
        <v>225.88812885600004</v>
      </c>
      <c r="G12" s="172">
        <f t="shared" si="7"/>
        <v>241.70029787592006</v>
      </c>
      <c r="H12" s="172">
        <f t="shared" si="7"/>
        <v>258.61931872723443</v>
      </c>
      <c r="I12" s="172">
        <f t="shared" si="7"/>
        <v>275.14732493421866</v>
      </c>
      <c r="J12" s="172">
        <f t="shared" si="7"/>
        <v>294.40763767961397</v>
      </c>
      <c r="K12" s="172">
        <f t="shared" si="7"/>
        <v>315.016172317187</v>
      </c>
      <c r="L12" s="172">
        <f t="shared" si="7"/>
        <v>337.06730437939012</v>
      </c>
      <c r="M12" s="674"/>
      <c r="N12" s="674"/>
      <c r="O12" s="674"/>
      <c r="P12" s="174" t="str">
        <f t="shared" si="1"/>
        <v>- муниципальный бюджет</v>
      </c>
      <c r="Q12" s="174">
        <f t="shared" si="3"/>
        <v>2203.5807211901742</v>
      </c>
      <c r="R12" s="7"/>
      <c r="S12" s="7"/>
      <c r="T12" s="176"/>
    </row>
    <row r="13" spans="1:20" x14ac:dyDescent="0.3">
      <c r="A13" s="172" t="s">
        <v>216</v>
      </c>
      <c r="B13" s="172">
        <v>0</v>
      </c>
      <c r="C13" s="172">
        <v>0</v>
      </c>
      <c r="D13" s="172">
        <v>0</v>
      </c>
      <c r="E13" s="172">
        <v>0</v>
      </c>
      <c r="F13" s="172">
        <v>0</v>
      </c>
      <c r="G13" s="172">
        <v>0</v>
      </c>
      <c r="H13" s="172">
        <v>0</v>
      </c>
      <c r="I13" s="172">
        <v>0</v>
      </c>
      <c r="J13" s="172">
        <v>0</v>
      </c>
      <c r="K13" s="172">
        <v>0</v>
      </c>
      <c r="L13" s="172">
        <v>0</v>
      </c>
      <c r="M13" s="673"/>
      <c r="N13" s="673"/>
      <c r="O13" s="673"/>
      <c r="P13" s="174" t="str">
        <f t="shared" si="1"/>
        <v>- бюджет поселения</v>
      </c>
      <c r="Q13" s="174">
        <f t="shared" si="3"/>
        <v>0</v>
      </c>
      <c r="R13" s="7"/>
      <c r="S13" s="7"/>
      <c r="T13" s="176"/>
    </row>
    <row r="14" spans="1:20" ht="28.8" x14ac:dyDescent="0.3">
      <c r="A14" s="172" t="s">
        <v>217</v>
      </c>
      <c r="B14" s="172">
        <v>0</v>
      </c>
      <c r="C14" s="172">
        <f>'Расходы на ЗП ОТ'!C69</f>
        <v>2836.8</v>
      </c>
      <c r="D14" s="172">
        <f>'Расходы на ЗП ОТ'!D69</f>
        <v>3035.3760000000002</v>
      </c>
      <c r="E14" s="172">
        <f>'Расходы на ЗП ОТ'!E69</f>
        <v>3247.85232</v>
      </c>
      <c r="F14" s="172">
        <f>'Расходы на ЗП ОТ'!F69</f>
        <v>3475.2019824000008</v>
      </c>
      <c r="G14" s="172">
        <f>'Расходы на ЗП ОТ'!G69</f>
        <v>3718.4661211680009</v>
      </c>
      <c r="H14" s="172">
        <f>'Расходы на ЗП ОТ'!H69</f>
        <v>3978.7587496497608</v>
      </c>
      <c r="I14" s="172">
        <f>'Расходы на ЗП ОТ'!I69</f>
        <v>4233.0357682187487</v>
      </c>
      <c r="J14" s="172">
        <f>'Расходы на ЗП ОТ'!J69</f>
        <v>4529.3482719940603</v>
      </c>
      <c r="K14" s="172">
        <f>'Расходы на ЗП ОТ'!K69</f>
        <v>4846.4026510336462</v>
      </c>
      <c r="L14" s="172">
        <f>'Расходы на ЗП ОТ'!L69</f>
        <v>5185.6508366060016</v>
      </c>
      <c r="M14" s="674"/>
      <c r="N14" s="674"/>
      <c r="O14" s="674"/>
      <c r="P14" s="174" t="str">
        <f t="shared" si="1"/>
        <v>Страховые платежи в ФНС</v>
      </c>
      <c r="Q14" s="174">
        <f t="shared" si="3"/>
        <v>33901.241864464224</v>
      </c>
      <c r="R14" s="7"/>
      <c r="S14" s="7"/>
      <c r="T14" s="176"/>
    </row>
    <row r="15" spans="1:20" ht="28.8" x14ac:dyDescent="0.3">
      <c r="A15" s="172" t="s">
        <v>218</v>
      </c>
      <c r="B15" s="172">
        <v>0</v>
      </c>
      <c r="C15" s="172">
        <f>'Расходы на ЗП ОТ'!AX53</f>
        <v>28.368000000000002</v>
      </c>
      <c r="D15" s="172">
        <f>'Расходы на ЗП ОТ'!AY53</f>
        <v>30.353760000000001</v>
      </c>
      <c r="E15" s="172">
        <f>'Расходы на ЗП ОТ'!AZ53</f>
        <v>32.478523200000005</v>
      </c>
      <c r="F15" s="172">
        <f>'Расходы на ЗП ОТ'!BA53</f>
        <v>34.752019824000008</v>
      </c>
      <c r="G15" s="172">
        <f>'Расходы на ЗП ОТ'!BB53</f>
        <v>37.184661211680009</v>
      </c>
      <c r="H15" s="172">
        <f>'Расходы на ЗП ОТ'!BC53</f>
        <v>39.787587496497608</v>
      </c>
      <c r="I15" s="172">
        <f>'Расходы на ЗП ОТ'!BD53</f>
        <v>42.33035768218749</v>
      </c>
      <c r="J15" s="172">
        <f>'Расходы на ЗП ОТ'!BE53</f>
        <v>45.293482719940606</v>
      </c>
      <c r="K15" s="172">
        <f>'Расходы на ЗП ОТ'!BF53</f>
        <v>48.46402651033646</v>
      </c>
      <c r="L15" s="172">
        <f>'Расходы на ЗП ОТ'!BG53</f>
        <v>51.856508366060012</v>
      </c>
      <c r="M15" s="673"/>
      <c r="N15" s="673"/>
      <c r="O15" s="673"/>
      <c r="P15" s="174" t="str">
        <f t="shared" si="1"/>
        <v>Страховые платежи в ФСС</v>
      </c>
      <c r="Q15" s="174">
        <f t="shared" si="3"/>
        <v>339.0124186446422</v>
      </c>
      <c r="R15" s="7"/>
      <c r="S15" s="7"/>
      <c r="T15" s="176"/>
    </row>
    <row r="16" spans="1:20" x14ac:dyDescent="0.3">
      <c r="A16" s="172" t="s">
        <v>219</v>
      </c>
      <c r="B16" s="172">
        <f>'Расходы ТОР'!B37</f>
        <v>0</v>
      </c>
      <c r="C16" s="172">
        <f>'Расходы ТОР'!C37</f>
        <v>-2877.6605866666659</v>
      </c>
      <c r="D16" s="172">
        <f>'Расходы ТОР'!D37</f>
        <v>11257.162875599995</v>
      </c>
      <c r="E16" s="172">
        <f>'Расходы ТОР'!E37</f>
        <v>12537.389768892001</v>
      </c>
      <c r="F16" s="172">
        <f>'Расходы ТОР'!F37</f>
        <v>15633.365585423173</v>
      </c>
      <c r="G16" s="172">
        <f>'Расходы ТОР'!G37</f>
        <v>17243.425651635494</v>
      </c>
      <c r="H16" s="172">
        <f>'Расходы ТОР'!H37</f>
        <v>18941.00318780035</v>
      </c>
      <c r="I16" s="172">
        <f>'Расходы ТОР'!I37</f>
        <v>20728.248312622352</v>
      </c>
      <c r="J16" s="172">
        <f>'Расходы ТОР'!J37</f>
        <v>21527.730833075613</v>
      </c>
      <c r="K16" s="172">
        <f>'Расходы ТОР'!K37</f>
        <v>22339.028631039138</v>
      </c>
      <c r="L16" s="172">
        <f>'Расходы ТОР'!L37</f>
        <v>23165.990218336505</v>
      </c>
      <c r="M16" s="674"/>
      <c r="N16" s="674"/>
      <c r="O16" s="674"/>
      <c r="P16" s="174" t="str">
        <f t="shared" si="1"/>
        <v>НДС:</v>
      </c>
      <c r="Q16" s="174">
        <f t="shared" si="3"/>
        <v>137329.69425942146</v>
      </c>
      <c r="R16" s="7"/>
      <c r="S16" s="7"/>
      <c r="T16" s="176"/>
    </row>
    <row r="17" spans="1:20" ht="28.8" x14ac:dyDescent="0.3">
      <c r="A17" s="172" t="s">
        <v>209</v>
      </c>
      <c r="B17" s="172">
        <f>B16</f>
        <v>0</v>
      </c>
      <c r="C17" s="172">
        <f t="shared" ref="C17:L17" si="8">C16</f>
        <v>-2877.6605866666659</v>
      </c>
      <c r="D17" s="172">
        <f t="shared" si="8"/>
        <v>11257.162875599995</v>
      </c>
      <c r="E17" s="172">
        <f t="shared" si="8"/>
        <v>12537.389768892001</v>
      </c>
      <c r="F17" s="172">
        <f t="shared" si="8"/>
        <v>15633.365585423173</v>
      </c>
      <c r="G17" s="172">
        <f t="shared" si="8"/>
        <v>17243.425651635494</v>
      </c>
      <c r="H17" s="172">
        <f t="shared" si="8"/>
        <v>18941.00318780035</v>
      </c>
      <c r="I17" s="172">
        <f t="shared" si="8"/>
        <v>20728.248312622352</v>
      </c>
      <c r="J17" s="172">
        <f t="shared" si="8"/>
        <v>21527.730833075613</v>
      </c>
      <c r="K17" s="172">
        <f t="shared" si="8"/>
        <v>22339.028631039138</v>
      </c>
      <c r="L17" s="172">
        <f t="shared" si="8"/>
        <v>23165.990218336505</v>
      </c>
      <c r="M17" s="673"/>
      <c r="N17" s="673"/>
      <c r="O17" s="673"/>
      <c r="P17" s="174" t="str">
        <f t="shared" si="1"/>
        <v>- федеральный бюджет</v>
      </c>
      <c r="Q17" s="174">
        <f t="shared" si="3"/>
        <v>137329.69425942146</v>
      </c>
      <c r="R17" s="7"/>
      <c r="S17" s="7"/>
      <c r="T17" s="176"/>
    </row>
    <row r="18" spans="1:20" x14ac:dyDescent="0.3">
      <c r="A18" s="172" t="s">
        <v>220</v>
      </c>
      <c r="B18" s="172">
        <f>B19</f>
        <v>0</v>
      </c>
      <c r="C18" s="172">
        <f>C19</f>
        <v>0</v>
      </c>
      <c r="D18" s="172">
        <f t="shared" ref="D18:G18" si="9">D19</f>
        <v>0</v>
      </c>
      <c r="E18" s="172">
        <f t="shared" si="9"/>
        <v>0</v>
      </c>
      <c r="F18" s="172">
        <f t="shared" si="9"/>
        <v>0</v>
      </c>
      <c r="G18" s="172">
        <f t="shared" si="9"/>
        <v>0</v>
      </c>
      <c r="H18" s="172">
        <f>'Расходы на П, строит-во, ввод'!G47</f>
        <v>0</v>
      </c>
      <c r="I18" s="172">
        <f>'Расходы на П, строит-во, ввод'!H47</f>
        <v>0</v>
      </c>
      <c r="J18" s="172">
        <f>'Расходы на П, строит-во, ввод'!I47</f>
        <v>0</v>
      </c>
      <c r="K18" s="172">
        <f>'Расходы на П, строит-во, ввод'!J47</f>
        <v>0</v>
      </c>
      <c r="L18" s="172">
        <f>'Расходы на П, строит-во, ввод'!K47</f>
        <v>0</v>
      </c>
      <c r="M18" s="674"/>
      <c r="N18" s="674"/>
      <c r="O18" s="674"/>
      <c r="P18" s="174" t="str">
        <f t="shared" si="1"/>
        <v>Земельный налог</v>
      </c>
      <c r="Q18" s="174">
        <f t="shared" si="3"/>
        <v>0</v>
      </c>
      <c r="R18" s="7"/>
      <c r="S18" s="7"/>
      <c r="T18" s="176"/>
    </row>
    <row r="19" spans="1:20" ht="28.8" x14ac:dyDescent="0.3">
      <c r="A19" s="172" t="str">
        <f>A12</f>
        <v>- муниципальный бюджет</v>
      </c>
      <c r="B19" s="172">
        <f>'Расходы на П, строит-во, ввод'!B53</f>
        <v>0</v>
      </c>
      <c r="C19" s="172">
        <f>'Расходы на П, строит-во, ввод'!C53</f>
        <v>0</v>
      </c>
      <c r="D19" s="172">
        <f>'Расходы на П, строит-во, ввод'!D53</f>
        <v>0</v>
      </c>
      <c r="E19" s="172">
        <f>'Расходы на П, строит-во, ввод'!E53</f>
        <v>0</v>
      </c>
      <c r="F19" s="172">
        <f>'Расходы на П, строит-во, ввод'!F53</f>
        <v>0</v>
      </c>
      <c r="G19" s="172">
        <f>'Расходы на П, строит-во, ввод'!G53</f>
        <v>0</v>
      </c>
      <c r="H19" s="172">
        <f>'Расходы на П, строит-во, ввод'!H53</f>
        <v>0</v>
      </c>
      <c r="I19" s="172">
        <f>'Расходы на П, строит-во, ввод'!I53</f>
        <v>0</v>
      </c>
      <c r="J19" s="172">
        <f>'Расходы на П, строит-во, ввод'!J53</f>
        <v>0</v>
      </c>
      <c r="K19" s="172">
        <f>'Расходы на П, строит-во, ввод'!K53</f>
        <v>0</v>
      </c>
      <c r="L19" s="172">
        <f>'Расходы на П, строит-во, ввод'!L53</f>
        <v>0</v>
      </c>
      <c r="M19" s="673"/>
      <c r="N19" s="673"/>
      <c r="O19" s="673"/>
      <c r="P19" s="173"/>
      <c r="Q19" s="7"/>
      <c r="R19" s="7"/>
      <c r="S19" s="7"/>
      <c r="T19" s="176"/>
    </row>
    <row r="20" spans="1:20" x14ac:dyDescent="0.3">
      <c r="A20" s="177" t="s">
        <v>221</v>
      </c>
      <c r="B20" s="172">
        <f>B4+B17</f>
        <v>0</v>
      </c>
      <c r="C20" s="172">
        <f>C4+C17</f>
        <v>-2628.379140619797</v>
      </c>
      <c r="D20" s="172">
        <f>D4+D17</f>
        <v>11557.655571013353</v>
      </c>
      <c r="E20" s="172">
        <f t="shared" ref="E20:L20" si="10">E4+E17</f>
        <v>12942.1646569572</v>
      </c>
      <c r="F20" s="172">
        <f t="shared" si="10"/>
        <v>16270.559304104529</v>
      </c>
      <c r="G20" s="172">
        <f t="shared" si="10"/>
        <v>18016.145310104836</v>
      </c>
      <c r="H20" s="172">
        <f t="shared" si="10"/>
        <v>19825.278358910244</v>
      </c>
      <c r="I20" s="172">
        <f t="shared" si="10"/>
        <v>21722.369796704977</v>
      </c>
      <c r="J20" s="172">
        <f t="shared" si="10"/>
        <v>22560.163639299884</v>
      </c>
      <c r="K20" s="172">
        <f t="shared" si="10"/>
        <v>23408.916204041252</v>
      </c>
      <c r="L20" s="172">
        <f t="shared" si="10"/>
        <v>24302.127118322409</v>
      </c>
      <c r="M20" s="674"/>
      <c r="N20" s="674"/>
      <c r="O20" s="674"/>
      <c r="P20" s="178" t="s">
        <v>231</v>
      </c>
      <c r="Q20" s="446">
        <f>Q3+Q6+Q8+Q10+Q16</f>
        <v>216561.76931163957</v>
      </c>
      <c r="R20" s="7"/>
      <c r="S20" s="7"/>
      <c r="T20" s="176"/>
    </row>
    <row r="21" spans="1:20" x14ac:dyDescent="0.3">
      <c r="A21" s="177" t="s">
        <v>222</v>
      </c>
      <c r="B21" s="172">
        <f>B5+B7+B9+B11</f>
        <v>34.65</v>
      </c>
      <c r="C21" s="172">
        <f>C5+C7+C9+C11</f>
        <v>3424.1335144218201</v>
      </c>
      <c r="D21" s="172">
        <f>D5+D7+D9+D11</f>
        <v>3953.5569187202072</v>
      </c>
      <c r="E21" s="172">
        <f t="shared" ref="E21:L21" si="11">E5+E7+E9+E11</f>
        <v>4965.7387637868023</v>
      </c>
      <c r="F21" s="172">
        <f t="shared" si="11"/>
        <v>7136.6286983162099</v>
      </c>
      <c r="G21" s="172">
        <f t="shared" si="11"/>
        <v>8441.3444475209617</v>
      </c>
      <c r="H21" s="172">
        <f t="shared" si="11"/>
        <v>9536.5985127766926</v>
      </c>
      <c r="I21" s="172">
        <f t="shared" si="11"/>
        <v>10614.254031370871</v>
      </c>
      <c r="J21" s="172">
        <f t="shared" si="11"/>
        <v>11063.577702869579</v>
      </c>
      <c r="K21" s="172">
        <f t="shared" si="11"/>
        <v>11512.832300149763</v>
      </c>
      <c r="L21" s="172">
        <f t="shared" si="11"/>
        <v>12229.412658023022</v>
      </c>
      <c r="M21" s="673"/>
      <c r="N21" s="673"/>
      <c r="O21" s="673"/>
      <c r="P21" s="179" t="s">
        <v>232</v>
      </c>
      <c r="Q21" s="446">
        <f>Q14+Q15</f>
        <v>34240.254283108865</v>
      </c>
      <c r="R21" s="180"/>
      <c r="S21" s="180"/>
      <c r="T21" s="181"/>
    </row>
    <row r="22" spans="1:20" x14ac:dyDescent="0.3">
      <c r="A22" s="177" t="s">
        <v>223</v>
      </c>
      <c r="B22" s="172">
        <f>B12</f>
        <v>0</v>
      </c>
      <c r="C22" s="172">
        <f>C12</f>
        <v>184.392</v>
      </c>
      <c r="D22" s="172">
        <f>D12</f>
        <v>197.29944</v>
      </c>
      <c r="E22" s="172">
        <f t="shared" ref="E22:L22" si="12">E12</f>
        <v>211.11040080000001</v>
      </c>
      <c r="F22" s="172">
        <f t="shared" si="12"/>
        <v>225.88812885600004</v>
      </c>
      <c r="G22" s="172">
        <f t="shared" si="12"/>
        <v>241.70029787592006</v>
      </c>
      <c r="H22" s="172">
        <f t="shared" si="12"/>
        <v>258.61931872723443</v>
      </c>
      <c r="I22" s="172">
        <f t="shared" si="12"/>
        <v>275.14732493421866</v>
      </c>
      <c r="J22" s="172">
        <f t="shared" si="12"/>
        <v>294.40763767961397</v>
      </c>
      <c r="K22" s="172">
        <f t="shared" si="12"/>
        <v>315.016172317187</v>
      </c>
      <c r="L22" s="172">
        <f t="shared" si="12"/>
        <v>337.06730437939012</v>
      </c>
      <c r="M22" s="674"/>
      <c r="N22" s="674"/>
      <c r="O22" s="674"/>
      <c r="P22" s="156"/>
    </row>
    <row r="23" spans="1:20" x14ac:dyDescent="0.3">
      <c r="A23" s="177" t="s">
        <v>224</v>
      </c>
      <c r="B23" s="172">
        <f>B13+B19</f>
        <v>0</v>
      </c>
      <c r="C23" s="172">
        <f t="shared" ref="C23:L23" si="13">C13+C19</f>
        <v>0</v>
      </c>
      <c r="D23" s="172">
        <f t="shared" si="13"/>
        <v>0</v>
      </c>
      <c r="E23" s="172">
        <f t="shared" si="13"/>
        <v>0</v>
      </c>
      <c r="F23" s="172">
        <f t="shared" si="13"/>
        <v>0</v>
      </c>
      <c r="G23" s="172">
        <f t="shared" si="13"/>
        <v>0</v>
      </c>
      <c r="H23" s="172">
        <f t="shared" si="13"/>
        <v>0</v>
      </c>
      <c r="I23" s="172">
        <f t="shared" si="13"/>
        <v>0</v>
      </c>
      <c r="J23" s="172">
        <f t="shared" si="13"/>
        <v>0</v>
      </c>
      <c r="K23" s="172">
        <f t="shared" si="13"/>
        <v>0</v>
      </c>
      <c r="L23" s="172">
        <f t="shared" si="13"/>
        <v>0</v>
      </c>
      <c r="M23" s="673"/>
      <c r="N23" s="673"/>
      <c r="O23" s="673"/>
      <c r="P23" s="157"/>
    </row>
    <row r="24" spans="1:20" x14ac:dyDescent="0.3">
      <c r="L24" s="157"/>
      <c r="M24" s="674"/>
      <c r="N24" s="674"/>
      <c r="O24" s="674"/>
      <c r="P24" s="673"/>
    </row>
    <row r="25" spans="1:20" x14ac:dyDescent="0.3">
      <c r="I25" s="160"/>
      <c r="J25" s="160"/>
      <c r="P25" s="674"/>
    </row>
    <row r="26" spans="1:20" x14ac:dyDescent="0.3">
      <c r="I26" s="160"/>
      <c r="M26" s="673"/>
      <c r="N26" s="673"/>
      <c r="O26" s="673"/>
      <c r="P26" s="673"/>
      <c r="Q26" s="673"/>
      <c r="R26" s="673"/>
      <c r="S26" s="673"/>
    </row>
    <row r="27" spans="1:20" ht="15.6" x14ac:dyDescent="0.3">
      <c r="A27" s="438" t="s">
        <v>233</v>
      </c>
      <c r="B27" s="439" t="str">
        <f>B2</f>
        <v>1 год</v>
      </c>
      <c r="C27" s="439" t="str">
        <f t="shared" ref="C27:L27" si="14">C2</f>
        <v>2 год</v>
      </c>
      <c r="D27" s="439" t="str">
        <f t="shared" si="14"/>
        <v>3 год</v>
      </c>
      <c r="E27" s="439" t="str">
        <f t="shared" si="14"/>
        <v>4 год</v>
      </c>
      <c r="F27" s="439" t="str">
        <f t="shared" si="14"/>
        <v>5 год</v>
      </c>
      <c r="G27" s="439" t="str">
        <f t="shared" si="14"/>
        <v>6 год</v>
      </c>
      <c r="H27" s="439" t="str">
        <f t="shared" si="14"/>
        <v>7 год</v>
      </c>
      <c r="I27" s="439" t="str">
        <f t="shared" si="14"/>
        <v>8 год</v>
      </c>
      <c r="J27" s="439" t="str">
        <f t="shared" si="14"/>
        <v>9 год</v>
      </c>
      <c r="K27" s="439" t="str">
        <f t="shared" si="14"/>
        <v>10 год</v>
      </c>
      <c r="L27" s="439" t="str">
        <f t="shared" si="14"/>
        <v>11 год</v>
      </c>
      <c r="M27" s="674"/>
      <c r="N27" s="674"/>
      <c r="O27" s="674"/>
      <c r="P27" s="674"/>
      <c r="Q27" s="674"/>
      <c r="R27" s="674"/>
      <c r="S27" s="674"/>
    </row>
    <row r="28" spans="1:20" ht="15.6" x14ac:dyDescent="0.3">
      <c r="A28" s="462" t="s">
        <v>219</v>
      </c>
      <c r="B28" s="463">
        <f t="shared" ref="B28:B29" si="15">B16</f>
        <v>0</v>
      </c>
      <c r="C28" s="463">
        <f t="shared" ref="C28:L29" si="16">C16</f>
        <v>-2877.6605866666659</v>
      </c>
      <c r="D28" s="463">
        <f t="shared" si="16"/>
        <v>11257.162875599995</v>
      </c>
      <c r="E28" s="463">
        <f t="shared" si="16"/>
        <v>12537.389768892001</v>
      </c>
      <c r="F28" s="463">
        <f t="shared" si="16"/>
        <v>15633.365585423173</v>
      </c>
      <c r="G28" s="463">
        <f t="shared" si="16"/>
        <v>17243.425651635494</v>
      </c>
      <c r="H28" s="463">
        <f t="shared" si="16"/>
        <v>18941.00318780035</v>
      </c>
      <c r="I28" s="463">
        <f t="shared" si="16"/>
        <v>20728.248312622352</v>
      </c>
      <c r="J28" s="463">
        <f t="shared" si="16"/>
        <v>21527.730833075613</v>
      </c>
      <c r="K28" s="463">
        <f t="shared" si="16"/>
        <v>22339.028631039138</v>
      </c>
      <c r="L28" s="463">
        <f t="shared" si="16"/>
        <v>23165.990218336505</v>
      </c>
      <c r="M28" s="673"/>
      <c r="N28" s="673"/>
      <c r="O28" s="673"/>
      <c r="P28" s="673"/>
      <c r="Q28" s="673"/>
      <c r="R28" s="673"/>
      <c r="S28" s="673"/>
    </row>
    <row r="29" spans="1:20" ht="31.2" x14ac:dyDescent="0.3">
      <c r="A29" s="442" t="s">
        <v>209</v>
      </c>
      <c r="B29" s="441">
        <f t="shared" si="15"/>
        <v>0</v>
      </c>
      <c r="C29" s="441">
        <f t="shared" si="16"/>
        <v>-2877.6605866666659</v>
      </c>
      <c r="D29" s="441">
        <f t="shared" si="16"/>
        <v>11257.162875599995</v>
      </c>
      <c r="E29" s="441">
        <f t="shared" si="16"/>
        <v>12537.389768892001</v>
      </c>
      <c r="F29" s="441">
        <f t="shared" si="16"/>
        <v>15633.365585423173</v>
      </c>
      <c r="G29" s="441">
        <f t="shared" si="16"/>
        <v>17243.425651635494</v>
      </c>
      <c r="H29" s="441">
        <f t="shared" si="16"/>
        <v>18941.00318780035</v>
      </c>
      <c r="I29" s="441">
        <f t="shared" si="16"/>
        <v>20728.248312622352</v>
      </c>
      <c r="J29" s="441">
        <f t="shared" si="16"/>
        <v>21527.730833075613</v>
      </c>
      <c r="K29" s="441">
        <f t="shared" si="16"/>
        <v>22339.028631039138</v>
      </c>
      <c r="L29" s="441">
        <f t="shared" si="16"/>
        <v>23165.990218336505</v>
      </c>
      <c r="M29" s="674"/>
      <c r="N29" s="674"/>
      <c r="O29" s="674"/>
      <c r="P29" s="674"/>
      <c r="Q29" s="674"/>
      <c r="R29" s="674"/>
      <c r="S29" s="674"/>
    </row>
    <row r="30" spans="1:20" ht="31.2" x14ac:dyDescent="0.3">
      <c r="A30" s="462" t="s">
        <v>208</v>
      </c>
      <c r="B30" s="463">
        <f t="shared" ref="B30:L32" si="17">B3</f>
        <v>0</v>
      </c>
      <c r="C30" s="463">
        <f t="shared" ref="C30:L30" si="18">C3</f>
        <v>2492.814460468689</v>
      </c>
      <c r="D30" s="463">
        <f t="shared" si="18"/>
        <v>3004.926954133563</v>
      </c>
      <c r="E30" s="463">
        <f t="shared" si="18"/>
        <v>4047.7488806520023</v>
      </c>
      <c r="F30" s="463">
        <f t="shared" si="18"/>
        <v>6371.9371868135659</v>
      </c>
      <c r="G30" s="463">
        <f t="shared" si="18"/>
        <v>7727.1965846934227</v>
      </c>
      <c r="H30" s="463">
        <f t="shared" si="18"/>
        <v>8842.7517110989229</v>
      </c>
      <c r="I30" s="463">
        <f t="shared" si="18"/>
        <v>9941.2148408262565</v>
      </c>
      <c r="J30" s="463">
        <f t="shared" si="18"/>
        <v>10324.328062242705</v>
      </c>
      <c r="K30" s="463">
        <f t="shared" si="18"/>
        <v>10698.875730021151</v>
      </c>
      <c r="L30" s="463">
        <f t="shared" si="18"/>
        <v>11361.368999859049</v>
      </c>
      <c r="M30" s="673"/>
      <c r="N30" s="673"/>
      <c r="O30" s="673"/>
      <c r="P30" s="673"/>
      <c r="Q30" s="673"/>
      <c r="R30" s="673"/>
      <c r="S30" s="673"/>
    </row>
    <row r="31" spans="1:20" ht="31.2" x14ac:dyDescent="0.3">
      <c r="A31" s="442" t="s">
        <v>209</v>
      </c>
      <c r="B31" s="441">
        <f t="shared" si="17"/>
        <v>0</v>
      </c>
      <c r="C31" s="441">
        <f t="shared" si="17"/>
        <v>249.28144604686889</v>
      </c>
      <c r="D31" s="441">
        <f t="shared" si="17"/>
        <v>300.49269541335627</v>
      </c>
      <c r="E31" s="441">
        <f t="shared" si="17"/>
        <v>404.77488806520023</v>
      </c>
      <c r="F31" s="441">
        <f t="shared" si="17"/>
        <v>637.19371868135659</v>
      </c>
      <c r="G31" s="441">
        <f t="shared" si="17"/>
        <v>772.71965846934222</v>
      </c>
      <c r="H31" s="441">
        <f t="shared" si="17"/>
        <v>884.27517110989231</v>
      </c>
      <c r="I31" s="441">
        <f t="shared" si="17"/>
        <v>994.12148408262567</v>
      </c>
      <c r="J31" s="441">
        <f t="shared" si="17"/>
        <v>1032.4328062242705</v>
      </c>
      <c r="K31" s="441">
        <f t="shared" si="17"/>
        <v>1069.887573002115</v>
      </c>
      <c r="L31" s="441">
        <f t="shared" si="17"/>
        <v>1136.1368999859048</v>
      </c>
      <c r="M31" s="674"/>
      <c r="N31" s="674"/>
      <c r="O31" s="674"/>
      <c r="P31" s="674"/>
      <c r="Q31" s="674"/>
      <c r="R31" s="674"/>
      <c r="S31" s="674"/>
    </row>
    <row r="32" spans="1:20" ht="31.2" x14ac:dyDescent="0.3">
      <c r="A32" s="442" t="s">
        <v>211</v>
      </c>
      <c r="B32" s="441">
        <f t="shared" si="17"/>
        <v>0</v>
      </c>
      <c r="C32" s="441">
        <f t="shared" si="17"/>
        <v>2243.5330144218201</v>
      </c>
      <c r="D32" s="441">
        <f t="shared" si="17"/>
        <v>2704.4342587202068</v>
      </c>
      <c r="E32" s="441">
        <f t="shared" si="17"/>
        <v>3642.9739925868021</v>
      </c>
      <c r="F32" s="441">
        <f t="shared" si="17"/>
        <v>5734.7434681322093</v>
      </c>
      <c r="G32" s="441">
        <f t="shared" si="17"/>
        <v>6954.4769262240807</v>
      </c>
      <c r="H32" s="441">
        <f t="shared" si="17"/>
        <v>7958.4765399890302</v>
      </c>
      <c r="I32" s="441">
        <f t="shared" si="17"/>
        <v>8947.0933567436314</v>
      </c>
      <c r="J32" s="441">
        <f t="shared" si="17"/>
        <v>9291.8952560184334</v>
      </c>
      <c r="K32" s="441">
        <f t="shared" si="17"/>
        <v>9628.9881570190355</v>
      </c>
      <c r="L32" s="441">
        <f t="shared" si="17"/>
        <v>10225.232099873145</v>
      </c>
      <c r="M32" s="673"/>
      <c r="N32" s="673"/>
      <c r="O32" s="673"/>
      <c r="P32" s="673"/>
      <c r="Q32" s="673"/>
      <c r="R32" s="673"/>
      <c r="S32" s="673"/>
    </row>
    <row r="33" spans="1:19" ht="31.2" x14ac:dyDescent="0.3">
      <c r="A33" s="462" t="s">
        <v>212</v>
      </c>
      <c r="B33" s="463">
        <f>B34</f>
        <v>34.65</v>
      </c>
      <c r="C33" s="463">
        <f t="shared" ref="C33:L33" si="19">C34</f>
        <v>135.71250000000001</v>
      </c>
      <c r="D33" s="463">
        <f t="shared" si="19"/>
        <v>131.0925</v>
      </c>
      <c r="E33" s="463">
        <f>E34</f>
        <v>126.4725</v>
      </c>
      <c r="F33" s="463">
        <f t="shared" si="19"/>
        <v>121.85249999999999</v>
      </c>
      <c r="G33" s="463">
        <f t="shared" si="19"/>
        <v>117.23249999999999</v>
      </c>
      <c r="H33" s="463">
        <f t="shared" si="19"/>
        <v>112.6125</v>
      </c>
      <c r="I33" s="463">
        <f t="shared" si="19"/>
        <v>107.99249999999999</v>
      </c>
      <c r="J33" s="463">
        <f t="shared" si="19"/>
        <v>103.37249999999999</v>
      </c>
      <c r="K33" s="463">
        <f t="shared" si="19"/>
        <v>98.752499999999998</v>
      </c>
      <c r="L33" s="463">
        <f t="shared" si="19"/>
        <v>94.132499999999993</v>
      </c>
      <c r="M33" s="674"/>
      <c r="N33" s="674"/>
      <c r="O33" s="674"/>
      <c r="P33" s="674"/>
      <c r="Q33" s="674"/>
      <c r="R33" s="674"/>
      <c r="S33" s="674"/>
    </row>
    <row r="34" spans="1:19" ht="31.2" x14ac:dyDescent="0.3">
      <c r="A34" s="442" t="s">
        <v>211</v>
      </c>
      <c r="B34" s="441">
        <f>B6</f>
        <v>34.65</v>
      </c>
      <c r="C34" s="441">
        <f t="shared" ref="C34:L34" si="20">C6</f>
        <v>135.71250000000001</v>
      </c>
      <c r="D34" s="441">
        <f t="shared" si="20"/>
        <v>131.0925</v>
      </c>
      <c r="E34" s="441">
        <f>E6</f>
        <v>126.4725</v>
      </c>
      <c r="F34" s="441">
        <f t="shared" si="20"/>
        <v>121.85249999999999</v>
      </c>
      <c r="G34" s="441">
        <f t="shared" si="20"/>
        <v>117.23249999999999</v>
      </c>
      <c r="H34" s="441">
        <f t="shared" si="20"/>
        <v>112.6125</v>
      </c>
      <c r="I34" s="441">
        <f t="shared" si="20"/>
        <v>107.99249999999999</v>
      </c>
      <c r="J34" s="441">
        <f t="shared" si="20"/>
        <v>103.37249999999999</v>
      </c>
      <c r="K34" s="441">
        <f t="shared" si="20"/>
        <v>98.752499999999998</v>
      </c>
      <c r="L34" s="441">
        <f t="shared" si="20"/>
        <v>94.132499999999993</v>
      </c>
      <c r="M34" s="673"/>
      <c r="N34" s="673"/>
      <c r="O34" s="673"/>
      <c r="P34" s="673"/>
      <c r="Q34" s="673"/>
      <c r="R34" s="673"/>
      <c r="S34" s="673"/>
    </row>
    <row r="35" spans="1:19" ht="31.2" x14ac:dyDescent="0.3">
      <c r="A35" s="440" t="s">
        <v>213</v>
      </c>
      <c r="B35" s="441">
        <v>0</v>
      </c>
      <c r="C35" s="441">
        <v>0</v>
      </c>
      <c r="D35" s="441">
        <v>0</v>
      </c>
      <c r="E35" s="441">
        <v>0</v>
      </c>
      <c r="F35" s="441">
        <v>0</v>
      </c>
      <c r="G35" s="441">
        <v>0</v>
      </c>
      <c r="H35" s="441">
        <v>0</v>
      </c>
      <c r="I35" s="441">
        <v>0</v>
      </c>
      <c r="J35" s="441">
        <v>0</v>
      </c>
      <c r="K35" s="441">
        <v>0</v>
      </c>
      <c r="L35" s="441">
        <v>0</v>
      </c>
      <c r="M35" s="674"/>
      <c r="N35" s="674"/>
      <c r="O35" s="674"/>
      <c r="P35" s="674"/>
      <c r="Q35" s="674"/>
      <c r="R35" s="674"/>
      <c r="S35" s="674"/>
    </row>
    <row r="36" spans="1:19" ht="31.2" x14ac:dyDescent="0.3">
      <c r="A36" s="442" t="s">
        <v>211</v>
      </c>
      <c r="B36" s="441">
        <v>0</v>
      </c>
      <c r="C36" s="441">
        <v>0</v>
      </c>
      <c r="D36" s="441">
        <v>0</v>
      </c>
      <c r="E36" s="441">
        <v>0</v>
      </c>
      <c r="F36" s="441">
        <v>0</v>
      </c>
      <c r="G36" s="441">
        <v>0</v>
      </c>
      <c r="H36" s="441">
        <v>0</v>
      </c>
      <c r="I36" s="441">
        <v>0</v>
      </c>
      <c r="J36" s="441">
        <v>0</v>
      </c>
      <c r="K36" s="441">
        <v>0</v>
      </c>
      <c r="L36" s="441">
        <v>0</v>
      </c>
      <c r="M36" s="673"/>
      <c r="N36" s="673"/>
      <c r="O36" s="673"/>
      <c r="P36" s="673"/>
      <c r="Q36" s="171"/>
      <c r="R36" s="171"/>
      <c r="S36" s="171"/>
    </row>
    <row r="37" spans="1:19" ht="31.2" x14ac:dyDescent="0.3">
      <c r="A37" s="440" t="s">
        <v>234</v>
      </c>
      <c r="B37" s="441">
        <f>B38</f>
        <v>0</v>
      </c>
      <c r="C37" s="441">
        <f t="shared" ref="C37:L37" si="21">C38</f>
        <v>0</v>
      </c>
      <c r="D37" s="441">
        <f t="shared" si="21"/>
        <v>0</v>
      </c>
      <c r="E37" s="441">
        <f t="shared" si="21"/>
        <v>0</v>
      </c>
      <c r="F37" s="441">
        <f t="shared" si="21"/>
        <v>0</v>
      </c>
      <c r="G37" s="441">
        <f t="shared" si="21"/>
        <v>0</v>
      </c>
      <c r="H37" s="441">
        <f t="shared" si="21"/>
        <v>0</v>
      </c>
      <c r="I37" s="441">
        <f t="shared" si="21"/>
        <v>0</v>
      </c>
      <c r="J37" s="441">
        <f t="shared" si="21"/>
        <v>0</v>
      </c>
      <c r="K37" s="441">
        <f t="shared" si="21"/>
        <v>0</v>
      </c>
      <c r="L37" s="441">
        <f t="shared" si="21"/>
        <v>0</v>
      </c>
      <c r="M37" s="674"/>
      <c r="N37" s="674"/>
      <c r="O37" s="674"/>
      <c r="P37" s="674"/>
    </row>
    <row r="38" spans="1:19" ht="15.6" x14ac:dyDescent="0.3">
      <c r="A38" s="442" t="s">
        <v>235</v>
      </c>
      <c r="B38" s="441">
        <f>B19</f>
        <v>0</v>
      </c>
      <c r="C38" s="441">
        <f t="shared" ref="C38:L38" si="22">C19</f>
        <v>0</v>
      </c>
      <c r="D38" s="441">
        <f t="shared" si="22"/>
        <v>0</v>
      </c>
      <c r="E38" s="441">
        <f t="shared" si="22"/>
        <v>0</v>
      </c>
      <c r="F38" s="441">
        <f t="shared" si="22"/>
        <v>0</v>
      </c>
      <c r="G38" s="441">
        <f t="shared" si="22"/>
        <v>0</v>
      </c>
      <c r="H38" s="441">
        <f t="shared" si="22"/>
        <v>0</v>
      </c>
      <c r="I38" s="441">
        <f t="shared" si="22"/>
        <v>0</v>
      </c>
      <c r="J38" s="441">
        <f t="shared" si="22"/>
        <v>0</v>
      </c>
      <c r="K38" s="441">
        <f t="shared" si="22"/>
        <v>0</v>
      </c>
      <c r="L38" s="441">
        <f t="shared" si="22"/>
        <v>0</v>
      </c>
      <c r="M38" s="673"/>
      <c r="N38" s="673"/>
      <c r="O38" s="673"/>
      <c r="P38" s="673"/>
    </row>
    <row r="39" spans="1:19" ht="15.6" x14ac:dyDescent="0.3">
      <c r="A39" s="462" t="s">
        <v>214</v>
      </c>
      <c r="B39" s="463">
        <f t="shared" ref="B39:L41" si="23">B10</f>
        <v>0</v>
      </c>
      <c r="C39" s="463">
        <f t="shared" ref="C39:L39" si="24">C10</f>
        <v>1229.28</v>
      </c>
      <c r="D39" s="463">
        <f t="shared" si="24"/>
        <v>1315.3296</v>
      </c>
      <c r="E39" s="463">
        <f t="shared" si="24"/>
        <v>1407.4026720000002</v>
      </c>
      <c r="F39" s="463">
        <f t="shared" si="24"/>
        <v>1505.9208590400003</v>
      </c>
      <c r="G39" s="463">
        <f t="shared" si="24"/>
        <v>1611.3353191728004</v>
      </c>
      <c r="H39" s="463">
        <f t="shared" si="24"/>
        <v>1724.1287915148964</v>
      </c>
      <c r="I39" s="463">
        <f t="shared" si="24"/>
        <v>1834.315499561458</v>
      </c>
      <c r="J39" s="463">
        <f t="shared" si="24"/>
        <v>1962.7175845307597</v>
      </c>
      <c r="K39" s="463">
        <f t="shared" si="24"/>
        <v>2100.1078154479133</v>
      </c>
      <c r="L39" s="463">
        <f t="shared" si="24"/>
        <v>2247.1153625292677</v>
      </c>
      <c r="M39" s="674"/>
      <c r="N39" s="674"/>
      <c r="O39" s="674"/>
      <c r="P39" s="674"/>
    </row>
    <row r="40" spans="1:19" ht="31.2" x14ac:dyDescent="0.3">
      <c r="A40" s="442" t="s">
        <v>211</v>
      </c>
      <c r="B40" s="441">
        <f t="shared" si="23"/>
        <v>0</v>
      </c>
      <c r="C40" s="441">
        <f t="shared" si="23"/>
        <v>1044.8879999999999</v>
      </c>
      <c r="D40" s="441">
        <f t="shared" si="23"/>
        <v>1118.03016</v>
      </c>
      <c r="E40" s="441">
        <f t="shared" si="23"/>
        <v>1196.2922712000002</v>
      </c>
      <c r="F40" s="441">
        <f t="shared" si="23"/>
        <v>1280.0327301840002</v>
      </c>
      <c r="G40" s="441">
        <f t="shared" si="23"/>
        <v>1369.6350212968803</v>
      </c>
      <c r="H40" s="441">
        <f t="shared" si="23"/>
        <v>1465.5094727876619</v>
      </c>
      <c r="I40" s="441">
        <f t="shared" si="23"/>
        <v>1559.1681746272393</v>
      </c>
      <c r="J40" s="441">
        <f t="shared" si="23"/>
        <v>1668.3099468511457</v>
      </c>
      <c r="K40" s="441">
        <f t="shared" si="23"/>
        <v>1785.0916431307262</v>
      </c>
      <c r="L40" s="441">
        <f t="shared" si="23"/>
        <v>1910.0480581498775</v>
      </c>
      <c r="M40" s="673"/>
      <c r="N40" s="673"/>
      <c r="O40" s="673"/>
      <c r="P40" s="673"/>
    </row>
    <row r="41" spans="1:19" ht="15.6" x14ac:dyDescent="0.3">
      <c r="A41" s="442" t="s">
        <v>236</v>
      </c>
      <c r="B41" s="441">
        <f t="shared" si="23"/>
        <v>0</v>
      </c>
      <c r="C41" s="441">
        <f t="shared" si="23"/>
        <v>184.392</v>
      </c>
      <c r="D41" s="441">
        <f t="shared" si="23"/>
        <v>197.29944</v>
      </c>
      <c r="E41" s="441">
        <f t="shared" si="23"/>
        <v>211.11040080000001</v>
      </c>
      <c r="F41" s="441">
        <f t="shared" si="23"/>
        <v>225.88812885600004</v>
      </c>
      <c r="G41" s="441">
        <f t="shared" si="23"/>
        <v>241.70029787592006</v>
      </c>
      <c r="H41" s="441">
        <f t="shared" si="23"/>
        <v>258.61931872723443</v>
      </c>
      <c r="I41" s="441">
        <f t="shared" si="23"/>
        <v>275.14732493421866</v>
      </c>
      <c r="J41" s="441">
        <f t="shared" si="23"/>
        <v>294.40763767961397</v>
      </c>
      <c r="K41" s="441">
        <f t="shared" si="23"/>
        <v>315.016172317187</v>
      </c>
      <c r="L41" s="441">
        <f t="shared" si="23"/>
        <v>337.06730437939012</v>
      </c>
      <c r="M41" s="674"/>
      <c r="N41" s="674"/>
      <c r="O41" s="674"/>
      <c r="P41" s="674"/>
    </row>
    <row r="42" spans="1:19" ht="31.2" x14ac:dyDescent="0.3">
      <c r="A42" s="462" t="s">
        <v>217</v>
      </c>
      <c r="B42" s="463">
        <f>B14</f>
        <v>0</v>
      </c>
      <c r="C42" s="463">
        <f t="shared" ref="C42:L42" si="25">C14</f>
        <v>2836.8</v>
      </c>
      <c r="D42" s="463">
        <f t="shared" si="25"/>
        <v>3035.3760000000002</v>
      </c>
      <c r="E42" s="463">
        <f t="shared" si="25"/>
        <v>3247.85232</v>
      </c>
      <c r="F42" s="463">
        <f t="shared" si="25"/>
        <v>3475.2019824000008</v>
      </c>
      <c r="G42" s="463">
        <f t="shared" si="25"/>
        <v>3718.4661211680009</v>
      </c>
      <c r="H42" s="463">
        <f t="shared" si="25"/>
        <v>3978.7587496497608</v>
      </c>
      <c r="I42" s="463">
        <f t="shared" si="25"/>
        <v>4233.0357682187487</v>
      </c>
      <c r="J42" s="463">
        <f t="shared" si="25"/>
        <v>4529.3482719940603</v>
      </c>
      <c r="K42" s="463">
        <f t="shared" si="25"/>
        <v>4846.4026510336462</v>
      </c>
      <c r="L42" s="463">
        <f t="shared" si="25"/>
        <v>5185.6508366060016</v>
      </c>
      <c r="M42" s="673"/>
      <c r="N42" s="673"/>
      <c r="O42" s="673"/>
      <c r="P42" s="673"/>
    </row>
    <row r="43" spans="1:19" ht="31.2" x14ac:dyDescent="0.3">
      <c r="A43" s="442" t="s">
        <v>237</v>
      </c>
      <c r="B43" s="441">
        <v>0</v>
      </c>
      <c r="C43" s="443">
        <f>'Расходы на ЗП ОТ'!C71</f>
        <v>2080.3200000000002</v>
      </c>
      <c r="D43" s="443">
        <f>'Расходы на ЗП ОТ'!D71</f>
        <v>2225.9423999999999</v>
      </c>
      <c r="E43" s="443">
        <f>'Расходы на ЗП ОТ'!E71</f>
        <v>2381.7583680000002</v>
      </c>
      <c r="F43" s="443">
        <f>'Расходы на ЗП ОТ'!F71</f>
        <v>2548.4814537600005</v>
      </c>
      <c r="G43" s="443">
        <f>'Расходы на ЗП ОТ'!G71</f>
        <v>2726.8751555232006</v>
      </c>
      <c r="H43" s="443">
        <f>'Расходы на ЗП ОТ'!H71</f>
        <v>2917.7564164098249</v>
      </c>
      <c r="I43" s="443">
        <f>'Расходы на ЗП ОТ'!I71</f>
        <v>3104.2262300270827</v>
      </c>
      <c r="J43" s="443">
        <f>'Расходы на ЗП ОТ'!J71</f>
        <v>3321.5220661289782</v>
      </c>
      <c r="K43" s="443">
        <f>'Расходы на ЗП ОТ'!K71</f>
        <v>3554.0286107580073</v>
      </c>
      <c r="L43" s="443">
        <f t="shared" ref="L43:L45" si="26">K43</f>
        <v>3554.0286107580073</v>
      </c>
      <c r="M43" s="674"/>
      <c r="N43" s="674"/>
      <c r="O43" s="674"/>
      <c r="P43" s="674"/>
    </row>
    <row r="44" spans="1:19" ht="69" customHeight="1" x14ac:dyDescent="0.3">
      <c r="A44" s="442" t="s">
        <v>238</v>
      </c>
      <c r="B44" s="441">
        <v>0</v>
      </c>
      <c r="C44" s="443">
        <f>'Расходы на ЗП ОТ'!C72</f>
        <v>274.22399999999999</v>
      </c>
      <c r="D44" s="443">
        <f>'Расходы на ЗП ОТ'!D72</f>
        <v>293.41968000000003</v>
      </c>
      <c r="E44" s="443">
        <f>'Расходы на ЗП ОТ'!E72</f>
        <v>313.95905760000005</v>
      </c>
      <c r="F44" s="443">
        <f>'Расходы на ЗП ОТ'!F72</f>
        <v>335.93619163200009</v>
      </c>
      <c r="G44" s="443">
        <f>'Расходы на ЗП ОТ'!G72</f>
        <v>359.45172504624009</v>
      </c>
      <c r="H44" s="443">
        <f>'Расходы на ЗП ОТ'!H72</f>
        <v>384.61334579947692</v>
      </c>
      <c r="I44" s="443">
        <f>'Расходы на ЗП ОТ'!I72</f>
        <v>409.19345759447907</v>
      </c>
      <c r="J44" s="443">
        <f>'Расходы на ЗП ОТ'!J72</f>
        <v>437.83699962609256</v>
      </c>
      <c r="K44" s="443">
        <f>'Расходы на ЗП ОТ'!K72</f>
        <v>468.48558959991914</v>
      </c>
      <c r="L44" s="443">
        <f t="shared" si="26"/>
        <v>468.48558959991914</v>
      </c>
      <c r="M44" s="673"/>
      <c r="N44" s="673"/>
      <c r="O44" s="673"/>
      <c r="P44" s="673"/>
    </row>
    <row r="45" spans="1:19" ht="46.8" x14ac:dyDescent="0.3">
      <c r="A45" s="442" t="s">
        <v>239</v>
      </c>
      <c r="B45" s="441">
        <v>0</v>
      </c>
      <c r="C45" s="443">
        <f>'Расходы на ЗП ОТ'!C73</f>
        <v>482.25599999999997</v>
      </c>
      <c r="D45" s="443">
        <f>'Расходы на ЗП ОТ'!D73</f>
        <v>516.01391999999998</v>
      </c>
      <c r="E45" s="443">
        <f>'Расходы на ЗП ОТ'!E73</f>
        <v>552.13489440000001</v>
      </c>
      <c r="F45" s="443">
        <f>'Расходы на ЗП ОТ'!F73</f>
        <v>590.78433700800008</v>
      </c>
      <c r="G45" s="443">
        <f>'Расходы на ЗП ОТ'!G73</f>
        <v>632.13924059856004</v>
      </c>
      <c r="H45" s="443">
        <f>'Расходы на ЗП ОТ'!H73</f>
        <v>676.38898744045935</v>
      </c>
      <c r="I45" s="443">
        <f>'Расходы на ЗП ОТ'!I73</f>
        <v>719.61608059718731</v>
      </c>
      <c r="J45" s="443">
        <f>'Расходы на ЗП ОТ'!J73</f>
        <v>769.98920623899028</v>
      </c>
      <c r="K45" s="443">
        <f>'Расходы на ЗП ОТ'!K73</f>
        <v>823.88845067571981</v>
      </c>
      <c r="L45" s="443">
        <f t="shared" si="26"/>
        <v>823.88845067571981</v>
      </c>
      <c r="M45" s="674"/>
      <c r="N45" s="674"/>
      <c r="O45" s="674"/>
      <c r="P45" s="674"/>
    </row>
    <row r="46" spans="1:19" ht="31.2" x14ac:dyDescent="0.3">
      <c r="A46" s="462" t="s">
        <v>218</v>
      </c>
      <c r="B46" s="463">
        <f>B15</f>
        <v>0</v>
      </c>
      <c r="C46" s="463">
        <f t="shared" ref="C46:L46" si="27">C15</f>
        <v>28.368000000000002</v>
      </c>
      <c r="D46" s="463">
        <f t="shared" si="27"/>
        <v>30.353760000000001</v>
      </c>
      <c r="E46" s="463">
        <f t="shared" si="27"/>
        <v>32.478523200000005</v>
      </c>
      <c r="F46" s="463">
        <f t="shared" si="27"/>
        <v>34.752019824000008</v>
      </c>
      <c r="G46" s="463">
        <f t="shared" si="27"/>
        <v>37.184661211680009</v>
      </c>
      <c r="H46" s="463">
        <f t="shared" si="27"/>
        <v>39.787587496497608</v>
      </c>
      <c r="I46" s="463">
        <f t="shared" si="27"/>
        <v>42.33035768218749</v>
      </c>
      <c r="J46" s="463">
        <f t="shared" si="27"/>
        <v>45.293482719940606</v>
      </c>
      <c r="K46" s="463">
        <f t="shared" si="27"/>
        <v>48.46402651033646</v>
      </c>
      <c r="L46" s="463">
        <f t="shared" si="27"/>
        <v>51.856508366060012</v>
      </c>
      <c r="M46" s="673"/>
      <c r="N46" s="673"/>
      <c r="O46" s="673"/>
      <c r="P46" s="673"/>
    </row>
    <row r="47" spans="1:19" ht="15.6" x14ac:dyDescent="0.3">
      <c r="A47" s="440" t="s">
        <v>240</v>
      </c>
      <c r="B47" s="444"/>
      <c r="C47" s="445"/>
      <c r="D47" s="445"/>
      <c r="E47" s="445"/>
      <c r="F47" s="445"/>
      <c r="G47" s="445"/>
      <c r="H47" s="445"/>
      <c r="I47" s="445"/>
      <c r="J47" s="445"/>
      <c r="K47" s="445"/>
      <c r="L47" s="445"/>
      <c r="M47" s="674"/>
      <c r="N47" s="674"/>
      <c r="O47" s="674"/>
      <c r="P47" s="674"/>
    </row>
    <row r="48" spans="1:19" x14ac:dyDescent="0.3">
      <c r="M48" s="673"/>
      <c r="N48" s="673"/>
      <c r="O48" s="673"/>
      <c r="P48" s="673"/>
    </row>
    <row r="49" spans="13:16" x14ac:dyDescent="0.3">
      <c r="M49" s="674"/>
      <c r="N49" s="674"/>
      <c r="O49" s="674"/>
      <c r="P49" s="674"/>
    </row>
    <row r="50" spans="13:16" x14ac:dyDescent="0.3">
      <c r="M50" s="673"/>
      <c r="N50" s="673"/>
      <c r="O50" s="673"/>
      <c r="P50" s="673"/>
    </row>
    <row r="51" spans="13:16" x14ac:dyDescent="0.3">
      <c r="M51" s="674"/>
      <c r="N51" s="674"/>
      <c r="O51" s="674"/>
      <c r="P51" s="674"/>
    </row>
    <row r="52" spans="13:16" x14ac:dyDescent="0.3">
      <c r="M52" s="673"/>
      <c r="N52" s="673"/>
      <c r="O52" s="673"/>
      <c r="P52" s="673"/>
    </row>
    <row r="53" spans="13:16" x14ac:dyDescent="0.3">
      <c r="M53" s="674"/>
      <c r="N53" s="674"/>
      <c r="O53" s="674"/>
      <c r="P53" s="674"/>
    </row>
    <row r="54" spans="13:16" x14ac:dyDescent="0.3">
      <c r="M54" s="673"/>
      <c r="N54" s="673"/>
      <c r="O54" s="673"/>
      <c r="P54" s="673"/>
    </row>
    <row r="55" spans="13:16" x14ac:dyDescent="0.3">
      <c r="M55" s="674"/>
      <c r="N55" s="674"/>
      <c r="O55" s="674"/>
      <c r="P55" s="674"/>
    </row>
    <row r="56" spans="13:16" x14ac:dyDescent="0.3">
      <c r="M56" s="673"/>
      <c r="N56" s="673"/>
      <c r="O56" s="673"/>
      <c r="P56" s="673"/>
    </row>
    <row r="57" spans="13:16" x14ac:dyDescent="0.3">
      <c r="M57" s="674"/>
      <c r="N57" s="674"/>
      <c r="O57" s="674"/>
      <c r="P57" s="674"/>
    </row>
    <row r="58" spans="13:16" x14ac:dyDescent="0.3">
      <c r="M58" s="673"/>
      <c r="N58" s="673"/>
      <c r="O58" s="673"/>
      <c r="P58" s="673"/>
    </row>
    <row r="59" spans="13:16" x14ac:dyDescent="0.3">
      <c r="M59" s="674"/>
      <c r="N59" s="674"/>
      <c r="O59" s="674"/>
      <c r="P59" s="674"/>
    </row>
    <row r="60" spans="13:16" x14ac:dyDescent="0.3">
      <c r="M60" s="673"/>
      <c r="N60" s="673"/>
      <c r="O60" s="673"/>
      <c r="P60" s="673"/>
    </row>
    <row r="61" spans="13:16" x14ac:dyDescent="0.3">
      <c r="M61" s="674"/>
      <c r="N61" s="674"/>
      <c r="O61" s="674"/>
      <c r="P61" s="674"/>
    </row>
    <row r="62" spans="13:16" x14ac:dyDescent="0.3">
      <c r="M62" s="673"/>
      <c r="N62" s="673"/>
      <c r="O62" s="673"/>
      <c r="P62" s="673"/>
    </row>
    <row r="63" spans="13:16" x14ac:dyDescent="0.3">
      <c r="M63" s="674"/>
      <c r="N63" s="674"/>
      <c r="O63" s="674"/>
      <c r="P63" s="674"/>
    </row>
    <row r="64" spans="13:16" x14ac:dyDescent="0.3">
      <c r="M64" s="673"/>
      <c r="N64" s="673"/>
      <c r="O64" s="673"/>
      <c r="P64" s="673"/>
    </row>
    <row r="65" spans="13:16" x14ac:dyDescent="0.3">
      <c r="M65" s="674"/>
      <c r="N65" s="674"/>
      <c r="O65" s="674"/>
      <c r="P65" s="674"/>
    </row>
    <row r="66" spans="13:16" x14ac:dyDescent="0.3">
      <c r="M66" s="673"/>
      <c r="N66" s="673"/>
      <c r="O66" s="673"/>
      <c r="P66" s="673"/>
    </row>
    <row r="67" spans="13:16" x14ac:dyDescent="0.3">
      <c r="M67" s="674"/>
      <c r="N67" s="674"/>
      <c r="O67" s="674"/>
      <c r="P67" s="674"/>
    </row>
  </sheetData>
  <mergeCells count="136">
    <mergeCell ref="M1:M2"/>
    <mergeCell ref="N1:N2"/>
    <mergeCell ref="O1:O2"/>
    <mergeCell ref="M3:M4"/>
    <mergeCell ref="N3:N4"/>
    <mergeCell ref="O3:O4"/>
    <mergeCell ref="M5:M6"/>
    <mergeCell ref="N5:N6"/>
    <mergeCell ref="O5:O6"/>
    <mergeCell ref="M7:M8"/>
    <mergeCell ref="N7:N8"/>
    <mergeCell ref="O7:O8"/>
    <mergeCell ref="M9:M10"/>
    <mergeCell ref="N9:N10"/>
    <mergeCell ref="O9:O10"/>
    <mergeCell ref="M11:M12"/>
    <mergeCell ref="N11:N12"/>
    <mergeCell ref="O11:O12"/>
    <mergeCell ref="M13:M14"/>
    <mergeCell ref="N13:N14"/>
    <mergeCell ref="O13:O14"/>
    <mergeCell ref="M15:M16"/>
    <mergeCell ref="N15:N16"/>
    <mergeCell ref="O15:O16"/>
    <mergeCell ref="M17:M18"/>
    <mergeCell ref="N17:N18"/>
    <mergeCell ref="O17:O18"/>
    <mergeCell ref="M19:M20"/>
    <mergeCell ref="N19:N20"/>
    <mergeCell ref="O19:O20"/>
    <mergeCell ref="M21:M22"/>
    <mergeCell ref="N21:N22"/>
    <mergeCell ref="O21:O22"/>
    <mergeCell ref="M23:M24"/>
    <mergeCell ref="N23:N24"/>
    <mergeCell ref="O23:O24"/>
    <mergeCell ref="P24:P25"/>
    <mergeCell ref="M26:M27"/>
    <mergeCell ref="N26:N27"/>
    <mergeCell ref="O26:O27"/>
    <mergeCell ref="P26:P27"/>
    <mergeCell ref="Q26:Q27"/>
    <mergeCell ref="R26:R27"/>
    <mergeCell ref="S26:S27"/>
    <mergeCell ref="M28:M29"/>
    <mergeCell ref="N28:N29"/>
    <mergeCell ref="O28:O29"/>
    <mergeCell ref="P28:P29"/>
    <mergeCell ref="Q28:Q29"/>
    <mergeCell ref="R28:R29"/>
    <mergeCell ref="S28:S29"/>
    <mergeCell ref="M30:M31"/>
    <mergeCell ref="N30:N31"/>
    <mergeCell ref="O30:O31"/>
    <mergeCell ref="P30:P31"/>
    <mergeCell ref="Q30:Q31"/>
    <mergeCell ref="R30:R31"/>
    <mergeCell ref="S30:S31"/>
    <mergeCell ref="M32:M33"/>
    <mergeCell ref="N32:N33"/>
    <mergeCell ref="O32:O33"/>
    <mergeCell ref="P32:P33"/>
    <mergeCell ref="Q32:Q33"/>
    <mergeCell ref="R32:R33"/>
    <mergeCell ref="S32:S33"/>
    <mergeCell ref="M34:M35"/>
    <mergeCell ref="N34:N35"/>
    <mergeCell ref="O34:O35"/>
    <mergeCell ref="P34:P35"/>
    <mergeCell ref="Q34:Q35"/>
    <mergeCell ref="R34:R35"/>
    <mergeCell ref="S34:S35"/>
    <mergeCell ref="M36:M37"/>
    <mergeCell ref="N36:N37"/>
    <mergeCell ref="O36:O37"/>
    <mergeCell ref="P36:P37"/>
    <mergeCell ref="M38:M39"/>
    <mergeCell ref="N38:N39"/>
    <mergeCell ref="O38:O39"/>
    <mergeCell ref="P38:P39"/>
    <mergeCell ref="M40:M41"/>
    <mergeCell ref="N40:N41"/>
    <mergeCell ref="O40:O41"/>
    <mergeCell ref="P40:P41"/>
    <mergeCell ref="M42:M43"/>
    <mergeCell ref="N42:N43"/>
    <mergeCell ref="O42:O43"/>
    <mergeCell ref="P42:P43"/>
    <mergeCell ref="M44:M45"/>
    <mergeCell ref="N44:N45"/>
    <mergeCell ref="O44:O45"/>
    <mergeCell ref="P44:P45"/>
    <mergeCell ref="M46:M47"/>
    <mergeCell ref="N46:N47"/>
    <mergeCell ref="O46:O47"/>
    <mergeCell ref="P46:P47"/>
    <mergeCell ref="M48:M49"/>
    <mergeCell ref="N48:N49"/>
    <mergeCell ref="O48:O49"/>
    <mergeCell ref="P48:P49"/>
    <mergeCell ref="M50:M51"/>
    <mergeCell ref="N50:N51"/>
    <mergeCell ref="O50:O51"/>
    <mergeCell ref="P50:P51"/>
    <mergeCell ref="M52:M53"/>
    <mergeCell ref="N52:N53"/>
    <mergeCell ref="O52:O53"/>
    <mergeCell ref="P52:P53"/>
    <mergeCell ref="M54:M55"/>
    <mergeCell ref="N54:N55"/>
    <mergeCell ref="O54:O55"/>
    <mergeCell ref="P54:P55"/>
    <mergeCell ref="M56:M57"/>
    <mergeCell ref="N56:N57"/>
    <mergeCell ref="O56:O57"/>
    <mergeCell ref="P56:P57"/>
    <mergeCell ref="M58:M59"/>
    <mergeCell ref="N58:N59"/>
    <mergeCell ref="O58:O59"/>
    <mergeCell ref="P58:P59"/>
    <mergeCell ref="M60:M61"/>
    <mergeCell ref="N60:N61"/>
    <mergeCell ref="O60:O61"/>
    <mergeCell ref="P60:P61"/>
    <mergeCell ref="M62:M63"/>
    <mergeCell ref="N62:N63"/>
    <mergeCell ref="O62:O63"/>
    <mergeCell ref="P62:P63"/>
    <mergeCell ref="M64:M65"/>
    <mergeCell ref="N64:N65"/>
    <mergeCell ref="O64:O65"/>
    <mergeCell ref="P64:P65"/>
    <mergeCell ref="M66:M67"/>
    <mergeCell ref="N66:N67"/>
    <mergeCell ref="O66:O67"/>
    <mergeCell ref="P66:P67"/>
  </mergeCells>
  <pageMargins left="0.7" right="0.7" top="0.75" bottom="0.75" header="0.3" footer="0.3"/>
  <pageSetup paperSize="9" firstPageNumber="2147483648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1:AS12"/>
  <sheetViews>
    <sheetView zoomScale="60" workbookViewId="0">
      <selection activeCell="E30" sqref="E30"/>
    </sheetView>
  </sheetViews>
  <sheetFormatPr defaultColWidth="9.109375" defaultRowHeight="13.8" x14ac:dyDescent="0.3"/>
  <cols>
    <col min="1" max="1" width="18.33203125" style="183" customWidth="1"/>
    <col min="2" max="2" width="12.88671875" style="182" customWidth="1"/>
    <col min="3" max="3" width="12.44140625" style="182" customWidth="1"/>
    <col min="4" max="4" width="13.88671875" style="182" customWidth="1"/>
    <col min="5" max="5" width="13.5546875" style="182" customWidth="1"/>
    <col min="6" max="6" width="13.33203125" style="182" customWidth="1"/>
    <col min="7" max="7" width="13.109375" style="182" customWidth="1"/>
    <col min="8" max="8" width="14" style="182" customWidth="1"/>
    <col min="9" max="9" width="13.88671875" style="182" customWidth="1"/>
    <col min="10" max="10" width="13.44140625" style="182" customWidth="1"/>
    <col min="11" max="11" width="15.6640625" style="182" customWidth="1"/>
    <col min="12" max="12" width="14.6640625" style="182" customWidth="1"/>
    <col min="13" max="13" width="13.88671875" style="182" customWidth="1"/>
    <col min="14" max="14" width="13.5546875" style="182" customWidth="1"/>
    <col min="15" max="15" width="13.33203125" style="182" customWidth="1"/>
    <col min="16" max="16" width="13.44140625" style="182" customWidth="1"/>
    <col min="17" max="17" width="12.5546875" style="182" customWidth="1"/>
    <col min="18" max="18" width="12.6640625" style="182" customWidth="1"/>
    <col min="19" max="19" width="13.109375" style="182" customWidth="1"/>
    <col min="20" max="20" width="16.44140625" style="182" customWidth="1"/>
    <col min="21" max="21" width="13.5546875" style="182" customWidth="1"/>
    <col min="22" max="22" width="14.6640625" style="182" customWidth="1"/>
    <col min="23" max="23" width="13.33203125" style="182" customWidth="1"/>
    <col min="24" max="24" width="12.88671875" style="182" customWidth="1"/>
    <col min="25" max="25" width="13.109375" style="182" customWidth="1"/>
    <col min="26" max="26" width="14.33203125" style="182" customWidth="1"/>
    <col min="27" max="27" width="13.5546875" style="182" customWidth="1"/>
    <col min="28" max="29" width="14.109375" style="182" customWidth="1"/>
    <col min="30" max="30" width="14.33203125" style="182" customWidth="1"/>
    <col min="31" max="31" width="15.44140625" style="182" customWidth="1"/>
    <col min="32" max="32" width="14.5546875" style="182" customWidth="1"/>
    <col min="33" max="33" width="13.5546875" style="182" customWidth="1"/>
    <col min="34" max="34" width="15.109375" style="182" customWidth="1"/>
    <col min="35" max="35" width="15.6640625" style="182" customWidth="1"/>
    <col min="36" max="36" width="13.88671875" style="182" customWidth="1"/>
    <col min="37" max="37" width="14.5546875" style="182" customWidth="1"/>
    <col min="38" max="38" width="12.5546875" style="182" customWidth="1"/>
    <col min="39" max="16384" width="9.109375" style="182"/>
  </cols>
  <sheetData>
    <row r="1" spans="1:45" s="468" customFormat="1" ht="27.6" x14ac:dyDescent="0.3">
      <c r="A1" s="350" t="s">
        <v>233</v>
      </c>
      <c r="B1" s="349" t="str">
        <f>'выручка по кв и годам'!D1</f>
        <v>I кв. 1 г.</v>
      </c>
      <c r="C1" s="349" t="str">
        <f>'выручка по кв и годам'!E1</f>
        <v>II кв. 1 г.</v>
      </c>
      <c r="D1" s="349" t="str">
        <f>'выручка по кв и годам'!F1</f>
        <v>III кв. 1 г.</v>
      </c>
      <c r="E1" s="349" t="str">
        <f>'выручка по кв и годам'!G1</f>
        <v>IV кв. 1 г.</v>
      </c>
      <c r="F1" s="349" t="str">
        <f>'выручка по кв и годам'!H1</f>
        <v>I кв. 2 г.</v>
      </c>
      <c r="G1" s="349" t="str">
        <f>'выручка по кв и годам'!I1</f>
        <v>II кв. 2 г.</v>
      </c>
      <c r="H1" s="349" t="str">
        <f>'выручка по кв и годам'!J1</f>
        <v>III кв. 2 г.</v>
      </c>
      <c r="I1" s="349" t="str">
        <f>'выручка по кв и годам'!K1</f>
        <v>IV кв. 2 г.</v>
      </c>
      <c r="J1" s="349" t="str">
        <f>'выручка по кв и годам'!L1</f>
        <v>I кв. 3 г.</v>
      </c>
      <c r="K1" s="349" t="str">
        <f>'выручка по кв и годам'!M1</f>
        <v>II кв. 3 г.</v>
      </c>
      <c r="L1" s="349" t="str">
        <f>'выручка по кв и годам'!N1</f>
        <v>III кв. 3 г.</v>
      </c>
      <c r="M1" s="349" t="str">
        <f>'выручка по кв и годам'!O1</f>
        <v>IV кв. 3 г.</v>
      </c>
      <c r="N1" s="349" t="str">
        <f>'выручка по кв и годам'!P1</f>
        <v>I кв. 4 г.</v>
      </c>
      <c r="O1" s="349" t="str">
        <f>'выручка по кв и годам'!Q1</f>
        <v>II кв. 4 г.</v>
      </c>
      <c r="P1" s="349" t="str">
        <f>'выручка по кв и годам'!R1</f>
        <v>III кв. 4 г.</v>
      </c>
      <c r="Q1" s="349" t="str">
        <f>'выручка по кв и годам'!S1</f>
        <v>IV кв. 4 г.</v>
      </c>
      <c r="R1" s="349" t="str">
        <f>'выручка по кв и годам'!T1</f>
        <v>I кв. 5 г.</v>
      </c>
      <c r="S1" s="349" t="str">
        <f>'выручка по кв и годам'!U1</f>
        <v>II кв. 5 г.</v>
      </c>
      <c r="T1" s="349" t="str">
        <f>'выручка по кв и годам'!V1</f>
        <v>III кв. 5 г.</v>
      </c>
      <c r="U1" s="349" t="str">
        <f>'выручка по кв и годам'!W1</f>
        <v>IV кв. 5 г.</v>
      </c>
      <c r="V1" s="349" t="str">
        <f>'выручка по кв и годам'!X1</f>
        <v>I кв. 6 г.</v>
      </c>
      <c r="W1" s="349" t="str">
        <f>'выручка по кв и годам'!Y1</f>
        <v>II кв. 6 г.</v>
      </c>
      <c r="X1" s="349" t="str">
        <f>'выручка по кв и годам'!Z1</f>
        <v>III кв. 6 г.</v>
      </c>
      <c r="Y1" s="349" t="str">
        <f>'выручка по кв и годам'!AA1</f>
        <v>IV кв. 6 г.</v>
      </c>
      <c r="Z1" s="349" t="str">
        <f>'выручка по кв и годам'!AB1</f>
        <v>I кв. 7 г.</v>
      </c>
      <c r="AA1" s="349" t="str">
        <f>'выручка по кв и годам'!AC1</f>
        <v>II кв. 7 г.</v>
      </c>
      <c r="AB1" s="349" t="str">
        <f>'выручка по кв и годам'!AD1</f>
        <v>III кв. 7 г.</v>
      </c>
      <c r="AC1" s="349" t="str">
        <f>'выручка по кв и годам'!AE1</f>
        <v>IV кв. 7 г.</v>
      </c>
      <c r="AD1" s="349" t="str">
        <f>'выручка по кв и годам'!AF1</f>
        <v>I кв. 8 г.</v>
      </c>
      <c r="AE1" s="349" t="str">
        <f>'выручка по кв и годам'!AG1</f>
        <v>II кв. 8 г.</v>
      </c>
      <c r="AF1" s="349" t="str">
        <f>'выручка по кв и годам'!AH1</f>
        <v>III кв. 8 г.</v>
      </c>
      <c r="AG1" s="349" t="str">
        <f>'выручка по кв и годам'!AI1</f>
        <v>IV кв. 8 г.</v>
      </c>
      <c r="AH1" s="349" t="str">
        <f>'выручка по кв и годам'!AJ1</f>
        <v>I кв. 9 г.</v>
      </c>
      <c r="AI1" s="349" t="str">
        <f>'выручка по кв и годам'!AK1</f>
        <v>II кв. 9 г.</v>
      </c>
      <c r="AJ1" s="349" t="str">
        <f>'выручка по кв и годам'!AL1</f>
        <v>III кв. 9 г.</v>
      </c>
      <c r="AK1" s="349" t="str">
        <f>'выручка по кв и годам'!AM1</f>
        <v>IV кв. 9 г.</v>
      </c>
      <c r="AL1" s="349" t="str">
        <f>'выручка по кв и годам'!AN1</f>
        <v>I кв. 10 г.</v>
      </c>
      <c r="AM1" s="349" t="str">
        <f>'выручка по кв и годам'!AO1</f>
        <v>II кв. 10 г.</v>
      </c>
      <c r="AN1" s="349" t="str">
        <f>'выручка по кв и годам'!AP1</f>
        <v>III кв. 10 г.</v>
      </c>
      <c r="AO1" s="349" t="str">
        <f>'выручка по кв и годам'!AQ1</f>
        <v>IV кв. 10 г.</v>
      </c>
      <c r="AP1" s="349" t="str">
        <f>'выручка по кв и годам'!AR1</f>
        <v>I кв. 11 г.</v>
      </c>
      <c r="AQ1" s="349" t="str">
        <f>'выручка по кв и годам'!AS1</f>
        <v>II кв. 11 г.</v>
      </c>
      <c r="AR1" s="349" t="str">
        <f>'выручка по кв и годам'!AT1</f>
        <v>III кв. 11 г.</v>
      </c>
      <c r="AS1" s="349" t="str">
        <f>'выручка по кв и годам'!AU1</f>
        <v>IV кв. 11 г.</v>
      </c>
    </row>
    <row r="2" spans="1:45" ht="45.75" customHeight="1" x14ac:dyDescent="0.3">
      <c r="A2" s="184" t="s">
        <v>241</v>
      </c>
      <c r="B2" s="186"/>
      <c r="C2" s="186"/>
      <c r="D2" s="187">
        <f>займ!B2</f>
        <v>50000</v>
      </c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8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</row>
    <row r="3" spans="1:45" ht="21" customHeight="1" x14ac:dyDescent="0.3">
      <c r="A3" s="184" t="s">
        <v>242</v>
      </c>
      <c r="B3" s="189"/>
      <c r="C3" s="189"/>
      <c r="D3" s="189">
        <f>займ!B3</f>
        <v>0.16</v>
      </c>
      <c r="E3" s="189">
        <f>D3</f>
        <v>0.16</v>
      </c>
      <c r="F3" s="189">
        <f t="shared" ref="F3:O3" si="0">E3</f>
        <v>0.16</v>
      </c>
      <c r="G3" s="189">
        <f t="shared" si="0"/>
        <v>0.16</v>
      </c>
      <c r="H3" s="189">
        <f t="shared" si="0"/>
        <v>0.16</v>
      </c>
      <c r="I3" s="189">
        <f t="shared" si="0"/>
        <v>0.16</v>
      </c>
      <c r="J3" s="189">
        <f t="shared" si="0"/>
        <v>0.16</v>
      </c>
      <c r="K3" s="189">
        <f t="shared" si="0"/>
        <v>0.16</v>
      </c>
      <c r="L3" s="189">
        <f t="shared" si="0"/>
        <v>0.16</v>
      </c>
      <c r="M3" s="189">
        <f t="shared" si="0"/>
        <v>0.16</v>
      </c>
      <c r="N3" s="189">
        <f t="shared" si="0"/>
        <v>0.16</v>
      </c>
      <c r="O3" s="189">
        <f t="shared" si="0"/>
        <v>0.16</v>
      </c>
      <c r="P3" s="189">
        <f>займ!B3</f>
        <v>0.16</v>
      </c>
      <c r="Q3" s="189">
        <f t="shared" ref="Q3:AL3" si="1">P3</f>
        <v>0.16</v>
      </c>
      <c r="R3" s="189">
        <f t="shared" si="1"/>
        <v>0.16</v>
      </c>
      <c r="S3" s="189">
        <f t="shared" si="1"/>
        <v>0.16</v>
      </c>
      <c r="T3" s="189">
        <f t="shared" si="1"/>
        <v>0.16</v>
      </c>
      <c r="U3" s="189">
        <f t="shared" si="1"/>
        <v>0.16</v>
      </c>
      <c r="V3" s="189">
        <f t="shared" si="1"/>
        <v>0.16</v>
      </c>
      <c r="W3" s="189">
        <f t="shared" si="1"/>
        <v>0.16</v>
      </c>
      <c r="X3" s="189">
        <f t="shared" si="1"/>
        <v>0.16</v>
      </c>
      <c r="Y3" s="189">
        <f t="shared" si="1"/>
        <v>0.16</v>
      </c>
      <c r="Z3" s="189">
        <f t="shared" si="1"/>
        <v>0.16</v>
      </c>
      <c r="AA3" s="189">
        <f t="shared" si="1"/>
        <v>0.16</v>
      </c>
      <c r="AB3" s="189">
        <f t="shared" si="1"/>
        <v>0.16</v>
      </c>
      <c r="AC3" s="189">
        <f t="shared" si="1"/>
        <v>0.16</v>
      </c>
      <c r="AD3" s="189">
        <f t="shared" si="1"/>
        <v>0.16</v>
      </c>
      <c r="AE3" s="189">
        <f t="shared" si="1"/>
        <v>0.16</v>
      </c>
      <c r="AF3" s="189">
        <f t="shared" si="1"/>
        <v>0.16</v>
      </c>
      <c r="AG3" s="189">
        <f t="shared" si="1"/>
        <v>0.16</v>
      </c>
      <c r="AH3" s="189">
        <f t="shared" si="1"/>
        <v>0.16</v>
      </c>
      <c r="AI3" s="189">
        <f t="shared" si="1"/>
        <v>0.16</v>
      </c>
      <c r="AJ3" s="189">
        <f t="shared" si="1"/>
        <v>0.16</v>
      </c>
      <c r="AK3" s="189">
        <f t="shared" si="1"/>
        <v>0.16</v>
      </c>
      <c r="AL3" s="189">
        <f t="shared" si="1"/>
        <v>0.16</v>
      </c>
      <c r="AM3" s="189">
        <f t="shared" ref="AM3:AS3" si="2">AL3</f>
        <v>0.16</v>
      </c>
      <c r="AN3" s="189">
        <f t="shared" si="2"/>
        <v>0.16</v>
      </c>
      <c r="AO3" s="189">
        <f t="shared" si="2"/>
        <v>0.16</v>
      </c>
      <c r="AP3" s="189">
        <f t="shared" si="2"/>
        <v>0.16</v>
      </c>
      <c r="AQ3" s="189">
        <f t="shared" si="2"/>
        <v>0.16</v>
      </c>
      <c r="AR3" s="189">
        <f t="shared" si="2"/>
        <v>0.16</v>
      </c>
      <c r="AS3" s="189">
        <f t="shared" si="2"/>
        <v>0.16</v>
      </c>
    </row>
    <row r="4" spans="1:45" ht="50.25" customHeight="1" x14ac:dyDescent="0.3">
      <c r="A4" s="184" t="s">
        <v>243</v>
      </c>
      <c r="B4" s="190"/>
      <c r="C4" s="190"/>
      <c r="D4" s="188">
        <f>займ!J9</f>
        <v>666.66666666666674</v>
      </c>
      <c r="E4" s="188">
        <f>займ!J10</f>
        <v>1955.6692350179778</v>
      </c>
      <c r="F4" s="188">
        <f>займ!J13</f>
        <v>1887.081229983344</v>
      </c>
      <c r="G4" s="188">
        <f>займ!J16</f>
        <v>1815.7129618989982</v>
      </c>
      <c r="H4" s="188">
        <f>займ!J19</f>
        <v>1741.4517308457384</v>
      </c>
      <c r="I4" s="188">
        <f>займ!J22</f>
        <v>1664.1802685338316</v>
      </c>
      <c r="J4" s="188">
        <f>займ!J25</f>
        <v>1583.7765531208975</v>
      </c>
      <c r="K4" s="188">
        <f>займ!J28</f>
        <v>1500.1136165233074</v>
      </c>
      <c r="L4" s="188">
        <f>займ!J31</f>
        <v>1413.0593439168163</v>
      </c>
      <c r="M4" s="188">
        <f>займ!J34</f>
        <v>1322.4762651098065</v>
      </c>
      <c r="N4" s="188">
        <f>займ!J37</f>
        <v>1228.2213374597068</v>
      </c>
      <c r="O4" s="188">
        <f>займ!J40</f>
        <v>1130.1457199897686</v>
      </c>
      <c r="P4" s="188">
        <f>займ!J43</f>
        <v>1028.0945383495114</v>
      </c>
      <c r="Q4" s="188">
        <f>займ!J46</f>
        <v>921.90664024767148</v>
      </c>
      <c r="R4" s="188">
        <f>займ!J49</f>
        <v>811.41434097145657</v>
      </c>
      <c r="S4" s="188">
        <f>займ!J52</f>
        <v>696.44315859024005</v>
      </c>
      <c r="T4" s="188">
        <f>займ!J55</f>
        <v>576.81153842555398</v>
      </c>
      <c r="U4" s="188">
        <f>займ!J58</f>
        <v>452.3305663522782</v>
      </c>
      <c r="V4" s="188">
        <f>займ!J61</f>
        <v>322.80367047829105</v>
      </c>
      <c r="W4" s="188">
        <f>займ!J64</f>
        <v>188.02631073149553</v>
      </c>
      <c r="X4" s="188">
        <f>займ!J67</f>
        <v>47.785655864036492</v>
      </c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</row>
    <row r="5" spans="1:45" ht="40.5" customHeight="1" x14ac:dyDescent="0.3">
      <c r="A5" s="184" t="s">
        <v>244</v>
      </c>
      <c r="B5" s="187"/>
      <c r="C5" s="187"/>
      <c r="D5" s="187">
        <f>займ!K9</f>
        <v>549.23618915128986</v>
      </c>
      <c r="E5" s="187">
        <f>займ!K10</f>
        <v>1692.039332435892</v>
      </c>
      <c r="F5" s="187">
        <f>займ!K13</f>
        <v>1760.6273374705258</v>
      </c>
      <c r="G5" s="187">
        <f>займ!K16</f>
        <v>1831.9956055548716</v>
      </c>
      <c r="H5" s="187">
        <f>займ!K19</f>
        <v>1906.2568366081314</v>
      </c>
      <c r="I5" s="187">
        <f>займ!K22</f>
        <v>1983.5282989200382</v>
      </c>
      <c r="J5" s="187">
        <f>займ!K25</f>
        <v>2063.9320143329724</v>
      </c>
      <c r="K5" s="187">
        <f>займ!K28</f>
        <v>2147.5949509305624</v>
      </c>
      <c r="L5" s="187">
        <f>займ!K31</f>
        <v>2234.6492235370533</v>
      </c>
      <c r="M5" s="187">
        <f>займ!K34</f>
        <v>2325.2323023440631</v>
      </c>
      <c r="N5" s="187">
        <f>займ!K37</f>
        <v>2419.487229994163</v>
      </c>
      <c r="O5" s="187">
        <f>займ!K40</f>
        <v>2517.5628474641012</v>
      </c>
      <c r="P5" s="187">
        <f>займ!K43</f>
        <v>2619.6140291043585</v>
      </c>
      <c r="Q5" s="187">
        <f>займ!K46</f>
        <v>2725.8019272061983</v>
      </c>
      <c r="R5" s="187">
        <f>займ!K49</f>
        <v>2836.2942264824133</v>
      </c>
      <c r="S5" s="187">
        <f>займ!K52</f>
        <v>2951.26540886363</v>
      </c>
      <c r="T5" s="187">
        <f>займ!K55</f>
        <v>3070.897029028316</v>
      </c>
      <c r="U5" s="187">
        <f>займ!K58</f>
        <v>3195.3780011015915</v>
      </c>
      <c r="V5" s="187">
        <f>займ!K61</f>
        <v>3324.9048969755786</v>
      </c>
      <c r="W5" s="191">
        <f>займ!K64</f>
        <v>3459.6822567223739</v>
      </c>
      <c r="X5" s="191">
        <f>займ!K67</f>
        <v>2384.0200557718767</v>
      </c>
      <c r="Y5" s="192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  <c r="AQ5" s="192"/>
      <c r="AR5" s="192"/>
      <c r="AS5" s="192"/>
    </row>
    <row r="6" spans="1:45" s="467" customFormat="1" ht="27.6" x14ac:dyDescent="0.3">
      <c r="A6" s="464" t="s">
        <v>245</v>
      </c>
      <c r="B6" s="465"/>
      <c r="C6" s="465"/>
      <c r="D6" s="465">
        <f t="shared" ref="D6:X6" si="3">D4+D5</f>
        <v>1215.9028558179566</v>
      </c>
      <c r="E6" s="465">
        <f t="shared" si="3"/>
        <v>3647.7085674538698</v>
      </c>
      <c r="F6" s="465">
        <f t="shared" si="3"/>
        <v>3647.7085674538698</v>
      </c>
      <c r="G6" s="465">
        <f t="shared" si="3"/>
        <v>3647.7085674538698</v>
      </c>
      <c r="H6" s="465">
        <f t="shared" si="3"/>
        <v>3647.7085674538698</v>
      </c>
      <c r="I6" s="465">
        <f t="shared" si="3"/>
        <v>3647.7085674538698</v>
      </c>
      <c r="J6" s="465">
        <f t="shared" si="3"/>
        <v>3647.7085674538698</v>
      </c>
      <c r="K6" s="465">
        <f t="shared" si="3"/>
        <v>3647.7085674538698</v>
      </c>
      <c r="L6" s="465">
        <f t="shared" si="3"/>
        <v>3647.7085674538694</v>
      </c>
      <c r="M6" s="465">
        <f t="shared" si="3"/>
        <v>3647.7085674538694</v>
      </c>
      <c r="N6" s="465">
        <f t="shared" si="3"/>
        <v>3647.7085674538698</v>
      </c>
      <c r="O6" s="465">
        <f t="shared" si="3"/>
        <v>3647.7085674538698</v>
      </c>
      <c r="P6" s="465">
        <f t="shared" si="3"/>
        <v>3647.7085674538698</v>
      </c>
      <c r="Q6" s="465">
        <f t="shared" si="3"/>
        <v>3647.7085674538698</v>
      </c>
      <c r="R6" s="465">
        <f t="shared" si="3"/>
        <v>3647.7085674538698</v>
      </c>
      <c r="S6" s="465">
        <f t="shared" si="3"/>
        <v>3647.7085674538703</v>
      </c>
      <c r="T6" s="465">
        <f t="shared" si="3"/>
        <v>3647.7085674538698</v>
      </c>
      <c r="U6" s="465">
        <f t="shared" si="3"/>
        <v>3647.7085674538698</v>
      </c>
      <c r="V6" s="465">
        <f t="shared" si="3"/>
        <v>3647.7085674538698</v>
      </c>
      <c r="W6" s="465">
        <f t="shared" si="3"/>
        <v>3647.7085674538694</v>
      </c>
      <c r="X6" s="465">
        <f t="shared" si="3"/>
        <v>2431.8057116359132</v>
      </c>
      <c r="Y6" s="466"/>
      <c r="Z6" s="466"/>
      <c r="AA6" s="466"/>
      <c r="AB6" s="466"/>
      <c r="AC6" s="466"/>
      <c r="AD6" s="466"/>
      <c r="AE6" s="466"/>
      <c r="AF6" s="466"/>
      <c r="AG6" s="466"/>
      <c r="AH6" s="466"/>
      <c r="AI6" s="466"/>
      <c r="AJ6" s="466"/>
      <c r="AK6" s="466"/>
      <c r="AL6" s="466"/>
      <c r="AM6" s="466"/>
      <c r="AN6" s="466"/>
      <c r="AO6" s="466"/>
      <c r="AP6" s="466"/>
      <c r="AQ6" s="466"/>
      <c r="AR6" s="466"/>
      <c r="AS6" s="466"/>
    </row>
    <row r="7" spans="1:45" ht="27.6" x14ac:dyDescent="0.3">
      <c r="A7" s="184" t="s">
        <v>246</v>
      </c>
      <c r="B7" s="188"/>
      <c r="C7" s="188"/>
      <c r="D7" s="188">
        <f>D2-D5</f>
        <v>49450.763810848708</v>
      </c>
      <c r="E7" s="188">
        <f>D7-E5</f>
        <v>47758.724478412812</v>
      </c>
      <c r="F7" s="188">
        <f t="shared" ref="F7:X7" si="4">E7-F5</f>
        <v>45998.097140942285</v>
      </c>
      <c r="G7" s="188">
        <f t="shared" si="4"/>
        <v>44166.101535387417</v>
      </c>
      <c r="H7" s="188">
        <f t="shared" si="4"/>
        <v>42259.844698779285</v>
      </c>
      <c r="I7" s="188">
        <f t="shared" si="4"/>
        <v>40276.31639985925</v>
      </c>
      <c r="J7" s="188">
        <f t="shared" si="4"/>
        <v>38212.384385526275</v>
      </c>
      <c r="K7" s="188">
        <f t="shared" si="4"/>
        <v>36064.78943459571</v>
      </c>
      <c r="L7" s="188">
        <f t="shared" si="4"/>
        <v>33830.140211058657</v>
      </c>
      <c r="M7" s="188">
        <f t="shared" si="4"/>
        <v>31504.907908714595</v>
      </c>
      <c r="N7" s="188">
        <f t="shared" si="4"/>
        <v>29085.420678720431</v>
      </c>
      <c r="O7" s="188">
        <f t="shared" si="4"/>
        <v>26567.85783125633</v>
      </c>
      <c r="P7" s="188">
        <f t="shared" si="4"/>
        <v>23948.24380215197</v>
      </c>
      <c r="Q7" s="188">
        <f t="shared" si="4"/>
        <v>21222.441874945773</v>
      </c>
      <c r="R7" s="188">
        <f t="shared" si="4"/>
        <v>18386.14764846336</v>
      </c>
      <c r="S7" s="188">
        <f t="shared" si="4"/>
        <v>15434.88223959973</v>
      </c>
      <c r="T7" s="188">
        <f t="shared" si="4"/>
        <v>12363.985210571414</v>
      </c>
      <c r="U7" s="188">
        <f t="shared" si="4"/>
        <v>9168.6072094698229</v>
      </c>
      <c r="V7" s="188">
        <f t="shared" si="4"/>
        <v>5843.7023124942443</v>
      </c>
      <c r="W7" s="188">
        <f t="shared" si="4"/>
        <v>2384.0200557718704</v>
      </c>
      <c r="X7" s="188">
        <f t="shared" si="4"/>
        <v>-6.3664629124104977E-12</v>
      </c>
      <c r="Y7" s="188">
        <f t="shared" ref="Y7:AS7" si="5">X7-Y6</f>
        <v>-6.3664629124104977E-12</v>
      </c>
      <c r="Z7" s="188">
        <f t="shared" si="5"/>
        <v>-6.3664629124104977E-12</v>
      </c>
      <c r="AA7" s="188">
        <f t="shared" si="5"/>
        <v>-6.3664629124104977E-12</v>
      </c>
      <c r="AB7" s="188">
        <f t="shared" si="5"/>
        <v>-6.3664629124104977E-12</v>
      </c>
      <c r="AC7" s="188">
        <f t="shared" si="5"/>
        <v>-6.3664629124104977E-12</v>
      </c>
      <c r="AD7" s="188">
        <f t="shared" si="5"/>
        <v>-6.3664629124104977E-12</v>
      </c>
      <c r="AE7" s="188">
        <f t="shared" si="5"/>
        <v>-6.3664629124104977E-12</v>
      </c>
      <c r="AF7" s="188">
        <f t="shared" si="5"/>
        <v>-6.3664629124104977E-12</v>
      </c>
      <c r="AG7" s="188">
        <f t="shared" si="5"/>
        <v>-6.3664629124104977E-12</v>
      </c>
      <c r="AH7" s="188">
        <f t="shared" si="5"/>
        <v>-6.3664629124104977E-12</v>
      </c>
      <c r="AI7" s="188">
        <f t="shared" si="5"/>
        <v>-6.3664629124104977E-12</v>
      </c>
      <c r="AJ7" s="188">
        <f t="shared" si="5"/>
        <v>-6.3664629124104977E-12</v>
      </c>
      <c r="AK7" s="188">
        <f t="shared" si="5"/>
        <v>-6.3664629124104977E-12</v>
      </c>
      <c r="AL7" s="188">
        <f t="shared" si="5"/>
        <v>-6.3664629124104977E-12</v>
      </c>
      <c r="AM7" s="188">
        <f t="shared" si="5"/>
        <v>-6.3664629124104977E-12</v>
      </c>
      <c r="AN7" s="188">
        <f t="shared" si="5"/>
        <v>-6.3664629124104977E-12</v>
      </c>
      <c r="AO7" s="188">
        <f t="shared" si="5"/>
        <v>-6.3664629124104977E-12</v>
      </c>
      <c r="AP7" s="188">
        <f t="shared" si="5"/>
        <v>-6.3664629124104977E-12</v>
      </c>
      <c r="AQ7" s="188">
        <f t="shared" si="5"/>
        <v>-6.3664629124104977E-12</v>
      </c>
      <c r="AR7" s="188">
        <f t="shared" si="5"/>
        <v>-6.3664629124104977E-12</v>
      </c>
      <c r="AS7" s="188">
        <f t="shared" si="5"/>
        <v>-6.3664629124104977E-12</v>
      </c>
    </row>
    <row r="10" spans="1:45" x14ac:dyDescent="0.3"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</row>
    <row r="12" spans="1:45" x14ac:dyDescent="0.3"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</row>
  </sheetData>
  <pageMargins left="0.7" right="0.7" top="0.75" bottom="0.75" header="0.3" footer="0.3"/>
  <pageSetup paperSize="9" firstPageNumber="2147483648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D71"/>
  <sheetViews>
    <sheetView zoomScale="70" workbookViewId="0">
      <pane xSplit="1" topLeftCell="B1" activePane="topRight" state="frozen"/>
      <selection activeCell="H66" sqref="H66"/>
      <selection pane="topRight" activeCell="D4" sqref="D4"/>
    </sheetView>
  </sheetViews>
  <sheetFormatPr defaultColWidth="9.109375" defaultRowHeight="14.4" x14ac:dyDescent="0.3"/>
  <cols>
    <col min="1" max="1" width="26.5546875" style="54" customWidth="1"/>
    <col min="2" max="2" width="19.5546875" style="55" customWidth="1"/>
    <col min="3" max="3" width="18.5546875" style="56" customWidth="1"/>
    <col min="4" max="4" width="30.109375" style="56" customWidth="1"/>
    <col min="5" max="5" width="21" style="56" customWidth="1"/>
    <col min="6" max="6" width="19.5546875" style="56" customWidth="1"/>
    <col min="7" max="7" width="26" style="56" customWidth="1"/>
    <col min="8" max="8" width="23.44140625" customWidth="1"/>
    <col min="9" max="9" width="24.88671875" style="195" customWidth="1"/>
    <col min="10" max="10" width="23.33203125" style="196" customWidth="1"/>
    <col min="11" max="11" width="25.5546875" style="197" customWidth="1"/>
    <col min="12" max="12" width="29.33203125" customWidth="1"/>
    <col min="13" max="13" width="12.88671875" customWidth="1"/>
    <col min="14" max="15" width="10.5546875" bestFit="1" customWidth="1"/>
    <col min="16" max="16" width="13.33203125" customWidth="1"/>
    <col min="17" max="22" width="10.5546875" bestFit="1" customWidth="1"/>
    <col min="23" max="23" width="11.5546875" customWidth="1"/>
    <col min="24" max="24" width="11.44140625" customWidth="1"/>
    <col min="26" max="30" width="13" style="56" customWidth="1"/>
    <col min="31" max="31" width="12.44140625" customWidth="1"/>
    <col min="32" max="32" width="10.6640625" customWidth="1"/>
  </cols>
  <sheetData>
    <row r="1" spans="1:12" ht="19.2" x14ac:dyDescent="0.3">
      <c r="A1" s="683" t="s">
        <v>247</v>
      </c>
      <c r="B1" s="684"/>
      <c r="C1" s="9"/>
      <c r="D1" s="9"/>
      <c r="E1" s="9"/>
      <c r="F1" s="9"/>
      <c r="G1" s="9"/>
      <c r="H1" s="9"/>
    </row>
    <row r="2" spans="1:12" ht="38.4" x14ac:dyDescent="0.3">
      <c r="A2" s="198" t="s">
        <v>248</v>
      </c>
      <c r="B2" s="199">
        <f>'Расходы на П, строит-во, ввод'!W17</f>
        <v>50000</v>
      </c>
      <c r="C2" s="9"/>
      <c r="D2" s="9"/>
      <c r="E2" s="9"/>
      <c r="F2" s="9"/>
      <c r="G2" s="9"/>
      <c r="H2" s="9"/>
    </row>
    <row r="3" spans="1:12" ht="19.2" x14ac:dyDescent="0.3">
      <c r="A3" s="198" t="s">
        <v>249</v>
      </c>
      <c r="B3" s="200">
        <v>0.16</v>
      </c>
      <c r="C3" s="9"/>
      <c r="D3" s="9"/>
      <c r="E3" s="9"/>
      <c r="F3" s="9"/>
      <c r="G3" s="9"/>
      <c r="H3" s="9"/>
    </row>
    <row r="4" spans="1:12" ht="19.2" x14ac:dyDescent="0.3">
      <c r="A4" s="198" t="s">
        <v>250</v>
      </c>
      <c r="B4" s="201">
        <v>60</v>
      </c>
      <c r="C4" s="9"/>
      <c r="D4" s="9"/>
      <c r="E4" s="9"/>
      <c r="F4" s="9"/>
      <c r="G4" s="9"/>
      <c r="H4" s="9"/>
    </row>
    <row r="5" spans="1:12" ht="19.2" x14ac:dyDescent="0.3">
      <c r="A5" s="198" t="s">
        <v>251</v>
      </c>
      <c r="B5" s="202">
        <f>E70-B2</f>
        <v>22954.171349077384</v>
      </c>
      <c r="C5" s="9"/>
      <c r="D5" s="9"/>
      <c r="E5" s="9"/>
      <c r="F5" s="9"/>
      <c r="G5" s="9"/>
      <c r="H5" s="9"/>
    </row>
    <row r="6" spans="1:12" x14ac:dyDescent="0.3">
      <c r="B6" s="10"/>
      <c r="C6" s="9"/>
      <c r="D6" s="9"/>
      <c r="E6" s="9"/>
      <c r="F6" s="9"/>
      <c r="G6" s="9"/>
      <c r="H6" s="9"/>
    </row>
    <row r="7" spans="1:12" x14ac:dyDescent="0.3">
      <c r="B7" s="10"/>
      <c r="C7" s="9"/>
      <c r="D7" s="9"/>
      <c r="E7" s="9"/>
      <c r="F7" s="9"/>
      <c r="G7" s="9"/>
      <c r="H7" s="9"/>
    </row>
    <row r="8" spans="1:12" ht="57.6" x14ac:dyDescent="0.3">
      <c r="A8" s="469" t="s">
        <v>252</v>
      </c>
      <c r="B8" s="469" t="s">
        <v>253</v>
      </c>
      <c r="C8" s="469" t="s">
        <v>254</v>
      </c>
      <c r="D8" s="469" t="s">
        <v>255</v>
      </c>
      <c r="E8" s="469" t="s">
        <v>256</v>
      </c>
      <c r="F8" s="469" t="s">
        <v>257</v>
      </c>
      <c r="G8" s="469" t="s">
        <v>258</v>
      </c>
      <c r="H8" s="469" t="s">
        <v>244</v>
      </c>
      <c r="I8" s="470" t="s">
        <v>259</v>
      </c>
      <c r="J8" s="471" t="str">
        <f t="shared" ref="J8:J9" si="0">C8</f>
        <v>Выплата процентов</v>
      </c>
      <c r="K8" s="472" t="str">
        <f t="shared" ref="K8:L9" si="1">D8</f>
        <v>Выплата осн.долга</v>
      </c>
      <c r="L8" s="473" t="str">
        <f t="shared" si="1"/>
        <v>Итоговый платеж</v>
      </c>
    </row>
    <row r="9" spans="1:12" ht="19.2" x14ac:dyDescent="0.3">
      <c r="A9" s="202">
        <v>1</v>
      </c>
      <c r="B9" s="203">
        <f>$B$2</f>
        <v>50000</v>
      </c>
      <c r="C9" s="203">
        <f>B9*($B$3/12)</f>
        <v>666.66666666666674</v>
      </c>
      <c r="D9" s="203">
        <f>E9-C9</f>
        <v>549.23618915128986</v>
      </c>
      <c r="E9" s="203">
        <f>-PMT(B3/12,B4,B2)</f>
        <v>1215.9028558179566</v>
      </c>
      <c r="G9" s="203">
        <f>SUM(E9:E11)</f>
        <v>3647.7085674538698</v>
      </c>
      <c r="H9" s="203">
        <f>SUM(D9:D11)</f>
        <v>1669.775657009104</v>
      </c>
      <c r="I9" s="205">
        <v>9</v>
      </c>
      <c r="J9" s="206">
        <f t="shared" si="0"/>
        <v>666.66666666666674</v>
      </c>
      <c r="K9" s="206">
        <f t="shared" si="1"/>
        <v>549.23618915128986</v>
      </c>
      <c r="L9" s="204">
        <f>E9</f>
        <v>1215.9028558179566</v>
      </c>
    </row>
    <row r="10" spans="1:12" ht="19.2" x14ac:dyDescent="0.3">
      <c r="A10" s="202">
        <f>A9+1</f>
        <v>2</v>
      </c>
      <c r="B10" s="203">
        <f>$B$2-D9</f>
        <v>49450.763810848708</v>
      </c>
      <c r="C10" s="203">
        <f t="shared" ref="C10:C69" si="2">B10*($B$3/12)</f>
        <v>659.3435174779828</v>
      </c>
      <c r="D10" s="203">
        <f t="shared" ref="D10:D70" si="3">E10-C10</f>
        <v>556.55933833997381</v>
      </c>
      <c r="E10" s="203">
        <f>E9</f>
        <v>1215.9028558179566</v>
      </c>
      <c r="F10" s="203"/>
      <c r="G10" s="203"/>
      <c r="H10" s="203"/>
      <c r="I10" s="205">
        <f>I9+1</f>
        <v>10</v>
      </c>
      <c r="J10" s="675">
        <f>SUM(C10:C12)</f>
        <v>1955.6692350179778</v>
      </c>
      <c r="K10" s="675">
        <f>SUM(D10:D12)</f>
        <v>1692.039332435892</v>
      </c>
      <c r="L10" s="675">
        <f>SUM(E10:E12)</f>
        <v>3647.7085674538698</v>
      </c>
    </row>
    <row r="11" spans="1:12" ht="19.2" x14ac:dyDescent="0.3">
      <c r="A11" s="202">
        <f t="shared" ref="A11:A68" si="4">A10+1</f>
        <v>3</v>
      </c>
      <c r="B11" s="203">
        <f t="shared" ref="B11:B69" si="5">B10-D10</f>
        <v>48894.204472508733</v>
      </c>
      <c r="C11" s="203">
        <f t="shared" si="2"/>
        <v>651.92272630011644</v>
      </c>
      <c r="D11" s="203">
        <f t="shared" si="3"/>
        <v>563.98012951784017</v>
      </c>
      <c r="E11" s="203">
        <f t="shared" ref="E11:E68" si="6">E10</f>
        <v>1215.9028558179566</v>
      </c>
      <c r="F11" s="203"/>
      <c r="G11" s="203"/>
      <c r="H11" s="203"/>
      <c r="I11" s="205">
        <f t="shared" ref="I11:I68" si="7">I10+1</f>
        <v>11</v>
      </c>
      <c r="J11" s="676"/>
      <c r="K11" s="676"/>
      <c r="L11" s="676"/>
    </row>
    <row r="12" spans="1:12" ht="19.2" x14ac:dyDescent="0.3">
      <c r="A12" s="202">
        <f t="shared" si="4"/>
        <v>4</v>
      </c>
      <c r="B12" s="203">
        <f t="shared" si="5"/>
        <v>48330.224342990892</v>
      </c>
      <c r="C12" s="203">
        <f t="shared" si="2"/>
        <v>644.40299123987859</v>
      </c>
      <c r="D12" s="203">
        <f t="shared" si="3"/>
        <v>571.49986457807802</v>
      </c>
      <c r="E12" s="203">
        <f t="shared" si="6"/>
        <v>1215.9028558179566</v>
      </c>
      <c r="F12" s="203">
        <f>SUM(E9:E12)</f>
        <v>4863.6114232718264</v>
      </c>
      <c r="G12" s="203">
        <f t="shared" ref="G12:G66" si="8">SUM(E12:E14)</f>
        <v>3647.7085674538698</v>
      </c>
      <c r="H12" s="203">
        <f>SUM(D12:D14)</f>
        <v>1737.4611882932822</v>
      </c>
      <c r="I12" s="205">
        <f t="shared" si="7"/>
        <v>12</v>
      </c>
      <c r="J12" s="677"/>
      <c r="K12" s="677"/>
      <c r="L12" s="677"/>
    </row>
    <row r="13" spans="1:12" ht="19.2" x14ac:dyDescent="0.3">
      <c r="A13" s="202">
        <f t="shared" si="4"/>
        <v>5</v>
      </c>
      <c r="B13" s="203">
        <f t="shared" si="5"/>
        <v>47758.724478412812</v>
      </c>
      <c r="C13" s="203">
        <f t="shared" si="2"/>
        <v>636.78299304550421</v>
      </c>
      <c r="D13" s="203">
        <f t="shared" si="3"/>
        <v>579.11986277245239</v>
      </c>
      <c r="E13" s="203">
        <f t="shared" si="6"/>
        <v>1215.9028558179566</v>
      </c>
      <c r="F13" s="203"/>
      <c r="G13" s="203"/>
      <c r="H13" s="203"/>
      <c r="I13" s="205">
        <v>1</v>
      </c>
      <c r="J13" s="675">
        <f>SUM(C13:C15)</f>
        <v>1887.081229983344</v>
      </c>
      <c r="K13" s="675">
        <f>SUM(D13:D15)</f>
        <v>1760.6273374705258</v>
      </c>
      <c r="L13" s="675">
        <f>SUM(E13:E15)</f>
        <v>3647.7085674538698</v>
      </c>
    </row>
    <row r="14" spans="1:12" ht="23.25" customHeight="1" x14ac:dyDescent="0.3">
      <c r="A14" s="202">
        <f t="shared" si="4"/>
        <v>6</v>
      </c>
      <c r="B14" s="203">
        <f t="shared" si="5"/>
        <v>47179.604615640361</v>
      </c>
      <c r="C14" s="203">
        <f t="shared" si="2"/>
        <v>629.06139487520488</v>
      </c>
      <c r="D14" s="203">
        <f t="shared" si="3"/>
        <v>586.84146094275172</v>
      </c>
      <c r="E14" s="203">
        <f t="shared" si="6"/>
        <v>1215.9028558179566</v>
      </c>
      <c r="F14" s="203"/>
      <c r="G14" s="203"/>
      <c r="H14" s="203"/>
      <c r="I14" s="205">
        <f t="shared" si="7"/>
        <v>2</v>
      </c>
      <c r="J14" s="676"/>
      <c r="K14" s="676"/>
      <c r="L14" s="676"/>
    </row>
    <row r="15" spans="1:12" ht="19.2" x14ac:dyDescent="0.3">
      <c r="A15" s="202">
        <f t="shared" si="4"/>
        <v>7</v>
      </c>
      <c r="B15" s="203">
        <f t="shared" si="5"/>
        <v>46592.763154697612</v>
      </c>
      <c r="C15" s="203">
        <f t="shared" si="2"/>
        <v>621.23684206263488</v>
      </c>
      <c r="D15" s="203">
        <f t="shared" si="3"/>
        <v>594.66601375532173</v>
      </c>
      <c r="E15" s="203">
        <f t="shared" si="6"/>
        <v>1215.9028558179566</v>
      </c>
      <c r="F15" s="203"/>
      <c r="G15" s="203">
        <f t="shared" si="8"/>
        <v>3647.7085674538698</v>
      </c>
      <c r="H15" s="203">
        <f>SUM(D15:D17)</f>
        <v>1807.8904002186234</v>
      </c>
      <c r="I15" s="205">
        <f t="shared" si="7"/>
        <v>3</v>
      </c>
      <c r="J15" s="677"/>
      <c r="K15" s="677"/>
      <c r="L15" s="677"/>
    </row>
    <row r="16" spans="1:12" ht="19.2" x14ac:dyDescent="0.3">
      <c r="A16" s="202">
        <f t="shared" si="4"/>
        <v>8</v>
      </c>
      <c r="B16" s="203">
        <f t="shared" si="5"/>
        <v>45998.097140942293</v>
      </c>
      <c r="C16" s="203">
        <f t="shared" si="2"/>
        <v>613.30796187923056</v>
      </c>
      <c r="D16" s="203">
        <f t="shared" si="3"/>
        <v>602.59489393872605</v>
      </c>
      <c r="E16" s="203">
        <f t="shared" si="6"/>
        <v>1215.9028558179566</v>
      </c>
      <c r="F16" s="203"/>
      <c r="G16" s="203"/>
      <c r="H16" s="203"/>
      <c r="I16" s="205">
        <f t="shared" si="7"/>
        <v>4</v>
      </c>
      <c r="J16" s="675">
        <f>SUM(C16:C18)</f>
        <v>1815.7129618989982</v>
      </c>
      <c r="K16" s="675">
        <f>SUM(D16:D18)</f>
        <v>1831.9956055548716</v>
      </c>
      <c r="L16" s="675">
        <f>SUM(E16:E18)</f>
        <v>3647.7085674538698</v>
      </c>
    </row>
    <row r="17" spans="1:12" ht="19.2" x14ac:dyDescent="0.3">
      <c r="A17" s="202">
        <f t="shared" si="4"/>
        <v>9</v>
      </c>
      <c r="B17" s="203">
        <f t="shared" si="5"/>
        <v>45395.502247003569</v>
      </c>
      <c r="C17" s="203">
        <f t="shared" si="2"/>
        <v>605.27336329338095</v>
      </c>
      <c r="D17" s="203">
        <f t="shared" si="3"/>
        <v>610.62949252457565</v>
      </c>
      <c r="E17" s="203">
        <f t="shared" si="6"/>
        <v>1215.9028558179566</v>
      </c>
      <c r="F17" s="203"/>
      <c r="G17" s="203"/>
      <c r="H17" s="203"/>
      <c r="I17" s="205">
        <f t="shared" si="7"/>
        <v>5</v>
      </c>
      <c r="J17" s="676"/>
      <c r="K17" s="676"/>
      <c r="L17" s="676"/>
    </row>
    <row r="18" spans="1:12" ht="19.2" x14ac:dyDescent="0.3">
      <c r="A18" s="202">
        <f t="shared" si="4"/>
        <v>10</v>
      </c>
      <c r="B18" s="203">
        <f t="shared" si="5"/>
        <v>44784.872754478994</v>
      </c>
      <c r="C18" s="203">
        <f t="shared" si="2"/>
        <v>597.13163672638666</v>
      </c>
      <c r="D18" s="203">
        <f t="shared" si="3"/>
        <v>618.77121909156995</v>
      </c>
      <c r="E18" s="203">
        <f t="shared" si="6"/>
        <v>1215.9028558179566</v>
      </c>
      <c r="F18" s="203"/>
      <c r="G18" s="203">
        <f t="shared" si="8"/>
        <v>3647.7085674538698</v>
      </c>
      <c r="H18" s="203">
        <f>SUM(D18:D20)</f>
        <v>1881.1745098106558</v>
      </c>
      <c r="I18" s="205">
        <f t="shared" si="7"/>
        <v>6</v>
      </c>
      <c r="J18" s="676"/>
      <c r="K18" s="677"/>
      <c r="L18" s="677"/>
    </row>
    <row r="19" spans="1:12" ht="19.2" x14ac:dyDescent="0.3">
      <c r="A19" s="202">
        <f t="shared" si="4"/>
        <v>11</v>
      </c>
      <c r="B19" s="203">
        <f t="shared" si="5"/>
        <v>44166.101535387425</v>
      </c>
      <c r="C19" s="203">
        <f t="shared" si="2"/>
        <v>588.88135380516565</v>
      </c>
      <c r="D19" s="203">
        <f t="shared" si="3"/>
        <v>627.02150201279096</v>
      </c>
      <c r="E19" s="203">
        <f t="shared" si="6"/>
        <v>1215.9028558179566</v>
      </c>
      <c r="F19" s="203"/>
      <c r="G19" s="203"/>
      <c r="H19" s="203"/>
      <c r="I19" s="205">
        <f t="shared" si="7"/>
        <v>7</v>
      </c>
      <c r="J19" s="675">
        <f>SUM(C19:C21)</f>
        <v>1741.4517308457384</v>
      </c>
      <c r="K19" s="675">
        <f>SUM(D19:D21)</f>
        <v>1906.2568366081314</v>
      </c>
      <c r="L19" s="675">
        <f>SUM(E19:E21)</f>
        <v>3647.7085674538698</v>
      </c>
    </row>
    <row r="20" spans="1:12" ht="19.2" x14ac:dyDescent="0.3">
      <c r="A20" s="202">
        <f t="shared" si="4"/>
        <v>12</v>
      </c>
      <c r="B20" s="203">
        <f t="shared" si="5"/>
        <v>43539.08003337463</v>
      </c>
      <c r="C20" s="203">
        <f t="shared" si="2"/>
        <v>580.52106711166175</v>
      </c>
      <c r="D20" s="203">
        <f t="shared" si="3"/>
        <v>635.38178870629486</v>
      </c>
      <c r="E20" s="203">
        <f t="shared" si="6"/>
        <v>1215.9028558179566</v>
      </c>
      <c r="F20" s="82"/>
      <c r="G20" s="203"/>
      <c r="H20" s="203"/>
      <c r="I20" s="205">
        <f t="shared" si="7"/>
        <v>8</v>
      </c>
      <c r="J20" s="676"/>
      <c r="K20" s="676"/>
      <c r="L20" s="676"/>
    </row>
    <row r="21" spans="1:12" ht="19.2" x14ac:dyDescent="0.3">
      <c r="A21" s="202">
        <v>1</v>
      </c>
      <c r="B21" s="203">
        <f t="shared" si="5"/>
        <v>42903.698244668332</v>
      </c>
      <c r="C21" s="203">
        <f t="shared" si="2"/>
        <v>572.04930992891116</v>
      </c>
      <c r="D21" s="203">
        <f t="shared" si="3"/>
        <v>643.85354588904545</v>
      </c>
      <c r="E21" s="203">
        <f t="shared" si="6"/>
        <v>1215.9028558179566</v>
      </c>
      <c r="F21" s="82"/>
      <c r="G21" s="203">
        <f t="shared" si="8"/>
        <v>3647.7085674538698</v>
      </c>
      <c r="H21" s="203">
        <f t="shared" ref="H21:H66" si="9">SUM(D21:D23)</f>
        <v>1957.4292423553006</v>
      </c>
      <c r="I21" s="205">
        <f t="shared" si="7"/>
        <v>9</v>
      </c>
      <c r="J21" s="677"/>
      <c r="K21" s="677"/>
      <c r="L21" s="677"/>
    </row>
    <row r="22" spans="1:12" ht="19.2" x14ac:dyDescent="0.3">
      <c r="A22" s="202">
        <f t="shared" si="4"/>
        <v>2</v>
      </c>
      <c r="B22" s="203">
        <f t="shared" si="5"/>
        <v>42259.844698779285</v>
      </c>
      <c r="C22" s="203">
        <f t="shared" si="2"/>
        <v>563.46459598372383</v>
      </c>
      <c r="D22" s="203">
        <f t="shared" si="3"/>
        <v>652.43825983423278</v>
      </c>
      <c r="E22" s="203">
        <f t="shared" si="6"/>
        <v>1215.9028558179566</v>
      </c>
      <c r="F22" s="203"/>
      <c r="G22" s="203"/>
      <c r="H22" s="203"/>
      <c r="I22" s="205">
        <f t="shared" si="7"/>
        <v>10</v>
      </c>
      <c r="J22" s="675">
        <f>SUM(C22:C24)</f>
        <v>1664.1802685338316</v>
      </c>
      <c r="K22" s="675">
        <f>SUM(D22:D24)</f>
        <v>1983.5282989200382</v>
      </c>
      <c r="L22" s="675">
        <f>SUM(E22:E24)</f>
        <v>3647.7085674538698</v>
      </c>
    </row>
    <row r="23" spans="1:12" ht="19.2" x14ac:dyDescent="0.3">
      <c r="A23" s="202">
        <f t="shared" si="4"/>
        <v>3</v>
      </c>
      <c r="B23" s="203">
        <f t="shared" si="5"/>
        <v>41607.40643894505</v>
      </c>
      <c r="C23" s="203">
        <f t="shared" si="2"/>
        <v>554.76541918593409</v>
      </c>
      <c r="D23" s="203">
        <f t="shared" si="3"/>
        <v>661.13743663202251</v>
      </c>
      <c r="E23" s="203">
        <f t="shared" si="6"/>
        <v>1215.9028558179566</v>
      </c>
      <c r="F23" s="203"/>
      <c r="G23" s="203"/>
      <c r="H23" s="203"/>
      <c r="I23" s="205">
        <f t="shared" si="7"/>
        <v>11</v>
      </c>
      <c r="J23" s="676"/>
      <c r="K23" s="676"/>
      <c r="L23" s="676"/>
    </row>
    <row r="24" spans="1:12" ht="19.2" x14ac:dyDescent="0.3">
      <c r="A24" s="202">
        <f t="shared" si="4"/>
        <v>4</v>
      </c>
      <c r="B24" s="203">
        <f t="shared" si="5"/>
        <v>40946.269002313027</v>
      </c>
      <c r="C24" s="203">
        <f t="shared" si="2"/>
        <v>545.9502533641737</v>
      </c>
      <c r="D24" s="203">
        <f t="shared" si="3"/>
        <v>669.9526024537829</v>
      </c>
      <c r="E24" s="203">
        <f t="shared" si="6"/>
        <v>1215.9028558179566</v>
      </c>
      <c r="F24" s="203">
        <f>SUM(E13:E24)</f>
        <v>14590.834269815476</v>
      </c>
      <c r="G24" s="203">
        <f t="shared" si="8"/>
        <v>3647.7085674538698</v>
      </c>
      <c r="H24" s="203">
        <f t="shared" si="9"/>
        <v>2036.7750141443807</v>
      </c>
      <c r="I24" s="205">
        <f t="shared" si="7"/>
        <v>12</v>
      </c>
      <c r="J24" s="677"/>
      <c r="K24" s="677"/>
      <c r="L24" s="676"/>
    </row>
    <row r="25" spans="1:12" ht="19.2" x14ac:dyDescent="0.3">
      <c r="A25" s="202">
        <f t="shared" si="4"/>
        <v>5</v>
      </c>
      <c r="B25" s="203">
        <f t="shared" si="5"/>
        <v>40276.316399859243</v>
      </c>
      <c r="C25" s="203">
        <f t="shared" si="2"/>
        <v>537.01755199812328</v>
      </c>
      <c r="D25" s="203">
        <f t="shared" si="3"/>
        <v>678.88530381983333</v>
      </c>
      <c r="E25" s="203">
        <f t="shared" si="6"/>
        <v>1215.9028558179566</v>
      </c>
      <c r="F25" s="203"/>
      <c r="G25" s="203"/>
      <c r="H25" s="203"/>
      <c r="I25" s="205">
        <v>1</v>
      </c>
      <c r="J25" s="675">
        <f>SUM(C25:C27)</f>
        <v>1583.7765531208975</v>
      </c>
      <c r="K25" s="675">
        <f>SUM(D25:D27)</f>
        <v>2063.9320143329724</v>
      </c>
      <c r="L25" s="675">
        <f>SUM(E25:E27)</f>
        <v>3647.7085674538698</v>
      </c>
    </row>
    <row r="26" spans="1:12" ht="19.2" x14ac:dyDescent="0.3">
      <c r="A26" s="202">
        <f t="shared" si="4"/>
        <v>6</v>
      </c>
      <c r="B26" s="203">
        <f t="shared" si="5"/>
        <v>39597.431096039407</v>
      </c>
      <c r="C26" s="203">
        <f t="shared" si="2"/>
        <v>527.96574794719209</v>
      </c>
      <c r="D26" s="203">
        <f t="shared" si="3"/>
        <v>687.93710787076452</v>
      </c>
      <c r="E26" s="203">
        <f t="shared" si="6"/>
        <v>1215.9028558179566</v>
      </c>
      <c r="F26" s="203"/>
      <c r="G26" s="203"/>
      <c r="H26" s="203"/>
      <c r="I26" s="205">
        <f t="shared" si="7"/>
        <v>2</v>
      </c>
      <c r="J26" s="676"/>
      <c r="K26" s="676"/>
      <c r="L26" s="676"/>
    </row>
    <row r="27" spans="1:12" ht="19.2" x14ac:dyDescent="0.3">
      <c r="A27" s="202">
        <f t="shared" si="4"/>
        <v>7</v>
      </c>
      <c r="B27" s="203">
        <f t="shared" si="5"/>
        <v>38909.493988168644</v>
      </c>
      <c r="C27" s="203">
        <f t="shared" si="2"/>
        <v>518.79325317558198</v>
      </c>
      <c r="D27" s="203">
        <f t="shared" si="3"/>
        <v>697.10960264237463</v>
      </c>
      <c r="E27" s="203">
        <f t="shared" si="6"/>
        <v>1215.9028558179566</v>
      </c>
      <c r="F27" s="203"/>
      <c r="G27" s="203">
        <f t="shared" si="8"/>
        <v>3647.7085674538698</v>
      </c>
      <c r="H27" s="203">
        <f t="shared" si="9"/>
        <v>2119.3371226288446</v>
      </c>
      <c r="I27" s="205">
        <f t="shared" si="7"/>
        <v>3</v>
      </c>
      <c r="J27" s="677"/>
      <c r="K27" s="677"/>
      <c r="L27" s="677"/>
    </row>
    <row r="28" spans="1:12" ht="19.2" x14ac:dyDescent="0.3">
      <c r="A28" s="202">
        <f t="shared" si="4"/>
        <v>8</v>
      </c>
      <c r="B28" s="203">
        <f t="shared" si="5"/>
        <v>38212.384385526268</v>
      </c>
      <c r="C28" s="203">
        <f t="shared" si="2"/>
        <v>509.49845847368363</v>
      </c>
      <c r="D28" s="203">
        <f t="shared" si="3"/>
        <v>706.40439734427298</v>
      </c>
      <c r="E28" s="203">
        <f t="shared" si="6"/>
        <v>1215.9028558179566</v>
      </c>
      <c r="F28" s="203"/>
      <c r="G28" s="203"/>
      <c r="H28" s="203"/>
      <c r="I28" s="205">
        <f t="shared" si="7"/>
        <v>4</v>
      </c>
      <c r="J28" s="675">
        <f>SUM(C28:C30)</f>
        <v>1500.1136165233074</v>
      </c>
      <c r="K28" s="675">
        <f>SUM(D28:D30)</f>
        <v>2147.5949509305624</v>
      </c>
      <c r="L28" s="675">
        <f>SUM(E28:E30)</f>
        <v>3647.7085674538698</v>
      </c>
    </row>
    <row r="29" spans="1:12" ht="19.2" x14ac:dyDescent="0.3">
      <c r="A29" s="202">
        <f t="shared" si="4"/>
        <v>9</v>
      </c>
      <c r="B29" s="203">
        <f t="shared" si="5"/>
        <v>37505.979988181993</v>
      </c>
      <c r="C29" s="203">
        <f t="shared" si="2"/>
        <v>500.07973317575994</v>
      </c>
      <c r="D29" s="203">
        <f t="shared" si="3"/>
        <v>715.82312264219672</v>
      </c>
      <c r="E29" s="203">
        <f t="shared" si="6"/>
        <v>1215.9028558179566</v>
      </c>
      <c r="F29" s="203"/>
      <c r="G29" s="203"/>
      <c r="H29" s="203"/>
      <c r="I29" s="205">
        <f t="shared" si="7"/>
        <v>5</v>
      </c>
      <c r="J29" s="676"/>
      <c r="K29" s="676"/>
      <c r="L29" s="676"/>
    </row>
    <row r="30" spans="1:12" ht="19.2" x14ac:dyDescent="0.3">
      <c r="A30" s="202">
        <f t="shared" si="4"/>
        <v>10</v>
      </c>
      <c r="B30" s="203">
        <f t="shared" si="5"/>
        <v>36790.156865539793</v>
      </c>
      <c r="C30" s="203">
        <f t="shared" si="2"/>
        <v>490.53542487386392</v>
      </c>
      <c r="D30" s="203">
        <f t="shared" si="3"/>
        <v>725.36743094409269</v>
      </c>
      <c r="E30" s="203">
        <f t="shared" si="6"/>
        <v>1215.9028558179566</v>
      </c>
      <c r="F30" s="203"/>
      <c r="G30" s="203">
        <f t="shared" si="8"/>
        <v>3647.7085674538698</v>
      </c>
      <c r="H30" s="203">
        <f t="shared" si="9"/>
        <v>2205.2459442799873</v>
      </c>
      <c r="I30" s="205">
        <f t="shared" si="7"/>
        <v>6</v>
      </c>
      <c r="J30" s="677"/>
      <c r="K30" s="677"/>
      <c r="L30" s="677"/>
    </row>
    <row r="31" spans="1:12" ht="19.2" x14ac:dyDescent="0.3">
      <c r="A31" s="202">
        <f t="shared" si="4"/>
        <v>11</v>
      </c>
      <c r="B31" s="203">
        <f t="shared" si="5"/>
        <v>36064.789434595703</v>
      </c>
      <c r="C31" s="203">
        <f t="shared" si="2"/>
        <v>480.86385912794276</v>
      </c>
      <c r="D31" s="203">
        <f t="shared" si="3"/>
        <v>735.03899669001385</v>
      </c>
      <c r="E31" s="203">
        <f t="shared" si="6"/>
        <v>1215.9028558179566</v>
      </c>
      <c r="F31" s="203"/>
      <c r="G31" s="203"/>
      <c r="H31" s="203"/>
      <c r="I31" s="205">
        <f t="shared" si="7"/>
        <v>7</v>
      </c>
      <c r="J31" s="675">
        <f>SUM(C31:C33)</f>
        <v>1413.0593439168163</v>
      </c>
      <c r="K31" s="675">
        <f>SUM(D31:D33)</f>
        <v>2234.6492235370533</v>
      </c>
      <c r="L31" s="675">
        <f>SUM(E31:E33)</f>
        <v>3647.7085674538698</v>
      </c>
    </row>
    <row r="32" spans="1:12" ht="19.2" x14ac:dyDescent="0.3">
      <c r="A32" s="202">
        <f t="shared" si="4"/>
        <v>12</v>
      </c>
      <c r="B32" s="203">
        <f t="shared" si="5"/>
        <v>35329.750437905692</v>
      </c>
      <c r="C32" s="203">
        <f t="shared" si="2"/>
        <v>471.06333917207593</v>
      </c>
      <c r="D32" s="203">
        <f t="shared" si="3"/>
        <v>744.83951664588062</v>
      </c>
      <c r="E32" s="203">
        <f t="shared" si="6"/>
        <v>1215.9028558179566</v>
      </c>
      <c r="F32" s="203"/>
      <c r="G32" s="203"/>
      <c r="H32" s="203"/>
      <c r="I32" s="205">
        <f t="shared" si="7"/>
        <v>8</v>
      </c>
      <c r="J32" s="676"/>
      <c r="K32" s="676"/>
      <c r="L32" s="676"/>
    </row>
    <row r="33" spans="1:12" ht="19.2" x14ac:dyDescent="0.3">
      <c r="A33" s="202">
        <v>1</v>
      </c>
      <c r="B33" s="203">
        <f t="shared" si="5"/>
        <v>34584.910921259812</v>
      </c>
      <c r="C33" s="203">
        <f t="shared" si="2"/>
        <v>461.13214561679752</v>
      </c>
      <c r="D33" s="203">
        <f t="shared" si="3"/>
        <v>754.77071020115909</v>
      </c>
      <c r="E33" s="203">
        <f t="shared" si="6"/>
        <v>1215.9028558179566</v>
      </c>
      <c r="G33" s="203">
        <f t="shared" si="8"/>
        <v>3647.7085674538698</v>
      </c>
      <c r="H33" s="203">
        <f t="shared" si="9"/>
        <v>2294.6371404711153</v>
      </c>
      <c r="I33" s="205">
        <f t="shared" si="7"/>
        <v>9</v>
      </c>
      <c r="J33" s="677"/>
      <c r="K33" s="676"/>
      <c r="L33" s="677"/>
    </row>
    <row r="34" spans="1:12" ht="19.2" x14ac:dyDescent="0.3">
      <c r="A34" s="202">
        <f t="shared" si="4"/>
        <v>2</v>
      </c>
      <c r="B34" s="203">
        <f t="shared" si="5"/>
        <v>33830.14021105865</v>
      </c>
      <c r="C34" s="203">
        <f t="shared" si="2"/>
        <v>451.0685361474487</v>
      </c>
      <c r="D34" s="203">
        <f t="shared" si="3"/>
        <v>764.83431967050797</v>
      </c>
      <c r="E34" s="203">
        <f t="shared" si="6"/>
        <v>1215.9028558179566</v>
      </c>
      <c r="F34" s="203"/>
      <c r="G34" s="203"/>
      <c r="H34" s="203"/>
      <c r="I34" s="205">
        <f t="shared" si="7"/>
        <v>10</v>
      </c>
      <c r="J34" s="675">
        <f>SUM(C34:C36)</f>
        <v>1322.4762651098065</v>
      </c>
      <c r="K34" s="675">
        <f>SUM(D34:D36)</f>
        <v>2325.2323023440631</v>
      </c>
      <c r="L34" s="675">
        <f>SUM(E34:E36)</f>
        <v>3647.7085674538698</v>
      </c>
    </row>
    <row r="35" spans="1:12" ht="19.2" x14ac:dyDescent="0.3">
      <c r="A35" s="202">
        <f t="shared" si="4"/>
        <v>3</v>
      </c>
      <c r="B35" s="203">
        <f t="shared" si="5"/>
        <v>33065.30589138814</v>
      </c>
      <c r="C35" s="203">
        <f t="shared" si="2"/>
        <v>440.87074521850855</v>
      </c>
      <c r="D35" s="203">
        <f t="shared" si="3"/>
        <v>775.03211059944806</v>
      </c>
      <c r="E35" s="203">
        <f t="shared" si="6"/>
        <v>1215.9028558179566</v>
      </c>
      <c r="F35" s="203"/>
      <c r="G35" s="203"/>
      <c r="H35" s="203"/>
      <c r="I35" s="207">
        <f t="shared" si="7"/>
        <v>11</v>
      </c>
      <c r="J35" s="676"/>
      <c r="K35" s="676"/>
      <c r="L35" s="676"/>
    </row>
    <row r="36" spans="1:12" ht="19.2" x14ac:dyDescent="0.3">
      <c r="A36" s="202">
        <f t="shared" si="4"/>
        <v>4</v>
      </c>
      <c r="B36" s="203">
        <f t="shared" si="5"/>
        <v>32290.273780788692</v>
      </c>
      <c r="C36" s="203">
        <f t="shared" si="2"/>
        <v>430.53698374384925</v>
      </c>
      <c r="D36" s="203">
        <f t="shared" si="3"/>
        <v>785.3658720741073</v>
      </c>
      <c r="E36" s="203">
        <f t="shared" si="6"/>
        <v>1215.9028558179566</v>
      </c>
      <c r="F36" s="203">
        <f>SUM(E25:E36)</f>
        <v>14590.834269815476</v>
      </c>
      <c r="G36" s="203">
        <f t="shared" si="8"/>
        <v>3647.7085674538698</v>
      </c>
      <c r="H36" s="203">
        <f t="shared" si="9"/>
        <v>2387.6518717047661</v>
      </c>
      <c r="I36" s="207">
        <f t="shared" si="7"/>
        <v>12</v>
      </c>
      <c r="J36" s="677"/>
      <c r="K36" s="677"/>
      <c r="L36" s="677"/>
    </row>
    <row r="37" spans="1:12" ht="19.2" x14ac:dyDescent="0.3">
      <c r="A37" s="202">
        <f t="shared" si="4"/>
        <v>5</v>
      </c>
      <c r="B37" s="203">
        <f t="shared" si="5"/>
        <v>31504.907908714584</v>
      </c>
      <c r="C37" s="203">
        <f t="shared" si="2"/>
        <v>420.06543878286112</v>
      </c>
      <c r="D37" s="203">
        <f t="shared" si="3"/>
        <v>795.83741703509554</v>
      </c>
      <c r="E37" s="203">
        <f t="shared" si="6"/>
        <v>1215.9028558179566</v>
      </c>
      <c r="F37" s="203"/>
      <c r="G37" s="203"/>
      <c r="H37" s="203"/>
      <c r="I37" s="207">
        <v>1</v>
      </c>
      <c r="J37" s="675">
        <f>SUM(C37:C39)</f>
        <v>1228.2213374597068</v>
      </c>
      <c r="K37" s="678">
        <f>SUM(D37:D39)</f>
        <v>2419.487229994163</v>
      </c>
      <c r="L37" s="675">
        <f>SUM(E37:E39)</f>
        <v>3647.7085674538698</v>
      </c>
    </row>
    <row r="38" spans="1:12" ht="19.2" x14ac:dyDescent="0.3">
      <c r="A38" s="202">
        <f t="shared" si="4"/>
        <v>6</v>
      </c>
      <c r="B38" s="203">
        <f t="shared" si="5"/>
        <v>30709.070491679489</v>
      </c>
      <c r="C38" s="203">
        <f t="shared" si="2"/>
        <v>409.45427322239323</v>
      </c>
      <c r="D38" s="203">
        <f t="shared" si="3"/>
        <v>806.44858259556338</v>
      </c>
      <c r="E38" s="203">
        <f t="shared" si="6"/>
        <v>1215.9028558179566</v>
      </c>
      <c r="F38" s="203"/>
      <c r="G38" s="203"/>
      <c r="H38" s="203"/>
      <c r="I38" s="207">
        <f t="shared" si="7"/>
        <v>2</v>
      </c>
      <c r="J38" s="676"/>
      <c r="K38" s="679"/>
      <c r="L38" s="676"/>
    </row>
    <row r="39" spans="1:12" ht="19.2" x14ac:dyDescent="0.3">
      <c r="A39" s="202">
        <f t="shared" si="4"/>
        <v>7</v>
      </c>
      <c r="B39" s="203">
        <f t="shared" si="5"/>
        <v>29902.621909083926</v>
      </c>
      <c r="C39" s="203">
        <f t="shared" si="2"/>
        <v>398.70162545445237</v>
      </c>
      <c r="D39" s="203">
        <f t="shared" si="3"/>
        <v>817.20123036350424</v>
      </c>
      <c r="E39" s="203">
        <f t="shared" si="6"/>
        <v>1215.9028558179566</v>
      </c>
      <c r="F39" s="203"/>
      <c r="G39" s="203">
        <f t="shared" si="8"/>
        <v>3647.7085674538698</v>
      </c>
      <c r="H39" s="203">
        <f t="shared" si="9"/>
        <v>2484.4370205237842</v>
      </c>
      <c r="I39" s="207">
        <f t="shared" si="7"/>
        <v>3</v>
      </c>
      <c r="J39" s="677"/>
      <c r="K39" s="679"/>
      <c r="L39" s="677"/>
    </row>
    <row r="40" spans="1:12" ht="19.2" x14ac:dyDescent="0.3">
      <c r="A40" s="202">
        <f t="shared" si="4"/>
        <v>8</v>
      </c>
      <c r="B40" s="203">
        <f t="shared" si="5"/>
        <v>29085.42067872042</v>
      </c>
      <c r="C40" s="203">
        <f t="shared" si="2"/>
        <v>387.80560904960561</v>
      </c>
      <c r="D40" s="203">
        <f t="shared" si="3"/>
        <v>828.09724676835094</v>
      </c>
      <c r="E40" s="203">
        <f t="shared" si="6"/>
        <v>1215.9028558179566</v>
      </c>
      <c r="F40" s="203"/>
      <c r="G40" s="203"/>
      <c r="H40" s="203"/>
      <c r="I40" s="207">
        <f t="shared" si="7"/>
        <v>4</v>
      </c>
      <c r="J40" s="675">
        <f>SUM(C40:C42)</f>
        <v>1130.1457199897686</v>
      </c>
      <c r="K40" s="678">
        <f>SUM(D40:D42)</f>
        <v>2517.5628474641012</v>
      </c>
      <c r="L40" s="675">
        <f>SUM(E40:E42)</f>
        <v>3647.7085674538698</v>
      </c>
    </row>
    <row r="41" spans="1:12" ht="19.2" x14ac:dyDescent="0.3">
      <c r="A41" s="202">
        <f t="shared" si="4"/>
        <v>9</v>
      </c>
      <c r="B41" s="203">
        <f t="shared" si="5"/>
        <v>28257.323431952071</v>
      </c>
      <c r="C41" s="203">
        <f t="shared" si="2"/>
        <v>376.76431242602763</v>
      </c>
      <c r="D41" s="203">
        <f t="shared" si="3"/>
        <v>839.13854339192903</v>
      </c>
      <c r="E41" s="203">
        <f t="shared" si="6"/>
        <v>1215.9028558179566</v>
      </c>
      <c r="F41" s="203"/>
      <c r="G41" s="203"/>
      <c r="H41" s="203"/>
      <c r="I41" s="207">
        <f t="shared" si="7"/>
        <v>5</v>
      </c>
      <c r="J41" s="676"/>
      <c r="K41" s="679"/>
      <c r="L41" s="676"/>
    </row>
    <row r="42" spans="1:12" ht="19.2" x14ac:dyDescent="0.3">
      <c r="A42" s="202">
        <f t="shared" si="4"/>
        <v>10</v>
      </c>
      <c r="B42" s="203">
        <f t="shared" si="5"/>
        <v>27418.184888560143</v>
      </c>
      <c r="C42" s="203">
        <f t="shared" si="2"/>
        <v>365.57579851413527</v>
      </c>
      <c r="D42" s="203">
        <f t="shared" si="3"/>
        <v>850.32705730382133</v>
      </c>
      <c r="E42" s="203">
        <f t="shared" si="6"/>
        <v>1215.9028558179566</v>
      </c>
      <c r="F42" s="203"/>
      <c r="G42" s="203">
        <f t="shared" si="8"/>
        <v>3647.7085674538698</v>
      </c>
      <c r="H42" s="203">
        <f t="shared" si="9"/>
        <v>2585.1454234582488</v>
      </c>
      <c r="I42" s="207">
        <f t="shared" si="7"/>
        <v>6</v>
      </c>
      <c r="J42" s="677"/>
      <c r="K42" s="680"/>
      <c r="L42" s="677"/>
    </row>
    <row r="43" spans="1:12" ht="19.2" x14ac:dyDescent="0.3">
      <c r="A43" s="202">
        <f t="shared" si="4"/>
        <v>11</v>
      </c>
      <c r="B43" s="203">
        <f t="shared" si="5"/>
        <v>26567.857831256322</v>
      </c>
      <c r="C43" s="203">
        <f t="shared" si="2"/>
        <v>354.23810441675101</v>
      </c>
      <c r="D43" s="203">
        <f t="shared" si="3"/>
        <v>861.66475140120565</v>
      </c>
      <c r="E43" s="203">
        <f t="shared" si="6"/>
        <v>1215.9028558179566</v>
      </c>
      <c r="F43" s="203"/>
      <c r="G43" s="203"/>
      <c r="H43" s="203"/>
      <c r="I43" s="207">
        <f t="shared" si="7"/>
        <v>7</v>
      </c>
      <c r="J43" s="675">
        <f>SUM(C43:C45)</f>
        <v>1028.0945383495114</v>
      </c>
      <c r="K43" s="678">
        <f>SUM(D43:D45)</f>
        <v>2619.6140291043585</v>
      </c>
      <c r="L43" s="675">
        <f>SUM(E43:E45)</f>
        <v>3647.7085674538698</v>
      </c>
    </row>
    <row r="44" spans="1:12" ht="19.2" x14ac:dyDescent="0.3">
      <c r="A44" s="202">
        <f t="shared" si="4"/>
        <v>12</v>
      </c>
      <c r="B44" s="203">
        <f t="shared" si="5"/>
        <v>25706.193079855118</v>
      </c>
      <c r="C44" s="203">
        <f t="shared" si="2"/>
        <v>342.74924106473492</v>
      </c>
      <c r="D44" s="203">
        <f t="shared" si="3"/>
        <v>873.15361475322175</v>
      </c>
      <c r="E44" s="203">
        <f t="shared" si="6"/>
        <v>1215.9028558179566</v>
      </c>
      <c r="F44" s="203"/>
      <c r="G44" s="203"/>
      <c r="H44" s="203"/>
      <c r="I44" s="207">
        <f t="shared" si="7"/>
        <v>8</v>
      </c>
      <c r="J44" s="676"/>
      <c r="K44" s="679"/>
      <c r="L44" s="676"/>
    </row>
    <row r="45" spans="1:12" ht="19.2" x14ac:dyDescent="0.3">
      <c r="A45" s="202">
        <v>1</v>
      </c>
      <c r="B45" s="203">
        <f t="shared" si="5"/>
        <v>24833.039465101898</v>
      </c>
      <c r="C45" s="203">
        <f t="shared" si="2"/>
        <v>331.10719286802532</v>
      </c>
      <c r="D45" s="203">
        <f t="shared" si="3"/>
        <v>884.79566294993128</v>
      </c>
      <c r="E45" s="203">
        <f t="shared" si="6"/>
        <v>1215.9028558179566</v>
      </c>
      <c r="G45" s="203">
        <f t="shared" si="8"/>
        <v>3647.7085674538698</v>
      </c>
      <c r="H45" s="203">
        <f t="shared" si="9"/>
        <v>2689.9361123745375</v>
      </c>
      <c r="I45" s="207">
        <f t="shared" si="7"/>
        <v>9</v>
      </c>
      <c r="J45" s="677"/>
      <c r="K45" s="680"/>
      <c r="L45" s="677"/>
    </row>
    <row r="46" spans="1:12" ht="19.2" x14ac:dyDescent="0.3">
      <c r="A46" s="202">
        <f t="shared" si="4"/>
        <v>2</v>
      </c>
      <c r="B46" s="203">
        <f t="shared" si="5"/>
        <v>23948.243802151967</v>
      </c>
      <c r="C46" s="203">
        <f t="shared" si="2"/>
        <v>319.30991736202623</v>
      </c>
      <c r="D46" s="203">
        <f t="shared" si="3"/>
        <v>896.59293845593038</v>
      </c>
      <c r="E46" s="203">
        <f t="shared" si="6"/>
        <v>1215.9028558179566</v>
      </c>
      <c r="F46" s="203"/>
      <c r="G46" s="203"/>
      <c r="H46" s="203"/>
      <c r="I46" s="207">
        <f t="shared" si="7"/>
        <v>10</v>
      </c>
      <c r="J46" s="675">
        <f>SUM(C46:C48)</f>
        <v>921.90664024767148</v>
      </c>
      <c r="K46" s="678">
        <f>SUM(D46:D48)</f>
        <v>2725.8019272061983</v>
      </c>
      <c r="L46" s="675">
        <f>SUM(E46:E48)</f>
        <v>3647.7085674538698</v>
      </c>
    </row>
    <row r="47" spans="1:12" ht="19.2" x14ac:dyDescent="0.3">
      <c r="A47" s="202">
        <f t="shared" si="4"/>
        <v>3</v>
      </c>
      <c r="B47" s="203">
        <f t="shared" si="5"/>
        <v>23051.650863696035</v>
      </c>
      <c r="C47" s="203">
        <f t="shared" si="2"/>
        <v>307.35534484928047</v>
      </c>
      <c r="D47" s="203">
        <f t="shared" si="3"/>
        <v>908.54751096867608</v>
      </c>
      <c r="E47" s="203">
        <f t="shared" si="6"/>
        <v>1215.9028558179566</v>
      </c>
      <c r="F47" s="203"/>
      <c r="G47" s="203"/>
      <c r="H47" s="203"/>
      <c r="I47" s="207">
        <f t="shared" si="7"/>
        <v>11</v>
      </c>
      <c r="J47" s="676"/>
      <c r="K47" s="679"/>
      <c r="L47" s="676"/>
    </row>
    <row r="48" spans="1:12" ht="19.2" x14ac:dyDescent="0.3">
      <c r="A48" s="202">
        <f t="shared" si="4"/>
        <v>4</v>
      </c>
      <c r="B48" s="203">
        <f t="shared" si="5"/>
        <v>22143.103352727358</v>
      </c>
      <c r="C48" s="203">
        <f t="shared" si="2"/>
        <v>295.24137803636478</v>
      </c>
      <c r="D48" s="203">
        <f t="shared" si="3"/>
        <v>920.66147778159188</v>
      </c>
      <c r="E48" s="203">
        <f t="shared" si="6"/>
        <v>1215.9028558179566</v>
      </c>
      <c r="F48" s="203">
        <f>SUM(E37:E48)</f>
        <v>14590.834269815476</v>
      </c>
      <c r="G48" s="203">
        <f t="shared" si="8"/>
        <v>3647.7085674538698</v>
      </c>
      <c r="H48" s="203">
        <f t="shared" si="9"/>
        <v>2798.9745656076448</v>
      </c>
      <c r="I48" s="207">
        <f t="shared" si="7"/>
        <v>12</v>
      </c>
      <c r="J48" s="677"/>
      <c r="K48" s="680"/>
      <c r="L48" s="676"/>
    </row>
    <row r="49" spans="1:12" ht="19.2" x14ac:dyDescent="0.3">
      <c r="A49" s="202">
        <f t="shared" si="4"/>
        <v>5</v>
      </c>
      <c r="B49" s="203">
        <f t="shared" si="5"/>
        <v>21222.441874945765</v>
      </c>
      <c r="C49" s="203">
        <f t="shared" si="2"/>
        <v>282.96589166594356</v>
      </c>
      <c r="D49" s="203">
        <f t="shared" si="3"/>
        <v>932.93696415201305</v>
      </c>
      <c r="E49" s="203">
        <f t="shared" si="6"/>
        <v>1215.9028558179566</v>
      </c>
      <c r="F49" s="203"/>
      <c r="G49" s="203"/>
      <c r="H49" s="203"/>
      <c r="I49" s="207">
        <v>1</v>
      </c>
      <c r="J49" s="675">
        <f>SUM(C49:C51)</f>
        <v>811.41434097145657</v>
      </c>
      <c r="K49" s="678">
        <f>SUM(D49:D51)</f>
        <v>2836.2942264824133</v>
      </c>
      <c r="L49" s="675">
        <f>SUM(E49:E51)</f>
        <v>3647.7085674538698</v>
      </c>
    </row>
    <row r="50" spans="1:12" ht="19.2" x14ac:dyDescent="0.3">
      <c r="A50" s="202">
        <f t="shared" si="4"/>
        <v>6</v>
      </c>
      <c r="B50" s="203">
        <f t="shared" si="5"/>
        <v>20289.504910793752</v>
      </c>
      <c r="C50" s="203">
        <f t="shared" si="2"/>
        <v>270.52673214391672</v>
      </c>
      <c r="D50" s="203">
        <f t="shared" si="3"/>
        <v>945.37612367403995</v>
      </c>
      <c r="E50" s="203">
        <f t="shared" si="6"/>
        <v>1215.9028558179566</v>
      </c>
      <c r="F50" s="203"/>
      <c r="G50" s="203"/>
      <c r="H50" s="203"/>
      <c r="I50" s="207">
        <f t="shared" si="7"/>
        <v>2</v>
      </c>
      <c r="J50" s="676"/>
      <c r="K50" s="679"/>
      <c r="L50" s="676"/>
    </row>
    <row r="51" spans="1:12" ht="19.2" x14ac:dyDescent="0.3">
      <c r="A51" s="202">
        <f t="shared" si="4"/>
        <v>7</v>
      </c>
      <c r="B51" s="203">
        <f t="shared" si="5"/>
        <v>19344.128787119713</v>
      </c>
      <c r="C51" s="203">
        <f t="shared" si="2"/>
        <v>257.92171716159618</v>
      </c>
      <c r="D51" s="203">
        <f t="shared" si="3"/>
        <v>957.98113865636037</v>
      </c>
      <c r="E51" s="203">
        <f t="shared" si="6"/>
        <v>1215.9028558179566</v>
      </c>
      <c r="F51" s="203"/>
      <c r="G51" s="203">
        <f t="shared" si="8"/>
        <v>3647.7085674538698</v>
      </c>
      <c r="H51" s="203">
        <f t="shared" si="9"/>
        <v>2912.432969273319</v>
      </c>
      <c r="I51" s="207">
        <f t="shared" si="7"/>
        <v>3</v>
      </c>
      <c r="J51" s="677"/>
      <c r="K51" s="680"/>
      <c r="L51" s="677"/>
    </row>
    <row r="52" spans="1:12" ht="19.2" x14ac:dyDescent="0.3">
      <c r="A52" s="202">
        <f t="shared" si="4"/>
        <v>8</v>
      </c>
      <c r="B52" s="203">
        <f t="shared" si="5"/>
        <v>18386.147648463353</v>
      </c>
      <c r="C52" s="203">
        <f t="shared" si="2"/>
        <v>245.14863531284473</v>
      </c>
      <c r="D52" s="203">
        <f t="shared" si="3"/>
        <v>970.7542205051119</v>
      </c>
      <c r="E52" s="203">
        <f t="shared" si="6"/>
        <v>1215.9028558179566</v>
      </c>
      <c r="F52" s="203"/>
      <c r="G52" s="203"/>
      <c r="H52" s="203"/>
      <c r="I52" s="207">
        <f t="shared" si="7"/>
        <v>4</v>
      </c>
      <c r="J52" s="675">
        <f>SUM(C52:C54)</f>
        <v>696.44315859024005</v>
      </c>
      <c r="K52" s="678">
        <f>SUM(D52:D54)</f>
        <v>2951.26540886363</v>
      </c>
      <c r="L52" s="675">
        <f>SUM(E52:E54)</f>
        <v>3647.7085674538698</v>
      </c>
    </row>
    <row r="53" spans="1:12" ht="19.2" x14ac:dyDescent="0.3">
      <c r="A53" s="202">
        <f t="shared" si="4"/>
        <v>9</v>
      </c>
      <c r="B53" s="203">
        <f t="shared" si="5"/>
        <v>17415.393427958243</v>
      </c>
      <c r="C53" s="203">
        <f t="shared" si="2"/>
        <v>232.20524570610991</v>
      </c>
      <c r="D53" s="203">
        <f t="shared" si="3"/>
        <v>983.69761011184664</v>
      </c>
      <c r="E53" s="203">
        <f t="shared" si="6"/>
        <v>1215.9028558179566</v>
      </c>
      <c r="F53" s="203"/>
      <c r="G53" s="203"/>
      <c r="H53" s="203"/>
      <c r="I53" s="207">
        <f t="shared" si="7"/>
        <v>5</v>
      </c>
      <c r="J53" s="676"/>
      <c r="K53" s="679"/>
      <c r="L53" s="676"/>
    </row>
    <row r="54" spans="1:12" ht="19.2" x14ac:dyDescent="0.3">
      <c r="A54" s="202">
        <f t="shared" si="4"/>
        <v>10</v>
      </c>
      <c r="B54" s="203">
        <f t="shared" si="5"/>
        <v>16431.695817846397</v>
      </c>
      <c r="C54" s="203">
        <f t="shared" si="2"/>
        <v>219.08927757128532</v>
      </c>
      <c r="D54" s="203">
        <f t="shared" si="3"/>
        <v>996.81357824667134</v>
      </c>
      <c r="E54" s="203">
        <f t="shared" si="6"/>
        <v>1215.9028558179566</v>
      </c>
      <c r="F54" s="203"/>
      <c r="G54" s="203">
        <f t="shared" si="8"/>
        <v>3647.7085674538698</v>
      </c>
      <c r="H54" s="203">
        <f t="shared" si="9"/>
        <v>3030.4904891726801</v>
      </c>
      <c r="I54" s="207">
        <f t="shared" si="7"/>
        <v>6</v>
      </c>
      <c r="J54" s="677"/>
      <c r="K54" s="680"/>
      <c r="L54" s="677"/>
    </row>
    <row r="55" spans="1:12" ht="19.2" x14ac:dyDescent="0.3">
      <c r="A55" s="202">
        <f t="shared" si="4"/>
        <v>11</v>
      </c>
      <c r="B55" s="203">
        <f t="shared" si="5"/>
        <v>15434.882239599727</v>
      </c>
      <c r="C55" s="203">
        <f t="shared" si="2"/>
        <v>205.79842986132971</v>
      </c>
      <c r="D55" s="203">
        <f t="shared" si="3"/>
        <v>1010.1044259566269</v>
      </c>
      <c r="E55" s="203">
        <f t="shared" si="6"/>
        <v>1215.9028558179566</v>
      </c>
      <c r="F55" s="203"/>
      <c r="G55" s="203"/>
      <c r="H55" s="203"/>
      <c r="I55" s="207">
        <f t="shared" si="7"/>
        <v>7</v>
      </c>
      <c r="J55" s="675">
        <f>SUM(C55:C57)</f>
        <v>576.81153842555398</v>
      </c>
      <c r="K55" s="678">
        <f>SUM(D55:D57)</f>
        <v>3070.897029028316</v>
      </c>
      <c r="L55" s="675">
        <f>SUM(E55:E57)</f>
        <v>3647.7085674538698</v>
      </c>
    </row>
    <row r="56" spans="1:12" ht="19.2" x14ac:dyDescent="0.3">
      <c r="A56" s="202">
        <f t="shared" si="4"/>
        <v>12</v>
      </c>
      <c r="B56" s="203">
        <f t="shared" si="5"/>
        <v>14424.777813643101</v>
      </c>
      <c r="C56" s="203">
        <f t="shared" si="2"/>
        <v>192.33037084857469</v>
      </c>
      <c r="D56" s="203">
        <f t="shared" si="3"/>
        <v>1023.5724849693819</v>
      </c>
      <c r="E56" s="203">
        <f t="shared" si="6"/>
        <v>1215.9028558179566</v>
      </c>
      <c r="F56" s="203"/>
      <c r="G56" s="203"/>
      <c r="H56" s="203"/>
      <c r="I56" s="207">
        <f t="shared" si="7"/>
        <v>8</v>
      </c>
      <c r="J56" s="676"/>
      <c r="K56" s="679"/>
      <c r="L56" s="676"/>
    </row>
    <row r="57" spans="1:12" ht="19.2" x14ac:dyDescent="0.3">
      <c r="A57" s="202">
        <v>1</v>
      </c>
      <c r="B57" s="203">
        <f t="shared" si="5"/>
        <v>13401.205328673719</v>
      </c>
      <c r="C57" s="203">
        <f t="shared" si="2"/>
        <v>178.68273771564961</v>
      </c>
      <c r="D57" s="203">
        <f t="shared" si="3"/>
        <v>1037.220118102307</v>
      </c>
      <c r="E57" s="203">
        <f t="shared" si="6"/>
        <v>1215.9028558179566</v>
      </c>
      <c r="G57" s="203">
        <f t="shared" si="8"/>
        <v>3647.7085674538698</v>
      </c>
      <c r="H57" s="203">
        <f t="shared" si="9"/>
        <v>3153.3335537186758</v>
      </c>
      <c r="I57" s="207">
        <f t="shared" si="7"/>
        <v>9</v>
      </c>
      <c r="J57" s="677"/>
      <c r="K57" s="679"/>
      <c r="L57" s="677"/>
    </row>
    <row r="58" spans="1:12" ht="19.2" x14ac:dyDescent="0.3">
      <c r="A58" s="202">
        <f t="shared" si="4"/>
        <v>2</v>
      </c>
      <c r="B58" s="203">
        <f t="shared" si="5"/>
        <v>12363.985210571413</v>
      </c>
      <c r="C58" s="203">
        <f t="shared" si="2"/>
        <v>164.85313614095219</v>
      </c>
      <c r="D58" s="203">
        <f t="shared" si="3"/>
        <v>1051.0497196770043</v>
      </c>
      <c r="E58" s="203">
        <f t="shared" si="6"/>
        <v>1215.9028558179566</v>
      </c>
      <c r="F58" s="203"/>
      <c r="G58" s="203"/>
      <c r="H58" s="203"/>
      <c r="I58" s="207">
        <f t="shared" si="7"/>
        <v>10</v>
      </c>
      <c r="J58" s="675">
        <f>SUM(C58:C60)</f>
        <v>452.3305663522782</v>
      </c>
      <c r="K58" s="678">
        <f>SUM(D58:D60)</f>
        <v>3195.3780011015915</v>
      </c>
      <c r="L58" s="675">
        <f>SUM(E58:E60)</f>
        <v>3647.7085674538698</v>
      </c>
    </row>
    <row r="59" spans="1:12" ht="19.2" x14ac:dyDescent="0.3">
      <c r="A59" s="202">
        <f t="shared" si="4"/>
        <v>3</v>
      </c>
      <c r="B59" s="203">
        <f t="shared" si="5"/>
        <v>11312.935490894408</v>
      </c>
      <c r="C59" s="203">
        <f t="shared" si="2"/>
        <v>150.83913987859211</v>
      </c>
      <c r="D59" s="203">
        <f t="shared" si="3"/>
        <v>1065.0637159393646</v>
      </c>
      <c r="E59" s="203">
        <f t="shared" si="6"/>
        <v>1215.9028558179566</v>
      </c>
      <c r="F59" s="203"/>
      <c r="G59" s="203"/>
      <c r="H59" s="203"/>
      <c r="I59" s="207">
        <f t="shared" si="7"/>
        <v>11</v>
      </c>
      <c r="J59" s="676"/>
      <c r="K59" s="679"/>
      <c r="L59" s="676"/>
    </row>
    <row r="60" spans="1:12" ht="19.2" x14ac:dyDescent="0.3">
      <c r="A60" s="202">
        <f t="shared" si="4"/>
        <v>4</v>
      </c>
      <c r="B60" s="203">
        <f t="shared" si="5"/>
        <v>10247.871774955043</v>
      </c>
      <c r="C60" s="203">
        <f t="shared" si="2"/>
        <v>136.63829033273393</v>
      </c>
      <c r="D60" s="203">
        <f t="shared" si="3"/>
        <v>1079.2645654852226</v>
      </c>
      <c r="E60" s="203">
        <f t="shared" si="6"/>
        <v>1215.9028558179566</v>
      </c>
      <c r="F60" s="203">
        <f>SUM(E49:E60)</f>
        <v>14590.834269815476</v>
      </c>
      <c r="G60" s="203">
        <f t="shared" si="8"/>
        <v>3647.7085674538698</v>
      </c>
      <c r="H60" s="203">
        <f t="shared" si="9"/>
        <v>3281.156148331163</v>
      </c>
      <c r="I60" s="207">
        <f t="shared" si="7"/>
        <v>12</v>
      </c>
      <c r="J60" s="677"/>
      <c r="K60" s="680"/>
      <c r="L60" s="677"/>
    </row>
    <row r="61" spans="1:12" ht="19.2" x14ac:dyDescent="0.3">
      <c r="A61" s="202">
        <f t="shared" si="4"/>
        <v>5</v>
      </c>
      <c r="B61" s="203">
        <f t="shared" si="5"/>
        <v>9168.6072094698211</v>
      </c>
      <c r="C61" s="203">
        <f t="shared" si="2"/>
        <v>122.24809612626429</v>
      </c>
      <c r="D61" s="203">
        <f t="shared" si="3"/>
        <v>1093.6547596916923</v>
      </c>
      <c r="E61" s="203">
        <f t="shared" si="6"/>
        <v>1215.9028558179566</v>
      </c>
      <c r="F61" s="203"/>
      <c r="G61" s="203"/>
      <c r="H61" s="203"/>
      <c r="I61" s="207">
        <v>1</v>
      </c>
      <c r="J61" s="675">
        <f>SUM(C61:C63)</f>
        <v>322.80367047829105</v>
      </c>
      <c r="K61" s="678">
        <f>SUM(D61:D63)</f>
        <v>3324.9048969755786</v>
      </c>
      <c r="L61" s="675">
        <f>SUM(E61:E63)</f>
        <v>3647.7085674538698</v>
      </c>
    </row>
    <row r="62" spans="1:12" ht="19.2" x14ac:dyDescent="0.3">
      <c r="A62" s="202">
        <f t="shared" si="4"/>
        <v>6</v>
      </c>
      <c r="B62" s="203">
        <f t="shared" si="5"/>
        <v>8074.9524497781285</v>
      </c>
      <c r="C62" s="203">
        <f t="shared" si="2"/>
        <v>107.66603266370839</v>
      </c>
      <c r="D62" s="203">
        <f t="shared" si="3"/>
        <v>1108.2368231542482</v>
      </c>
      <c r="E62" s="203">
        <f t="shared" si="6"/>
        <v>1215.9028558179566</v>
      </c>
      <c r="F62" s="203"/>
      <c r="G62" s="203"/>
      <c r="H62" s="203"/>
      <c r="I62" s="207">
        <f t="shared" si="7"/>
        <v>2</v>
      </c>
      <c r="J62" s="676"/>
      <c r="K62" s="679"/>
      <c r="L62" s="676"/>
    </row>
    <row r="63" spans="1:12" ht="19.2" x14ac:dyDescent="0.3">
      <c r="A63" s="202">
        <f t="shared" si="4"/>
        <v>7</v>
      </c>
      <c r="B63" s="203">
        <f t="shared" si="5"/>
        <v>6966.7156266238799</v>
      </c>
      <c r="C63" s="203">
        <f t="shared" si="2"/>
        <v>92.889541688318403</v>
      </c>
      <c r="D63" s="203">
        <f t="shared" si="3"/>
        <v>1123.0133141296383</v>
      </c>
      <c r="E63" s="203">
        <f t="shared" si="6"/>
        <v>1215.9028558179566</v>
      </c>
      <c r="F63" s="203"/>
      <c r="G63" s="203">
        <f t="shared" si="8"/>
        <v>3647.7085674538698</v>
      </c>
      <c r="H63" s="203">
        <f t="shared" si="9"/>
        <v>3414.1601217655007</v>
      </c>
      <c r="I63" s="207">
        <f t="shared" si="7"/>
        <v>3</v>
      </c>
      <c r="J63" s="677"/>
      <c r="K63" s="680"/>
      <c r="L63" s="677"/>
    </row>
    <row r="64" spans="1:12" ht="19.2" x14ac:dyDescent="0.3">
      <c r="A64" s="202">
        <f t="shared" si="4"/>
        <v>8</v>
      </c>
      <c r="B64" s="203">
        <f t="shared" si="5"/>
        <v>5843.7023124942416</v>
      </c>
      <c r="C64" s="203">
        <f t="shared" si="2"/>
        <v>77.916030833256556</v>
      </c>
      <c r="D64" s="203">
        <f t="shared" si="3"/>
        <v>1137.9868249847</v>
      </c>
      <c r="E64" s="203">
        <f t="shared" si="6"/>
        <v>1215.9028558179566</v>
      </c>
      <c r="F64" s="203"/>
      <c r="G64" s="203"/>
      <c r="H64" s="203"/>
      <c r="I64" s="207">
        <f t="shared" si="7"/>
        <v>4</v>
      </c>
      <c r="J64" s="675">
        <f>SUM(C64:C66)</f>
        <v>188.02631073149553</v>
      </c>
      <c r="K64" s="678">
        <f>SUM(D64:D66)</f>
        <v>3459.6822567223739</v>
      </c>
      <c r="L64" s="675">
        <f>SUM(E64:E66)</f>
        <v>3647.7085674538698</v>
      </c>
    </row>
    <row r="65" spans="1:12" ht="19.2" x14ac:dyDescent="0.3">
      <c r="A65" s="202">
        <f t="shared" si="4"/>
        <v>9</v>
      </c>
      <c r="B65" s="203">
        <f t="shared" si="5"/>
        <v>4705.7154875095421</v>
      </c>
      <c r="C65" s="203">
        <f t="shared" si="2"/>
        <v>62.742873166793899</v>
      </c>
      <c r="D65" s="203">
        <f t="shared" si="3"/>
        <v>1153.1599826511626</v>
      </c>
      <c r="E65" s="203">
        <f t="shared" si="6"/>
        <v>1215.9028558179566</v>
      </c>
      <c r="F65" s="203"/>
      <c r="G65" s="203"/>
      <c r="H65" s="203"/>
      <c r="I65" s="207">
        <f t="shared" si="7"/>
        <v>5</v>
      </c>
      <c r="J65" s="676"/>
      <c r="K65" s="679"/>
      <c r="L65" s="676"/>
    </row>
    <row r="66" spans="1:12" ht="19.2" x14ac:dyDescent="0.3">
      <c r="A66" s="202">
        <f t="shared" si="4"/>
        <v>10</v>
      </c>
      <c r="B66" s="203">
        <f t="shared" si="5"/>
        <v>3552.5555048583792</v>
      </c>
      <c r="C66" s="203">
        <f t="shared" si="2"/>
        <v>47.367406731445058</v>
      </c>
      <c r="D66" s="203">
        <f t="shared" si="3"/>
        <v>1168.5354490865116</v>
      </c>
      <c r="E66" s="203">
        <f t="shared" si="6"/>
        <v>1215.9028558179566</v>
      </c>
      <c r="F66" s="203"/>
      <c r="G66" s="203">
        <f t="shared" si="8"/>
        <v>3647.7085674538698</v>
      </c>
      <c r="H66" s="203">
        <f t="shared" si="9"/>
        <v>3552.5555048583883</v>
      </c>
      <c r="I66" s="207">
        <f t="shared" si="7"/>
        <v>6</v>
      </c>
      <c r="J66" s="677"/>
      <c r="K66" s="680"/>
      <c r="L66" s="677"/>
    </row>
    <row r="67" spans="1:12" ht="19.2" x14ac:dyDescent="0.3">
      <c r="A67" s="202">
        <f t="shared" si="4"/>
        <v>11</v>
      </c>
      <c r="B67" s="203">
        <f t="shared" si="5"/>
        <v>2384.0200557718676</v>
      </c>
      <c r="C67" s="203">
        <f t="shared" si="2"/>
        <v>31.786934076958236</v>
      </c>
      <c r="D67" s="203">
        <f t="shared" si="3"/>
        <v>1184.1159217409984</v>
      </c>
      <c r="E67" s="203">
        <f t="shared" si="6"/>
        <v>1215.9028558179566</v>
      </c>
      <c r="F67" s="203"/>
      <c r="G67" s="203"/>
      <c r="H67" s="203"/>
      <c r="I67" s="207">
        <f t="shared" si="7"/>
        <v>7</v>
      </c>
      <c r="J67" s="681">
        <f>SUM(C67:C68)</f>
        <v>47.785655864036492</v>
      </c>
      <c r="K67" s="678">
        <f>SUM(D67:D69)</f>
        <v>2384.0200557718767</v>
      </c>
      <c r="L67" s="675">
        <f>SUM(E67:E69)</f>
        <v>2431.8057116359132</v>
      </c>
    </row>
    <row r="68" spans="1:12" ht="19.2" x14ac:dyDescent="0.3">
      <c r="A68" s="202">
        <f t="shared" si="4"/>
        <v>12</v>
      </c>
      <c r="B68" s="203">
        <f t="shared" si="5"/>
        <v>1199.9041340308693</v>
      </c>
      <c r="C68" s="203">
        <f t="shared" si="2"/>
        <v>15.998721787078258</v>
      </c>
      <c r="D68" s="203">
        <f t="shared" si="3"/>
        <v>1199.9041340308784</v>
      </c>
      <c r="E68" s="203">
        <f t="shared" si="6"/>
        <v>1215.9028558179566</v>
      </c>
      <c r="F68" s="203">
        <f>SUM(E61:E68)</f>
        <v>9727.222846543651</v>
      </c>
      <c r="G68" s="203"/>
      <c r="H68" s="203"/>
      <c r="I68" s="207">
        <f t="shared" si="7"/>
        <v>8</v>
      </c>
      <c r="J68" s="682"/>
      <c r="K68" s="680"/>
      <c r="L68" s="677"/>
    </row>
    <row r="69" spans="1:12" ht="19.2" x14ac:dyDescent="0.3">
      <c r="A69" s="202"/>
      <c r="B69" s="203">
        <f t="shared" si="5"/>
        <v>-9.0949470177292824E-12</v>
      </c>
      <c r="C69" s="203">
        <f t="shared" si="2"/>
        <v>-1.2126596023639043E-13</v>
      </c>
      <c r="D69" s="203">
        <f t="shared" si="3"/>
        <v>1.2126596023639043E-13</v>
      </c>
      <c r="E69" s="203"/>
      <c r="F69" s="82"/>
      <c r="G69" s="203">
        <f>SUM(E69:E69)</f>
        <v>0</v>
      </c>
      <c r="H69" s="203">
        <f>SUM(D69:D69)</f>
        <v>1.2126596023639043E-13</v>
      </c>
      <c r="I69" s="207"/>
      <c r="J69" s="208">
        <f>SUM(J9:J68)</f>
        <v>22954.171349077398</v>
      </c>
      <c r="K69" s="208">
        <f t="shared" ref="K69:L69" si="10">SUM(K9:K68)</f>
        <v>50000</v>
      </c>
      <c r="L69" s="208">
        <f t="shared" si="10"/>
        <v>72954.171349077384</v>
      </c>
    </row>
    <row r="70" spans="1:12" ht="19.2" x14ac:dyDescent="0.3">
      <c r="A70" s="202"/>
      <c r="B70" s="203"/>
      <c r="C70" s="203"/>
      <c r="D70" s="203">
        <f t="shared" si="3"/>
        <v>72954.171349077384</v>
      </c>
      <c r="E70" s="203">
        <f>SUM(E9:E69)</f>
        <v>72954.171349077384</v>
      </c>
      <c r="F70" s="203">
        <f t="shared" ref="F70:H70" si="11">SUM(F9:F69)</f>
        <v>72954.171349077384</v>
      </c>
      <c r="G70" s="203">
        <f t="shared" si="11"/>
        <v>72954.171349077384</v>
      </c>
      <c r="H70" s="203">
        <f t="shared" si="11"/>
        <v>50000.000000000015</v>
      </c>
      <c r="I70" s="209"/>
      <c r="J70" s="210"/>
      <c r="K70" s="211"/>
      <c r="L70" s="10"/>
    </row>
    <row r="71" spans="1:12" x14ac:dyDescent="0.3">
      <c r="L71" s="10"/>
    </row>
  </sheetData>
  <mergeCells count="61">
    <mergeCell ref="A1:B1"/>
    <mergeCell ref="J10:J12"/>
    <mergeCell ref="K10:K12"/>
    <mergeCell ref="L10:L12"/>
    <mergeCell ref="J13:J15"/>
    <mergeCell ref="K13:K15"/>
    <mergeCell ref="L13:L15"/>
    <mergeCell ref="J16:J18"/>
    <mergeCell ref="K16:K18"/>
    <mergeCell ref="L16:L18"/>
    <mergeCell ref="J19:J21"/>
    <mergeCell ref="K19:K21"/>
    <mergeCell ref="L19:L21"/>
    <mergeCell ref="J22:J24"/>
    <mergeCell ref="K22:K24"/>
    <mergeCell ref="L22:L24"/>
    <mergeCell ref="J25:J27"/>
    <mergeCell ref="K25:K27"/>
    <mergeCell ref="L25:L27"/>
    <mergeCell ref="J28:J30"/>
    <mergeCell ref="K28:K30"/>
    <mergeCell ref="L28:L30"/>
    <mergeCell ref="J31:J33"/>
    <mergeCell ref="K31:K33"/>
    <mergeCell ref="L31:L33"/>
    <mergeCell ref="J34:J36"/>
    <mergeCell ref="K34:K36"/>
    <mergeCell ref="L34:L36"/>
    <mergeCell ref="J37:J39"/>
    <mergeCell ref="K37:K39"/>
    <mergeCell ref="L37:L39"/>
    <mergeCell ref="J40:J42"/>
    <mergeCell ref="K40:K42"/>
    <mergeCell ref="L40:L42"/>
    <mergeCell ref="J43:J45"/>
    <mergeCell ref="K43:K45"/>
    <mergeCell ref="L43:L45"/>
    <mergeCell ref="J46:J48"/>
    <mergeCell ref="K46:K48"/>
    <mergeCell ref="L46:L48"/>
    <mergeCell ref="J49:J51"/>
    <mergeCell ref="K49:K51"/>
    <mergeCell ref="L49:L51"/>
    <mergeCell ref="J52:J54"/>
    <mergeCell ref="K52:K54"/>
    <mergeCell ref="L52:L54"/>
    <mergeCell ref="J55:J57"/>
    <mergeCell ref="K55:K57"/>
    <mergeCell ref="L55:L57"/>
    <mergeCell ref="J58:J60"/>
    <mergeCell ref="K58:K60"/>
    <mergeCell ref="L58:L60"/>
    <mergeCell ref="J61:J63"/>
    <mergeCell ref="K61:K63"/>
    <mergeCell ref="L61:L63"/>
    <mergeCell ref="J64:J66"/>
    <mergeCell ref="K64:K66"/>
    <mergeCell ref="L64:L66"/>
    <mergeCell ref="J67:J68"/>
    <mergeCell ref="K67:K68"/>
    <mergeCell ref="L67:L68"/>
  </mergeCells>
  <pageMargins left="0.7" right="0.7" top="0.75" bottom="0.75" header="0.3" footer="0.3"/>
  <pageSetup paperSize="8" scale="62" firstPageNumber="2147483648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  <pageSetUpPr fitToPage="1"/>
  </sheetPr>
  <dimension ref="A1:AS63"/>
  <sheetViews>
    <sheetView zoomScale="60" workbookViewId="0">
      <pane xSplit="1" ySplit="2" topLeftCell="B12" activePane="bottomRight" state="frozen"/>
      <selection activeCell="A25" sqref="A25"/>
      <selection pane="topRight"/>
      <selection pane="bottomLeft"/>
      <selection pane="bottomRight" activeCell="AS9" sqref="AS9"/>
    </sheetView>
  </sheetViews>
  <sheetFormatPr defaultColWidth="9.109375" defaultRowHeight="13.8" x14ac:dyDescent="0.3"/>
  <cols>
    <col min="1" max="1" width="21" style="183" customWidth="1"/>
    <col min="2" max="2" width="12" style="182" bestFit="1" customWidth="1"/>
    <col min="3" max="3" width="15" style="182" customWidth="1"/>
    <col min="4" max="4" width="20.88671875" style="182" customWidth="1"/>
    <col min="5" max="5" width="18.109375" style="182" customWidth="1"/>
    <col min="6" max="6" width="15.6640625" style="182" customWidth="1"/>
    <col min="7" max="7" width="15.44140625" style="182" customWidth="1"/>
    <col min="8" max="8" width="17.109375" style="182" customWidth="1"/>
    <col min="9" max="9" width="14" style="182" customWidth="1"/>
    <col min="10" max="10" width="17.33203125" style="182" customWidth="1"/>
    <col min="11" max="11" width="13.44140625" style="182" customWidth="1"/>
    <col min="12" max="12" width="14.44140625" style="182" customWidth="1"/>
    <col min="13" max="13" width="16.33203125" style="182" customWidth="1"/>
    <col min="14" max="14" width="17.6640625" style="182" customWidth="1"/>
    <col min="15" max="15" width="15.6640625" style="182" customWidth="1"/>
    <col min="16" max="16" width="14.5546875" style="182" customWidth="1"/>
    <col min="17" max="17" width="16" style="182" customWidth="1"/>
    <col min="18" max="18" width="14" style="182" customWidth="1"/>
    <col min="19" max="19" width="21.44140625" style="182" customWidth="1"/>
    <col min="20" max="20" width="13.88671875" style="182" customWidth="1"/>
    <col min="21" max="21" width="13.6640625" style="182" customWidth="1"/>
    <col min="22" max="29" width="15" style="182" customWidth="1"/>
    <col min="30" max="30" width="14" style="182" customWidth="1"/>
    <col min="31" max="31" width="16.44140625" style="182" customWidth="1"/>
    <col min="32" max="32" width="15.44140625" style="182" customWidth="1"/>
    <col min="33" max="33" width="14.109375" style="182" customWidth="1"/>
    <col min="34" max="34" width="12.6640625" style="182" customWidth="1"/>
    <col min="35" max="35" width="13.88671875" style="182" customWidth="1"/>
    <col min="36" max="36" width="13.109375" style="182" customWidth="1"/>
    <col min="37" max="37" width="15" style="182" customWidth="1"/>
    <col min="38" max="39" width="14" style="182" customWidth="1"/>
    <col min="40" max="40" width="12.88671875" style="182" customWidth="1"/>
    <col min="41" max="41" width="13.109375" style="182" customWidth="1"/>
    <col min="42" max="42" width="14" style="182" customWidth="1"/>
    <col min="43" max="43" width="12.88671875" style="182" customWidth="1"/>
    <col min="44" max="44" width="13.109375" style="182" customWidth="1"/>
    <col min="45" max="45" width="14.88671875" style="182" customWidth="1"/>
    <col min="46" max="16384" width="9.109375" style="182"/>
  </cols>
  <sheetData>
    <row r="1" spans="1:45" ht="25.2" x14ac:dyDescent="0.3">
      <c r="A1" s="685"/>
      <c r="B1" s="685"/>
      <c r="C1" s="685"/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685"/>
      <c r="Q1" s="685"/>
      <c r="R1" s="685"/>
      <c r="S1" s="685"/>
      <c r="T1" s="685"/>
      <c r="U1" s="685"/>
      <c r="V1" s="685"/>
      <c r="W1" s="685"/>
      <c r="X1" s="685"/>
      <c r="Y1" s="685"/>
      <c r="Z1" s="685"/>
      <c r="AA1" s="685"/>
      <c r="AB1" s="685"/>
      <c r="AC1" s="685"/>
    </row>
    <row r="2" spans="1:45" s="468" customFormat="1" x14ac:dyDescent="0.3">
      <c r="A2" s="474"/>
      <c r="B2" s="475" t="str">
        <f>'Расходы на ЗП ТОР'!D1</f>
        <v>I кв. 1 г.</v>
      </c>
      <c r="C2" s="475" t="str">
        <f>'Расходы на ЗП ТОР'!E1</f>
        <v>II кв. 1 г.</v>
      </c>
      <c r="D2" s="475" t="str">
        <f>'Расходы на ЗП ТОР'!F1</f>
        <v>III кв. 1 г.</v>
      </c>
      <c r="E2" s="475" t="str">
        <f>'Расходы на ЗП ТОР'!G1</f>
        <v>IV кв. 1 г.</v>
      </c>
      <c r="F2" s="475" t="str">
        <f>'Расходы на ЗП ТОР'!H1</f>
        <v>I кв. 2 г.</v>
      </c>
      <c r="G2" s="475" t="str">
        <f>'Расходы на ЗП ТОР'!I1</f>
        <v>II кв. 2 г.</v>
      </c>
      <c r="H2" s="475" t="str">
        <f>'Расходы на ЗП ТОР'!J1</f>
        <v>III кв. 2 г.</v>
      </c>
      <c r="I2" s="475" t="str">
        <f>'Расходы на ЗП ТОР'!K1</f>
        <v>IV кв. 2 г.</v>
      </c>
      <c r="J2" s="475" t="str">
        <f>'Расходы на ЗП ТОР'!L1</f>
        <v>I кв. 3 г.</v>
      </c>
      <c r="K2" s="475" t="str">
        <f>'Расходы на ЗП ТОР'!M1</f>
        <v>II кв. 3 г.</v>
      </c>
      <c r="L2" s="475" t="str">
        <f>'Расходы на ЗП ТОР'!N1</f>
        <v>III кв. 3 г.</v>
      </c>
      <c r="M2" s="475" t="str">
        <f>'Расходы на ЗП ТОР'!O1</f>
        <v>IV кв. 3 г.</v>
      </c>
      <c r="N2" s="475" t="str">
        <f>'Расходы на ЗП ТОР'!P1</f>
        <v>I кв. 4 г.</v>
      </c>
      <c r="O2" s="475" t="str">
        <f>'Расходы на ЗП ТОР'!Q1</f>
        <v>II кв. 4 г.</v>
      </c>
      <c r="P2" s="475" t="str">
        <f>'Расходы на ЗП ТОР'!R1</f>
        <v>III кв. 4 г.</v>
      </c>
      <c r="Q2" s="475" t="str">
        <f>'Расходы на ЗП ТОР'!S1</f>
        <v>IV кв. 4 г.</v>
      </c>
      <c r="R2" s="475" t="str">
        <f>'Расходы на ЗП ТОР'!T1</f>
        <v>I кв. 5 г.</v>
      </c>
      <c r="S2" s="475" t="str">
        <f>'Расходы на ЗП ТОР'!U1</f>
        <v>II кв. 5 г.</v>
      </c>
      <c r="T2" s="475" t="str">
        <f>'Расходы на ЗП ТОР'!V1</f>
        <v>III кв. 5 г.</v>
      </c>
      <c r="U2" s="475" t="str">
        <f>'Расходы на ЗП ТОР'!W1</f>
        <v>IV кв. 5 г.</v>
      </c>
      <c r="V2" s="475" t="str">
        <f>'Расходы на ЗП ТОР'!X1</f>
        <v>I кв. 6 г.</v>
      </c>
      <c r="W2" s="475" t="str">
        <f>'Расходы на ЗП ТОР'!Y1</f>
        <v>II кв. 6 г.</v>
      </c>
      <c r="X2" s="475" t="str">
        <f>'Расходы на ЗП ТОР'!Z1</f>
        <v>III кв. 6 г.</v>
      </c>
      <c r="Y2" s="475" t="str">
        <f>'Расходы на ЗП ТОР'!AA1</f>
        <v>IV кв. 6 г.</v>
      </c>
      <c r="Z2" s="475" t="str">
        <f>'Расходы на ЗП ТОР'!AB1</f>
        <v>I кв. 7 г.</v>
      </c>
      <c r="AA2" s="475" t="str">
        <f>'Расходы на ЗП ТОР'!AC1</f>
        <v>II кв. 7 г.</v>
      </c>
      <c r="AB2" s="475" t="str">
        <f>'Расходы на ЗП ТОР'!AD1</f>
        <v>III кв. 7 г.</v>
      </c>
      <c r="AC2" s="475" t="str">
        <f>'Расходы на ЗП ТОР'!AE1</f>
        <v>IV кв. 7 г.</v>
      </c>
      <c r="AD2" s="475" t="str">
        <f>'Расходы на ЗП ТОР'!AF1</f>
        <v>I кв. 8 г.</v>
      </c>
      <c r="AE2" s="475" t="str">
        <f>'Расходы на ЗП ТОР'!AG1</f>
        <v>II кв. 8 г.</v>
      </c>
      <c r="AF2" s="475" t="str">
        <f>'Расходы на ЗП ТОР'!AH1</f>
        <v>III кв. 8 г.</v>
      </c>
      <c r="AG2" s="475" t="str">
        <f>'Расходы на ЗП ТОР'!AI1</f>
        <v>IV кв. 8 г.</v>
      </c>
      <c r="AH2" s="475" t="str">
        <f>'Расходы на ЗП ТОР'!AJ1</f>
        <v>I кв. 9 г.</v>
      </c>
      <c r="AI2" s="475" t="str">
        <f>'Расходы на ЗП ТОР'!AK1</f>
        <v>II кв. 9 г.</v>
      </c>
      <c r="AJ2" s="475" t="str">
        <f>'Расходы на ЗП ТОР'!AL1</f>
        <v>III кв. 9 г.</v>
      </c>
      <c r="AK2" s="475" t="str">
        <f>'Расходы на ЗП ТОР'!AM1</f>
        <v>IV кв. 9 г.</v>
      </c>
      <c r="AL2" s="475" t="str">
        <f>'Расходы на ЗП ТОР'!AN1</f>
        <v>I кв. 10 г.</v>
      </c>
      <c r="AM2" s="475" t="str">
        <f>'Расходы на ЗП ТОР'!AO1</f>
        <v>II кв. 10 г.</v>
      </c>
      <c r="AN2" s="475" t="str">
        <f>'Расходы на ЗП ТОР'!AP1</f>
        <v>III кв. 10 г.</v>
      </c>
      <c r="AO2" s="475" t="str">
        <f>'Расходы на ЗП ТОР'!AQ1</f>
        <v>IV кв. 10 г.</v>
      </c>
      <c r="AP2" s="475" t="str">
        <f>'выручка по кв и годам'!AR1</f>
        <v>I кв. 11 г.</v>
      </c>
      <c r="AQ2" s="475" t="str">
        <f>'выручка по кв и годам'!AS1</f>
        <v>II кв. 11 г.</v>
      </c>
      <c r="AR2" s="475" t="str">
        <f>'выручка по кв и годам'!AT1</f>
        <v>III кв. 11 г.</v>
      </c>
      <c r="AS2" s="475" t="str">
        <f>'выручка по кв и годам'!AU1</f>
        <v>IV кв. 11 г.</v>
      </c>
    </row>
    <row r="3" spans="1:45" s="478" customFormat="1" x14ac:dyDescent="0.3">
      <c r="A3" s="476" t="s">
        <v>281</v>
      </c>
      <c r="B3" s="477">
        <f>'выручка по кв и годам'!D5</f>
        <v>0</v>
      </c>
      <c r="C3" s="477">
        <f>'выручка по кв и годам'!E5</f>
        <v>0</v>
      </c>
      <c r="D3" s="477">
        <f>'выручка по кв и годам'!F5</f>
        <v>0</v>
      </c>
      <c r="E3" s="477">
        <f>'выручка по кв и годам'!G5</f>
        <v>0</v>
      </c>
      <c r="F3" s="477">
        <f>'выручка по кв и годам'!H5</f>
        <v>30051.000000000004</v>
      </c>
      <c r="G3" s="477">
        <f>'выручка по кв и годам'!I5</f>
        <v>30051.000000000004</v>
      </c>
      <c r="H3" s="477">
        <f>'выручка по кв и годам'!J5</f>
        <v>30051.000000000004</v>
      </c>
      <c r="I3" s="477">
        <f>'выручка по кв и годам'!K5</f>
        <v>30051.000000000004</v>
      </c>
      <c r="J3" s="477">
        <f>'выручка по кв и годам'!L5</f>
        <v>43573.95</v>
      </c>
      <c r="K3" s="477">
        <f>'выручка по кв и годам'!M5</f>
        <v>43573.95</v>
      </c>
      <c r="L3" s="477">
        <f>'выручка по кв и годам'!N5</f>
        <v>43573.95</v>
      </c>
      <c r="M3" s="477">
        <f>'выручка по кв и годам'!O5</f>
        <v>43573.95</v>
      </c>
      <c r="N3" s="477">
        <f>'выручка по кв и годам'!P5</f>
        <v>47176.063200000004</v>
      </c>
      <c r="O3" s="477">
        <f>'выручка по кв и годам'!Q5</f>
        <v>47176.063200000004</v>
      </c>
      <c r="P3" s="477">
        <f>'выручка по кв и годам'!R5</f>
        <v>47176.063200000004</v>
      </c>
      <c r="Q3" s="477">
        <f>'выручка по кв и годам'!S5</f>
        <v>47176.063200000004</v>
      </c>
      <c r="R3" s="477">
        <f>'выручка по кв и годам'!T5</f>
        <v>57235.990114406231</v>
      </c>
      <c r="S3" s="477">
        <f>'выручка по кв и годам'!U5</f>
        <v>57235.990114406231</v>
      </c>
      <c r="T3" s="477">
        <f>'выручка по кв и годам'!V5</f>
        <v>57235.990114406231</v>
      </c>
      <c r="U3" s="477">
        <f>'выручка по кв и годам'!W5</f>
        <v>57235.990114406231</v>
      </c>
      <c r="V3" s="477">
        <f>'выручка по кв и годам'!X5</f>
        <v>61511.855258247182</v>
      </c>
      <c r="W3" s="477">
        <f>'выручка по кв и годам'!Y5</f>
        <v>61511.855258247182</v>
      </c>
      <c r="X3" s="477">
        <f>'выручка по кв и годам'!Z5</f>
        <v>61511.855258247182</v>
      </c>
      <c r="Y3" s="477">
        <f>'выручка по кв и годам'!AA5</f>
        <v>61511.855258247182</v>
      </c>
      <c r="Z3" s="477">
        <f>'выручка по кв и годам'!AB5</f>
        <v>65903.118258627597</v>
      </c>
      <c r="AA3" s="477">
        <f>'выручка по кв и годам'!AC5</f>
        <v>65903.118258627597</v>
      </c>
      <c r="AB3" s="477">
        <f>'выручка по кв и годам'!AD5</f>
        <v>65903.118258627597</v>
      </c>
      <c r="AC3" s="477">
        <f>'выручка по кв и годам'!AE5</f>
        <v>65903.118258627597</v>
      </c>
      <c r="AD3" s="477">
        <f>'выручка по кв и годам'!AF5</f>
        <v>70412.278981586322</v>
      </c>
      <c r="AE3" s="477">
        <f>'выручка по кв и годам'!AG5</f>
        <v>70412.278981586322</v>
      </c>
      <c r="AF3" s="477">
        <f>'выручка по кв и годам'!AH5</f>
        <v>70412.278981586322</v>
      </c>
      <c r="AG3" s="477">
        <f>'выручка по кв и годам'!AI5</f>
        <v>70412.278981586322</v>
      </c>
      <c r="AH3" s="477">
        <f>'выручка по кв и годам'!AJ5</f>
        <v>71468.463166310117</v>
      </c>
      <c r="AI3" s="477">
        <f>'выручка по кв и годам'!AK5</f>
        <v>71468.463166310117</v>
      </c>
      <c r="AJ3" s="477">
        <f>'выручка по кв и годам'!AL5</f>
        <v>71468.463166310117</v>
      </c>
      <c r="AK3" s="477">
        <f>'выручка по кв и годам'!AM5</f>
        <v>71468.463166310117</v>
      </c>
      <c r="AL3" s="477">
        <f>'выручка по кв и годам'!AN5</f>
        <v>72540.490113804757</v>
      </c>
      <c r="AM3" s="477">
        <f>'выручка по кв и годам'!AO5</f>
        <v>72540.490113804757</v>
      </c>
      <c r="AN3" s="477">
        <f>'выручка по кв и годам'!AP5</f>
        <v>72540.490113804757</v>
      </c>
      <c r="AO3" s="477">
        <f>'выручка по кв и годам'!AQ5</f>
        <v>72540.490113804757</v>
      </c>
      <c r="AP3" s="477">
        <f>'выручка по кв и годам'!AR5</f>
        <v>73628.597465511819</v>
      </c>
      <c r="AQ3" s="477">
        <f>'выручка по кв и годам'!AS5</f>
        <v>73628.597465511819</v>
      </c>
      <c r="AR3" s="477">
        <f>'выручка по кв и годам'!AT5</f>
        <v>73628.597465511819</v>
      </c>
      <c r="AS3" s="477">
        <f>'выручка по кв и годам'!AU5</f>
        <v>73628.597465511819</v>
      </c>
    </row>
    <row r="4" spans="1:45" s="478" customFormat="1" ht="27.6" x14ac:dyDescent="0.3">
      <c r="A4" s="476" t="s">
        <v>282</v>
      </c>
      <c r="B4" s="477">
        <f>'Расходы ТОР'!B18</f>
        <v>0</v>
      </c>
      <c r="C4" s="477">
        <f>'Расходы ТОР'!C18</f>
        <v>0</v>
      </c>
      <c r="D4" s="477">
        <f>'Расходы ТОР'!D18</f>
        <v>0.41653993200000006</v>
      </c>
      <c r="E4" s="477">
        <f>'Расходы ТОР'!E18</f>
        <v>858.74987326533335</v>
      </c>
      <c r="F4" s="477">
        <f>'Расходы ТОР'!F18</f>
        <v>27759.715793265332</v>
      </c>
      <c r="G4" s="477">
        <f>'Расходы ТОР'!G18</f>
        <v>17352.354126598664</v>
      </c>
      <c r="H4" s="477">
        <f>'Расходы ТОР'!H18</f>
        <v>27759.715793265332</v>
      </c>
      <c r="I4" s="477">
        <f>'Расходы ТОР'!I18</f>
        <v>27759.715793265332</v>
      </c>
      <c r="J4" s="477">
        <f>'Расходы ТОР'!J18</f>
        <v>38362.934862665337</v>
      </c>
      <c r="K4" s="477">
        <f>'Расходы ТОР'!K18</f>
        <v>38362.934862665337</v>
      </c>
      <c r="L4" s="477">
        <f>'Расходы ТОР'!L18</f>
        <v>38362.934862665337</v>
      </c>
      <c r="M4" s="477">
        <f>'Расходы ТОР'!M18</f>
        <v>38362.934862665337</v>
      </c>
      <c r="N4" s="477">
        <f>'Расходы ТОР'!N18</f>
        <v>41039.285040173338</v>
      </c>
      <c r="O4" s="477">
        <f>'Расходы ТОР'!O18</f>
        <v>41039.285040173338</v>
      </c>
      <c r="P4" s="477">
        <f>'Расходы ТОР'!P18</f>
        <v>41039.285040173338</v>
      </c>
      <c r="Q4" s="477">
        <f>'Расходы ТОР'!Q18</f>
        <v>41039.285040173338</v>
      </c>
      <c r="R4" s="477">
        <f>'Расходы ТОР'!R18</f>
        <v>48636.818729804392</v>
      </c>
      <c r="S4" s="477">
        <f>'Расходы ТОР'!S18</f>
        <v>48636.818729804392</v>
      </c>
      <c r="T4" s="477">
        <f>'Расходы ТОР'!T18</f>
        <v>48636.818729804392</v>
      </c>
      <c r="U4" s="477">
        <f>'Расходы ТОР'!U18</f>
        <v>48636.818729804392</v>
      </c>
      <c r="V4" s="477">
        <f>'Расходы ТОР'!V18</f>
        <v>51705.986868111948</v>
      </c>
      <c r="W4" s="477">
        <f>'Расходы ТОР'!W18</f>
        <v>51705.986868111948</v>
      </c>
      <c r="X4" s="477">
        <f>'Расходы ТОР'!X18</f>
        <v>51705.986868111948</v>
      </c>
      <c r="Y4" s="477">
        <f>'Расходы ТОР'!Y18</f>
        <v>51734.861868111948</v>
      </c>
      <c r="Z4" s="477">
        <f>'Расходы ТОР'!Z18</f>
        <v>54850.111744753944</v>
      </c>
      <c r="AA4" s="477">
        <f>'Расходы ТОР'!AA18</f>
        <v>54849.822994753944</v>
      </c>
      <c r="AB4" s="477">
        <f>'Расходы ТОР'!AB18</f>
        <v>54849.534244753944</v>
      </c>
      <c r="AC4" s="477">
        <f>'Расходы ТОР'!AC18</f>
        <v>54849.245494753945</v>
      </c>
      <c r="AD4" s="477">
        <f>'Расходы ТОР'!AD18</f>
        <v>57986.193555553502</v>
      </c>
      <c r="AE4" s="477">
        <f>'Расходы ТОР'!AE18</f>
        <v>57985.904805553502</v>
      </c>
      <c r="AF4" s="477">
        <f>'Расходы ТОР'!AF18</f>
        <v>57985.616055553503</v>
      </c>
      <c r="AG4" s="477">
        <f>'Расходы ТОР'!AG18</f>
        <v>57985.327305553503</v>
      </c>
      <c r="AH4" s="477">
        <f>'Расходы ТОР'!AH18</f>
        <v>58563.486213506738</v>
      </c>
      <c r="AI4" s="477">
        <f>'Расходы ТОР'!AI18</f>
        <v>58563.197463506738</v>
      </c>
      <c r="AJ4" s="477">
        <f>'Расходы ТОР'!AJ18</f>
        <v>58562.908713506738</v>
      </c>
      <c r="AK4" s="477">
        <f>'Расходы ТОР'!AK18</f>
        <v>58562.619963506739</v>
      </c>
      <c r="AL4" s="477">
        <f>'Расходы ТОР'!AL18</f>
        <v>59167.32857627832</v>
      </c>
      <c r="AM4" s="477">
        <f>'Расходы ТОР'!AM18</f>
        <v>59167.03982627832</v>
      </c>
      <c r="AN4" s="477">
        <f>'Расходы ТОР'!AN18</f>
        <v>59166.75107627832</v>
      </c>
      <c r="AO4" s="477">
        <f>'Расходы ТОР'!AO18</f>
        <v>59166.462326278321</v>
      </c>
      <c r="AP4" s="477">
        <f>'Расходы ТОР'!AP18</f>
        <v>59427.319340688009</v>
      </c>
      <c r="AQ4" s="477">
        <f>'Расходы ТОР'!AQ18</f>
        <v>59427.030590688009</v>
      </c>
      <c r="AR4" s="477">
        <f>'Расходы ТОР'!AR18</f>
        <v>59426.74184068801</v>
      </c>
      <c r="AS4" s="477">
        <f>'Расходы ТОР'!AS18</f>
        <v>59426.45309068801</v>
      </c>
    </row>
    <row r="5" spans="1:45" s="478" customFormat="1" ht="27.6" x14ac:dyDescent="0.3">
      <c r="A5" s="476" t="s">
        <v>283</v>
      </c>
      <c r="B5" s="479">
        <f>'Расходы на П, строит-во, ввод'!B12</f>
        <v>0</v>
      </c>
      <c r="C5" s="479">
        <f>'Расходы на П, строит-во, ввод'!C12</f>
        <v>0</v>
      </c>
      <c r="D5" s="479">
        <f>'Расходы на П, строит-во, ввод'!D12</f>
        <v>16074.17</v>
      </c>
      <c r="E5" s="479">
        <f>'Расходы на П, строит-во, ввод'!E12</f>
        <v>48350</v>
      </c>
      <c r="F5" s="479">
        <f>'Расходы на П, строит-во, ввод'!F12</f>
        <v>0</v>
      </c>
      <c r="G5" s="479">
        <f>'Расходы на П, строит-во, ввод'!G12</f>
        <v>0</v>
      </c>
      <c r="H5" s="479">
        <f>'Расходы на П, строит-во, ввод'!H12</f>
        <v>0</v>
      </c>
      <c r="I5" s="479">
        <f>'Расходы на П, строит-во, ввод'!I12</f>
        <v>0</v>
      </c>
      <c r="J5" s="479">
        <f>'Расходы на П, строит-во, ввод'!J12</f>
        <v>0</v>
      </c>
      <c r="K5" s="479">
        <f>'Расходы на П, строит-во, ввод'!K12</f>
        <v>0</v>
      </c>
      <c r="L5" s="479">
        <f>'Расходы на П, строит-во, ввод'!L12</f>
        <v>0</v>
      </c>
      <c r="M5" s="479">
        <f>'Расходы на П, строит-во, ввод'!M12</f>
        <v>0</v>
      </c>
      <c r="N5" s="479">
        <f>'Расходы на П, строит-во, ввод'!N12</f>
        <v>0</v>
      </c>
      <c r="O5" s="479">
        <f>'Расходы на П, строит-во, ввод'!O12</f>
        <v>0</v>
      </c>
      <c r="P5" s="479">
        <f>'Расходы на П, строит-во, ввод'!P12</f>
        <v>0</v>
      </c>
      <c r="Q5" s="479">
        <f>'Расходы на П, строит-во, ввод'!Q12</f>
        <v>0</v>
      </c>
      <c r="R5" s="479"/>
      <c r="S5" s="480"/>
      <c r="T5" s="480"/>
      <c r="U5" s="480"/>
      <c r="V5" s="480"/>
      <c r="W5" s="480"/>
      <c r="X5" s="480"/>
      <c r="Y5" s="480"/>
      <c r="Z5" s="480"/>
      <c r="AA5" s="480"/>
      <c r="AB5" s="480"/>
      <c r="AC5" s="480"/>
      <c r="AD5" s="480"/>
      <c r="AE5" s="480"/>
      <c r="AF5" s="480"/>
      <c r="AG5" s="480"/>
      <c r="AH5" s="480"/>
      <c r="AI5" s="480"/>
      <c r="AJ5" s="480"/>
      <c r="AK5" s="480"/>
      <c r="AL5" s="480"/>
      <c r="AM5" s="480"/>
      <c r="AN5" s="480"/>
      <c r="AO5" s="480"/>
      <c r="AP5" s="480"/>
      <c r="AQ5" s="480"/>
      <c r="AR5" s="480"/>
      <c r="AS5" s="480"/>
    </row>
    <row r="6" spans="1:45" s="478" customFormat="1" ht="27.6" x14ac:dyDescent="0.3">
      <c r="A6" s="476" t="s">
        <v>284</v>
      </c>
      <c r="B6" s="481">
        <f>B3-B4</f>
        <v>0</v>
      </c>
      <c r="C6" s="481">
        <f t="shared" ref="C6:AS6" si="0">C3-C4</f>
        <v>0</v>
      </c>
      <c r="D6" s="481">
        <f t="shared" si="0"/>
        <v>-0.41653993200000006</v>
      </c>
      <c r="E6" s="481">
        <f t="shared" si="0"/>
        <v>-858.74987326533335</v>
      </c>
      <c r="F6" s="481">
        <f t="shared" si="0"/>
        <v>2291.2842067346719</v>
      </c>
      <c r="G6" s="481">
        <f t="shared" si="0"/>
        <v>12698.645873401339</v>
      </c>
      <c r="H6" s="481">
        <f t="shared" si="0"/>
        <v>2291.2842067346719</v>
      </c>
      <c r="I6" s="481">
        <f t="shared" si="0"/>
        <v>2291.2842067346719</v>
      </c>
      <c r="J6" s="481">
        <f t="shared" si="0"/>
        <v>5211.0151373346598</v>
      </c>
      <c r="K6" s="481">
        <f t="shared" si="0"/>
        <v>5211.0151373346598</v>
      </c>
      <c r="L6" s="481">
        <f t="shared" si="0"/>
        <v>5211.0151373346598</v>
      </c>
      <c r="M6" s="481">
        <f t="shared" si="0"/>
        <v>5211.0151373346598</v>
      </c>
      <c r="N6" s="481">
        <f t="shared" si="0"/>
        <v>6136.7781598266665</v>
      </c>
      <c r="O6" s="481">
        <f t="shared" si="0"/>
        <v>6136.7781598266665</v>
      </c>
      <c r="P6" s="481">
        <f t="shared" si="0"/>
        <v>6136.7781598266665</v>
      </c>
      <c r="Q6" s="481">
        <f t="shared" si="0"/>
        <v>6136.7781598266665</v>
      </c>
      <c r="R6" s="481">
        <f t="shared" si="0"/>
        <v>8599.1713846018392</v>
      </c>
      <c r="S6" s="481">
        <f t="shared" si="0"/>
        <v>8599.1713846018392</v>
      </c>
      <c r="T6" s="481">
        <f t="shared" si="0"/>
        <v>8599.1713846018392</v>
      </c>
      <c r="U6" s="481">
        <f t="shared" si="0"/>
        <v>8599.1713846018392</v>
      </c>
      <c r="V6" s="481">
        <f t="shared" si="0"/>
        <v>9805.8683901352342</v>
      </c>
      <c r="W6" s="481">
        <f t="shared" si="0"/>
        <v>9805.8683901352342</v>
      </c>
      <c r="X6" s="481">
        <f t="shared" si="0"/>
        <v>9805.8683901352342</v>
      </c>
      <c r="Y6" s="481">
        <f t="shared" si="0"/>
        <v>9776.9933901352342</v>
      </c>
      <c r="Z6" s="481">
        <f t="shared" si="0"/>
        <v>11053.006513873654</v>
      </c>
      <c r="AA6" s="481">
        <f t="shared" si="0"/>
        <v>11053.295263873653</v>
      </c>
      <c r="AB6" s="481">
        <f t="shared" si="0"/>
        <v>11053.584013873653</v>
      </c>
      <c r="AC6" s="481">
        <f t="shared" si="0"/>
        <v>11053.872763873653</v>
      </c>
      <c r="AD6" s="481">
        <f t="shared" si="0"/>
        <v>12426.08542603282</v>
      </c>
      <c r="AE6" s="481">
        <f t="shared" si="0"/>
        <v>12426.374176032819</v>
      </c>
      <c r="AF6" s="481">
        <f t="shared" si="0"/>
        <v>12426.662926032819</v>
      </c>
      <c r="AG6" s="481">
        <f t="shared" si="0"/>
        <v>12426.951676032819</v>
      </c>
      <c r="AH6" s="481">
        <f t="shared" si="0"/>
        <v>12904.976952803379</v>
      </c>
      <c r="AI6" s="481">
        <f t="shared" si="0"/>
        <v>12905.265702803379</v>
      </c>
      <c r="AJ6" s="481">
        <f t="shared" si="0"/>
        <v>12905.554452803379</v>
      </c>
      <c r="AK6" s="481">
        <f t="shared" si="0"/>
        <v>12905.843202803379</v>
      </c>
      <c r="AL6" s="481">
        <f t="shared" si="0"/>
        <v>13373.161537526437</v>
      </c>
      <c r="AM6" s="481">
        <f t="shared" si="0"/>
        <v>13373.450287526437</v>
      </c>
      <c r="AN6" s="481">
        <f t="shared" si="0"/>
        <v>13373.739037526437</v>
      </c>
      <c r="AO6" s="481">
        <f t="shared" si="0"/>
        <v>13374.027787526436</v>
      </c>
      <c r="AP6" s="481">
        <f t="shared" si="0"/>
        <v>14201.27812482381</v>
      </c>
      <c r="AQ6" s="481">
        <f t="shared" si="0"/>
        <v>14201.566874823809</v>
      </c>
      <c r="AR6" s="481">
        <f t="shared" si="0"/>
        <v>14201.855624823809</v>
      </c>
      <c r="AS6" s="481">
        <f t="shared" si="0"/>
        <v>14202.144374823809</v>
      </c>
    </row>
    <row r="7" spans="1:45" s="238" customFormat="1" ht="54" customHeight="1" x14ac:dyDescent="0.3">
      <c r="A7" s="239" t="s">
        <v>285</v>
      </c>
      <c r="B7" s="240"/>
      <c r="C7" s="240"/>
      <c r="D7" s="241">
        <f>'Расходы по займу'!D4</f>
        <v>666.66666666666674</v>
      </c>
      <c r="E7" s="241">
        <f>'Расходы по займу'!E4</f>
        <v>1955.6692350179778</v>
      </c>
      <c r="F7" s="241">
        <f>'Расходы по займу'!F4</f>
        <v>1887.081229983344</v>
      </c>
      <c r="G7" s="241">
        <f>'Расходы по займу'!G4</f>
        <v>1815.7129618989982</v>
      </c>
      <c r="H7" s="241">
        <f>'Расходы по займу'!H4</f>
        <v>1741.4517308457384</v>
      </c>
      <c r="I7" s="241">
        <f>'Расходы по займу'!I4</f>
        <v>1664.1802685338316</v>
      </c>
      <c r="J7" s="241">
        <f>'Расходы по займу'!J4</f>
        <v>1583.7765531208975</v>
      </c>
      <c r="K7" s="241">
        <f>'Расходы по займу'!K4</f>
        <v>1500.1136165233074</v>
      </c>
      <c r="L7" s="241">
        <f>'Расходы по займу'!L4</f>
        <v>1413.0593439168163</v>
      </c>
      <c r="M7" s="241">
        <f>'Расходы по займу'!M4</f>
        <v>1322.4762651098065</v>
      </c>
      <c r="N7" s="241">
        <f>'Расходы по займу'!N4</f>
        <v>1228.2213374597068</v>
      </c>
      <c r="O7" s="241">
        <f>'Расходы по займу'!O4</f>
        <v>1130.1457199897686</v>
      </c>
      <c r="P7" s="241">
        <f>'Расходы по займу'!P4</f>
        <v>1028.0945383495114</v>
      </c>
      <c r="Q7" s="241">
        <f>'Расходы по займу'!Q4</f>
        <v>921.90664024767148</v>
      </c>
      <c r="R7" s="241">
        <f>'Расходы по займу'!R4</f>
        <v>811.41434097145657</v>
      </c>
      <c r="S7" s="241">
        <f>'Расходы по займу'!S4</f>
        <v>696.44315859024005</v>
      </c>
      <c r="T7" s="241">
        <f>'Расходы по займу'!T4</f>
        <v>576.81153842555398</v>
      </c>
      <c r="U7" s="241">
        <f>'Расходы по займу'!U4</f>
        <v>452.3305663522782</v>
      </c>
      <c r="V7" s="241">
        <f>'Расходы по займу'!V4</f>
        <v>322.80367047829105</v>
      </c>
      <c r="W7" s="241">
        <f>'Расходы по займу'!W4</f>
        <v>188.02631073149553</v>
      </c>
      <c r="X7" s="241">
        <f>'Расходы по займу'!X4</f>
        <v>47.785655864036492</v>
      </c>
      <c r="Y7" s="241"/>
      <c r="Z7" s="241"/>
      <c r="AA7" s="241"/>
      <c r="AB7" s="241"/>
      <c r="AC7" s="241"/>
      <c r="AD7" s="241"/>
      <c r="AE7" s="241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3"/>
      <c r="AQ7" s="242"/>
      <c r="AR7" s="242"/>
      <c r="AS7" s="236"/>
    </row>
    <row r="8" spans="1:45" s="213" customFormat="1" ht="63.75" customHeight="1" x14ac:dyDescent="0.3">
      <c r="A8" s="239" t="s">
        <v>286</v>
      </c>
      <c r="B8" s="244">
        <f>B6-B7</f>
        <v>0</v>
      </c>
      <c r="C8" s="244">
        <f t="shared" ref="C8" si="1">C6-C7</f>
        <v>0</v>
      </c>
      <c r="D8" s="244">
        <f>D6-D7</f>
        <v>-667.08320659866672</v>
      </c>
      <c r="E8" s="244">
        <f>E6-E7</f>
        <v>-2814.4191082833113</v>
      </c>
      <c r="F8" s="245">
        <f>F6-F7</f>
        <v>404.20297675132792</v>
      </c>
      <c r="G8" s="246">
        <f t="shared" ref="G8:AS8" si="2">G6-G7</f>
        <v>10882.932911502341</v>
      </c>
      <c r="H8" s="247">
        <f t="shared" ref="H8:AN8" si="3">H6-H7</f>
        <v>549.83247588893346</v>
      </c>
      <c r="I8" s="247">
        <f t="shared" si="3"/>
        <v>627.10393820084028</v>
      </c>
      <c r="J8" s="236">
        <f t="shared" si="3"/>
        <v>3627.2385842137624</v>
      </c>
      <c r="K8" s="236">
        <f t="shared" si="3"/>
        <v>3710.9015208113524</v>
      </c>
      <c r="L8" s="236">
        <f t="shared" si="3"/>
        <v>3797.9557934178438</v>
      </c>
      <c r="M8" s="236">
        <f t="shared" si="3"/>
        <v>3888.5388722248535</v>
      </c>
      <c r="N8" s="236">
        <f t="shared" si="3"/>
        <v>4908.5568223669598</v>
      </c>
      <c r="O8" s="236">
        <f t="shared" si="3"/>
        <v>5006.6324398368979</v>
      </c>
      <c r="P8" s="236">
        <f t="shared" si="3"/>
        <v>5108.6836214771556</v>
      </c>
      <c r="Q8" s="236">
        <f t="shared" si="3"/>
        <v>5214.8715195789955</v>
      </c>
      <c r="R8" s="236">
        <f t="shared" si="3"/>
        <v>7787.7570436303831</v>
      </c>
      <c r="S8" s="236">
        <f t="shared" si="3"/>
        <v>7902.728226011599</v>
      </c>
      <c r="T8" s="236">
        <f t="shared" si="3"/>
        <v>8022.3598461762849</v>
      </c>
      <c r="U8" s="236">
        <f t="shared" si="3"/>
        <v>8146.8408182495614</v>
      </c>
      <c r="V8" s="236">
        <f t="shared" si="3"/>
        <v>9483.0647196569425</v>
      </c>
      <c r="W8" s="236">
        <f t="shared" si="3"/>
        <v>9617.8420794037393</v>
      </c>
      <c r="X8" s="236">
        <f t="shared" si="3"/>
        <v>9758.0827342711982</v>
      </c>
      <c r="Y8" s="236">
        <f t="shared" si="3"/>
        <v>9776.9933901352342</v>
      </c>
      <c r="Z8" s="236">
        <f t="shared" si="3"/>
        <v>11053.006513873654</v>
      </c>
      <c r="AA8" s="236">
        <f t="shared" si="3"/>
        <v>11053.295263873653</v>
      </c>
      <c r="AB8" s="236">
        <f t="shared" si="3"/>
        <v>11053.584013873653</v>
      </c>
      <c r="AC8" s="236">
        <f t="shared" si="3"/>
        <v>11053.872763873653</v>
      </c>
      <c r="AD8" s="236">
        <f t="shared" si="3"/>
        <v>12426.08542603282</v>
      </c>
      <c r="AE8" s="236">
        <f t="shared" si="3"/>
        <v>12426.374176032819</v>
      </c>
      <c r="AF8" s="236">
        <f t="shared" si="3"/>
        <v>12426.662926032819</v>
      </c>
      <c r="AG8" s="236">
        <f t="shared" si="3"/>
        <v>12426.951676032819</v>
      </c>
      <c r="AH8" s="236">
        <f t="shared" si="3"/>
        <v>12904.976952803379</v>
      </c>
      <c r="AI8" s="236">
        <f t="shared" si="3"/>
        <v>12905.265702803379</v>
      </c>
      <c r="AJ8" s="236">
        <f t="shared" si="3"/>
        <v>12905.554452803379</v>
      </c>
      <c r="AK8" s="236">
        <f t="shared" si="3"/>
        <v>12905.843202803379</v>
      </c>
      <c r="AL8" s="236">
        <f t="shared" si="3"/>
        <v>13373.161537526437</v>
      </c>
      <c r="AM8" s="236">
        <f t="shared" si="3"/>
        <v>13373.450287526437</v>
      </c>
      <c r="AN8" s="236">
        <f t="shared" si="3"/>
        <v>13373.739037526437</v>
      </c>
      <c r="AO8" s="236">
        <f t="shared" si="2"/>
        <v>13374.027787526436</v>
      </c>
      <c r="AP8" s="236">
        <f>AP6-AP7</f>
        <v>14201.27812482381</v>
      </c>
      <c r="AQ8" s="236">
        <f t="shared" si="2"/>
        <v>14201.566874823809</v>
      </c>
      <c r="AR8" s="236">
        <f t="shared" si="2"/>
        <v>14201.855624823809</v>
      </c>
      <c r="AS8" s="236">
        <f t="shared" si="2"/>
        <v>14202.144374823809</v>
      </c>
    </row>
    <row r="9" spans="1:45" s="213" customFormat="1" ht="61.5" customHeight="1" x14ac:dyDescent="0.3">
      <c r="A9" s="239" t="s">
        <v>287</v>
      </c>
      <c r="B9" s="245">
        <f>IF(B8&lt;0,0,B8*0.2)</f>
        <v>0</v>
      </c>
      <c r="C9" s="245">
        <f t="shared" ref="C9" si="4">IF(C8&lt;0,0,C8*0.2)</f>
        <v>0</v>
      </c>
      <c r="D9" s="296">
        <f>IF(D8&lt;0,0,D8*0)</f>
        <v>0</v>
      </c>
      <c r="E9" s="296">
        <f t="shared" ref="E9:W9" si="5">IF(E8&lt;0,0,E8*0)</f>
        <v>0</v>
      </c>
      <c r="F9" s="296">
        <f t="shared" si="5"/>
        <v>0</v>
      </c>
      <c r="G9" s="296">
        <f t="shared" si="5"/>
        <v>0</v>
      </c>
      <c r="H9" s="296">
        <f t="shared" si="5"/>
        <v>0</v>
      </c>
      <c r="I9" s="296">
        <f t="shared" si="5"/>
        <v>0</v>
      </c>
      <c r="J9" s="296">
        <f t="shared" si="5"/>
        <v>0</v>
      </c>
      <c r="K9" s="296">
        <f t="shared" si="5"/>
        <v>0</v>
      </c>
      <c r="L9" s="296">
        <f t="shared" si="5"/>
        <v>0</v>
      </c>
      <c r="M9" s="296">
        <f t="shared" si="5"/>
        <v>0</v>
      </c>
      <c r="N9" s="296">
        <f t="shared" si="5"/>
        <v>0</v>
      </c>
      <c r="O9" s="296">
        <f t="shared" si="5"/>
        <v>0</v>
      </c>
      <c r="P9" s="296">
        <f t="shared" si="5"/>
        <v>0</v>
      </c>
      <c r="Q9" s="296">
        <f t="shared" si="5"/>
        <v>0</v>
      </c>
      <c r="R9" s="296">
        <f t="shared" si="5"/>
        <v>0</v>
      </c>
      <c r="S9" s="296">
        <f t="shared" si="5"/>
        <v>0</v>
      </c>
      <c r="T9" s="296">
        <f t="shared" si="5"/>
        <v>0</v>
      </c>
      <c r="U9" s="296">
        <f t="shared" si="5"/>
        <v>0</v>
      </c>
      <c r="V9" s="296">
        <f t="shared" si="5"/>
        <v>0</v>
      </c>
      <c r="W9" s="296">
        <f t="shared" si="5"/>
        <v>0</v>
      </c>
      <c r="X9" s="482">
        <f>IF(X8&lt;0,0,X8*0.12)</f>
        <v>1170.9699281125438</v>
      </c>
      <c r="Y9" s="296">
        <f t="shared" ref="Y9:AQ9" si="6">IF(Y8&lt;0,0,Y8*0.12)</f>
        <v>1173.239206816228</v>
      </c>
      <c r="Z9" s="296">
        <f t="shared" si="6"/>
        <v>1326.3607816648384</v>
      </c>
      <c r="AA9" s="296">
        <f t="shared" si="6"/>
        <v>1326.3954316648383</v>
      </c>
      <c r="AB9" s="296">
        <f t="shared" si="6"/>
        <v>1326.4300816648383</v>
      </c>
      <c r="AC9" s="296">
        <f t="shared" si="6"/>
        <v>1326.4647316648384</v>
      </c>
      <c r="AD9" s="296">
        <f t="shared" si="6"/>
        <v>1491.1302511239383</v>
      </c>
      <c r="AE9" s="296">
        <f t="shared" si="6"/>
        <v>1491.1649011239383</v>
      </c>
      <c r="AF9" s="296">
        <f t="shared" si="6"/>
        <v>1491.1995511239381</v>
      </c>
      <c r="AG9" s="296">
        <f t="shared" si="6"/>
        <v>1491.2342011239382</v>
      </c>
      <c r="AH9" s="296">
        <f t="shared" si="6"/>
        <v>1548.5972343364056</v>
      </c>
      <c r="AI9" s="296">
        <f t="shared" si="6"/>
        <v>1548.6318843364054</v>
      </c>
      <c r="AJ9" s="296">
        <f t="shared" si="6"/>
        <v>1548.6665343364054</v>
      </c>
      <c r="AK9" s="296">
        <f t="shared" si="6"/>
        <v>1548.7011843364053</v>
      </c>
      <c r="AL9" s="296">
        <f t="shared" si="6"/>
        <v>1604.7793845031724</v>
      </c>
      <c r="AM9" s="296">
        <f t="shared" si="6"/>
        <v>1604.8140345031725</v>
      </c>
      <c r="AN9" s="296">
        <f t="shared" si="6"/>
        <v>1604.8486845031723</v>
      </c>
      <c r="AO9" s="296">
        <f t="shared" si="6"/>
        <v>1604.8833345031724</v>
      </c>
      <c r="AP9" s="296">
        <f t="shared" si="6"/>
        <v>1704.1533749788571</v>
      </c>
      <c r="AQ9" s="296">
        <f t="shared" si="6"/>
        <v>1704.1880249788571</v>
      </c>
      <c r="AR9" s="482">
        <f t="shared" ref="AR9:AS9" si="7">IF(AR8&lt;0,0,AR8*0.2)</f>
        <v>2840.3711249647622</v>
      </c>
      <c r="AS9" s="301">
        <f t="shared" si="7"/>
        <v>2840.4288749647621</v>
      </c>
    </row>
    <row r="10" spans="1:45" s="489" customFormat="1" ht="60" customHeight="1" x14ac:dyDescent="0.3">
      <c r="A10" s="485" t="s">
        <v>288</v>
      </c>
      <c r="B10" s="486">
        <f t="shared" ref="B10:E10" si="8">B8-B9</f>
        <v>0</v>
      </c>
      <c r="C10" s="486">
        <f t="shared" si="8"/>
        <v>0</v>
      </c>
      <c r="D10" s="487">
        <f t="shared" si="8"/>
        <v>-667.08320659866672</v>
      </c>
      <c r="E10" s="487">
        <f t="shared" si="8"/>
        <v>-2814.4191082833113</v>
      </c>
      <c r="F10" s="487">
        <f t="shared" ref="F10:AS10" si="9">F8-F9</f>
        <v>404.20297675132792</v>
      </c>
      <c r="G10" s="488">
        <f t="shared" si="9"/>
        <v>10882.932911502341</v>
      </c>
      <c r="H10" s="488">
        <f>H8-H9</f>
        <v>549.83247588893346</v>
      </c>
      <c r="I10" s="488">
        <f t="shared" si="9"/>
        <v>627.10393820084028</v>
      </c>
      <c r="J10" s="488">
        <f t="shared" si="9"/>
        <v>3627.2385842137624</v>
      </c>
      <c r="K10" s="488">
        <f t="shared" si="9"/>
        <v>3710.9015208113524</v>
      </c>
      <c r="L10" s="488">
        <f t="shared" si="9"/>
        <v>3797.9557934178438</v>
      </c>
      <c r="M10" s="488">
        <f t="shared" si="9"/>
        <v>3888.5388722248535</v>
      </c>
      <c r="N10" s="488">
        <f t="shared" si="9"/>
        <v>4908.5568223669598</v>
      </c>
      <c r="O10" s="488">
        <f t="shared" si="9"/>
        <v>5006.6324398368979</v>
      </c>
      <c r="P10" s="488">
        <f t="shared" si="9"/>
        <v>5108.6836214771556</v>
      </c>
      <c r="Q10" s="488">
        <f>Q8-Q9</f>
        <v>5214.8715195789955</v>
      </c>
      <c r="R10" s="488">
        <f t="shared" si="9"/>
        <v>7787.7570436303831</v>
      </c>
      <c r="S10" s="488">
        <f t="shared" si="9"/>
        <v>7902.728226011599</v>
      </c>
      <c r="T10" s="488">
        <f t="shared" si="9"/>
        <v>8022.3598461762849</v>
      </c>
      <c r="U10" s="488">
        <f t="shared" si="9"/>
        <v>8146.8408182495614</v>
      </c>
      <c r="V10" s="488">
        <f t="shared" si="9"/>
        <v>9483.0647196569425</v>
      </c>
      <c r="W10" s="488">
        <f t="shared" si="9"/>
        <v>9617.8420794037393</v>
      </c>
      <c r="X10" s="488">
        <f t="shared" si="9"/>
        <v>8587.1128061586551</v>
      </c>
      <c r="Y10" s="488">
        <f t="shared" si="9"/>
        <v>8603.7541833190062</v>
      </c>
      <c r="Z10" s="488">
        <f t="shared" si="9"/>
        <v>9726.6457322088154</v>
      </c>
      <c r="AA10" s="488">
        <f t="shared" si="9"/>
        <v>9726.8998322088155</v>
      </c>
      <c r="AB10" s="488">
        <f t="shared" si="9"/>
        <v>9727.1539322088138</v>
      </c>
      <c r="AC10" s="488">
        <f t="shared" si="9"/>
        <v>9727.4080322088139</v>
      </c>
      <c r="AD10" s="488">
        <f t="shared" si="9"/>
        <v>10934.955174908882</v>
      </c>
      <c r="AE10" s="488">
        <f t="shared" si="9"/>
        <v>10935.209274908881</v>
      </c>
      <c r="AF10" s="488">
        <f t="shared" si="9"/>
        <v>10935.463374908881</v>
      </c>
      <c r="AG10" s="488">
        <f t="shared" si="9"/>
        <v>10935.717474908881</v>
      </c>
      <c r="AH10" s="488">
        <f t="shared" si="9"/>
        <v>11356.379718466975</v>
      </c>
      <c r="AI10" s="488">
        <f t="shared" si="9"/>
        <v>11356.633818466973</v>
      </c>
      <c r="AJ10" s="488">
        <f t="shared" si="9"/>
        <v>11356.887918466973</v>
      </c>
      <c r="AK10" s="488">
        <f t="shared" si="9"/>
        <v>11357.142018466973</v>
      </c>
      <c r="AL10" s="488">
        <f t="shared" si="9"/>
        <v>11768.382153023265</v>
      </c>
      <c r="AM10" s="488">
        <f t="shared" si="9"/>
        <v>11768.636253023265</v>
      </c>
      <c r="AN10" s="488">
        <f t="shared" si="9"/>
        <v>11768.890353023264</v>
      </c>
      <c r="AO10" s="488">
        <f t="shared" si="9"/>
        <v>11769.144453023264</v>
      </c>
      <c r="AP10" s="488">
        <f t="shared" si="9"/>
        <v>12497.124749844952</v>
      </c>
      <c r="AQ10" s="488">
        <f t="shared" si="9"/>
        <v>12497.378849844952</v>
      </c>
      <c r="AR10" s="488">
        <f t="shared" si="9"/>
        <v>11361.484499859047</v>
      </c>
      <c r="AS10" s="488">
        <f t="shared" si="9"/>
        <v>11361.715499859047</v>
      </c>
    </row>
    <row r="11" spans="1:45" s="238" customFormat="1" ht="48.75" customHeight="1" x14ac:dyDescent="0.3">
      <c r="A11" s="239" t="s">
        <v>289</v>
      </c>
      <c r="B11" s="240"/>
      <c r="C11" s="240"/>
      <c r="D11" s="241">
        <f>'Расходы по займу'!D5</f>
        <v>549.23618915128986</v>
      </c>
      <c r="E11" s="241">
        <f>'Расходы по займу'!E5</f>
        <v>1692.039332435892</v>
      </c>
      <c r="F11" s="241">
        <f>'Расходы по займу'!F5</f>
        <v>1760.6273374705258</v>
      </c>
      <c r="G11" s="241">
        <f>'Расходы по займу'!G5</f>
        <v>1831.9956055548716</v>
      </c>
      <c r="H11" s="241">
        <f>'Расходы по займу'!H5</f>
        <v>1906.2568366081314</v>
      </c>
      <c r="I11" s="241">
        <f>'Расходы по займу'!I5</f>
        <v>1983.5282989200382</v>
      </c>
      <c r="J11" s="241">
        <f>'Расходы по займу'!J5</f>
        <v>2063.9320143329724</v>
      </c>
      <c r="K11" s="241">
        <f>'Расходы по займу'!K5</f>
        <v>2147.5949509305624</v>
      </c>
      <c r="L11" s="241">
        <f>'Расходы по займу'!L5</f>
        <v>2234.6492235370533</v>
      </c>
      <c r="M11" s="241">
        <f>'Расходы по займу'!M5</f>
        <v>2325.2323023440631</v>
      </c>
      <c r="N11" s="241">
        <f>'Расходы по займу'!N5</f>
        <v>2419.487229994163</v>
      </c>
      <c r="O11" s="241">
        <f>'Расходы по займу'!O5</f>
        <v>2517.5628474641012</v>
      </c>
      <c r="P11" s="241">
        <f>'Расходы по займу'!P5</f>
        <v>2619.6140291043585</v>
      </c>
      <c r="Q11" s="241">
        <f>'Расходы по займу'!Q5</f>
        <v>2725.8019272061983</v>
      </c>
      <c r="R11" s="241">
        <f>'Расходы по займу'!R5</f>
        <v>2836.2942264824133</v>
      </c>
      <c r="S11" s="241">
        <f>'Расходы по займу'!S5</f>
        <v>2951.26540886363</v>
      </c>
      <c r="T11" s="241">
        <f>'Расходы по займу'!T5</f>
        <v>3070.897029028316</v>
      </c>
      <c r="U11" s="241">
        <f>'Расходы по займу'!U5</f>
        <v>3195.3780011015915</v>
      </c>
      <c r="V11" s="241">
        <f>'Расходы по займу'!V5</f>
        <v>3324.9048969755786</v>
      </c>
      <c r="W11" s="241">
        <f>'Расходы по займу'!W5</f>
        <v>3459.6822567223739</v>
      </c>
      <c r="X11" s="241">
        <f>'Расходы по займу'!X5</f>
        <v>2384.0200557718767</v>
      </c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241"/>
      <c r="AP11" s="241"/>
      <c r="AQ11" s="241"/>
      <c r="AR11" s="241"/>
      <c r="AS11" s="241"/>
    </row>
    <row r="12" spans="1:45" s="213" customFormat="1" ht="54.75" customHeight="1" x14ac:dyDescent="0.3">
      <c r="A12" s="239" t="s">
        <v>290</v>
      </c>
      <c r="B12" s="248">
        <f>B10-B11</f>
        <v>0</v>
      </c>
      <c r="C12" s="248">
        <f t="shared" ref="C12:E12" si="10">C10-C11</f>
        <v>0</v>
      </c>
      <c r="D12" s="236">
        <f>D10-D11</f>
        <v>-1216.3193957499566</v>
      </c>
      <c r="E12" s="236">
        <f t="shared" si="10"/>
        <v>-4506.4584407192033</v>
      </c>
      <c r="F12" s="236">
        <f>F10-F11</f>
        <v>-1356.4243607191979</v>
      </c>
      <c r="G12" s="236">
        <f t="shared" ref="G12:AN12" si="11">G10-G11</f>
        <v>9050.9373059474692</v>
      </c>
      <c r="H12" s="236">
        <f t="shared" si="11"/>
        <v>-1356.4243607191979</v>
      </c>
      <c r="I12" s="236">
        <f t="shared" si="11"/>
        <v>-1356.4243607191979</v>
      </c>
      <c r="J12" s="236">
        <f t="shared" si="11"/>
        <v>1563.30656988079</v>
      </c>
      <c r="K12" s="236">
        <f t="shared" si="11"/>
        <v>1563.30656988079</v>
      </c>
      <c r="L12" s="236">
        <f t="shared" si="11"/>
        <v>1563.3065698807904</v>
      </c>
      <c r="M12" s="236">
        <f t="shared" si="11"/>
        <v>1563.3065698807904</v>
      </c>
      <c r="N12" s="236">
        <f t="shared" si="11"/>
        <v>2489.0695923727967</v>
      </c>
      <c r="O12" s="236">
        <f t="shared" si="11"/>
        <v>2489.0695923727967</v>
      </c>
      <c r="P12" s="236">
        <f t="shared" si="11"/>
        <v>2489.0695923727972</v>
      </c>
      <c r="Q12" s="236">
        <f t="shared" si="11"/>
        <v>2489.0695923727972</v>
      </c>
      <c r="R12" s="236">
        <f t="shared" si="11"/>
        <v>4951.4628171479699</v>
      </c>
      <c r="S12" s="236">
        <f t="shared" si="11"/>
        <v>4951.462817147969</v>
      </c>
      <c r="T12" s="236">
        <f t="shared" si="11"/>
        <v>4951.462817147969</v>
      </c>
      <c r="U12" s="236">
        <f t="shared" si="11"/>
        <v>4951.4628171479699</v>
      </c>
      <c r="V12" s="236">
        <f t="shared" si="11"/>
        <v>6158.1598226813639</v>
      </c>
      <c r="W12" s="236">
        <f t="shared" si="11"/>
        <v>6158.1598226813658</v>
      </c>
      <c r="X12" s="236">
        <f t="shared" si="11"/>
        <v>6203.0927503867788</v>
      </c>
      <c r="Y12" s="236">
        <f t="shared" si="11"/>
        <v>8603.7541833190062</v>
      </c>
      <c r="Z12" s="236">
        <f t="shared" si="11"/>
        <v>9726.6457322088154</v>
      </c>
      <c r="AA12" s="236">
        <f t="shared" si="11"/>
        <v>9726.8998322088155</v>
      </c>
      <c r="AB12" s="236">
        <f t="shared" si="11"/>
        <v>9727.1539322088138</v>
      </c>
      <c r="AC12" s="236">
        <f t="shared" si="11"/>
        <v>9727.4080322088139</v>
      </c>
      <c r="AD12" s="236">
        <f t="shared" si="11"/>
        <v>10934.955174908882</v>
      </c>
      <c r="AE12" s="236">
        <f t="shared" si="11"/>
        <v>10935.209274908881</v>
      </c>
      <c r="AF12" s="236">
        <f t="shared" si="11"/>
        <v>10935.463374908881</v>
      </c>
      <c r="AG12" s="236">
        <f t="shared" si="11"/>
        <v>10935.717474908881</v>
      </c>
      <c r="AH12" s="236">
        <f t="shared" si="11"/>
        <v>11356.379718466975</v>
      </c>
      <c r="AI12" s="236">
        <f t="shared" si="11"/>
        <v>11356.633818466973</v>
      </c>
      <c r="AJ12" s="236">
        <f t="shared" si="11"/>
        <v>11356.887918466973</v>
      </c>
      <c r="AK12" s="236">
        <f t="shared" si="11"/>
        <v>11357.142018466973</v>
      </c>
      <c r="AL12" s="236">
        <f t="shared" si="11"/>
        <v>11768.382153023265</v>
      </c>
      <c r="AM12" s="236">
        <f t="shared" si="11"/>
        <v>11768.636253023265</v>
      </c>
      <c r="AN12" s="236">
        <f t="shared" si="11"/>
        <v>11768.890353023264</v>
      </c>
      <c r="AO12" s="236">
        <f t="shared" ref="AO12:AS12" si="12">AO10-AO11</f>
        <v>11769.144453023264</v>
      </c>
      <c r="AP12" s="236">
        <f t="shared" si="12"/>
        <v>12497.124749844952</v>
      </c>
      <c r="AQ12" s="236">
        <f t="shared" si="12"/>
        <v>12497.378849844952</v>
      </c>
      <c r="AR12" s="236">
        <f t="shared" si="12"/>
        <v>11361.484499859047</v>
      </c>
      <c r="AS12" s="236">
        <f t="shared" si="12"/>
        <v>11361.715499859047</v>
      </c>
    </row>
    <row r="13" spans="1:45" ht="41.4" x14ac:dyDescent="0.3">
      <c r="A13" s="184" t="s">
        <v>291</v>
      </c>
      <c r="B13" s="249">
        <f>B11</f>
        <v>0</v>
      </c>
      <c r="C13" s="249">
        <f t="shared" ref="C13:E13" si="13">C11</f>
        <v>0</v>
      </c>
      <c r="D13" s="249">
        <f t="shared" si="13"/>
        <v>549.23618915128986</v>
      </c>
      <c r="E13" s="249">
        <f t="shared" si="13"/>
        <v>1692.039332435892</v>
      </c>
      <c r="F13" s="250">
        <f>F11</f>
        <v>1760.6273374705258</v>
      </c>
      <c r="G13" s="222">
        <f>F13+G11</f>
        <v>3592.6229430253975</v>
      </c>
      <c r="H13" s="222">
        <f t="shared" ref="H13:X13" si="14">G13+H11</f>
        <v>5498.8797796335293</v>
      </c>
      <c r="I13" s="222">
        <f t="shared" si="14"/>
        <v>7482.408078553568</v>
      </c>
      <c r="J13" s="222">
        <f t="shared" si="14"/>
        <v>9546.3400928865412</v>
      </c>
      <c r="K13" s="222">
        <f t="shared" si="14"/>
        <v>11693.935043817104</v>
      </c>
      <c r="L13" s="222">
        <f t="shared" si="14"/>
        <v>13928.584267354157</v>
      </c>
      <c r="M13" s="222">
        <f t="shared" si="14"/>
        <v>16253.816569698221</v>
      </c>
      <c r="N13" s="222">
        <f t="shared" si="14"/>
        <v>18673.303799692385</v>
      </c>
      <c r="O13" s="222">
        <f t="shared" si="14"/>
        <v>21190.866647156487</v>
      </c>
      <c r="P13" s="222">
        <f t="shared" si="14"/>
        <v>23810.480676260846</v>
      </c>
      <c r="Q13" s="222">
        <f t="shared" si="14"/>
        <v>26536.282603467043</v>
      </c>
      <c r="R13" s="222">
        <f t="shared" si="14"/>
        <v>29372.576829949456</v>
      </c>
      <c r="S13" s="222">
        <f t="shared" si="14"/>
        <v>32323.842238813086</v>
      </c>
      <c r="T13" s="222">
        <f t="shared" si="14"/>
        <v>35394.739267841403</v>
      </c>
      <c r="U13" s="222">
        <f t="shared" si="14"/>
        <v>38590.117268942995</v>
      </c>
      <c r="V13" s="222">
        <f t="shared" si="14"/>
        <v>41915.022165918577</v>
      </c>
      <c r="W13" s="222">
        <f t="shared" si="14"/>
        <v>45374.704422640949</v>
      </c>
      <c r="X13" s="222">
        <f t="shared" si="14"/>
        <v>47758.724478412827</v>
      </c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22"/>
      <c r="AN13" s="222"/>
      <c r="AO13" s="222"/>
      <c r="AP13" s="222"/>
      <c r="AQ13" s="222"/>
      <c r="AR13" s="222"/>
      <c r="AS13" s="222"/>
    </row>
    <row r="14" spans="1:45" x14ac:dyDescent="0.3">
      <c r="A14" s="184" t="s">
        <v>292</v>
      </c>
      <c r="B14" s="251">
        <f t="shared" ref="B14:E14" si="15">B7+B11</f>
        <v>0</v>
      </c>
      <c r="C14" s="251">
        <f t="shared" si="15"/>
        <v>0</v>
      </c>
      <c r="D14" s="253">
        <f t="shared" si="15"/>
        <v>1215.9028558179566</v>
      </c>
      <c r="E14" s="253">
        <f t="shared" si="15"/>
        <v>3647.7085674538698</v>
      </c>
      <c r="F14" s="252">
        <f t="shared" ref="F14:AS14" si="16">F7+F11</f>
        <v>3647.7085674538698</v>
      </c>
      <c r="G14" s="253">
        <f t="shared" si="16"/>
        <v>3647.7085674538698</v>
      </c>
      <c r="H14" s="253">
        <f t="shared" ref="H14:AN14" si="17">H7+H11</f>
        <v>3647.7085674538698</v>
      </c>
      <c r="I14" s="253">
        <f t="shared" si="17"/>
        <v>3647.7085674538698</v>
      </c>
      <c r="J14" s="253">
        <f t="shared" si="17"/>
        <v>3647.7085674538698</v>
      </c>
      <c r="K14" s="253">
        <f t="shared" si="17"/>
        <v>3647.7085674538698</v>
      </c>
      <c r="L14" s="253">
        <f t="shared" si="17"/>
        <v>3647.7085674538694</v>
      </c>
      <c r="M14" s="253">
        <f t="shared" si="17"/>
        <v>3647.7085674538694</v>
      </c>
      <c r="N14" s="253">
        <f t="shared" si="17"/>
        <v>3647.7085674538698</v>
      </c>
      <c r="O14" s="253">
        <f t="shared" si="17"/>
        <v>3647.7085674538698</v>
      </c>
      <c r="P14" s="253">
        <f t="shared" si="17"/>
        <v>3647.7085674538698</v>
      </c>
      <c r="Q14" s="253">
        <f t="shared" si="17"/>
        <v>3647.7085674538698</v>
      </c>
      <c r="R14" s="253">
        <f t="shared" si="17"/>
        <v>3647.7085674538698</v>
      </c>
      <c r="S14" s="253">
        <f t="shared" si="17"/>
        <v>3647.7085674538703</v>
      </c>
      <c r="T14" s="253">
        <f t="shared" si="17"/>
        <v>3647.7085674538698</v>
      </c>
      <c r="U14" s="253">
        <f t="shared" si="17"/>
        <v>3647.7085674538698</v>
      </c>
      <c r="V14" s="253">
        <f t="shared" si="17"/>
        <v>3647.7085674538698</v>
      </c>
      <c r="W14" s="253">
        <f t="shared" si="17"/>
        <v>3647.7085674538694</v>
      </c>
      <c r="X14" s="253">
        <f t="shared" si="17"/>
        <v>2431.8057116359132</v>
      </c>
      <c r="Y14" s="253">
        <f t="shared" si="17"/>
        <v>0</v>
      </c>
      <c r="Z14" s="253">
        <f t="shared" si="17"/>
        <v>0</v>
      </c>
      <c r="AA14" s="253">
        <f t="shared" si="17"/>
        <v>0</v>
      </c>
      <c r="AB14" s="253">
        <f t="shared" si="17"/>
        <v>0</v>
      </c>
      <c r="AC14" s="253">
        <f t="shared" si="17"/>
        <v>0</v>
      </c>
      <c r="AD14" s="253">
        <f t="shared" si="17"/>
        <v>0</v>
      </c>
      <c r="AE14" s="253">
        <f t="shared" si="17"/>
        <v>0</v>
      </c>
      <c r="AF14" s="253">
        <f t="shared" si="17"/>
        <v>0</v>
      </c>
      <c r="AG14" s="253">
        <f t="shared" si="17"/>
        <v>0</v>
      </c>
      <c r="AH14" s="253">
        <f t="shared" si="17"/>
        <v>0</v>
      </c>
      <c r="AI14" s="253">
        <f t="shared" si="17"/>
        <v>0</v>
      </c>
      <c r="AJ14" s="253">
        <f t="shared" si="17"/>
        <v>0</v>
      </c>
      <c r="AK14" s="253">
        <f t="shared" si="17"/>
        <v>0</v>
      </c>
      <c r="AL14" s="253">
        <f t="shared" si="17"/>
        <v>0</v>
      </c>
      <c r="AM14" s="253">
        <f t="shared" si="17"/>
        <v>0</v>
      </c>
      <c r="AN14" s="253">
        <f t="shared" si="17"/>
        <v>0</v>
      </c>
      <c r="AO14" s="253">
        <f t="shared" si="16"/>
        <v>0</v>
      </c>
      <c r="AP14" s="253">
        <f t="shared" si="16"/>
        <v>0</v>
      </c>
      <c r="AQ14" s="253">
        <f t="shared" si="16"/>
        <v>0</v>
      </c>
      <c r="AR14" s="253">
        <f t="shared" si="16"/>
        <v>0</v>
      </c>
      <c r="AS14" s="253">
        <f t="shared" si="16"/>
        <v>0</v>
      </c>
    </row>
    <row r="15" spans="1:45" ht="72.75" customHeight="1" x14ac:dyDescent="0.3">
      <c r="A15" s="184" t="s">
        <v>293</v>
      </c>
      <c r="B15" s="249">
        <f>B14</f>
        <v>0</v>
      </c>
      <c r="C15" s="249">
        <f t="shared" ref="C15:E15" si="18">C14</f>
        <v>0</v>
      </c>
      <c r="D15" s="249">
        <f t="shared" si="18"/>
        <v>1215.9028558179566</v>
      </c>
      <c r="E15" s="249">
        <f t="shared" si="18"/>
        <v>3647.7085674538698</v>
      </c>
      <c r="F15" s="250">
        <f>F14</f>
        <v>3647.7085674538698</v>
      </c>
      <c r="G15" s="222">
        <f t="shared" ref="G15:X15" si="19">F15+G14</f>
        <v>7295.4171349077396</v>
      </c>
      <c r="H15" s="222">
        <f t="shared" si="19"/>
        <v>10943.125702361609</v>
      </c>
      <c r="I15" s="222">
        <f t="shared" si="19"/>
        <v>14590.834269815479</v>
      </c>
      <c r="J15" s="222">
        <f>I15+J14</f>
        <v>18238.54283726935</v>
      </c>
      <c r="K15" s="222">
        <f t="shared" si="19"/>
        <v>21886.251404723218</v>
      </c>
      <c r="L15" s="222">
        <f>K15+L14</f>
        <v>25533.959972177086</v>
      </c>
      <c r="M15" s="222">
        <f t="shared" si="19"/>
        <v>29181.668539630955</v>
      </c>
      <c r="N15" s="222">
        <f t="shared" si="19"/>
        <v>32829.377107084823</v>
      </c>
      <c r="O15" s="222">
        <f t="shared" si="19"/>
        <v>36477.085674538692</v>
      </c>
      <c r="P15" s="222">
        <f t="shared" si="19"/>
        <v>40124.79424199256</v>
      </c>
      <c r="Q15" s="222">
        <f t="shared" si="19"/>
        <v>43772.502809446429</v>
      </c>
      <c r="R15" s="222">
        <f t="shared" si="19"/>
        <v>47420.211376900297</v>
      </c>
      <c r="S15" s="222">
        <f t="shared" si="19"/>
        <v>51067.919944354166</v>
      </c>
      <c r="T15" s="222">
        <f t="shared" si="19"/>
        <v>54715.628511808034</v>
      </c>
      <c r="U15" s="222">
        <f t="shared" si="19"/>
        <v>58363.337079261903</v>
      </c>
      <c r="V15" s="222">
        <f t="shared" si="19"/>
        <v>62011.045646715771</v>
      </c>
      <c r="W15" s="222">
        <f t="shared" si="19"/>
        <v>65658.754214169647</v>
      </c>
      <c r="X15" s="222">
        <f t="shared" si="19"/>
        <v>68090.559925805559</v>
      </c>
      <c r="Y15" s="222"/>
      <c r="Z15" s="222"/>
      <c r="AA15" s="222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</row>
    <row r="16" spans="1:45" x14ac:dyDescent="0.3"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5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  <c r="AI16" s="254"/>
      <c r="AJ16" s="254"/>
      <c r="AK16" s="254"/>
      <c r="AL16" s="254"/>
      <c r="AM16" s="254"/>
      <c r="AN16" s="254"/>
      <c r="AO16" s="254"/>
      <c r="AP16" s="254"/>
      <c r="AQ16" s="254"/>
      <c r="AR16" s="254"/>
      <c r="AS16" s="254"/>
    </row>
    <row r="17" spans="1:45" x14ac:dyDescent="0.3"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  <c r="AG17" s="254"/>
      <c r="AH17" s="254"/>
      <c r="AI17" s="254"/>
      <c r="AJ17" s="254"/>
      <c r="AK17" s="254"/>
      <c r="AL17" s="254"/>
      <c r="AM17" s="254"/>
      <c r="AN17" s="254"/>
      <c r="AO17" s="254"/>
      <c r="AP17" s="254"/>
      <c r="AQ17" s="254"/>
      <c r="AR17" s="254"/>
      <c r="AS17" s="254"/>
    </row>
    <row r="18" spans="1:45" x14ac:dyDescent="0.3">
      <c r="A18" s="483" t="s">
        <v>233</v>
      </c>
      <c r="B18" s="484" t="str">
        <f>'Расходы ТОР'!B24</f>
        <v>1 год</v>
      </c>
      <c r="C18" s="484" t="str">
        <f>'Расходы ТОР'!C24</f>
        <v>2 год</v>
      </c>
      <c r="D18" s="484" t="str">
        <f>'Расходы ТОР'!D24</f>
        <v>3 год</v>
      </c>
      <c r="E18" s="484" t="str">
        <f>'Расходы ТОР'!E24</f>
        <v>4 год</v>
      </c>
      <c r="F18" s="484" t="str">
        <f>'Расходы ТОР'!F24</f>
        <v>5 год</v>
      </c>
      <c r="G18" s="484" t="str">
        <f>'Расходы ТОР'!G24</f>
        <v>6 год</v>
      </c>
      <c r="H18" s="484" t="str">
        <f>'Расходы ТОР'!H24</f>
        <v>7 год</v>
      </c>
      <c r="I18" s="484" t="str">
        <f>'Расходы ТОР'!I24</f>
        <v>8 год</v>
      </c>
      <c r="J18" s="484" t="str">
        <f>'Расходы ТОР'!J24</f>
        <v>9 год</v>
      </c>
      <c r="K18" s="484" t="str">
        <f>'Расходы ТОР'!K24</f>
        <v>10 год</v>
      </c>
      <c r="L18" s="484" t="str">
        <f>'Расходы ТОР'!L24</f>
        <v>11 год</v>
      </c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6"/>
      <c r="AF18" s="254"/>
      <c r="AG18" s="254"/>
      <c r="AH18" s="254"/>
      <c r="AI18" s="254"/>
      <c r="AJ18" s="254"/>
      <c r="AK18" s="254"/>
      <c r="AL18" s="254"/>
      <c r="AM18" s="254"/>
      <c r="AN18" s="254"/>
      <c r="AO18" s="254"/>
      <c r="AP18" s="254"/>
      <c r="AQ18" s="254"/>
      <c r="AR18" s="254"/>
      <c r="AS18" s="254"/>
    </row>
    <row r="19" spans="1:45" x14ac:dyDescent="0.3">
      <c r="A19" s="257" t="s">
        <v>281</v>
      </c>
      <c r="B19" s="237">
        <f>SUM(B3:E3)</f>
        <v>0</v>
      </c>
      <c r="C19" s="258">
        <f>F3+G3+H3+I3</f>
        <v>120204.00000000001</v>
      </c>
      <c r="D19" s="191">
        <f>J3+K3+L3+M3</f>
        <v>174295.8</v>
      </c>
      <c r="E19" s="191">
        <f>N3+O3+P3+Q3</f>
        <v>188704.25280000002</v>
      </c>
      <c r="F19" s="222">
        <f>R3+S3+T3+U3</f>
        <v>228943.96045762493</v>
      </c>
      <c r="G19" s="222">
        <f>V3+W3+X3+Y3</f>
        <v>246047.42103298873</v>
      </c>
      <c r="H19" s="222">
        <f>Z3+AA3+AB3+AC3</f>
        <v>263612.47303451039</v>
      </c>
      <c r="I19" s="222">
        <f>AD3+AE3+AF3+AG3</f>
        <v>281649.11592634529</v>
      </c>
      <c r="J19" s="222">
        <f>AH3+AI3+AJ3+AK3</f>
        <v>285873.85266524047</v>
      </c>
      <c r="K19" s="222">
        <f>AL3+AM3+AN3+AO3</f>
        <v>290161.96045521903</v>
      </c>
      <c r="L19" s="222">
        <f t="shared" ref="L19:L24" si="20">AP3+AQ3+AR3+AS3</f>
        <v>294514.38986204728</v>
      </c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4"/>
      <c r="AH19" s="254"/>
      <c r="AI19" s="254"/>
      <c r="AJ19" s="254"/>
      <c r="AK19" s="254"/>
      <c r="AL19" s="254"/>
      <c r="AM19" s="254"/>
      <c r="AN19" s="254"/>
      <c r="AO19" s="254"/>
      <c r="AP19" s="254"/>
      <c r="AQ19" s="254"/>
      <c r="AR19" s="254"/>
      <c r="AS19" s="254"/>
    </row>
    <row r="20" spans="1:45" ht="27.6" x14ac:dyDescent="0.3">
      <c r="A20" s="257" t="s">
        <v>282</v>
      </c>
      <c r="B20" s="237">
        <f t="shared" ref="B20:B31" si="21">SUM(B4:E4)</f>
        <v>859.16641319733333</v>
      </c>
      <c r="C20" s="258">
        <f t="shared" ref="C20:C28" si="22">F4+G4+H4+I4</f>
        <v>100631.50150639466</v>
      </c>
      <c r="D20" s="191">
        <f t="shared" ref="D20:D28" si="23">J4+K4+L4+M4</f>
        <v>153451.73945066135</v>
      </c>
      <c r="E20" s="191">
        <f t="shared" ref="E20:E26" si="24">N4+O4+P4+Q4</f>
        <v>164157.14016069335</v>
      </c>
      <c r="F20" s="222">
        <f t="shared" ref="F20:F26" si="25">R4+S4+T4+U4</f>
        <v>194547.27491921757</v>
      </c>
      <c r="G20" s="222">
        <f t="shared" ref="G20:G26" si="26">V4+W4+X4+Y4</f>
        <v>206852.82247244779</v>
      </c>
      <c r="H20" s="222">
        <f t="shared" ref="H20:H28" si="27">Z4+AA4+AB4+AC4</f>
        <v>219398.71447901576</v>
      </c>
      <c r="I20" s="222">
        <f t="shared" ref="I20:I28" si="28">AD4+AE4+AF4+AG4</f>
        <v>231943.04172221399</v>
      </c>
      <c r="J20" s="222">
        <f t="shared" ref="J20:J28" si="29">AH4+AI4+AJ4+AK4</f>
        <v>234252.21235402694</v>
      </c>
      <c r="K20" s="222">
        <f t="shared" ref="K20:K25" si="30">AL4+AM4+AN4+AO4</f>
        <v>236667.5818051133</v>
      </c>
      <c r="L20" s="222">
        <f t="shared" si="20"/>
        <v>237707.54486275205</v>
      </c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  <c r="AM20" s="254"/>
      <c r="AN20" s="254"/>
      <c r="AO20" s="254"/>
      <c r="AP20" s="254"/>
      <c r="AQ20" s="254"/>
      <c r="AR20" s="254"/>
      <c r="AS20" s="254"/>
    </row>
    <row r="21" spans="1:45" ht="27.6" x14ac:dyDescent="0.3">
      <c r="A21" s="257" t="s">
        <v>283</v>
      </c>
      <c r="B21" s="237">
        <f t="shared" si="21"/>
        <v>64424.17</v>
      </c>
      <c r="C21" s="259">
        <f t="shared" si="22"/>
        <v>0</v>
      </c>
      <c r="D21" s="188">
        <f t="shared" si="23"/>
        <v>0</v>
      </c>
      <c r="E21" s="188">
        <f t="shared" si="24"/>
        <v>0</v>
      </c>
      <c r="F21" s="260">
        <f t="shared" si="25"/>
        <v>0</v>
      </c>
      <c r="G21" s="222"/>
      <c r="H21" s="222"/>
      <c r="I21" s="222"/>
      <c r="J21" s="222"/>
      <c r="K21" s="222"/>
      <c r="L21" s="222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/>
      <c r="AI21" s="254"/>
      <c r="AJ21" s="254"/>
      <c r="AK21" s="254"/>
      <c r="AL21" s="254"/>
      <c r="AM21" s="254"/>
      <c r="AN21" s="254"/>
      <c r="AO21" s="254"/>
      <c r="AP21" s="254"/>
      <c r="AQ21" s="254"/>
      <c r="AR21" s="254"/>
      <c r="AS21" s="254"/>
    </row>
    <row r="22" spans="1:45" ht="27.6" x14ac:dyDescent="0.3">
      <c r="A22" s="257" t="s">
        <v>284</v>
      </c>
      <c r="B22" s="237">
        <f t="shared" si="21"/>
        <v>-859.16641319733333</v>
      </c>
      <c r="C22" s="258">
        <f t="shared" si="22"/>
        <v>19572.498493605355</v>
      </c>
      <c r="D22" s="191">
        <f t="shared" si="23"/>
        <v>20844.060549338639</v>
      </c>
      <c r="E22" s="191">
        <f t="shared" si="24"/>
        <v>24547.112639306666</v>
      </c>
      <c r="F22" s="222">
        <f t="shared" si="25"/>
        <v>34396.685538407357</v>
      </c>
      <c r="G22" s="222">
        <f t="shared" si="26"/>
        <v>39194.598560540937</v>
      </c>
      <c r="H22" s="222">
        <f t="shared" si="27"/>
        <v>44213.758555494613</v>
      </c>
      <c r="I22" s="222">
        <f t="shared" si="28"/>
        <v>49706.074204131277</v>
      </c>
      <c r="J22" s="222">
        <f t="shared" si="29"/>
        <v>51621.640311213516</v>
      </c>
      <c r="K22" s="222">
        <f t="shared" si="30"/>
        <v>53494.378650105748</v>
      </c>
      <c r="L22" s="222">
        <f t="shared" si="20"/>
        <v>56806.844999295237</v>
      </c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  <c r="AO22" s="254"/>
      <c r="AP22" s="254"/>
      <c r="AQ22" s="254"/>
      <c r="AR22" s="254"/>
      <c r="AS22" s="254"/>
    </row>
    <row r="23" spans="1:45" s="219" customFormat="1" x14ac:dyDescent="0.3">
      <c r="A23" s="257" t="s">
        <v>285</v>
      </c>
      <c r="B23" s="237">
        <f>SUM(B7:E7)</f>
        <v>2622.3359016846443</v>
      </c>
      <c r="C23" s="258">
        <f>F7+G7+H7+I7</f>
        <v>7108.4261912619122</v>
      </c>
      <c r="D23" s="191">
        <f>J7+K7+L7+M7</f>
        <v>5819.4257786708276</v>
      </c>
      <c r="E23" s="191">
        <f>N7+O7+P7+Q7</f>
        <v>4308.3682360466582</v>
      </c>
      <c r="F23" s="222">
        <f>R7+S7+T7+U7</f>
        <v>2536.999604339529</v>
      </c>
      <c r="G23" s="222">
        <f>SUM(V7:Y7)</f>
        <v>558.61563707382311</v>
      </c>
      <c r="H23" s="222">
        <f t="shared" si="27"/>
        <v>0</v>
      </c>
      <c r="I23" s="222">
        <f>AB7+AC7+AD7+AE7</f>
        <v>0</v>
      </c>
      <c r="J23" s="222">
        <f t="shared" si="29"/>
        <v>0</v>
      </c>
      <c r="K23" s="222">
        <f t="shared" si="30"/>
        <v>0</v>
      </c>
      <c r="L23" s="222">
        <f t="shared" si="20"/>
        <v>0</v>
      </c>
      <c r="M23" s="254"/>
      <c r="N23" s="254"/>
      <c r="O23" s="254"/>
      <c r="P23" s="254"/>
      <c r="Q23" s="254"/>
      <c r="R23" s="254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  <c r="AC23" s="261"/>
      <c r="AD23" s="261"/>
      <c r="AE23" s="261"/>
      <c r="AF23" s="261"/>
      <c r="AG23" s="261"/>
      <c r="AH23" s="261"/>
      <c r="AI23" s="261"/>
      <c r="AJ23" s="261"/>
      <c r="AK23" s="261"/>
      <c r="AL23" s="261"/>
      <c r="AM23" s="261"/>
      <c r="AN23" s="261"/>
      <c r="AO23" s="261"/>
      <c r="AP23" s="261"/>
      <c r="AQ23" s="261"/>
      <c r="AR23" s="261"/>
      <c r="AS23" s="261"/>
    </row>
    <row r="24" spans="1:45" ht="27.6" x14ac:dyDescent="0.3">
      <c r="A24" s="257" t="s">
        <v>286</v>
      </c>
      <c r="B24" s="237">
        <f t="shared" si="21"/>
        <v>-3481.5023148819782</v>
      </c>
      <c r="C24" s="258">
        <f t="shared" si="22"/>
        <v>12464.072302343444</v>
      </c>
      <c r="D24" s="191">
        <f t="shared" si="23"/>
        <v>15024.634770667813</v>
      </c>
      <c r="E24" s="191">
        <f t="shared" si="24"/>
        <v>20238.744403260011</v>
      </c>
      <c r="F24" s="222">
        <f t="shared" si="25"/>
        <v>31859.685934067827</v>
      </c>
      <c r="G24" s="222">
        <f t="shared" si="26"/>
        <v>38635.982923467112</v>
      </c>
      <c r="H24" s="222">
        <f t="shared" si="27"/>
        <v>44213.758555494613</v>
      </c>
      <c r="I24" s="222">
        <f t="shared" si="28"/>
        <v>49706.074204131277</v>
      </c>
      <c r="J24" s="222">
        <f t="shared" si="29"/>
        <v>51621.640311213516</v>
      </c>
      <c r="K24" s="222">
        <f t="shared" si="30"/>
        <v>53494.378650105748</v>
      </c>
      <c r="L24" s="222">
        <f t="shared" si="20"/>
        <v>56806.844999295237</v>
      </c>
      <c r="M24" s="254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  <c r="AF24" s="254"/>
      <c r="AG24" s="254"/>
      <c r="AH24" s="254"/>
      <c r="AI24" s="254"/>
      <c r="AJ24" s="254"/>
      <c r="AK24" s="254"/>
      <c r="AL24" s="254"/>
      <c r="AM24" s="254"/>
      <c r="AN24" s="254"/>
      <c r="AO24" s="254"/>
      <c r="AP24" s="254"/>
      <c r="AQ24" s="254"/>
      <c r="AR24" s="254"/>
      <c r="AS24" s="254"/>
    </row>
    <row r="25" spans="1:45" ht="36" customHeight="1" x14ac:dyDescent="0.3">
      <c r="A25" s="257" t="s">
        <v>287</v>
      </c>
      <c r="B25" s="237">
        <f t="shared" si="21"/>
        <v>0</v>
      </c>
      <c r="C25" s="258">
        <f t="shared" si="22"/>
        <v>0</v>
      </c>
      <c r="D25" s="191">
        <f t="shared" si="23"/>
        <v>0</v>
      </c>
      <c r="E25" s="191">
        <f t="shared" si="24"/>
        <v>0</v>
      </c>
      <c r="F25" s="222">
        <f t="shared" si="25"/>
        <v>0</v>
      </c>
      <c r="G25" s="222">
        <f t="shared" si="26"/>
        <v>2344.2091349287721</v>
      </c>
      <c r="H25" s="222">
        <f t="shared" si="27"/>
        <v>5305.6510266593541</v>
      </c>
      <c r="I25" s="222">
        <f t="shared" si="28"/>
        <v>5964.7289044957524</v>
      </c>
      <c r="J25" s="222">
        <f t="shared" si="29"/>
        <v>6194.5968373456217</v>
      </c>
      <c r="K25" s="222">
        <f t="shared" si="30"/>
        <v>6419.32543801269</v>
      </c>
      <c r="L25" s="222">
        <f>AP9+AQ9+AR9+AS9</f>
        <v>9089.1413998872376</v>
      </c>
      <c r="M25" s="254"/>
      <c r="N25" s="254"/>
      <c r="O25" s="254"/>
      <c r="P25" s="254"/>
      <c r="Q25" s="254"/>
      <c r="R25" s="254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  <c r="AF25" s="254"/>
      <c r="AG25" s="254"/>
      <c r="AH25" s="254"/>
      <c r="AI25" s="254"/>
      <c r="AJ25" s="254"/>
      <c r="AK25" s="254"/>
      <c r="AL25" s="254"/>
      <c r="AM25" s="254"/>
      <c r="AN25" s="254"/>
      <c r="AO25" s="254"/>
      <c r="AP25" s="254"/>
      <c r="AQ25" s="254"/>
      <c r="AR25" s="254"/>
      <c r="AS25" s="254"/>
    </row>
    <row r="26" spans="1:45" ht="27.6" x14ac:dyDescent="0.3">
      <c r="A26" s="490" t="s">
        <v>288</v>
      </c>
      <c r="B26" s="491">
        <f t="shared" si="21"/>
        <v>-3481.5023148819782</v>
      </c>
      <c r="C26" s="492">
        <f t="shared" si="22"/>
        <v>12464.072302343444</v>
      </c>
      <c r="D26" s="493">
        <f t="shared" si="23"/>
        <v>15024.634770667813</v>
      </c>
      <c r="E26" s="493">
        <f t="shared" si="24"/>
        <v>20238.744403260011</v>
      </c>
      <c r="F26" s="494">
        <f t="shared" si="25"/>
        <v>31859.685934067827</v>
      </c>
      <c r="G26" s="494">
        <f t="shared" si="26"/>
        <v>36291.773788538339</v>
      </c>
      <c r="H26" s="494">
        <f t="shared" si="27"/>
        <v>38908.107528835259</v>
      </c>
      <c r="I26" s="494">
        <f t="shared" si="28"/>
        <v>43741.345299635526</v>
      </c>
      <c r="J26" s="494">
        <f t="shared" si="29"/>
        <v>45427.043473867889</v>
      </c>
      <c r="K26" s="494">
        <f>AL10+AM10+AN10+AO10</f>
        <v>47075.053212093058</v>
      </c>
      <c r="L26" s="494">
        <f>AP10+AQ10+AR10+AS10</f>
        <v>47717.703599408</v>
      </c>
      <c r="M26" s="254"/>
      <c r="N26" s="254"/>
      <c r="O26" s="254"/>
      <c r="P26" s="254"/>
      <c r="Q26" s="254"/>
      <c r="R26" s="254"/>
      <c r="S26" s="262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  <c r="AF26" s="254"/>
      <c r="AG26" s="254"/>
      <c r="AH26" s="254"/>
      <c r="AI26" s="254"/>
      <c r="AJ26" s="254"/>
      <c r="AK26" s="254"/>
      <c r="AL26" s="254"/>
      <c r="AM26" s="254"/>
      <c r="AN26" s="254"/>
      <c r="AO26" s="254"/>
      <c r="AP26" s="254"/>
      <c r="AQ26" s="254"/>
      <c r="AR26" s="254"/>
      <c r="AS26" s="254"/>
    </row>
    <row r="27" spans="1:45" s="219" customFormat="1" ht="27.6" x14ac:dyDescent="0.3">
      <c r="A27" s="257" t="s">
        <v>289</v>
      </c>
      <c r="B27" s="237">
        <f>SUM(B11:E11)</f>
        <v>2241.2755215871821</v>
      </c>
      <c r="C27" s="258">
        <f>SUM(F11:I11)</f>
        <v>7482.408078553568</v>
      </c>
      <c r="D27" s="191">
        <f>L11+M11+J11+K11</f>
        <v>8771.4084911446516</v>
      </c>
      <c r="E27" s="191">
        <f>P11+Q11+N11+O11</f>
        <v>10282.466033768822</v>
      </c>
      <c r="F27" s="222">
        <f>T11+U11+R11+S11</f>
        <v>12053.834665475952</v>
      </c>
      <c r="G27" s="222">
        <f>X11+Y11+V11+W11</f>
        <v>9168.6072094698284</v>
      </c>
      <c r="H27" s="222">
        <f t="shared" si="27"/>
        <v>0</v>
      </c>
      <c r="I27" s="222">
        <f t="shared" si="28"/>
        <v>0</v>
      </c>
      <c r="J27" s="222">
        <f t="shared" si="29"/>
        <v>0</v>
      </c>
      <c r="K27" s="222">
        <f>AL11+AM11+AN11+AO11</f>
        <v>0</v>
      </c>
      <c r="L27" s="222">
        <f>AP11+AQ11+AR11+AS11</f>
        <v>0</v>
      </c>
      <c r="M27" s="254"/>
      <c r="N27" s="254"/>
      <c r="O27" s="254"/>
      <c r="P27" s="254"/>
      <c r="Q27" s="254"/>
      <c r="R27" s="254"/>
      <c r="S27" s="261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  <c r="AF27" s="254"/>
      <c r="AG27" s="254"/>
      <c r="AH27" s="261"/>
      <c r="AI27" s="261"/>
      <c r="AJ27" s="261"/>
      <c r="AK27" s="261"/>
      <c r="AL27" s="261"/>
      <c r="AM27" s="261"/>
      <c r="AN27" s="261"/>
      <c r="AO27" s="261"/>
      <c r="AP27" s="261"/>
      <c r="AQ27" s="261"/>
      <c r="AR27" s="261"/>
      <c r="AS27" s="261"/>
    </row>
    <row r="28" spans="1:45" ht="27.6" x14ac:dyDescent="0.3">
      <c r="A28" s="257" t="s">
        <v>290</v>
      </c>
      <c r="B28" s="237">
        <f t="shared" si="21"/>
        <v>-5722.7778364691603</v>
      </c>
      <c r="C28" s="258">
        <f t="shared" si="22"/>
        <v>4981.6642237898741</v>
      </c>
      <c r="D28" s="191">
        <f t="shared" si="23"/>
        <v>6253.2262795231609</v>
      </c>
      <c r="E28" s="191">
        <f t="shared" ref="E28:G28" si="31">E26</f>
        <v>20238.744403260011</v>
      </c>
      <c r="F28" s="222">
        <f t="shared" si="31"/>
        <v>31859.685934067827</v>
      </c>
      <c r="G28" s="222">
        <f t="shared" si="31"/>
        <v>36291.773788538339</v>
      </c>
      <c r="H28" s="222">
        <f t="shared" si="27"/>
        <v>38908.107528835259</v>
      </c>
      <c r="I28" s="222">
        <f t="shared" si="28"/>
        <v>43741.345299635526</v>
      </c>
      <c r="J28" s="222">
        <f t="shared" si="29"/>
        <v>45427.043473867889</v>
      </c>
      <c r="K28" s="222">
        <f>AL12+AM12+AN12+AO12</f>
        <v>47075.053212093058</v>
      </c>
      <c r="L28" s="222">
        <f>AP12+AQ12+AR12+AS12</f>
        <v>47717.703599408</v>
      </c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  <c r="AF28" s="254"/>
      <c r="AG28" s="254"/>
      <c r="AH28" s="254"/>
      <c r="AI28" s="254"/>
      <c r="AJ28" s="254"/>
      <c r="AK28" s="254"/>
      <c r="AL28" s="254"/>
      <c r="AM28" s="254"/>
      <c r="AN28" s="254"/>
      <c r="AO28" s="254"/>
      <c r="AP28" s="254"/>
      <c r="AQ28" s="254"/>
      <c r="AR28" s="254"/>
      <c r="AS28" s="254"/>
    </row>
    <row r="29" spans="1:45" ht="41.4" x14ac:dyDescent="0.3">
      <c r="A29" s="257" t="s">
        <v>291</v>
      </c>
      <c r="B29" s="237">
        <f t="shared" si="21"/>
        <v>2241.2755215871821</v>
      </c>
      <c r="C29" s="258">
        <f>C27</f>
        <v>7482.408078553568</v>
      </c>
      <c r="D29" s="191">
        <f t="shared" ref="D29:G29" si="32">C29+D27</f>
        <v>16253.81656969822</v>
      </c>
      <c r="E29" s="191">
        <f t="shared" si="32"/>
        <v>26536.282603467043</v>
      </c>
      <c r="F29" s="222">
        <f t="shared" si="32"/>
        <v>38590.117268942995</v>
      </c>
      <c r="G29" s="222">
        <f t="shared" si="32"/>
        <v>47758.724478412827</v>
      </c>
      <c r="H29" s="222"/>
      <c r="I29" s="260"/>
      <c r="J29" s="260"/>
      <c r="K29" s="260"/>
      <c r="L29" s="260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  <c r="AA29" s="254"/>
      <c r="AB29" s="254"/>
      <c r="AC29" s="254"/>
      <c r="AD29" s="254"/>
      <c r="AE29" s="254"/>
      <c r="AF29" s="254"/>
      <c r="AG29" s="254"/>
      <c r="AH29" s="254"/>
      <c r="AI29" s="254"/>
      <c r="AJ29" s="254"/>
      <c r="AK29" s="254"/>
      <c r="AL29" s="254"/>
      <c r="AM29" s="254"/>
      <c r="AN29" s="254"/>
      <c r="AO29" s="254"/>
      <c r="AP29" s="254"/>
      <c r="AQ29" s="254"/>
      <c r="AR29" s="254"/>
      <c r="AS29" s="254"/>
    </row>
    <row r="30" spans="1:45" x14ac:dyDescent="0.3">
      <c r="A30" s="257" t="s">
        <v>292</v>
      </c>
      <c r="B30" s="237">
        <f t="shared" si="21"/>
        <v>4863.6114232718264</v>
      </c>
      <c r="C30" s="258">
        <f>F14+G14+H14+I14</f>
        <v>14590.834269815479</v>
      </c>
      <c r="D30" s="191">
        <f>J14+K14+L14+M14</f>
        <v>14590.834269815477</v>
      </c>
      <c r="E30" s="191">
        <f>N14+O14+P14+Q14</f>
        <v>14590.834269815479</v>
      </c>
      <c r="F30" s="222">
        <f>R14+S14+T14+U14</f>
        <v>14590.834269815481</v>
      </c>
      <c r="G30" s="222">
        <f>V14+W14+X14+Y14</f>
        <v>9727.2228465436528</v>
      </c>
      <c r="H30" s="222">
        <f>Z14+AA14+AB14+AC14</f>
        <v>0</v>
      </c>
      <c r="I30" s="222">
        <f>AD14+AE14+AF14+AG14</f>
        <v>0</v>
      </c>
      <c r="J30" s="222">
        <f>SUM(AH14:AK14)</f>
        <v>0</v>
      </c>
      <c r="K30" s="222">
        <f>SUM(AL14:AO14)</f>
        <v>0</v>
      </c>
      <c r="L30" s="222">
        <f>SUM(AP14:AS14)</f>
        <v>0</v>
      </c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  <c r="AM30" s="254"/>
      <c r="AN30" s="254"/>
      <c r="AO30" s="254"/>
      <c r="AP30" s="254"/>
      <c r="AQ30" s="254"/>
      <c r="AR30" s="254"/>
      <c r="AS30" s="254"/>
    </row>
    <row r="31" spans="1:45" ht="27.6" x14ac:dyDescent="0.3">
      <c r="A31" s="257" t="s">
        <v>293</v>
      </c>
      <c r="B31" s="237">
        <f t="shared" si="21"/>
        <v>4863.6114232718264</v>
      </c>
      <c r="C31" s="258">
        <f>C30</f>
        <v>14590.834269815479</v>
      </c>
      <c r="D31" s="191">
        <f t="shared" ref="D31:G31" si="33">C31+D30</f>
        <v>29181.668539630955</v>
      </c>
      <c r="E31" s="191">
        <f t="shared" si="33"/>
        <v>43772.502809446436</v>
      </c>
      <c r="F31" s="222">
        <f t="shared" si="33"/>
        <v>58363.337079261917</v>
      </c>
      <c r="G31" s="222">
        <f t="shared" si="33"/>
        <v>68090.559925805574</v>
      </c>
      <c r="H31" s="260"/>
      <c r="I31" s="222"/>
      <c r="J31" s="222"/>
      <c r="K31" s="222"/>
      <c r="L31" s="222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54"/>
      <c r="AI31" s="254"/>
      <c r="AJ31" s="254"/>
      <c r="AK31" s="254"/>
      <c r="AL31" s="254"/>
      <c r="AM31" s="254"/>
      <c r="AN31" s="254"/>
      <c r="AO31" s="254"/>
      <c r="AP31" s="254"/>
      <c r="AQ31" s="254"/>
      <c r="AR31" s="254"/>
      <c r="AS31" s="254"/>
    </row>
    <row r="32" spans="1:45" x14ac:dyDescent="0.3">
      <c r="A32" s="263"/>
      <c r="B32" s="263"/>
      <c r="C32" s="264"/>
      <c r="D32" s="264"/>
      <c r="E32" s="26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254"/>
      <c r="AI32" s="254"/>
      <c r="AJ32" s="254"/>
      <c r="AK32" s="254"/>
      <c r="AL32" s="254"/>
      <c r="AM32" s="254"/>
      <c r="AN32" s="254"/>
      <c r="AO32" s="254"/>
      <c r="AP32" s="254"/>
      <c r="AQ32" s="254"/>
      <c r="AR32" s="254"/>
      <c r="AS32" s="254"/>
    </row>
    <row r="33" spans="1:45" x14ac:dyDescent="0.3">
      <c r="A33" s="263"/>
      <c r="B33" s="194"/>
      <c r="C33" s="194"/>
      <c r="D33" s="194"/>
      <c r="E33" s="194"/>
      <c r="F33" s="254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  <c r="AM33" s="254"/>
      <c r="AN33" s="254"/>
      <c r="AO33" s="254"/>
      <c r="AP33" s="254"/>
      <c r="AQ33" s="254"/>
      <c r="AR33" s="254"/>
      <c r="AS33" s="254"/>
    </row>
    <row r="34" spans="1:45" x14ac:dyDescent="0.3">
      <c r="B34" s="194"/>
      <c r="C34" s="194"/>
      <c r="D34" s="194"/>
      <c r="E34" s="194"/>
      <c r="F34" s="254"/>
      <c r="G34" s="254"/>
      <c r="H34" s="254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</row>
    <row r="35" spans="1:45" x14ac:dyDescent="0.3">
      <c r="B35" s="193"/>
      <c r="C35" s="193"/>
      <c r="D35" s="193"/>
      <c r="E35" s="193"/>
      <c r="F35" s="254"/>
      <c r="G35" s="254"/>
      <c r="H35" s="254"/>
      <c r="I35" s="254"/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4"/>
      <c r="AH35" s="254"/>
      <c r="AI35" s="254"/>
      <c r="AJ35" s="254"/>
      <c r="AK35" s="254"/>
      <c r="AL35" s="254"/>
      <c r="AM35" s="254"/>
      <c r="AN35" s="254"/>
      <c r="AO35" s="254"/>
      <c r="AP35" s="254"/>
      <c r="AQ35" s="254"/>
      <c r="AR35" s="254"/>
      <c r="AS35" s="254"/>
    </row>
    <row r="36" spans="1:45" x14ac:dyDescent="0.3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4"/>
      <c r="AL36" s="254"/>
      <c r="AM36" s="254"/>
      <c r="AN36" s="254"/>
      <c r="AO36" s="254"/>
      <c r="AP36" s="254"/>
      <c r="AQ36" s="254"/>
      <c r="AR36" s="254"/>
      <c r="AS36" s="254"/>
    </row>
    <row r="37" spans="1:45" x14ac:dyDescent="0.3">
      <c r="B37" s="193"/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/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</row>
    <row r="38" spans="1:45" x14ac:dyDescent="0.3">
      <c r="C38" s="230"/>
      <c r="D38" s="230"/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30"/>
      <c r="Q38" s="230"/>
      <c r="R38" s="230"/>
      <c r="S38" s="230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  <c r="AO38" s="254"/>
      <c r="AP38" s="254"/>
      <c r="AQ38" s="254"/>
      <c r="AR38" s="254"/>
      <c r="AS38" s="254"/>
    </row>
    <row r="39" spans="1:45" ht="11.25" customHeight="1" x14ac:dyDescent="0.3">
      <c r="F39" s="254"/>
      <c r="G39" s="254"/>
      <c r="H39" s="254"/>
      <c r="I39" s="254"/>
      <c r="J39" s="254"/>
      <c r="K39" s="254"/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  <c r="AF39" s="254"/>
      <c r="AG39" s="254"/>
      <c r="AH39" s="254"/>
      <c r="AI39" s="254"/>
      <c r="AJ39" s="254"/>
      <c r="AK39" s="254"/>
      <c r="AL39" s="254"/>
      <c r="AM39" s="254"/>
      <c r="AN39" s="254"/>
      <c r="AO39" s="254"/>
      <c r="AP39" s="254"/>
      <c r="AQ39" s="254"/>
      <c r="AR39" s="254"/>
      <c r="AS39" s="254"/>
    </row>
    <row r="40" spans="1:45" x14ac:dyDescent="0.3">
      <c r="B40" s="193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254"/>
      <c r="R40" s="254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  <c r="AF40" s="254"/>
      <c r="AG40" s="254"/>
      <c r="AH40" s="254"/>
      <c r="AI40" s="254"/>
      <c r="AJ40" s="254"/>
      <c r="AK40" s="254"/>
      <c r="AL40" s="254"/>
      <c r="AM40" s="254"/>
      <c r="AN40" s="254"/>
      <c r="AO40" s="254"/>
      <c r="AP40" s="254"/>
      <c r="AQ40" s="254"/>
      <c r="AR40" s="254"/>
      <c r="AS40" s="254"/>
    </row>
    <row r="41" spans="1:45" x14ac:dyDescent="0.3">
      <c r="F41" s="254"/>
      <c r="G41" s="254"/>
      <c r="H41" s="254"/>
      <c r="I41" s="254"/>
      <c r="J41" s="254"/>
      <c r="K41" s="254"/>
      <c r="L41" s="254"/>
      <c r="M41" s="254"/>
      <c r="N41" s="254"/>
      <c r="O41" s="254"/>
      <c r="P41" s="254"/>
      <c r="Q41" s="254"/>
      <c r="R41" s="254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  <c r="AF41" s="254"/>
      <c r="AG41" s="254"/>
      <c r="AH41" s="254"/>
      <c r="AI41" s="254"/>
      <c r="AJ41" s="254"/>
      <c r="AK41" s="254"/>
      <c r="AL41" s="254"/>
      <c r="AM41" s="254"/>
      <c r="AN41" s="254"/>
      <c r="AO41" s="254"/>
      <c r="AP41" s="254"/>
      <c r="AQ41" s="254"/>
      <c r="AR41" s="254"/>
      <c r="AS41" s="254"/>
    </row>
    <row r="42" spans="1:45" x14ac:dyDescent="0.3">
      <c r="E42" s="193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254"/>
      <c r="Z42" s="254"/>
      <c r="AA42" s="254"/>
      <c r="AB42" s="254"/>
      <c r="AC42" s="254"/>
      <c r="AD42" s="254"/>
      <c r="AE42" s="254"/>
      <c r="AF42" s="254"/>
      <c r="AG42" s="254"/>
      <c r="AH42" s="254"/>
      <c r="AI42" s="254"/>
      <c r="AJ42" s="254"/>
      <c r="AK42" s="254"/>
      <c r="AL42" s="254"/>
      <c r="AM42" s="254"/>
      <c r="AN42" s="254"/>
      <c r="AO42" s="254"/>
      <c r="AP42" s="254"/>
      <c r="AQ42" s="254"/>
      <c r="AR42" s="254"/>
      <c r="AS42" s="254"/>
    </row>
    <row r="43" spans="1:45" x14ac:dyDescent="0.3"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54"/>
      <c r="R43" s="254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  <c r="AF43" s="254"/>
      <c r="AG43" s="254"/>
      <c r="AH43" s="254"/>
      <c r="AI43" s="254"/>
      <c r="AJ43" s="254"/>
      <c r="AK43" s="254"/>
      <c r="AL43" s="254"/>
      <c r="AM43" s="254"/>
      <c r="AN43" s="254"/>
      <c r="AO43" s="254"/>
      <c r="AP43" s="254"/>
      <c r="AQ43" s="254"/>
      <c r="AR43" s="254"/>
      <c r="AS43" s="254"/>
    </row>
    <row r="44" spans="1:45" x14ac:dyDescent="0.3"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54"/>
      <c r="R44" s="254"/>
      <c r="S44" s="254"/>
      <c r="T44" s="254"/>
      <c r="U44" s="254"/>
      <c r="V44" s="254"/>
      <c r="W44" s="254"/>
      <c r="X44" s="254"/>
      <c r="Y44" s="254"/>
      <c r="Z44" s="254"/>
      <c r="AA44" s="254"/>
      <c r="AB44" s="254"/>
      <c r="AC44" s="254"/>
      <c r="AD44" s="254"/>
      <c r="AE44" s="254"/>
      <c r="AF44" s="254"/>
      <c r="AG44" s="254"/>
      <c r="AH44" s="254"/>
      <c r="AI44" s="254"/>
      <c r="AJ44" s="254"/>
      <c r="AK44" s="254"/>
      <c r="AL44" s="254"/>
      <c r="AM44" s="254"/>
      <c r="AN44" s="254"/>
      <c r="AO44" s="254"/>
      <c r="AP44" s="254"/>
      <c r="AQ44" s="254"/>
      <c r="AR44" s="254"/>
      <c r="AS44" s="254"/>
    </row>
    <row r="45" spans="1:45" x14ac:dyDescent="0.3"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  <c r="AA45" s="254"/>
      <c r="AB45" s="254"/>
      <c r="AC45" s="254"/>
      <c r="AD45" s="254"/>
      <c r="AE45" s="254"/>
      <c r="AF45" s="254"/>
      <c r="AG45" s="254"/>
      <c r="AH45" s="254"/>
      <c r="AI45" s="254"/>
      <c r="AJ45" s="254"/>
      <c r="AK45" s="254"/>
      <c r="AL45" s="254"/>
      <c r="AM45" s="254"/>
      <c r="AN45" s="254"/>
      <c r="AO45" s="254"/>
      <c r="AP45" s="254"/>
      <c r="AQ45" s="254"/>
      <c r="AR45" s="254"/>
      <c r="AS45" s="254"/>
    </row>
    <row r="46" spans="1:45" x14ac:dyDescent="0.3">
      <c r="B46" s="193"/>
      <c r="F46" s="254"/>
      <c r="G46" s="254"/>
      <c r="H46" s="254"/>
      <c r="I46" s="254"/>
      <c r="J46" s="254"/>
      <c r="K46" s="254"/>
      <c r="L46" s="254"/>
      <c r="M46" s="254"/>
      <c r="N46" s="254"/>
      <c r="O46" s="254"/>
      <c r="P46" s="254"/>
      <c r="Q46" s="254"/>
      <c r="R46" s="254"/>
      <c r="S46" s="254"/>
      <c r="T46" s="254"/>
      <c r="U46" s="254"/>
      <c r="V46" s="254"/>
      <c r="W46" s="254"/>
      <c r="X46" s="254"/>
      <c r="Y46" s="254"/>
      <c r="Z46" s="254"/>
      <c r="AA46" s="254"/>
      <c r="AB46" s="254"/>
      <c r="AC46" s="254"/>
      <c r="AD46" s="254"/>
      <c r="AE46" s="254"/>
      <c r="AF46" s="254"/>
      <c r="AG46" s="254"/>
      <c r="AH46" s="254"/>
      <c r="AI46" s="254"/>
      <c r="AJ46" s="254"/>
      <c r="AK46" s="254"/>
      <c r="AL46" s="254"/>
      <c r="AM46" s="254"/>
      <c r="AN46" s="254"/>
      <c r="AO46" s="254"/>
      <c r="AP46" s="254"/>
      <c r="AQ46" s="254"/>
      <c r="AR46" s="254"/>
      <c r="AS46" s="254"/>
    </row>
    <row r="47" spans="1:45" x14ac:dyDescent="0.3">
      <c r="A47" s="254"/>
      <c r="B47" s="254"/>
      <c r="C47" s="254"/>
      <c r="D47" s="254"/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54"/>
      <c r="R47" s="254"/>
      <c r="S47" s="254"/>
      <c r="T47" s="254"/>
      <c r="U47" s="254"/>
      <c r="V47" s="254"/>
      <c r="W47" s="254"/>
      <c r="X47" s="254"/>
      <c r="Y47" s="254"/>
      <c r="Z47" s="254"/>
      <c r="AA47" s="254"/>
      <c r="AB47" s="254"/>
      <c r="AC47" s="254"/>
      <c r="AD47" s="254"/>
      <c r="AE47" s="254"/>
      <c r="AF47" s="254"/>
      <c r="AG47" s="254"/>
      <c r="AH47" s="254"/>
      <c r="AI47" s="254"/>
      <c r="AJ47" s="254"/>
      <c r="AK47" s="254"/>
      <c r="AL47" s="254"/>
      <c r="AM47" s="254"/>
      <c r="AN47" s="254"/>
      <c r="AO47" s="254"/>
      <c r="AP47" s="254"/>
      <c r="AQ47" s="254"/>
      <c r="AR47" s="254"/>
      <c r="AS47" s="254"/>
    </row>
    <row r="48" spans="1:45" x14ac:dyDescent="0.3">
      <c r="B48" s="265"/>
      <c r="F48" s="254"/>
      <c r="G48" s="254"/>
      <c r="H48" s="254"/>
      <c r="I48" s="254"/>
      <c r="J48" s="254"/>
      <c r="K48" s="254"/>
      <c r="L48" s="254"/>
      <c r="M48" s="254"/>
      <c r="N48" s="254"/>
      <c r="O48" s="254"/>
      <c r="P48" s="254"/>
      <c r="Q48" s="254"/>
      <c r="R48" s="254"/>
      <c r="S48" s="254"/>
      <c r="T48" s="254"/>
      <c r="U48" s="254"/>
      <c r="V48" s="254"/>
      <c r="W48" s="254"/>
      <c r="X48" s="254"/>
      <c r="Y48" s="254"/>
      <c r="Z48" s="254"/>
      <c r="AA48" s="254"/>
      <c r="AB48" s="254"/>
      <c r="AC48" s="254"/>
      <c r="AD48" s="254"/>
      <c r="AE48" s="254"/>
      <c r="AF48" s="254"/>
      <c r="AG48" s="254"/>
      <c r="AH48" s="254"/>
      <c r="AI48" s="254"/>
      <c r="AJ48" s="254"/>
      <c r="AK48" s="254"/>
      <c r="AL48" s="254"/>
      <c r="AM48" s="254"/>
      <c r="AN48" s="254"/>
      <c r="AO48" s="254"/>
      <c r="AP48" s="254"/>
      <c r="AQ48" s="254"/>
      <c r="AR48" s="254"/>
      <c r="AS48" s="254"/>
    </row>
    <row r="49" spans="2:45" x14ac:dyDescent="0.3">
      <c r="B49" s="193"/>
      <c r="F49" s="254"/>
      <c r="G49" s="254"/>
      <c r="H49" s="254"/>
      <c r="I49" s="254"/>
      <c r="J49" s="254"/>
      <c r="K49" s="254"/>
      <c r="L49" s="254"/>
      <c r="M49" s="254"/>
      <c r="N49" s="254"/>
      <c r="O49" s="254"/>
      <c r="P49" s="254"/>
      <c r="Q49" s="254"/>
      <c r="R49" s="254"/>
      <c r="S49" s="254"/>
      <c r="T49" s="254"/>
      <c r="U49" s="254"/>
      <c r="V49" s="254"/>
      <c r="W49" s="254"/>
      <c r="X49" s="254"/>
      <c r="Y49" s="254"/>
      <c r="Z49" s="254"/>
      <c r="AA49" s="254"/>
      <c r="AB49" s="254"/>
      <c r="AC49" s="254"/>
      <c r="AD49" s="254"/>
      <c r="AE49" s="254"/>
      <c r="AF49" s="254"/>
      <c r="AG49" s="254"/>
      <c r="AH49" s="254"/>
      <c r="AI49" s="254"/>
      <c r="AJ49" s="254"/>
      <c r="AK49" s="254"/>
      <c r="AL49" s="254"/>
      <c r="AM49" s="254"/>
      <c r="AN49" s="254"/>
      <c r="AO49" s="254"/>
      <c r="AP49" s="254"/>
      <c r="AQ49" s="254"/>
      <c r="AR49" s="254"/>
      <c r="AS49" s="254"/>
    </row>
    <row r="50" spans="2:45" x14ac:dyDescent="0.3">
      <c r="B50" s="266"/>
      <c r="F50" s="254"/>
      <c r="G50" s="254"/>
      <c r="H50" s="254"/>
      <c r="I50" s="254"/>
      <c r="J50" s="254"/>
      <c r="K50" s="254"/>
      <c r="L50" s="254"/>
      <c r="M50" s="254"/>
      <c r="N50" s="254"/>
      <c r="O50" s="254"/>
      <c r="P50" s="254"/>
      <c r="Q50" s="254"/>
      <c r="R50" s="254"/>
      <c r="S50" s="254"/>
      <c r="T50" s="254"/>
      <c r="U50" s="254"/>
      <c r="V50" s="254"/>
      <c r="W50" s="254"/>
      <c r="X50" s="254"/>
      <c r="Y50" s="254"/>
      <c r="Z50" s="254"/>
      <c r="AA50" s="254"/>
      <c r="AB50" s="254"/>
      <c r="AC50" s="254"/>
      <c r="AD50" s="254"/>
      <c r="AE50" s="254"/>
      <c r="AF50" s="254"/>
      <c r="AG50" s="254"/>
      <c r="AH50" s="254"/>
      <c r="AI50" s="254"/>
      <c r="AJ50" s="254"/>
      <c r="AK50" s="254"/>
      <c r="AL50" s="254"/>
      <c r="AM50" s="254"/>
      <c r="AN50" s="254"/>
      <c r="AO50" s="254"/>
      <c r="AP50" s="254"/>
      <c r="AQ50" s="254"/>
      <c r="AR50" s="254"/>
      <c r="AS50" s="254"/>
    </row>
    <row r="51" spans="2:45" x14ac:dyDescent="0.3">
      <c r="B51" s="266"/>
      <c r="C51" s="193"/>
      <c r="D51" s="193"/>
      <c r="E51" s="193"/>
      <c r="F51" s="254"/>
      <c r="G51" s="254"/>
      <c r="H51" s="254"/>
      <c r="I51" s="254"/>
      <c r="J51" s="254"/>
      <c r="K51" s="254"/>
      <c r="L51" s="254"/>
      <c r="M51" s="254"/>
      <c r="N51" s="254"/>
      <c r="O51" s="254"/>
      <c r="P51" s="254"/>
      <c r="Q51" s="254"/>
      <c r="R51" s="254"/>
      <c r="S51" s="254"/>
      <c r="T51" s="254"/>
      <c r="U51" s="254"/>
      <c r="V51" s="254"/>
      <c r="W51" s="254"/>
      <c r="X51" s="254"/>
      <c r="Y51" s="254"/>
      <c r="Z51" s="254"/>
      <c r="AA51" s="254"/>
      <c r="AB51" s="254"/>
      <c r="AC51" s="254"/>
      <c r="AD51" s="254"/>
      <c r="AE51" s="254"/>
      <c r="AF51" s="254"/>
      <c r="AG51" s="254"/>
      <c r="AH51" s="254"/>
      <c r="AI51" s="254"/>
      <c r="AJ51" s="254"/>
      <c r="AK51" s="254"/>
      <c r="AL51" s="254"/>
      <c r="AM51" s="254"/>
      <c r="AN51" s="254"/>
      <c r="AO51" s="254"/>
      <c r="AP51" s="254"/>
      <c r="AQ51" s="254"/>
      <c r="AR51" s="254"/>
      <c r="AS51" s="254"/>
    </row>
    <row r="52" spans="2:45" x14ac:dyDescent="0.3">
      <c r="B52" s="267"/>
      <c r="F52" s="254"/>
      <c r="G52" s="254"/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  <c r="AO52" s="254"/>
      <c r="AP52" s="254"/>
      <c r="AQ52" s="254"/>
      <c r="AR52" s="254"/>
      <c r="AS52" s="254"/>
    </row>
    <row r="53" spans="2:45" x14ac:dyDescent="0.3">
      <c r="B53" s="266"/>
      <c r="C53" s="266"/>
      <c r="D53" s="266"/>
      <c r="F53" s="254"/>
      <c r="G53" s="254"/>
      <c r="H53" s="254"/>
      <c r="I53" s="254"/>
      <c r="J53" s="254"/>
      <c r="K53" s="254"/>
      <c r="L53" s="254"/>
      <c r="M53" s="254"/>
      <c r="N53" s="254"/>
      <c r="O53" s="254"/>
      <c r="P53" s="254"/>
      <c r="Q53" s="254"/>
      <c r="R53" s="254"/>
      <c r="S53" s="254"/>
      <c r="T53" s="254"/>
      <c r="U53" s="254"/>
      <c r="V53" s="254"/>
      <c r="W53" s="254"/>
      <c r="X53" s="254"/>
      <c r="Y53" s="254"/>
      <c r="Z53" s="254"/>
      <c r="AA53" s="254"/>
      <c r="AB53" s="254"/>
      <c r="AC53" s="254"/>
      <c r="AD53" s="254"/>
      <c r="AE53" s="254"/>
      <c r="AF53" s="254"/>
      <c r="AG53" s="254"/>
      <c r="AH53" s="254"/>
      <c r="AI53" s="254"/>
      <c r="AJ53" s="254"/>
      <c r="AK53" s="254"/>
      <c r="AL53" s="254"/>
      <c r="AM53" s="254"/>
      <c r="AN53" s="254"/>
      <c r="AO53" s="254"/>
      <c r="AP53" s="254"/>
      <c r="AQ53" s="254"/>
      <c r="AR53" s="254"/>
      <c r="AS53" s="254"/>
    </row>
    <row r="54" spans="2:45" x14ac:dyDescent="0.3">
      <c r="F54" s="254"/>
      <c r="G54" s="254"/>
      <c r="H54" s="254"/>
      <c r="I54" s="254"/>
      <c r="J54" s="254"/>
      <c r="K54" s="254"/>
      <c r="L54" s="254"/>
      <c r="M54" s="254"/>
      <c r="N54" s="254"/>
      <c r="O54" s="254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</row>
    <row r="55" spans="2:45" x14ac:dyDescent="0.3">
      <c r="F55" s="254"/>
      <c r="G55" s="254"/>
      <c r="H55" s="254"/>
      <c r="I55" s="254"/>
      <c r="J55" s="254"/>
      <c r="K55" s="254"/>
      <c r="L55" s="254"/>
      <c r="M55" s="254"/>
      <c r="N55" s="254"/>
      <c r="O55" s="254"/>
      <c r="P55" s="254"/>
      <c r="Q55" s="254"/>
      <c r="R55" s="254"/>
      <c r="S55" s="254"/>
      <c r="T55" s="254"/>
      <c r="U55" s="254"/>
      <c r="V55" s="254"/>
      <c r="W55" s="254"/>
      <c r="X55" s="254"/>
      <c r="Y55" s="254"/>
      <c r="Z55" s="254"/>
      <c r="AA55" s="254"/>
      <c r="AB55" s="254"/>
      <c r="AC55" s="254"/>
      <c r="AD55" s="254"/>
      <c r="AE55" s="254"/>
      <c r="AF55" s="254"/>
      <c r="AG55" s="254"/>
      <c r="AH55" s="254"/>
      <c r="AI55" s="254"/>
      <c r="AJ55" s="254"/>
      <c r="AK55" s="254"/>
      <c r="AL55" s="254"/>
      <c r="AM55" s="254"/>
      <c r="AN55" s="254"/>
      <c r="AO55" s="254"/>
      <c r="AP55" s="254"/>
      <c r="AQ55" s="254"/>
      <c r="AR55" s="254"/>
      <c r="AS55" s="254"/>
    </row>
    <row r="56" spans="2:45" x14ac:dyDescent="0.2">
      <c r="D56" s="268"/>
      <c r="F56" s="254"/>
      <c r="G56" s="254"/>
      <c r="H56" s="254"/>
      <c r="I56" s="254"/>
      <c r="J56" s="254"/>
      <c r="K56" s="254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4"/>
      <c r="AH56" s="254"/>
      <c r="AI56" s="254"/>
      <c r="AJ56" s="254"/>
      <c r="AK56" s="254"/>
      <c r="AL56" s="254"/>
      <c r="AM56" s="254"/>
      <c r="AN56" s="254"/>
      <c r="AO56" s="254"/>
      <c r="AP56" s="254"/>
      <c r="AQ56" s="254"/>
      <c r="AR56" s="254"/>
      <c r="AS56" s="254"/>
    </row>
    <row r="57" spans="2:45" ht="18" x14ac:dyDescent="0.35">
      <c r="D57" s="269"/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  <c r="AI57" s="254"/>
      <c r="AJ57" s="254"/>
      <c r="AK57" s="254"/>
      <c r="AL57" s="254"/>
      <c r="AM57" s="254"/>
      <c r="AN57" s="254"/>
      <c r="AO57" s="254"/>
      <c r="AP57" s="254"/>
      <c r="AQ57" s="254"/>
      <c r="AR57" s="254"/>
      <c r="AS57" s="254"/>
    </row>
    <row r="58" spans="2:45" ht="18" x14ac:dyDescent="0.35">
      <c r="B58" s="686"/>
      <c r="C58" s="686"/>
      <c r="D58" s="686"/>
      <c r="E58" s="686"/>
      <c r="F58" s="254"/>
      <c r="G58" s="254"/>
      <c r="H58" s="254"/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54"/>
      <c r="AH58" s="254"/>
      <c r="AI58" s="254"/>
      <c r="AJ58" s="254"/>
      <c r="AK58" s="254"/>
      <c r="AL58" s="254"/>
      <c r="AM58" s="254"/>
      <c r="AN58" s="254"/>
      <c r="AO58" s="254"/>
      <c r="AP58" s="254"/>
      <c r="AQ58" s="254"/>
      <c r="AR58" s="254"/>
      <c r="AS58" s="254"/>
    </row>
    <row r="59" spans="2:45" ht="27" customHeight="1" x14ac:dyDescent="0.3">
      <c r="F59" s="254"/>
      <c r="G59" s="254"/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  <c r="AO59" s="254"/>
      <c r="AP59" s="254"/>
      <c r="AQ59" s="254"/>
      <c r="AR59" s="254"/>
      <c r="AS59" s="254"/>
    </row>
    <row r="60" spans="2:45" ht="18" x14ac:dyDescent="0.35">
      <c r="B60" s="686"/>
      <c r="C60" s="686"/>
      <c r="D60" s="686"/>
      <c r="E60" s="686"/>
      <c r="F60" s="254"/>
      <c r="G60" s="254"/>
      <c r="H60" s="254"/>
      <c r="I60" s="254"/>
      <c r="J60" s="254"/>
      <c r="K60" s="254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54"/>
      <c r="X60" s="254"/>
      <c r="Y60" s="254"/>
      <c r="Z60" s="254"/>
      <c r="AA60" s="254"/>
      <c r="AB60" s="254"/>
      <c r="AC60" s="254"/>
      <c r="AD60" s="254"/>
      <c r="AE60" s="254"/>
      <c r="AF60" s="254"/>
      <c r="AG60" s="254"/>
      <c r="AH60" s="254"/>
      <c r="AI60" s="254"/>
      <c r="AJ60" s="254"/>
      <c r="AK60" s="254"/>
      <c r="AL60" s="254"/>
      <c r="AM60" s="254"/>
      <c r="AN60" s="254"/>
      <c r="AO60" s="254"/>
      <c r="AP60" s="254"/>
      <c r="AQ60" s="254"/>
      <c r="AR60" s="254"/>
      <c r="AS60" s="254"/>
    </row>
    <row r="61" spans="2:45" x14ac:dyDescent="0.3">
      <c r="F61" s="254"/>
      <c r="G61" s="254"/>
      <c r="H61" s="254"/>
      <c r="I61" s="254"/>
      <c r="J61" s="254"/>
      <c r="K61" s="254"/>
      <c r="L61" s="254"/>
      <c r="M61" s="254"/>
      <c r="N61" s="254"/>
      <c r="O61" s="254"/>
      <c r="P61" s="254"/>
      <c r="Q61" s="254"/>
      <c r="R61" s="254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  <c r="AF61" s="254"/>
      <c r="AG61" s="254"/>
      <c r="AH61" s="254"/>
      <c r="AI61" s="254"/>
      <c r="AJ61" s="254"/>
      <c r="AK61" s="254"/>
      <c r="AL61" s="254"/>
      <c r="AM61" s="254"/>
      <c r="AN61" s="254"/>
      <c r="AO61" s="254"/>
      <c r="AP61" s="254"/>
      <c r="AQ61" s="254"/>
      <c r="AR61" s="254"/>
      <c r="AS61" s="254"/>
    </row>
    <row r="62" spans="2:45" x14ac:dyDescent="0.3">
      <c r="F62" s="254"/>
      <c r="G62" s="254"/>
      <c r="H62" s="254"/>
      <c r="I62" s="254"/>
      <c r="J62" s="254"/>
      <c r="K62" s="254"/>
      <c r="L62" s="254"/>
      <c r="M62" s="254"/>
      <c r="N62" s="254"/>
      <c r="O62" s="254"/>
      <c r="P62" s="254"/>
      <c r="Q62" s="254"/>
      <c r="R62" s="254"/>
      <c r="S62" s="254"/>
      <c r="T62" s="254"/>
      <c r="U62" s="254"/>
      <c r="V62" s="254"/>
      <c r="W62" s="254"/>
      <c r="X62" s="254"/>
      <c r="Y62" s="254"/>
      <c r="Z62" s="254"/>
      <c r="AA62" s="254"/>
      <c r="AB62" s="254"/>
      <c r="AC62" s="254"/>
      <c r="AD62" s="254"/>
      <c r="AE62" s="254"/>
      <c r="AF62" s="254"/>
      <c r="AG62" s="254"/>
      <c r="AH62" s="254"/>
      <c r="AI62" s="254"/>
      <c r="AJ62" s="254"/>
      <c r="AK62" s="254"/>
      <c r="AL62" s="254"/>
      <c r="AM62" s="254"/>
      <c r="AN62" s="254"/>
      <c r="AO62" s="254"/>
      <c r="AP62" s="254"/>
      <c r="AQ62" s="254"/>
      <c r="AR62" s="254"/>
      <c r="AS62" s="254"/>
    </row>
    <row r="63" spans="2:45" x14ac:dyDescent="0.3">
      <c r="F63" s="254"/>
      <c r="G63" s="254"/>
      <c r="H63" s="254"/>
      <c r="I63" s="254"/>
      <c r="J63" s="254"/>
      <c r="K63" s="254"/>
      <c r="L63" s="254"/>
      <c r="M63" s="254"/>
      <c r="N63" s="254"/>
      <c r="O63" s="254"/>
      <c r="P63" s="254"/>
      <c r="Q63" s="254"/>
      <c r="R63" s="254"/>
      <c r="S63" s="254"/>
      <c r="T63" s="254"/>
      <c r="U63" s="254"/>
      <c r="V63" s="254"/>
      <c r="W63" s="254"/>
      <c r="X63" s="254"/>
      <c r="Y63" s="254"/>
      <c r="Z63" s="254"/>
      <c r="AA63" s="254"/>
      <c r="AB63" s="254"/>
      <c r="AC63" s="254"/>
      <c r="AD63" s="254"/>
      <c r="AE63" s="254"/>
      <c r="AF63" s="254"/>
      <c r="AG63" s="254"/>
      <c r="AH63" s="254"/>
      <c r="AI63" s="254"/>
      <c r="AJ63" s="254"/>
      <c r="AK63" s="254"/>
      <c r="AL63" s="254"/>
      <c r="AM63" s="254"/>
      <c r="AN63" s="254"/>
      <c r="AO63" s="254"/>
      <c r="AP63" s="254"/>
      <c r="AQ63" s="254"/>
      <c r="AR63" s="254"/>
      <c r="AS63" s="254"/>
    </row>
  </sheetData>
  <mergeCells count="3">
    <mergeCell ref="A1:AC1"/>
    <mergeCell ref="B58:E58"/>
    <mergeCell ref="B60:E60"/>
  </mergeCells>
  <pageMargins left="0.7" right="0.7" top="0.75" bottom="0.75" header="0.3" footer="0.3"/>
  <pageSetup paperSize="8" scale="63" firstPageNumber="2147483648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  <pageSetUpPr fitToPage="1"/>
  </sheetPr>
  <dimension ref="A1:AD38"/>
  <sheetViews>
    <sheetView topLeftCell="A16" zoomScale="70" zoomScaleNormal="70" workbookViewId="0">
      <selection activeCell="G22" sqref="G22"/>
    </sheetView>
  </sheetViews>
  <sheetFormatPr defaultColWidth="9.109375" defaultRowHeight="14.4" x14ac:dyDescent="0.3"/>
  <cols>
    <col min="1" max="1" width="21.88671875" style="287" customWidth="1"/>
    <col min="2" max="2" width="19.88671875" style="287" customWidth="1"/>
    <col min="3" max="10" width="14.33203125" style="287" customWidth="1"/>
    <col min="11" max="11" width="17.44140625" style="287" customWidth="1"/>
    <col min="12" max="12" width="18.33203125" style="287" customWidth="1"/>
    <col min="13" max="14" width="24.33203125" style="287" customWidth="1"/>
    <col min="15" max="15" width="23.5546875" style="287" customWidth="1"/>
    <col min="16" max="16" width="16.88671875" style="287" customWidth="1"/>
    <col min="17" max="18" width="13.44140625" style="287" customWidth="1"/>
    <col min="19" max="19" width="14" style="287" customWidth="1"/>
    <col min="20" max="20" width="12.6640625" style="287" customWidth="1"/>
    <col min="21" max="21" width="13.88671875" style="287" customWidth="1"/>
    <col min="22" max="22" width="12.33203125" style="287" customWidth="1"/>
    <col min="23" max="23" width="13.44140625" style="287" customWidth="1"/>
    <col min="24" max="24" width="12.44140625" style="287" customWidth="1"/>
    <col min="25" max="25" width="14.109375" style="287" customWidth="1"/>
    <col min="26" max="26" width="12.44140625" style="287" customWidth="1"/>
    <col min="27" max="27" width="13.109375" style="287" customWidth="1"/>
    <col min="28" max="28" width="12.6640625" style="287" customWidth="1"/>
    <col min="29" max="16384" width="9.109375" style="287"/>
  </cols>
  <sheetData>
    <row r="1" spans="1:20" ht="25.8" x14ac:dyDescent="0.5">
      <c r="A1" s="687"/>
      <c r="B1" s="687"/>
      <c r="C1" s="687"/>
      <c r="D1" s="687"/>
      <c r="E1" s="687"/>
      <c r="F1" s="687"/>
      <c r="G1" s="687"/>
    </row>
    <row r="2" spans="1:20" x14ac:dyDescent="0.3">
      <c r="A2" s="500" t="s">
        <v>508</v>
      </c>
      <c r="B2" s="499">
        <f>допущения!C44</f>
        <v>0.16415094339622635</v>
      </c>
      <c r="C2" s="303"/>
      <c r="D2" s="304"/>
      <c r="E2" s="304"/>
      <c r="F2" s="304"/>
    </row>
    <row r="3" spans="1:20" ht="24.75" customHeight="1" x14ac:dyDescent="0.3">
      <c r="A3" s="334" t="s">
        <v>509</v>
      </c>
      <c r="B3" s="305">
        <v>0</v>
      </c>
      <c r="C3" s="305">
        <f>B3+1</f>
        <v>1</v>
      </c>
      <c r="D3" s="305">
        <f t="shared" ref="D3:L3" si="0">C3+1</f>
        <v>2</v>
      </c>
      <c r="E3" s="305">
        <f t="shared" si="0"/>
        <v>3</v>
      </c>
      <c r="F3" s="305">
        <f t="shared" si="0"/>
        <v>4</v>
      </c>
      <c r="G3" s="305">
        <f t="shared" si="0"/>
        <v>5</v>
      </c>
      <c r="H3" s="305">
        <f t="shared" si="0"/>
        <v>6</v>
      </c>
      <c r="I3" s="305">
        <f t="shared" si="0"/>
        <v>7</v>
      </c>
      <c r="J3" s="305">
        <f t="shared" si="0"/>
        <v>8</v>
      </c>
      <c r="K3" s="305">
        <f t="shared" si="0"/>
        <v>9</v>
      </c>
      <c r="L3" s="305">
        <f t="shared" si="0"/>
        <v>10</v>
      </c>
      <c r="M3" s="304" t="s">
        <v>294</v>
      </c>
      <c r="N3" s="304" t="s">
        <v>294</v>
      </c>
    </row>
    <row r="4" spans="1:20" x14ac:dyDescent="0.3">
      <c r="A4" s="495" t="s">
        <v>64</v>
      </c>
      <c r="B4" s="496" t="str">
        <f>'Расходы ТОР'!B24</f>
        <v>1 год</v>
      </c>
      <c r="C4" s="496" t="str">
        <f>'Фин результат ТОР'!C18</f>
        <v>2 год</v>
      </c>
      <c r="D4" s="496" t="str">
        <f>'Фин результат ТОР'!D18</f>
        <v>3 год</v>
      </c>
      <c r="E4" s="496" t="str">
        <f>'Фин результат ТОР'!E18</f>
        <v>4 год</v>
      </c>
      <c r="F4" s="496" t="str">
        <f>'Фин результат ТОР'!F18</f>
        <v>5 год</v>
      </c>
      <c r="G4" s="496" t="str">
        <f>'Фин результат ТОР'!G18</f>
        <v>6 год</v>
      </c>
      <c r="H4" s="496" t="str">
        <f>'Фин результат ТОР'!H18</f>
        <v>7 год</v>
      </c>
      <c r="I4" s="496" t="str">
        <f>'Фин результат ТОР'!I18</f>
        <v>8 год</v>
      </c>
      <c r="J4" s="496" t="str">
        <f>'Фин результат ТОР'!J18</f>
        <v>9 год</v>
      </c>
      <c r="K4" s="496" t="str">
        <f>'Фин результат ТОР'!K18</f>
        <v>10 год</v>
      </c>
      <c r="L4" s="496" t="str">
        <f>'Фин результат ТОР'!L18</f>
        <v>11 год</v>
      </c>
      <c r="M4" s="497" t="s">
        <v>26</v>
      </c>
      <c r="N4" s="498" t="s">
        <v>295</v>
      </c>
    </row>
    <row r="5" spans="1:20" x14ac:dyDescent="0.3">
      <c r="A5" s="302" t="str">
        <f>'Фин результат ТОР'!A19</f>
        <v>Выручка</v>
      </c>
      <c r="B5" s="306">
        <f>'Фин результат ТОР'!B19</f>
        <v>0</v>
      </c>
      <c r="C5" s="306">
        <f>'Фин результат ТОР'!C19</f>
        <v>120204.00000000001</v>
      </c>
      <c r="D5" s="306">
        <f>'Фин результат ТОР'!D19</f>
        <v>174295.8</v>
      </c>
      <c r="E5" s="306">
        <f>'Фин результат ТОР'!E19</f>
        <v>188704.25280000002</v>
      </c>
      <c r="F5" s="306">
        <f>'Фин результат ТОР'!F19</f>
        <v>228943.96045762493</v>
      </c>
      <c r="G5" s="307">
        <f>'Фин результат ТОР'!G19</f>
        <v>246047.42103298873</v>
      </c>
      <c r="H5" s="306">
        <f>'Фин результат ТОР'!H19</f>
        <v>263612.47303451039</v>
      </c>
      <c r="I5" s="306">
        <f>'Фин результат ТОР'!I19</f>
        <v>281649.11592634529</v>
      </c>
      <c r="J5" s="306">
        <f>'Фин результат ТОР'!J19</f>
        <v>285873.85266524047</v>
      </c>
      <c r="K5" s="306">
        <f>'Фин результат ТОР'!K19</f>
        <v>290161.96045521903</v>
      </c>
      <c r="L5" s="307">
        <f>'Фин результат ТОР'!L19</f>
        <v>294514.38986204728</v>
      </c>
      <c r="M5" s="308">
        <f>SUM(B5:L5)</f>
        <v>2374007.226233976</v>
      </c>
      <c r="N5" s="308">
        <f>AVERAGE(B5:L5)</f>
        <v>215818.83874854326</v>
      </c>
    </row>
    <row r="6" spans="1:20" ht="28.8" x14ac:dyDescent="0.3">
      <c r="A6" s="302" t="str">
        <f>'Фин результат ТОР'!A20</f>
        <v>Расходы основной деятельности</v>
      </c>
      <c r="B6" s="306">
        <f>'Фин результат ТОР'!B20</f>
        <v>859.16641319733333</v>
      </c>
      <c r="C6" s="306">
        <f>'Фин результат ТОР'!C20</f>
        <v>100631.50150639466</v>
      </c>
      <c r="D6" s="306">
        <f>'Фин результат ТОР'!D20</f>
        <v>153451.73945066135</v>
      </c>
      <c r="E6" s="306">
        <f>'Фин результат ТОР'!E20</f>
        <v>164157.14016069335</v>
      </c>
      <c r="F6" s="306">
        <f>'Фин результат ТОР'!F20</f>
        <v>194547.27491921757</v>
      </c>
      <c r="G6" s="307">
        <f>'Фин результат ТОР'!G20</f>
        <v>206852.82247244779</v>
      </c>
      <c r="H6" s="306">
        <f>'Фин результат ТОР'!H20</f>
        <v>219398.71447901576</v>
      </c>
      <c r="I6" s="306">
        <f>'Фин результат ТОР'!I20</f>
        <v>231943.04172221399</v>
      </c>
      <c r="J6" s="306">
        <f>'Фин результат ТОР'!J20</f>
        <v>234252.21235402694</v>
      </c>
      <c r="K6" s="306">
        <f>'Фин результат ТОР'!K20</f>
        <v>236667.5818051133</v>
      </c>
      <c r="L6" s="306">
        <f>'Фин результат ТОР'!L20</f>
        <v>237707.54486275205</v>
      </c>
      <c r="M6" s="308">
        <f t="shared" ref="M6:M12" si="1">SUM(B6:L6)</f>
        <v>1980468.740145734</v>
      </c>
      <c r="N6" s="308">
        <f t="shared" ref="N6:N12" si="2">AVERAGE(B6:L6)</f>
        <v>180042.61274052129</v>
      </c>
    </row>
    <row r="7" spans="1:20" ht="30.75" customHeight="1" x14ac:dyDescent="0.3">
      <c r="A7" s="302" t="str">
        <f>'Фин результат ТОР'!A26</f>
        <v>Чистая прибыль (убыток)</v>
      </c>
      <c r="B7" s="306">
        <f>'Фин результат ТОР'!B26</f>
        <v>-3481.5023148819782</v>
      </c>
      <c r="C7" s="307">
        <f>'Фин результат ТОР'!C26</f>
        <v>12464.072302343444</v>
      </c>
      <c r="D7" s="307">
        <f>'Фин результат ТОР'!D26</f>
        <v>15024.634770667813</v>
      </c>
      <c r="E7" s="307">
        <f>'Фин результат ТОР'!E26</f>
        <v>20238.744403260011</v>
      </c>
      <c r="F7" s="306">
        <f>'Фин результат ТОР'!F26</f>
        <v>31859.685934067827</v>
      </c>
      <c r="G7" s="307">
        <f>'Фин результат ТОР'!G26</f>
        <v>36291.773788538339</v>
      </c>
      <c r="H7" s="306">
        <f>'Фин результат ТОР'!H26</f>
        <v>38908.107528835259</v>
      </c>
      <c r="I7" s="306">
        <f>'Фин результат ТОР'!I26</f>
        <v>43741.345299635526</v>
      </c>
      <c r="J7" s="306">
        <f>'Фин результат ТОР'!J26</f>
        <v>45427.043473867889</v>
      </c>
      <c r="K7" s="306">
        <f>'Фин результат ТОР'!K26</f>
        <v>47075.053212093058</v>
      </c>
      <c r="L7" s="306">
        <f>'Фин результат ТОР'!L26</f>
        <v>47717.703599408</v>
      </c>
      <c r="M7" s="308">
        <f t="shared" si="1"/>
        <v>335266.66199783515</v>
      </c>
      <c r="N7" s="308">
        <f t="shared" si="2"/>
        <v>30478.78745434865</v>
      </c>
      <c r="T7" s="309"/>
    </row>
    <row r="8" spans="1:20" ht="33" customHeight="1" x14ac:dyDescent="0.3">
      <c r="A8" s="302" t="str">
        <f>'Фин результат ТОР'!A27</f>
        <v>На выплату основного долга</v>
      </c>
      <c r="B8" s="306">
        <f>'Фин результат ТОР'!B27</f>
        <v>2241.2755215871821</v>
      </c>
      <c r="C8" s="306">
        <f>'Фин результат ТОР'!C27</f>
        <v>7482.408078553568</v>
      </c>
      <c r="D8" s="307">
        <f>'Фин результат ТОР'!D27</f>
        <v>8771.4084911446516</v>
      </c>
      <c r="E8" s="307">
        <f>'Фин результат ТОР'!E27</f>
        <v>10282.466033768822</v>
      </c>
      <c r="F8" s="307">
        <f>'Фин результат ТОР'!F27</f>
        <v>12053.834665475952</v>
      </c>
      <c r="G8" s="307">
        <f>'Фин результат ТОР'!G27</f>
        <v>9168.6072094698284</v>
      </c>
      <c r="H8" s="306">
        <f>'Фин результат ТОР'!H27</f>
        <v>0</v>
      </c>
      <c r="I8" s="306">
        <f>'Фин результат ТОР'!I27</f>
        <v>0</v>
      </c>
      <c r="J8" s="306">
        <f>'Фин результат ТОР'!J27</f>
        <v>0</v>
      </c>
      <c r="K8" s="306">
        <f>'Фин результат ТОР'!K27</f>
        <v>0</v>
      </c>
      <c r="L8" s="306">
        <f>'Фин результат ТОР'!L27</f>
        <v>0</v>
      </c>
      <c r="M8" s="308">
        <f t="shared" si="1"/>
        <v>50000</v>
      </c>
      <c r="N8" s="308">
        <f t="shared" si="2"/>
        <v>4545.454545454545</v>
      </c>
    </row>
    <row r="9" spans="1:20" ht="29.25" customHeight="1" x14ac:dyDescent="0.3">
      <c r="A9" s="302" t="str">
        <f>'Фин результат ТОР'!A21</f>
        <v>Расходование инвестиций</v>
      </c>
      <c r="B9" s="306">
        <f>'Фин результат ТОР'!B21</f>
        <v>64424.17</v>
      </c>
      <c r="C9" s="306">
        <f>'Фин результат ТОР'!C21</f>
        <v>0</v>
      </c>
      <c r="D9" s="306">
        <f>'Фин результат ТОР'!D21</f>
        <v>0</v>
      </c>
      <c r="E9" s="306">
        <f>'Фин результат ТОР'!E21</f>
        <v>0</v>
      </c>
      <c r="F9" s="306">
        <f>'Фин результат ТОР'!F21</f>
        <v>0</v>
      </c>
      <c r="G9" s="307">
        <f>'Фин результат ТОР'!G21</f>
        <v>0</v>
      </c>
      <c r="H9" s="306">
        <f>'Фин результат ТОР'!H21</f>
        <v>0</v>
      </c>
      <c r="I9" s="306">
        <f>'Фин результат ТОР'!I21</f>
        <v>0</v>
      </c>
      <c r="J9" s="306">
        <f>'Фин результат ТОР'!J21</f>
        <v>0</v>
      </c>
      <c r="K9" s="306">
        <f>'Фин результат ТОР'!K21</f>
        <v>0</v>
      </c>
      <c r="L9" s="306">
        <f>'Фин результат ТОР'!L21</f>
        <v>0</v>
      </c>
      <c r="M9" s="308">
        <f t="shared" si="1"/>
        <v>64424.17</v>
      </c>
      <c r="N9" s="308">
        <f t="shared" si="2"/>
        <v>5856.7427272727273</v>
      </c>
      <c r="T9" s="309"/>
    </row>
    <row r="10" spans="1:20" ht="29.25" customHeight="1" x14ac:dyDescent="0.3">
      <c r="A10" s="504" t="s">
        <v>296</v>
      </c>
      <c r="B10" s="505"/>
      <c r="C10" s="505"/>
      <c r="D10" s="505"/>
      <c r="E10" s="505"/>
      <c r="F10" s="505"/>
      <c r="G10" s="506"/>
      <c r="H10" s="505"/>
      <c r="I10" s="505"/>
      <c r="J10" s="505"/>
      <c r="K10" s="505"/>
      <c r="L10" s="505"/>
      <c r="M10" s="308"/>
      <c r="N10" s="308"/>
      <c r="T10" s="309"/>
    </row>
    <row r="11" spans="1:20" ht="29.25" customHeight="1" x14ac:dyDescent="0.3">
      <c r="A11" s="302" t="s">
        <v>297</v>
      </c>
      <c r="B11" s="306">
        <f>B9</f>
        <v>64424.17</v>
      </c>
      <c r="C11" s="306">
        <f>C9</f>
        <v>0</v>
      </c>
      <c r="D11" s="306">
        <f t="shared" ref="D11:L11" si="3">D9/(1+$B$2)^C3</f>
        <v>0</v>
      </c>
      <c r="E11" s="306">
        <f t="shared" si="3"/>
        <v>0</v>
      </c>
      <c r="F11" s="306">
        <f t="shared" si="3"/>
        <v>0</v>
      </c>
      <c r="G11" s="307">
        <f t="shared" si="3"/>
        <v>0</v>
      </c>
      <c r="H11" s="306">
        <f t="shared" si="3"/>
        <v>0</v>
      </c>
      <c r="I11" s="306">
        <f t="shared" si="3"/>
        <v>0</v>
      </c>
      <c r="J11" s="306">
        <f t="shared" si="3"/>
        <v>0</v>
      </c>
      <c r="K11" s="306">
        <f t="shared" si="3"/>
        <v>0</v>
      </c>
      <c r="L11" s="306">
        <f t="shared" si="3"/>
        <v>0</v>
      </c>
      <c r="M11" s="308">
        <f t="shared" si="1"/>
        <v>64424.17</v>
      </c>
      <c r="N11" s="308">
        <f t="shared" si="2"/>
        <v>5856.7427272727273</v>
      </c>
    </row>
    <row r="12" spans="1:20" ht="29.25" customHeight="1" x14ac:dyDescent="0.3">
      <c r="A12" s="302" t="s">
        <v>298</v>
      </c>
      <c r="B12" s="306">
        <f>B7</f>
        <v>-3481.5023148819782</v>
      </c>
      <c r="C12" s="306">
        <f>C7/(1+$B$2)</f>
        <v>10706.577504444127</v>
      </c>
      <c r="D12" s="306">
        <f>D7/(1+$B$2)^D3</f>
        <v>11086.267023950231</v>
      </c>
      <c r="E12" s="306">
        <f t="shared" ref="E12:L12" si="4">E7/(1+$B$2)^E3</f>
        <v>12827.903446244129</v>
      </c>
      <c r="F12" s="306">
        <f t="shared" si="4"/>
        <v>17346.19852691103</v>
      </c>
      <c r="G12" s="306">
        <f t="shared" si="4"/>
        <v>16973.121615682001</v>
      </c>
      <c r="H12" s="306">
        <f t="shared" si="4"/>
        <v>15630.912819962588</v>
      </c>
      <c r="I12" s="306">
        <f t="shared" si="4"/>
        <v>15094.789982286136</v>
      </c>
      <c r="J12" s="306">
        <f t="shared" si="4"/>
        <v>13466.046726284165</v>
      </c>
      <c r="K12" s="306">
        <f t="shared" si="4"/>
        <v>11986.907933637223</v>
      </c>
      <c r="L12" s="306">
        <f t="shared" si="4"/>
        <v>10437.262131142625</v>
      </c>
      <c r="M12" s="308">
        <f t="shared" si="1"/>
        <v>132074.48539566228</v>
      </c>
      <c r="N12" s="308">
        <f t="shared" si="2"/>
        <v>12006.771399605663</v>
      </c>
    </row>
    <row r="13" spans="1:20" ht="29.25" customHeight="1" x14ac:dyDescent="0.3">
      <c r="A13" s="617" t="s">
        <v>567</v>
      </c>
      <c r="B13" s="618">
        <f>B7-B9</f>
        <v>-67905.672314881973</v>
      </c>
      <c r="C13" s="618">
        <f t="shared" ref="C13:L13" si="5">C7-C9</f>
        <v>12464.072302343444</v>
      </c>
      <c r="D13" s="618">
        <f t="shared" si="5"/>
        <v>15024.634770667813</v>
      </c>
      <c r="E13" s="618">
        <f t="shared" si="5"/>
        <v>20238.744403260011</v>
      </c>
      <c r="F13" s="618">
        <f t="shared" si="5"/>
        <v>31859.685934067827</v>
      </c>
      <c r="G13" s="618">
        <f t="shared" si="5"/>
        <v>36291.773788538339</v>
      </c>
      <c r="H13" s="618">
        <f t="shared" si="5"/>
        <v>38908.107528835259</v>
      </c>
      <c r="I13" s="618">
        <f t="shared" si="5"/>
        <v>43741.345299635526</v>
      </c>
      <c r="J13" s="618">
        <f t="shared" si="5"/>
        <v>45427.043473867889</v>
      </c>
      <c r="K13" s="618">
        <f t="shared" si="5"/>
        <v>47075.053212093058</v>
      </c>
      <c r="L13" s="618">
        <f t="shared" si="5"/>
        <v>47717.703599408</v>
      </c>
      <c r="M13" s="616"/>
      <c r="N13" s="616"/>
    </row>
    <row r="14" spans="1:20" ht="29.25" customHeight="1" x14ac:dyDescent="0.3">
      <c r="A14" s="617" t="s">
        <v>568</v>
      </c>
      <c r="B14" s="618">
        <v>1</v>
      </c>
      <c r="C14" s="619">
        <f>B14/(1+$B$2)</f>
        <v>0.85899513776337122</v>
      </c>
      <c r="D14" s="619">
        <f t="shared" ref="D14:L14" si="6">C14/(1+$B$2)</f>
        <v>0.73787264670111319</v>
      </c>
      <c r="E14" s="619">
        <f t="shared" si="6"/>
        <v>0.63382901580484607</v>
      </c>
      <c r="F14" s="619">
        <f t="shared" si="6"/>
        <v>0.54445604274970583</v>
      </c>
      <c r="G14" s="619">
        <f t="shared" si="6"/>
        <v>0.4676850934478835</v>
      </c>
      <c r="H14" s="619">
        <f t="shared" si="6"/>
        <v>0.40173922127613987</v>
      </c>
      <c r="I14" s="619">
        <f t="shared" si="6"/>
        <v>0.34509203772504726</v>
      </c>
      <c r="J14" s="619">
        <f t="shared" si="6"/>
        <v>0.29643238248666948</v>
      </c>
      <c r="K14" s="619">
        <f t="shared" si="6"/>
        <v>0.25463397523166104</v>
      </c>
      <c r="L14" s="619">
        <f t="shared" si="6"/>
        <v>0.21872934663335553</v>
      </c>
      <c r="M14" s="616"/>
      <c r="N14" s="616"/>
    </row>
    <row r="15" spans="1:20" ht="54.75" customHeight="1" x14ac:dyDescent="0.3">
      <c r="A15" s="620" t="s">
        <v>571</v>
      </c>
      <c r="B15" s="618">
        <f>B13*B14</f>
        <v>-67905.672314881973</v>
      </c>
      <c r="C15" s="618">
        <f t="shared" ref="C15:L15" si="7">C13*C14</f>
        <v>10706.577504444125</v>
      </c>
      <c r="D15" s="618">
        <f t="shared" si="7"/>
        <v>11086.267023950233</v>
      </c>
      <c r="E15" s="618">
        <f t="shared" si="7"/>
        <v>12827.903446244129</v>
      </c>
      <c r="F15" s="618">
        <f t="shared" si="7"/>
        <v>17346.198526911034</v>
      </c>
      <c r="G15" s="618">
        <f t="shared" si="7"/>
        <v>16973.121615682001</v>
      </c>
      <c r="H15" s="618">
        <f t="shared" si="7"/>
        <v>15630.912819962592</v>
      </c>
      <c r="I15" s="618">
        <f t="shared" si="7"/>
        <v>15094.789982286142</v>
      </c>
      <c r="J15" s="618">
        <f t="shared" si="7"/>
        <v>13466.046726284168</v>
      </c>
      <c r="K15" s="618">
        <f t="shared" si="7"/>
        <v>11986.907933637229</v>
      </c>
      <c r="L15" s="618">
        <f t="shared" si="7"/>
        <v>10437.262131142628</v>
      </c>
      <c r="M15" s="616"/>
      <c r="N15" s="616"/>
    </row>
    <row r="16" spans="1:20" ht="43.5" customHeight="1" x14ac:dyDescent="0.3">
      <c r="A16" s="302" t="s">
        <v>299</v>
      </c>
      <c r="B16" s="306">
        <f>B12</f>
        <v>-3481.5023148819782</v>
      </c>
      <c r="C16" s="306">
        <f>C12</f>
        <v>10706.577504444127</v>
      </c>
      <c r="D16" s="306">
        <f>D12+C16</f>
        <v>21792.844528394358</v>
      </c>
      <c r="E16" s="306">
        <f t="shared" ref="E16:K16" si="8">E12+D16</f>
        <v>34620.747974638485</v>
      </c>
      <c r="F16" s="306">
        <f t="shared" si="8"/>
        <v>51966.946501549515</v>
      </c>
      <c r="G16" s="307">
        <f>G12+F16</f>
        <v>68940.068117231509</v>
      </c>
      <c r="H16" s="307">
        <f t="shared" si="8"/>
        <v>84570.980937194094</v>
      </c>
      <c r="I16" s="306">
        <f t="shared" si="8"/>
        <v>99665.77091948023</v>
      </c>
      <c r="J16" s="306">
        <f t="shared" si="8"/>
        <v>113131.8176457644</v>
      </c>
      <c r="K16" s="306">
        <f t="shared" si="8"/>
        <v>125118.72557940162</v>
      </c>
      <c r="L16" s="306">
        <f>L12+K16</f>
        <v>135555.98771054426</v>
      </c>
    </row>
    <row r="17" spans="1:30" ht="48" customHeight="1" x14ac:dyDescent="0.3">
      <c r="A17" s="621" t="s">
        <v>572</v>
      </c>
      <c r="B17" s="306">
        <f>B12-B11</f>
        <v>-67905.672314881973</v>
      </c>
      <c r="C17" s="306">
        <f>C12-C11</f>
        <v>10706.577504444127</v>
      </c>
      <c r="D17" s="306">
        <f t="shared" ref="D17:L17" si="9">D12-D11</f>
        <v>11086.267023950231</v>
      </c>
      <c r="E17" s="306">
        <f t="shared" si="9"/>
        <v>12827.903446244129</v>
      </c>
      <c r="F17" s="307">
        <f t="shared" si="9"/>
        <v>17346.19852691103</v>
      </c>
      <c r="G17" s="307">
        <f>G12-G11</f>
        <v>16973.121615682001</v>
      </c>
      <c r="H17" s="306">
        <f t="shared" si="9"/>
        <v>15630.912819962588</v>
      </c>
      <c r="I17" s="306">
        <f t="shared" si="9"/>
        <v>15094.789982286136</v>
      </c>
      <c r="J17" s="306">
        <f t="shared" si="9"/>
        <v>13466.046726284165</v>
      </c>
      <c r="K17" s="306">
        <f t="shared" si="9"/>
        <v>11986.907933637223</v>
      </c>
      <c r="L17" s="306">
        <f t="shared" si="9"/>
        <v>10437.262131142625</v>
      </c>
      <c r="P17" s="310"/>
      <c r="Q17" s="310"/>
      <c r="R17" s="310"/>
      <c r="S17" s="310"/>
      <c r="T17" s="310"/>
      <c r="U17" s="310"/>
      <c r="V17" s="310"/>
      <c r="W17" s="310"/>
      <c r="X17" s="310"/>
      <c r="Y17" s="310"/>
      <c r="Z17" s="310"/>
      <c r="AA17" s="310"/>
      <c r="AB17" s="310"/>
    </row>
    <row r="18" spans="1:30" ht="28.8" x14ac:dyDescent="0.3">
      <c r="A18" s="302" t="s">
        <v>300</v>
      </c>
      <c r="B18" s="306">
        <f>B7-B8-B9</f>
        <v>-70146.94783646916</v>
      </c>
      <c r="C18" s="306">
        <f>C7-C8-C9</f>
        <v>4981.6642237898759</v>
      </c>
      <c r="D18" s="307">
        <f t="shared" ref="D18:L18" si="10">D7-D8-D9</f>
        <v>6253.2262795231618</v>
      </c>
      <c r="E18" s="307">
        <f t="shared" si="10"/>
        <v>9956.2783694911886</v>
      </c>
      <c r="F18" s="307">
        <f t="shared" si="10"/>
        <v>19805.851268591876</v>
      </c>
      <c r="G18" s="307">
        <f>G10+G7-G8-G9</f>
        <v>27123.166579068511</v>
      </c>
      <c r="H18" s="311">
        <f t="shared" si="10"/>
        <v>38908.107528835259</v>
      </c>
      <c r="I18" s="306">
        <f t="shared" si="10"/>
        <v>43741.345299635526</v>
      </c>
      <c r="J18" s="306">
        <f>J7-J8-J9</f>
        <v>45427.043473867889</v>
      </c>
      <c r="K18" s="306">
        <f t="shared" si="10"/>
        <v>47075.053212093058</v>
      </c>
      <c r="L18" s="306">
        <f t="shared" si="10"/>
        <v>47717.703599408</v>
      </c>
      <c r="P18" s="310"/>
      <c r="Q18" s="310"/>
      <c r="R18" s="310"/>
      <c r="S18" s="310"/>
      <c r="T18" s="310"/>
      <c r="U18" s="310"/>
      <c r="V18" s="310"/>
      <c r="W18" s="310"/>
      <c r="X18" s="310"/>
      <c r="Y18" s="310"/>
      <c r="Z18" s="310"/>
      <c r="AA18" s="310"/>
      <c r="AB18" s="310"/>
      <c r="AC18" s="309"/>
      <c r="AD18" s="309"/>
    </row>
    <row r="19" spans="1:30" ht="46.5" customHeight="1" x14ac:dyDescent="0.3">
      <c r="A19" s="302" t="s">
        <v>301</v>
      </c>
      <c r="B19" s="306">
        <f>B18</f>
        <v>-70146.94783646916</v>
      </c>
      <c r="C19" s="306">
        <f>C18+B19</f>
        <v>-65165.283612679283</v>
      </c>
      <c r="D19" s="306">
        <f>C19+D18</f>
        <v>-58912.057333156117</v>
      </c>
      <c r="E19" s="306">
        <f>D19+E18</f>
        <v>-48955.778963664925</v>
      </c>
      <c r="F19" s="311">
        <f>E19+F18</f>
        <v>-29149.927695073049</v>
      </c>
      <c r="G19" s="307">
        <f>F19+G18</f>
        <v>-2026.7611160045381</v>
      </c>
      <c r="H19" s="556">
        <f t="shared" ref="H19:L19" si="11">G19+H18</f>
        <v>36881.346412830724</v>
      </c>
      <c r="I19" s="311">
        <f t="shared" si="11"/>
        <v>80622.691712466243</v>
      </c>
      <c r="J19" s="307">
        <f t="shared" si="11"/>
        <v>126049.73518633413</v>
      </c>
      <c r="K19" s="307">
        <f>J19+K18</f>
        <v>173124.78839842719</v>
      </c>
      <c r="L19" s="307">
        <f t="shared" si="11"/>
        <v>220842.4919978352</v>
      </c>
    </row>
    <row r="20" spans="1:30" ht="43.2" x14ac:dyDescent="0.3">
      <c r="A20" s="302" t="s">
        <v>302</v>
      </c>
      <c r="B20" s="306">
        <f>B18</f>
        <v>-70146.94783646916</v>
      </c>
      <c r="C20" s="306">
        <f>C18</f>
        <v>4981.6642237898759</v>
      </c>
      <c r="D20" s="306">
        <f t="shared" ref="D20:L20" si="12">D18/(1+$B$2)^C3</f>
        <v>5371.4909694445323</v>
      </c>
      <c r="E20" s="306">
        <f t="shared" si="12"/>
        <v>7346.4654717895064</v>
      </c>
      <c r="F20" s="306">
        <f t="shared" si="12"/>
        <v>12553.52321674875</v>
      </c>
      <c r="G20" s="307">
        <f t="shared" si="12"/>
        <v>14767.371942480715</v>
      </c>
      <c r="H20" s="306">
        <f t="shared" si="12"/>
        <v>18196.741905503615</v>
      </c>
      <c r="I20" s="307">
        <f t="shared" si="12"/>
        <v>17572.613998246314</v>
      </c>
      <c r="J20" s="306">
        <f t="shared" si="12"/>
        <v>15676.511000221373</v>
      </c>
      <c r="K20" s="307">
        <f t="shared" si="12"/>
        <v>13954.570179347484</v>
      </c>
      <c r="L20" s="307">
        <f t="shared" si="12"/>
        <v>12150.548556443395</v>
      </c>
    </row>
    <row r="21" spans="1:30" ht="41.25" customHeight="1" x14ac:dyDescent="0.3">
      <c r="A21" s="502" t="s">
        <v>569</v>
      </c>
      <c r="B21" s="312">
        <f>NPV(B2,C13:L13)+(B13)</f>
        <v>67650.315395662314</v>
      </c>
      <c r="C21" s="314" t="s">
        <v>303</v>
      </c>
      <c r="D21" s="315"/>
    </row>
    <row r="22" spans="1:30" ht="45.75" customHeight="1" x14ac:dyDescent="0.3">
      <c r="A22" s="502" t="s">
        <v>570</v>
      </c>
      <c r="B22" s="312">
        <f>SUM(B17:L17)</f>
        <v>67650.315395662285</v>
      </c>
      <c r="C22" s="622" t="s">
        <v>303</v>
      </c>
      <c r="D22" s="315"/>
    </row>
    <row r="23" spans="1:30" ht="28.8" x14ac:dyDescent="0.3">
      <c r="A23" s="313" t="s">
        <v>304</v>
      </c>
      <c r="B23" s="316">
        <f>M7/M5</f>
        <v>0.14122394333638483</v>
      </c>
      <c r="C23" s="317"/>
    </row>
    <row r="24" spans="1:30" ht="28.8" x14ac:dyDescent="0.3">
      <c r="A24" s="313" t="s">
        <v>305</v>
      </c>
      <c r="B24" s="316">
        <f>M7/M6</f>
        <v>0.16928652050986898</v>
      </c>
      <c r="C24" s="317"/>
    </row>
    <row r="25" spans="1:30" ht="33" customHeight="1" x14ac:dyDescent="0.3">
      <c r="A25" s="501" t="s">
        <v>306</v>
      </c>
      <c r="B25" s="318">
        <f>B21/M9</f>
        <v>1.050076631110068</v>
      </c>
      <c r="C25" s="314" t="s">
        <v>307</v>
      </c>
    </row>
    <row r="26" spans="1:30" ht="28.5" customHeight="1" x14ac:dyDescent="0.3">
      <c r="A26" s="503" t="s">
        <v>308</v>
      </c>
      <c r="B26" s="319">
        <f>IRR(B18:K18,B2)</f>
        <v>0.22733012650324569</v>
      </c>
      <c r="C26" s="287" t="s">
        <v>309</v>
      </c>
    </row>
    <row r="27" spans="1:30" ht="45" customHeight="1" x14ac:dyDescent="0.3">
      <c r="A27" s="503" t="s">
        <v>581</v>
      </c>
      <c r="B27" s="320">
        <f>M9/N7+H3</f>
        <v>8.1137379594413002</v>
      </c>
    </row>
    <row r="28" spans="1:30" x14ac:dyDescent="0.3">
      <c r="A28" s="302"/>
      <c r="B28" s="321">
        <f>E3+(-F20+M11)/F19</f>
        <v>1.220556588481059</v>
      </c>
      <c r="D28" s="309"/>
      <c r="F28" s="309"/>
    </row>
    <row r="29" spans="1:30" ht="30" customHeight="1" x14ac:dyDescent="0.3">
      <c r="A29" s="313" t="s">
        <v>310</v>
      </c>
      <c r="B29" s="322">
        <f>SUM(C18:L18)</f>
        <v>290989.43983430433</v>
      </c>
    </row>
    <row r="30" spans="1:30" ht="43.2" x14ac:dyDescent="0.3">
      <c r="A30" s="313" t="s">
        <v>311</v>
      </c>
      <c r="B30" s="316">
        <f>N7/M9</f>
        <v>0.47309553936587234</v>
      </c>
    </row>
    <row r="31" spans="1:30" ht="31.5" customHeight="1" x14ac:dyDescent="0.3">
      <c r="A31" s="313" t="s">
        <v>312</v>
      </c>
      <c r="B31" s="316">
        <f>M7/M9</f>
        <v>5.2040509330245959</v>
      </c>
    </row>
    <row r="32" spans="1:30" ht="42.75" customHeight="1" x14ac:dyDescent="0.3"/>
    <row r="33" spans="1:12" x14ac:dyDescent="0.3">
      <c r="A33" s="324"/>
      <c r="B33" s="325" t="str">
        <f>B4</f>
        <v>1 год</v>
      </c>
      <c r="C33" s="325" t="str">
        <f t="shared" ref="C33:L33" si="13">C4</f>
        <v>2 год</v>
      </c>
      <c r="D33" s="325" t="str">
        <f t="shared" si="13"/>
        <v>3 год</v>
      </c>
      <c r="E33" s="325" t="str">
        <f t="shared" si="13"/>
        <v>4 год</v>
      </c>
      <c r="F33" s="325" t="str">
        <f t="shared" si="13"/>
        <v>5 год</v>
      </c>
      <c r="G33" s="325" t="str">
        <f t="shared" si="13"/>
        <v>6 год</v>
      </c>
      <c r="H33" s="325" t="str">
        <f t="shared" si="13"/>
        <v>7 год</v>
      </c>
      <c r="I33" s="325" t="str">
        <f t="shared" si="13"/>
        <v>8 год</v>
      </c>
      <c r="J33" s="325" t="str">
        <f t="shared" si="13"/>
        <v>9 год</v>
      </c>
      <c r="K33" s="325" t="str">
        <f t="shared" si="13"/>
        <v>10 год</v>
      </c>
      <c r="L33" s="325" t="str">
        <f t="shared" si="13"/>
        <v>11 год</v>
      </c>
    </row>
    <row r="34" spans="1:12" ht="28.8" x14ac:dyDescent="0.3">
      <c r="A34" s="323" t="s">
        <v>425</v>
      </c>
      <c r="B34" s="326">
        <f>B18/1000</f>
        <v>-70.146947836469167</v>
      </c>
      <c r="C34" s="326">
        <f t="shared" ref="C34:L34" si="14">C18/1000</f>
        <v>4.9816642237898758</v>
      </c>
      <c r="D34" s="326">
        <f t="shared" si="14"/>
        <v>6.2532262795231617</v>
      </c>
      <c r="E34" s="326">
        <f t="shared" si="14"/>
        <v>9.9562783694911889</v>
      </c>
      <c r="F34" s="326">
        <f t="shared" si="14"/>
        <v>19.805851268591876</v>
      </c>
      <c r="G34" s="326">
        <f t="shared" si="14"/>
        <v>27.12316657906851</v>
      </c>
      <c r="H34" s="326">
        <f t="shared" si="14"/>
        <v>38.908107528835259</v>
      </c>
      <c r="I34" s="326">
        <f t="shared" si="14"/>
        <v>43.741345299635526</v>
      </c>
      <c r="J34" s="326">
        <f t="shared" si="14"/>
        <v>45.42704347386789</v>
      </c>
      <c r="K34" s="326">
        <f t="shared" si="14"/>
        <v>47.07505321209306</v>
      </c>
      <c r="L34" s="326">
        <f t="shared" si="14"/>
        <v>47.717703599407997</v>
      </c>
    </row>
    <row r="37" spans="1:12" x14ac:dyDescent="0.3">
      <c r="A37" s="324"/>
      <c r="B37" s="325" t="str">
        <f>B33</f>
        <v>1 год</v>
      </c>
      <c r="C37" s="325" t="str">
        <f t="shared" ref="C37:L37" si="15">C33</f>
        <v>2 год</v>
      </c>
      <c r="D37" s="325" t="str">
        <f t="shared" si="15"/>
        <v>3 год</v>
      </c>
      <c r="E37" s="325" t="str">
        <f t="shared" si="15"/>
        <v>4 год</v>
      </c>
      <c r="F37" s="325" t="str">
        <f t="shared" si="15"/>
        <v>5 год</v>
      </c>
      <c r="G37" s="325" t="str">
        <f t="shared" si="15"/>
        <v>6 год</v>
      </c>
      <c r="H37" s="325" t="str">
        <f t="shared" si="15"/>
        <v>7 год</v>
      </c>
      <c r="I37" s="325" t="str">
        <f t="shared" si="15"/>
        <v>8 год</v>
      </c>
      <c r="J37" s="325" t="str">
        <f t="shared" si="15"/>
        <v>9 год</v>
      </c>
      <c r="K37" s="325" t="str">
        <f t="shared" si="15"/>
        <v>10 год</v>
      </c>
      <c r="L37" s="325" t="str">
        <f t="shared" si="15"/>
        <v>11 год</v>
      </c>
    </row>
    <row r="38" spans="1:12" ht="28.8" x14ac:dyDescent="0.3">
      <c r="A38" s="558" t="s">
        <v>563</v>
      </c>
      <c r="B38" s="326">
        <f>B7/1000</f>
        <v>-3.4815023148819781</v>
      </c>
      <c r="C38" s="326">
        <f t="shared" ref="C38:L38" si="16">C7/1000</f>
        <v>12.464072302343444</v>
      </c>
      <c r="D38" s="326">
        <f t="shared" si="16"/>
        <v>15.024634770667813</v>
      </c>
      <c r="E38" s="326">
        <f t="shared" si="16"/>
        <v>20.238744403260011</v>
      </c>
      <c r="F38" s="326">
        <f t="shared" si="16"/>
        <v>31.859685934067826</v>
      </c>
      <c r="G38" s="326">
        <f t="shared" si="16"/>
        <v>36.291773788538336</v>
      </c>
      <c r="H38" s="326">
        <f t="shared" si="16"/>
        <v>38.908107528835259</v>
      </c>
      <c r="I38" s="326">
        <f t="shared" si="16"/>
        <v>43.741345299635526</v>
      </c>
      <c r="J38" s="326">
        <f t="shared" si="16"/>
        <v>45.42704347386789</v>
      </c>
      <c r="K38" s="326">
        <f t="shared" si="16"/>
        <v>47.07505321209306</v>
      </c>
      <c r="L38" s="326">
        <f t="shared" si="16"/>
        <v>47.717703599407997</v>
      </c>
    </row>
  </sheetData>
  <mergeCells count="1">
    <mergeCell ref="A1:G1"/>
  </mergeCells>
  <pageMargins left="0.7" right="0.7" top="0.75" bottom="0.75" header="0.3" footer="0.3"/>
  <pageSetup paperSize="9" firstPageNumber="2147483648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2">
    <pageSetUpPr fitToPage="1"/>
  </sheetPr>
  <dimension ref="A1:J26"/>
  <sheetViews>
    <sheetView zoomScale="70" workbookViewId="0">
      <pane xSplit="1" topLeftCell="B1" activePane="topRight" state="frozen"/>
      <selection pane="topRight"/>
    </sheetView>
  </sheetViews>
  <sheetFormatPr defaultRowHeight="14.4" x14ac:dyDescent="0.3"/>
  <cols>
    <col min="1" max="1" width="26.5546875" style="54" customWidth="1"/>
    <col min="2" max="2" width="11.88671875" style="55" customWidth="1"/>
    <col min="3" max="3" width="13" style="56" customWidth="1"/>
    <col min="4" max="6" width="12.88671875" style="73" customWidth="1"/>
    <col min="10" max="10" width="11.109375" bestFit="1" customWidth="1"/>
  </cols>
  <sheetData>
    <row r="1" spans="1:10" x14ac:dyDescent="0.3">
      <c r="A1" s="95"/>
      <c r="B1" s="95"/>
      <c r="C1" s="95"/>
      <c r="D1" s="270"/>
      <c r="E1" s="270"/>
      <c r="F1" s="270"/>
      <c r="G1" s="271"/>
      <c r="H1" s="271"/>
      <c r="I1" s="271"/>
      <c r="J1" s="271"/>
    </row>
    <row r="2" spans="1:10" x14ac:dyDescent="0.3">
      <c r="A2" s="95"/>
      <c r="B2" s="95"/>
      <c r="C2" s="95"/>
      <c r="D2" s="272">
        <v>0.3</v>
      </c>
      <c r="E2" s="272"/>
      <c r="F2" s="272"/>
      <c r="G2" s="273"/>
      <c r="H2" s="273"/>
      <c r="I2" s="273"/>
      <c r="J2" s="273"/>
    </row>
    <row r="3" spans="1:10" s="64" customFormat="1" ht="55.2" x14ac:dyDescent="0.3">
      <c r="A3" s="183" t="s">
        <v>80</v>
      </c>
      <c r="B3" s="274" t="s">
        <v>49</v>
      </c>
      <c r="C3" s="212" t="s">
        <v>313</v>
      </c>
      <c r="D3" s="275" t="s">
        <v>314</v>
      </c>
      <c r="E3" s="275" t="s">
        <v>315</v>
      </c>
      <c r="F3" s="275" t="s">
        <v>316</v>
      </c>
      <c r="G3" s="275" t="s">
        <v>317</v>
      </c>
    </row>
    <row r="4" spans="1:10" x14ac:dyDescent="0.3">
      <c r="A4" s="183" t="s">
        <v>318</v>
      </c>
      <c r="B4" s="274" t="s">
        <v>319</v>
      </c>
      <c r="C4" s="212">
        <f>'объем работ 100% загр'!C4</f>
        <v>18</v>
      </c>
      <c r="D4" s="73">
        <f>'объем работ 100% загр'!V4</f>
        <v>1.1875000000000002</v>
      </c>
      <c r="E4" s="73">
        <f t="shared" ref="E4:E23" si="0">C4*D4</f>
        <v>21.375000000000004</v>
      </c>
      <c r="F4" s="73">
        <f t="shared" ref="F4:F23" si="1">E4*3</f>
        <v>64.125000000000014</v>
      </c>
      <c r="G4">
        <f t="shared" ref="G4:G25" si="2">E4*3</f>
        <v>64.125000000000014</v>
      </c>
    </row>
    <row r="5" spans="1:10" ht="124.2" x14ac:dyDescent="0.3">
      <c r="A5" s="183" t="s">
        <v>320</v>
      </c>
      <c r="B5" s="274" t="s">
        <v>321</v>
      </c>
      <c r="C5" s="212">
        <f>'объем работ 100% загр'!C5</f>
        <v>0</v>
      </c>
      <c r="D5" s="73">
        <f>'объем работ 100% загр'!V5</f>
        <v>0</v>
      </c>
      <c r="E5" s="73">
        <f t="shared" si="0"/>
        <v>0</v>
      </c>
      <c r="F5" s="73">
        <f t="shared" si="1"/>
        <v>0</v>
      </c>
      <c r="G5">
        <f t="shared" si="2"/>
        <v>0</v>
      </c>
    </row>
    <row r="6" spans="1:10" ht="123.75" customHeight="1" x14ac:dyDescent="0.3">
      <c r="A6" s="183" t="s">
        <v>322</v>
      </c>
      <c r="B6" s="274" t="s">
        <v>321</v>
      </c>
      <c r="C6" s="212">
        <f>'объем работ 100% загр'!C6</f>
        <v>0</v>
      </c>
      <c r="D6" s="73">
        <f>'объем работ 100% загр'!V6</f>
        <v>0</v>
      </c>
      <c r="E6" s="73">
        <f t="shared" si="0"/>
        <v>0</v>
      </c>
      <c r="F6" s="73">
        <f t="shared" si="1"/>
        <v>0</v>
      </c>
      <c r="G6">
        <f t="shared" si="2"/>
        <v>0</v>
      </c>
    </row>
    <row r="7" spans="1:10" ht="55.2" x14ac:dyDescent="0.3">
      <c r="A7" s="183" t="s">
        <v>323</v>
      </c>
      <c r="B7" s="274" t="s">
        <v>324</v>
      </c>
      <c r="C7" s="212" t="e">
        <f t="shared" ref="C7:C25" si="3">'объем работ 100% загр'!#REF!</f>
        <v>#REF!</v>
      </c>
      <c r="D7" s="73" t="e">
        <f t="shared" ref="D7:D25" si="4">'объем работ 100% загр'!#REF!</f>
        <v>#REF!</v>
      </c>
      <c r="E7" s="73" t="e">
        <f t="shared" si="0"/>
        <v>#REF!</v>
      </c>
      <c r="F7" s="73" t="e">
        <f t="shared" si="1"/>
        <v>#REF!</v>
      </c>
      <c r="G7" t="e">
        <f t="shared" si="2"/>
        <v>#REF!</v>
      </c>
    </row>
    <row r="8" spans="1:10" ht="27.6" x14ac:dyDescent="0.3">
      <c r="A8" s="183" t="s">
        <v>325</v>
      </c>
      <c r="B8" s="274" t="s">
        <v>326</v>
      </c>
      <c r="C8" s="212" t="e">
        <f t="shared" si="3"/>
        <v>#REF!</v>
      </c>
      <c r="D8" s="73" t="e">
        <f t="shared" si="4"/>
        <v>#REF!</v>
      </c>
      <c r="E8" s="73" t="e">
        <f t="shared" si="0"/>
        <v>#REF!</v>
      </c>
      <c r="F8" s="73" t="e">
        <f t="shared" si="1"/>
        <v>#REF!</v>
      </c>
      <c r="G8" t="e">
        <f t="shared" si="2"/>
        <v>#REF!</v>
      </c>
    </row>
    <row r="9" spans="1:10" ht="27.6" x14ac:dyDescent="0.3">
      <c r="A9" s="183" t="s">
        <v>327</v>
      </c>
      <c r="B9" s="274" t="s">
        <v>328</v>
      </c>
      <c r="C9" s="212" t="e">
        <f t="shared" si="3"/>
        <v>#REF!</v>
      </c>
      <c r="D9" s="73" t="e">
        <f t="shared" si="4"/>
        <v>#REF!</v>
      </c>
      <c r="E9" s="73" t="e">
        <f t="shared" si="0"/>
        <v>#REF!</v>
      </c>
      <c r="F9" s="73" t="e">
        <f t="shared" si="1"/>
        <v>#REF!</v>
      </c>
      <c r="G9" t="e">
        <f t="shared" si="2"/>
        <v>#REF!</v>
      </c>
    </row>
    <row r="10" spans="1:10" ht="69" x14ac:dyDescent="0.3">
      <c r="A10" s="183" t="s">
        <v>329</v>
      </c>
      <c r="B10" s="274" t="s">
        <v>330</v>
      </c>
      <c r="C10" s="212" t="e">
        <f t="shared" si="3"/>
        <v>#REF!</v>
      </c>
      <c r="D10" s="73" t="e">
        <f t="shared" si="4"/>
        <v>#REF!</v>
      </c>
      <c r="E10" s="73" t="e">
        <f t="shared" si="0"/>
        <v>#REF!</v>
      </c>
      <c r="F10" s="73" t="e">
        <f t="shared" si="1"/>
        <v>#REF!</v>
      </c>
      <c r="G10" t="e">
        <f t="shared" si="2"/>
        <v>#REF!</v>
      </c>
    </row>
    <row r="11" spans="1:10" ht="69" x14ac:dyDescent="0.3">
      <c r="A11" s="183" t="s">
        <v>331</v>
      </c>
      <c r="B11" s="274" t="s">
        <v>332</v>
      </c>
      <c r="C11" s="212" t="e">
        <f t="shared" si="3"/>
        <v>#REF!</v>
      </c>
      <c r="D11" s="73" t="e">
        <f t="shared" si="4"/>
        <v>#REF!</v>
      </c>
      <c r="E11" s="73" t="e">
        <f t="shared" si="0"/>
        <v>#REF!</v>
      </c>
      <c r="F11" s="73" t="e">
        <f t="shared" si="1"/>
        <v>#REF!</v>
      </c>
      <c r="G11" t="e">
        <f t="shared" si="2"/>
        <v>#REF!</v>
      </c>
    </row>
    <row r="12" spans="1:10" ht="72" x14ac:dyDescent="0.3">
      <c r="A12" s="54" t="s">
        <v>333</v>
      </c>
      <c r="B12" s="274" t="s">
        <v>330</v>
      </c>
      <c r="C12" s="212" t="e">
        <f t="shared" si="3"/>
        <v>#REF!</v>
      </c>
      <c r="D12" s="73" t="e">
        <f t="shared" si="4"/>
        <v>#REF!</v>
      </c>
      <c r="E12" s="73" t="e">
        <f t="shared" si="0"/>
        <v>#REF!</v>
      </c>
      <c r="F12" s="73" t="e">
        <f t="shared" si="1"/>
        <v>#REF!</v>
      </c>
      <c r="G12" t="e">
        <f t="shared" si="2"/>
        <v>#REF!</v>
      </c>
    </row>
    <row r="13" spans="1:10" ht="72" x14ac:dyDescent="0.3">
      <c r="A13" s="54" t="s">
        <v>334</v>
      </c>
      <c r="B13" s="274" t="s">
        <v>332</v>
      </c>
      <c r="C13" s="212" t="e">
        <f t="shared" si="3"/>
        <v>#REF!</v>
      </c>
      <c r="D13" s="73" t="e">
        <f t="shared" si="4"/>
        <v>#REF!</v>
      </c>
      <c r="E13" s="73" t="e">
        <f t="shared" si="0"/>
        <v>#REF!</v>
      </c>
      <c r="F13" s="73" t="e">
        <f t="shared" si="1"/>
        <v>#REF!</v>
      </c>
      <c r="G13" t="e">
        <f t="shared" si="2"/>
        <v>#REF!</v>
      </c>
    </row>
    <row r="14" spans="1:10" ht="86.4" x14ac:dyDescent="0.3">
      <c r="A14" s="54" t="s">
        <v>335</v>
      </c>
      <c r="B14" s="274" t="s">
        <v>330</v>
      </c>
      <c r="C14" s="212" t="e">
        <f t="shared" si="3"/>
        <v>#REF!</v>
      </c>
      <c r="D14" s="73" t="e">
        <f t="shared" si="4"/>
        <v>#REF!</v>
      </c>
      <c r="E14" s="73" t="e">
        <f t="shared" si="0"/>
        <v>#REF!</v>
      </c>
      <c r="F14" s="73" t="e">
        <f t="shared" si="1"/>
        <v>#REF!</v>
      </c>
      <c r="G14" t="e">
        <f t="shared" si="2"/>
        <v>#REF!</v>
      </c>
    </row>
    <row r="15" spans="1:10" ht="86.4" x14ac:dyDescent="0.3">
      <c r="A15" s="54" t="s">
        <v>336</v>
      </c>
      <c r="B15" s="274" t="s">
        <v>332</v>
      </c>
      <c r="C15" s="212" t="e">
        <f t="shared" si="3"/>
        <v>#REF!</v>
      </c>
      <c r="D15" s="73" t="e">
        <f t="shared" si="4"/>
        <v>#REF!</v>
      </c>
      <c r="E15" s="73" t="e">
        <f t="shared" si="0"/>
        <v>#REF!</v>
      </c>
      <c r="F15" s="73" t="e">
        <f t="shared" si="1"/>
        <v>#REF!</v>
      </c>
      <c r="G15" t="e">
        <f t="shared" si="2"/>
        <v>#REF!</v>
      </c>
    </row>
    <row r="16" spans="1:10" ht="72" x14ac:dyDescent="0.3">
      <c r="A16" s="54" t="s">
        <v>337</v>
      </c>
      <c r="B16" s="274" t="s">
        <v>330</v>
      </c>
      <c r="C16" s="212" t="e">
        <f t="shared" si="3"/>
        <v>#REF!</v>
      </c>
      <c r="D16" s="73" t="e">
        <f t="shared" si="4"/>
        <v>#REF!</v>
      </c>
      <c r="E16" s="73" t="e">
        <f t="shared" si="0"/>
        <v>#REF!</v>
      </c>
      <c r="F16" s="73" t="e">
        <f t="shared" si="1"/>
        <v>#REF!</v>
      </c>
      <c r="G16" t="e">
        <f t="shared" si="2"/>
        <v>#REF!</v>
      </c>
    </row>
    <row r="17" spans="1:9" ht="72" x14ac:dyDescent="0.3">
      <c r="A17" s="54" t="s">
        <v>338</v>
      </c>
      <c r="B17" s="274" t="s">
        <v>332</v>
      </c>
      <c r="C17" s="212" t="e">
        <f t="shared" si="3"/>
        <v>#REF!</v>
      </c>
      <c r="D17" s="73" t="e">
        <f t="shared" si="4"/>
        <v>#REF!</v>
      </c>
      <c r="E17" s="73" t="e">
        <f t="shared" si="0"/>
        <v>#REF!</v>
      </c>
      <c r="F17" s="73" t="e">
        <f t="shared" si="1"/>
        <v>#REF!</v>
      </c>
      <c r="G17" t="e">
        <f t="shared" si="2"/>
        <v>#REF!</v>
      </c>
    </row>
    <row r="18" spans="1:9" ht="27.6" x14ac:dyDescent="0.3">
      <c r="A18" s="54" t="s">
        <v>339</v>
      </c>
      <c r="B18" s="274" t="s">
        <v>330</v>
      </c>
      <c r="C18" s="212" t="e">
        <f t="shared" si="3"/>
        <v>#REF!</v>
      </c>
      <c r="D18" s="73" t="e">
        <f t="shared" si="4"/>
        <v>#REF!</v>
      </c>
      <c r="E18" s="73" t="e">
        <f t="shared" si="0"/>
        <v>#REF!</v>
      </c>
      <c r="F18" s="73" t="e">
        <f t="shared" si="1"/>
        <v>#REF!</v>
      </c>
      <c r="G18" t="e">
        <f t="shared" si="2"/>
        <v>#REF!</v>
      </c>
    </row>
    <row r="19" spans="1:9" ht="72" x14ac:dyDescent="0.3">
      <c r="A19" s="54" t="s">
        <v>340</v>
      </c>
      <c r="B19" s="274" t="s">
        <v>341</v>
      </c>
      <c r="C19" s="212" t="e">
        <f t="shared" si="3"/>
        <v>#REF!</v>
      </c>
      <c r="D19" s="73" t="e">
        <f t="shared" si="4"/>
        <v>#REF!</v>
      </c>
      <c r="E19" s="73" t="e">
        <f t="shared" si="0"/>
        <v>#REF!</v>
      </c>
      <c r="F19" s="73" t="e">
        <f t="shared" si="1"/>
        <v>#REF!</v>
      </c>
      <c r="G19" t="e">
        <f t="shared" si="2"/>
        <v>#REF!</v>
      </c>
    </row>
    <row r="20" spans="1:9" ht="72" x14ac:dyDescent="0.3">
      <c r="A20" s="54" t="s">
        <v>342</v>
      </c>
      <c r="B20" s="274" t="s">
        <v>341</v>
      </c>
      <c r="C20" s="212" t="e">
        <f t="shared" si="3"/>
        <v>#REF!</v>
      </c>
      <c r="D20" s="73" t="e">
        <f t="shared" si="4"/>
        <v>#REF!</v>
      </c>
      <c r="E20" s="73" t="e">
        <f t="shared" si="0"/>
        <v>#REF!</v>
      </c>
      <c r="F20" s="73" t="e">
        <f t="shared" si="1"/>
        <v>#REF!</v>
      </c>
      <c r="G20" t="e">
        <f t="shared" si="2"/>
        <v>#REF!</v>
      </c>
    </row>
    <row r="21" spans="1:9" x14ac:dyDescent="0.3">
      <c r="A21" s="54" t="s">
        <v>343</v>
      </c>
      <c r="B21" s="55" t="s">
        <v>341</v>
      </c>
      <c r="C21" s="212" t="e">
        <f t="shared" si="3"/>
        <v>#REF!</v>
      </c>
      <c r="D21" s="73" t="e">
        <f t="shared" si="4"/>
        <v>#REF!</v>
      </c>
      <c r="E21" s="73" t="e">
        <f t="shared" si="0"/>
        <v>#REF!</v>
      </c>
      <c r="F21" s="73" t="e">
        <f t="shared" si="1"/>
        <v>#REF!</v>
      </c>
      <c r="G21" t="e">
        <f t="shared" si="2"/>
        <v>#REF!</v>
      </c>
    </row>
    <row r="22" spans="1:9" ht="28.8" x14ac:dyDescent="0.3">
      <c r="A22" s="54" t="s">
        <v>344</v>
      </c>
      <c r="B22" s="55" t="s">
        <v>341</v>
      </c>
      <c r="C22" s="212" t="e">
        <f t="shared" si="3"/>
        <v>#REF!</v>
      </c>
      <c r="D22" s="73" t="e">
        <f t="shared" si="4"/>
        <v>#REF!</v>
      </c>
      <c r="E22" s="73" t="e">
        <f t="shared" si="0"/>
        <v>#REF!</v>
      </c>
      <c r="F22" s="73" t="e">
        <f t="shared" si="1"/>
        <v>#REF!</v>
      </c>
      <c r="G22" t="e">
        <f t="shared" si="2"/>
        <v>#REF!</v>
      </c>
    </row>
    <row r="23" spans="1:9" ht="56.25" customHeight="1" x14ac:dyDescent="0.3">
      <c r="A23" s="54" t="s">
        <v>345</v>
      </c>
      <c r="B23" s="55" t="s">
        <v>346</v>
      </c>
      <c r="C23" s="212" t="e">
        <f t="shared" si="3"/>
        <v>#REF!</v>
      </c>
      <c r="D23" s="73" t="e">
        <f t="shared" si="4"/>
        <v>#REF!</v>
      </c>
      <c r="E23" s="73" t="e">
        <f t="shared" si="0"/>
        <v>#REF!</v>
      </c>
      <c r="F23" s="73" t="e">
        <f t="shared" si="1"/>
        <v>#REF!</v>
      </c>
      <c r="G23" t="e">
        <f t="shared" si="2"/>
        <v>#REF!</v>
      </c>
    </row>
    <row r="24" spans="1:9" s="54" customFormat="1" ht="56.25" customHeight="1" x14ac:dyDescent="0.3">
      <c r="A24" s="54" t="s">
        <v>347</v>
      </c>
      <c r="B24" s="54" t="s">
        <v>341</v>
      </c>
      <c r="C24" s="54" t="e">
        <f t="shared" si="3"/>
        <v>#REF!</v>
      </c>
      <c r="D24" s="73" t="e">
        <f t="shared" si="4"/>
        <v>#REF!</v>
      </c>
      <c r="E24" s="54" t="e">
        <f t="shared" ref="E24:E25" si="5">C24*D24</f>
        <v>#REF!</v>
      </c>
      <c r="F24" s="54" t="e">
        <f t="shared" ref="F24:F25" si="6">E24*3</f>
        <v>#REF!</v>
      </c>
      <c r="G24" t="e">
        <f t="shared" si="2"/>
        <v>#REF!</v>
      </c>
    </row>
    <row r="25" spans="1:9" s="54" customFormat="1" ht="56.25" customHeight="1" x14ac:dyDescent="0.3">
      <c r="A25" s="54" t="s">
        <v>348</v>
      </c>
      <c r="B25" s="54" t="s">
        <v>341</v>
      </c>
      <c r="C25" s="54" t="e">
        <f t="shared" si="3"/>
        <v>#REF!</v>
      </c>
      <c r="D25" s="73" t="e">
        <f t="shared" si="4"/>
        <v>#REF!</v>
      </c>
      <c r="E25" s="54" t="e">
        <f t="shared" si="5"/>
        <v>#REF!</v>
      </c>
      <c r="F25" s="54" t="e">
        <f t="shared" si="6"/>
        <v>#REF!</v>
      </c>
      <c r="G25" t="e">
        <f t="shared" si="2"/>
        <v>#REF!</v>
      </c>
      <c r="I25" s="276"/>
    </row>
    <row r="26" spans="1:9" x14ac:dyDescent="0.3">
      <c r="F26" s="73" t="e">
        <f>SUM(F4:F25)</f>
        <v>#REF!</v>
      </c>
      <c r="G26" t="e">
        <f>SUM(G4:G25)</f>
        <v>#REF!</v>
      </c>
    </row>
  </sheetData>
  <pageMargins left="0.7" right="0.7" top="0.75" bottom="0.75" header="0.3" footer="0.3"/>
  <pageSetup paperSize="8" scale="68" firstPageNumber="2147483648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3"/>
  <dimension ref="A1:J26"/>
  <sheetViews>
    <sheetView zoomScale="70" workbookViewId="0">
      <pane xSplit="1" topLeftCell="B1" activePane="topRight" state="frozen"/>
      <selection pane="topRight"/>
    </sheetView>
  </sheetViews>
  <sheetFormatPr defaultRowHeight="14.4" x14ac:dyDescent="0.3"/>
  <cols>
    <col min="1" max="1" width="26.5546875" style="54" customWidth="1"/>
    <col min="2" max="2" width="11.88671875" style="55" customWidth="1"/>
    <col min="3" max="3" width="13" style="56" customWidth="1"/>
    <col min="4" max="6" width="12.88671875" style="73" customWidth="1"/>
  </cols>
  <sheetData>
    <row r="1" spans="1:10" x14ac:dyDescent="0.3">
      <c r="A1" s="95"/>
      <c r="B1" s="95"/>
      <c r="C1" s="95"/>
      <c r="D1" s="270"/>
      <c r="E1" s="270"/>
      <c r="F1" s="270"/>
      <c r="G1" s="271"/>
      <c r="H1" s="271"/>
      <c r="I1" s="271"/>
      <c r="J1" s="271"/>
    </row>
    <row r="2" spans="1:10" x14ac:dyDescent="0.3">
      <c r="A2" s="95"/>
      <c r="B2" s="95"/>
      <c r="C2" s="95"/>
      <c r="D2" s="272">
        <v>0.3</v>
      </c>
      <c r="E2" s="272"/>
      <c r="F2" s="272"/>
      <c r="G2" s="273"/>
      <c r="H2" s="273"/>
      <c r="I2" s="273"/>
      <c r="J2" s="273"/>
    </row>
    <row r="3" spans="1:10" s="64" customFormat="1" ht="55.2" x14ac:dyDescent="0.3">
      <c r="A3" s="183" t="s">
        <v>80</v>
      </c>
      <c r="B3" s="274" t="s">
        <v>49</v>
      </c>
      <c r="C3" s="212" t="s">
        <v>313</v>
      </c>
      <c r="D3" s="275" t="s">
        <v>314</v>
      </c>
      <c r="E3" s="275" t="s">
        <v>315</v>
      </c>
      <c r="F3" s="275" t="s">
        <v>316</v>
      </c>
      <c r="G3" s="275" t="s">
        <v>317</v>
      </c>
    </row>
    <row r="4" spans="1:10" x14ac:dyDescent="0.3">
      <c r="A4" s="183" t="s">
        <v>318</v>
      </c>
      <c r="B4" s="274" t="s">
        <v>319</v>
      </c>
      <c r="C4" s="277">
        <f>'объем работ 100% загр'!D4</f>
        <v>19.080000000000002</v>
      </c>
      <c r="D4" s="73">
        <f>'объем работ 100% загр'!U4</f>
        <v>1.1250000000000002</v>
      </c>
      <c r="E4" s="73">
        <f t="shared" ref="E4:E23" si="0">C4*D4</f>
        <v>21.465000000000007</v>
      </c>
      <c r="F4" s="73">
        <f t="shared" ref="F4:F23" si="1">E4*3</f>
        <v>64.395000000000024</v>
      </c>
      <c r="G4">
        <f t="shared" ref="G4:G25" si="2">E4*12</f>
        <v>257.5800000000001</v>
      </c>
    </row>
    <row r="5" spans="1:10" ht="124.2" x14ac:dyDescent="0.3">
      <c r="A5" s="183" t="s">
        <v>320</v>
      </c>
      <c r="B5" s="274" t="s">
        <v>321</v>
      </c>
      <c r="C5" s="277">
        <f>'объем работ 100% загр'!D5</f>
        <v>0</v>
      </c>
      <c r="D5" s="73">
        <f>'объем работ 100% загр'!U5</f>
        <v>0</v>
      </c>
      <c r="E5" s="73">
        <f t="shared" si="0"/>
        <v>0</v>
      </c>
      <c r="F5" s="73">
        <f t="shared" si="1"/>
        <v>0</v>
      </c>
      <c r="G5">
        <f t="shared" si="2"/>
        <v>0</v>
      </c>
    </row>
    <row r="6" spans="1:10" ht="123.75" customHeight="1" x14ac:dyDescent="0.3">
      <c r="A6" s="183" t="s">
        <v>322</v>
      </c>
      <c r="B6" s="274" t="s">
        <v>321</v>
      </c>
      <c r="C6" s="277">
        <f>'объем работ 100% загр'!D6</f>
        <v>0</v>
      </c>
      <c r="D6" s="73">
        <f>'объем работ 100% загр'!U6</f>
        <v>0</v>
      </c>
      <c r="E6" s="73">
        <f t="shared" si="0"/>
        <v>0</v>
      </c>
      <c r="F6" s="73">
        <f t="shared" si="1"/>
        <v>0</v>
      </c>
      <c r="G6">
        <f t="shared" si="2"/>
        <v>0</v>
      </c>
    </row>
    <row r="7" spans="1:10" ht="55.2" x14ac:dyDescent="0.3">
      <c r="A7" s="183" t="s">
        <v>323</v>
      </c>
      <c r="B7" s="274" t="s">
        <v>324</v>
      </c>
      <c r="C7" s="277" t="e">
        <f t="shared" ref="C7:C25" si="3">'объем работ 100% загр'!#REF!</f>
        <v>#REF!</v>
      </c>
      <c r="D7" s="73" t="e">
        <f t="shared" ref="D7:D25" si="4">'объем работ 100% загр'!#REF!</f>
        <v>#REF!</v>
      </c>
      <c r="E7" s="73" t="e">
        <f t="shared" si="0"/>
        <v>#REF!</v>
      </c>
      <c r="F7" s="73" t="e">
        <f t="shared" si="1"/>
        <v>#REF!</v>
      </c>
      <c r="G7" t="e">
        <f t="shared" si="2"/>
        <v>#REF!</v>
      </c>
    </row>
    <row r="8" spans="1:10" ht="27.6" x14ac:dyDescent="0.3">
      <c r="A8" s="183" t="s">
        <v>325</v>
      </c>
      <c r="B8" s="274" t="s">
        <v>326</v>
      </c>
      <c r="C8" s="277" t="e">
        <f t="shared" si="3"/>
        <v>#REF!</v>
      </c>
      <c r="D8" s="73" t="e">
        <f t="shared" si="4"/>
        <v>#REF!</v>
      </c>
      <c r="E8" s="73" t="e">
        <f t="shared" si="0"/>
        <v>#REF!</v>
      </c>
      <c r="F8" s="73" t="e">
        <f t="shared" si="1"/>
        <v>#REF!</v>
      </c>
      <c r="G8" t="e">
        <f t="shared" si="2"/>
        <v>#REF!</v>
      </c>
    </row>
    <row r="9" spans="1:10" ht="27.6" x14ac:dyDescent="0.3">
      <c r="A9" s="183" t="s">
        <v>327</v>
      </c>
      <c r="B9" s="274" t="s">
        <v>328</v>
      </c>
      <c r="C9" s="277" t="e">
        <f t="shared" si="3"/>
        <v>#REF!</v>
      </c>
      <c r="D9" s="73" t="e">
        <f t="shared" si="4"/>
        <v>#REF!</v>
      </c>
      <c r="E9" s="73" t="e">
        <f t="shared" si="0"/>
        <v>#REF!</v>
      </c>
      <c r="F9" s="73" t="e">
        <f t="shared" si="1"/>
        <v>#REF!</v>
      </c>
      <c r="G9" t="e">
        <f t="shared" si="2"/>
        <v>#REF!</v>
      </c>
    </row>
    <row r="10" spans="1:10" ht="69" x14ac:dyDescent="0.3">
      <c r="A10" s="183" t="s">
        <v>329</v>
      </c>
      <c r="B10" s="274" t="s">
        <v>330</v>
      </c>
      <c r="C10" s="277" t="e">
        <f t="shared" si="3"/>
        <v>#REF!</v>
      </c>
      <c r="D10" s="73" t="e">
        <f t="shared" si="4"/>
        <v>#REF!</v>
      </c>
      <c r="E10" s="73" t="e">
        <f t="shared" si="0"/>
        <v>#REF!</v>
      </c>
      <c r="F10" s="73" t="e">
        <f t="shared" si="1"/>
        <v>#REF!</v>
      </c>
      <c r="G10" t="e">
        <f t="shared" si="2"/>
        <v>#REF!</v>
      </c>
    </row>
    <row r="11" spans="1:10" ht="69" x14ac:dyDescent="0.3">
      <c r="A11" s="183" t="s">
        <v>331</v>
      </c>
      <c r="B11" s="274" t="s">
        <v>332</v>
      </c>
      <c r="C11" s="277" t="e">
        <f t="shared" si="3"/>
        <v>#REF!</v>
      </c>
      <c r="D11" s="73" t="e">
        <f t="shared" si="4"/>
        <v>#REF!</v>
      </c>
      <c r="E11" s="73" t="e">
        <f t="shared" si="0"/>
        <v>#REF!</v>
      </c>
      <c r="F11" s="73" t="e">
        <f t="shared" si="1"/>
        <v>#REF!</v>
      </c>
      <c r="G11" t="e">
        <f t="shared" si="2"/>
        <v>#REF!</v>
      </c>
    </row>
    <row r="12" spans="1:10" ht="72" x14ac:dyDescent="0.3">
      <c r="A12" s="54" t="s">
        <v>333</v>
      </c>
      <c r="B12" s="274" t="s">
        <v>330</v>
      </c>
      <c r="C12" s="277" t="e">
        <f t="shared" si="3"/>
        <v>#REF!</v>
      </c>
      <c r="D12" s="73" t="e">
        <f t="shared" si="4"/>
        <v>#REF!</v>
      </c>
      <c r="E12" s="73" t="e">
        <f t="shared" si="0"/>
        <v>#REF!</v>
      </c>
      <c r="F12" s="73" t="e">
        <f t="shared" si="1"/>
        <v>#REF!</v>
      </c>
      <c r="G12" t="e">
        <f t="shared" si="2"/>
        <v>#REF!</v>
      </c>
    </row>
    <row r="13" spans="1:10" ht="72" x14ac:dyDescent="0.3">
      <c r="A13" s="54" t="s">
        <v>334</v>
      </c>
      <c r="B13" s="274" t="s">
        <v>332</v>
      </c>
      <c r="C13" s="277" t="e">
        <f t="shared" si="3"/>
        <v>#REF!</v>
      </c>
      <c r="D13" s="73" t="e">
        <f t="shared" si="4"/>
        <v>#REF!</v>
      </c>
      <c r="E13" s="73" t="e">
        <f t="shared" si="0"/>
        <v>#REF!</v>
      </c>
      <c r="F13" s="73" t="e">
        <f t="shared" si="1"/>
        <v>#REF!</v>
      </c>
      <c r="G13" t="e">
        <f t="shared" si="2"/>
        <v>#REF!</v>
      </c>
    </row>
    <row r="14" spans="1:10" ht="86.4" x14ac:dyDescent="0.3">
      <c r="A14" s="54" t="s">
        <v>335</v>
      </c>
      <c r="B14" s="274" t="s">
        <v>330</v>
      </c>
      <c r="C14" s="277" t="e">
        <f t="shared" si="3"/>
        <v>#REF!</v>
      </c>
      <c r="D14" s="73" t="e">
        <f t="shared" si="4"/>
        <v>#REF!</v>
      </c>
      <c r="E14" s="73" t="e">
        <f t="shared" si="0"/>
        <v>#REF!</v>
      </c>
      <c r="F14" s="73" t="e">
        <f t="shared" si="1"/>
        <v>#REF!</v>
      </c>
      <c r="G14" t="e">
        <f t="shared" si="2"/>
        <v>#REF!</v>
      </c>
    </row>
    <row r="15" spans="1:10" ht="86.4" x14ac:dyDescent="0.3">
      <c r="A15" s="54" t="s">
        <v>336</v>
      </c>
      <c r="B15" s="274" t="s">
        <v>332</v>
      </c>
      <c r="C15" s="277" t="e">
        <f t="shared" si="3"/>
        <v>#REF!</v>
      </c>
      <c r="D15" s="73" t="e">
        <f t="shared" si="4"/>
        <v>#REF!</v>
      </c>
      <c r="E15" s="73" t="e">
        <f>C15*D15</f>
        <v>#REF!</v>
      </c>
      <c r="F15" s="73" t="e">
        <f t="shared" si="1"/>
        <v>#REF!</v>
      </c>
      <c r="G15" t="e">
        <f t="shared" si="2"/>
        <v>#REF!</v>
      </c>
    </row>
    <row r="16" spans="1:10" ht="72" x14ac:dyDescent="0.3">
      <c r="A16" s="54" t="s">
        <v>337</v>
      </c>
      <c r="B16" s="274" t="s">
        <v>330</v>
      </c>
      <c r="C16" s="277" t="e">
        <f t="shared" si="3"/>
        <v>#REF!</v>
      </c>
      <c r="D16" s="73" t="e">
        <f t="shared" si="4"/>
        <v>#REF!</v>
      </c>
      <c r="E16" s="73" t="e">
        <f t="shared" si="0"/>
        <v>#REF!</v>
      </c>
      <c r="F16" s="73" t="e">
        <f t="shared" si="1"/>
        <v>#REF!</v>
      </c>
      <c r="G16" t="e">
        <f t="shared" si="2"/>
        <v>#REF!</v>
      </c>
    </row>
    <row r="17" spans="1:10" ht="72" x14ac:dyDescent="0.3">
      <c r="A17" s="54" t="s">
        <v>338</v>
      </c>
      <c r="B17" s="274" t="s">
        <v>332</v>
      </c>
      <c r="C17" s="277" t="e">
        <f t="shared" si="3"/>
        <v>#REF!</v>
      </c>
      <c r="D17" s="73" t="e">
        <f t="shared" si="4"/>
        <v>#REF!</v>
      </c>
      <c r="E17" s="73" t="e">
        <f t="shared" si="0"/>
        <v>#REF!</v>
      </c>
      <c r="F17" s="73" t="e">
        <f t="shared" si="1"/>
        <v>#REF!</v>
      </c>
      <c r="G17" t="e">
        <f t="shared" si="2"/>
        <v>#REF!</v>
      </c>
    </row>
    <row r="18" spans="1:10" ht="27.6" x14ac:dyDescent="0.3">
      <c r="A18" s="54" t="s">
        <v>339</v>
      </c>
      <c r="B18" s="274" t="s">
        <v>330</v>
      </c>
      <c r="C18" s="277" t="e">
        <f t="shared" si="3"/>
        <v>#REF!</v>
      </c>
      <c r="D18" s="73" t="e">
        <f t="shared" si="4"/>
        <v>#REF!</v>
      </c>
      <c r="E18" s="73" t="e">
        <f t="shared" si="0"/>
        <v>#REF!</v>
      </c>
      <c r="F18" s="73" t="e">
        <f t="shared" si="1"/>
        <v>#REF!</v>
      </c>
      <c r="G18" t="e">
        <f t="shared" si="2"/>
        <v>#REF!</v>
      </c>
    </row>
    <row r="19" spans="1:10" ht="72" x14ac:dyDescent="0.3">
      <c r="A19" s="54" t="s">
        <v>340</v>
      </c>
      <c r="B19" s="274" t="s">
        <v>341</v>
      </c>
      <c r="C19" s="277" t="e">
        <f t="shared" si="3"/>
        <v>#REF!</v>
      </c>
      <c r="D19" s="73" t="e">
        <f t="shared" si="4"/>
        <v>#REF!</v>
      </c>
      <c r="E19" s="73" t="e">
        <f t="shared" si="0"/>
        <v>#REF!</v>
      </c>
      <c r="F19" s="73" t="e">
        <f t="shared" si="1"/>
        <v>#REF!</v>
      </c>
      <c r="G19" t="e">
        <f t="shared" si="2"/>
        <v>#REF!</v>
      </c>
    </row>
    <row r="20" spans="1:10" ht="72" x14ac:dyDescent="0.3">
      <c r="A20" s="54" t="s">
        <v>342</v>
      </c>
      <c r="B20" s="274" t="s">
        <v>341</v>
      </c>
      <c r="C20" s="277" t="e">
        <f t="shared" si="3"/>
        <v>#REF!</v>
      </c>
      <c r="D20" s="73" t="e">
        <f t="shared" si="4"/>
        <v>#REF!</v>
      </c>
      <c r="E20" s="73" t="e">
        <f t="shared" si="0"/>
        <v>#REF!</v>
      </c>
      <c r="F20" s="73" t="e">
        <f t="shared" si="1"/>
        <v>#REF!</v>
      </c>
      <c r="G20" t="e">
        <f t="shared" si="2"/>
        <v>#REF!</v>
      </c>
    </row>
    <row r="21" spans="1:10" x14ac:dyDescent="0.3">
      <c r="A21" s="54" t="s">
        <v>343</v>
      </c>
      <c r="B21" s="55" t="s">
        <v>341</v>
      </c>
      <c r="C21" s="277" t="e">
        <f t="shared" si="3"/>
        <v>#REF!</v>
      </c>
      <c r="D21" s="73" t="e">
        <f t="shared" si="4"/>
        <v>#REF!</v>
      </c>
      <c r="E21" s="73" t="e">
        <f t="shared" si="0"/>
        <v>#REF!</v>
      </c>
      <c r="F21" s="73" t="e">
        <f t="shared" si="1"/>
        <v>#REF!</v>
      </c>
      <c r="G21" t="e">
        <f t="shared" si="2"/>
        <v>#REF!</v>
      </c>
    </row>
    <row r="22" spans="1:10" ht="28.8" x14ac:dyDescent="0.3">
      <c r="A22" s="54" t="s">
        <v>344</v>
      </c>
      <c r="B22" s="55" t="s">
        <v>341</v>
      </c>
      <c r="C22" s="277" t="e">
        <f t="shared" si="3"/>
        <v>#REF!</v>
      </c>
      <c r="D22" s="73" t="e">
        <f t="shared" si="4"/>
        <v>#REF!</v>
      </c>
      <c r="E22" s="73" t="e">
        <f t="shared" si="0"/>
        <v>#REF!</v>
      </c>
      <c r="F22" s="73" t="e">
        <f t="shared" si="1"/>
        <v>#REF!</v>
      </c>
      <c r="G22" t="e">
        <f t="shared" si="2"/>
        <v>#REF!</v>
      </c>
    </row>
    <row r="23" spans="1:10" ht="56.25" customHeight="1" x14ac:dyDescent="0.3">
      <c r="A23" s="54" t="s">
        <v>345</v>
      </c>
      <c r="B23" s="55" t="s">
        <v>346</v>
      </c>
      <c r="C23" s="277" t="e">
        <f t="shared" si="3"/>
        <v>#REF!</v>
      </c>
      <c r="D23" s="73" t="e">
        <f t="shared" si="4"/>
        <v>#REF!</v>
      </c>
      <c r="E23" s="73" t="e">
        <f t="shared" si="0"/>
        <v>#REF!</v>
      </c>
      <c r="F23" s="73" t="e">
        <f t="shared" si="1"/>
        <v>#REF!</v>
      </c>
      <c r="G23" t="e">
        <f t="shared" si="2"/>
        <v>#REF!</v>
      </c>
    </row>
    <row r="24" spans="1:10" ht="56.25" customHeight="1" x14ac:dyDescent="0.3">
      <c r="A24" s="54" t="s">
        <v>347</v>
      </c>
      <c r="B24" s="54" t="s">
        <v>341</v>
      </c>
      <c r="C24" s="54" t="e">
        <f t="shared" si="3"/>
        <v>#REF!</v>
      </c>
      <c r="D24" s="276" t="e">
        <f t="shared" si="4"/>
        <v>#REF!</v>
      </c>
      <c r="E24" s="54" t="e">
        <f t="shared" ref="E24:E25" si="5">C24*D24</f>
        <v>#REF!</v>
      </c>
      <c r="F24" s="54" t="e">
        <f t="shared" ref="F24:F25" si="6">E24*3</f>
        <v>#REF!</v>
      </c>
      <c r="G24" t="e">
        <f t="shared" si="2"/>
        <v>#REF!</v>
      </c>
    </row>
    <row r="25" spans="1:10" ht="56.25" customHeight="1" x14ac:dyDescent="0.3">
      <c r="A25" s="54" t="s">
        <v>348</v>
      </c>
      <c r="B25" s="54" t="s">
        <v>341</v>
      </c>
      <c r="C25" s="54" t="e">
        <f t="shared" si="3"/>
        <v>#REF!</v>
      </c>
      <c r="D25" s="276" t="e">
        <f t="shared" si="4"/>
        <v>#REF!</v>
      </c>
      <c r="E25" s="54" t="e">
        <f t="shared" si="5"/>
        <v>#REF!</v>
      </c>
      <c r="F25" s="54" t="e">
        <f t="shared" si="6"/>
        <v>#REF!</v>
      </c>
      <c r="G25" t="e">
        <f t="shared" si="2"/>
        <v>#REF!</v>
      </c>
    </row>
    <row r="26" spans="1:10" x14ac:dyDescent="0.3">
      <c r="F26" s="73" t="e">
        <f>SUM(F4:F25)</f>
        <v>#REF!</v>
      </c>
      <c r="G26" t="e">
        <f>SUM(G4:G25)</f>
        <v>#REF!</v>
      </c>
      <c r="I26" s="73"/>
      <c r="J26">
        <f>I26*4</f>
        <v>0</v>
      </c>
    </row>
  </sheetData>
  <pageMargins left="0.7" right="0.7" top="0.75" bottom="0.75" header="0.3" footer="0.3"/>
  <pageSetup paperSize="9" firstPageNumber="2147483648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4"/>
  <dimension ref="A1:J26"/>
  <sheetViews>
    <sheetView zoomScale="70" workbookViewId="0">
      <pane xSplit="1" topLeftCell="B1" activePane="topRight" state="frozen"/>
      <selection pane="topRight"/>
    </sheetView>
  </sheetViews>
  <sheetFormatPr defaultRowHeight="14.4" x14ac:dyDescent="0.3"/>
  <cols>
    <col min="1" max="1" width="26.5546875" style="54" customWidth="1"/>
    <col min="2" max="2" width="11.88671875" style="55" customWidth="1"/>
    <col min="3" max="3" width="13" style="56" customWidth="1"/>
    <col min="4" max="6" width="12.88671875" style="73" customWidth="1"/>
  </cols>
  <sheetData>
    <row r="1" spans="1:10" x14ac:dyDescent="0.3">
      <c r="A1" s="95"/>
      <c r="B1" s="95"/>
      <c r="C1" s="95"/>
      <c r="D1" s="270"/>
      <c r="E1" s="270"/>
      <c r="F1" s="270"/>
      <c r="G1" s="271"/>
      <c r="H1" s="271"/>
      <c r="I1" s="271"/>
      <c r="J1" s="271"/>
    </row>
    <row r="2" spans="1:10" x14ac:dyDescent="0.3">
      <c r="A2" s="95"/>
      <c r="B2" s="95"/>
      <c r="C2" s="95"/>
      <c r="D2" s="272">
        <v>0.3</v>
      </c>
      <c r="E2" s="272"/>
      <c r="F2" s="272"/>
      <c r="G2" s="273"/>
      <c r="H2" s="273"/>
      <c r="I2" s="273"/>
      <c r="J2" s="273"/>
    </row>
    <row r="3" spans="1:10" s="64" customFormat="1" ht="55.2" x14ac:dyDescent="0.3">
      <c r="A3" s="183" t="s">
        <v>80</v>
      </c>
      <c r="B3" s="274" t="s">
        <v>49</v>
      </c>
      <c r="C3" s="212" t="s">
        <v>313</v>
      </c>
      <c r="D3" s="275" t="s">
        <v>314</v>
      </c>
      <c r="E3" s="275" t="s">
        <v>315</v>
      </c>
      <c r="F3" s="275" t="s">
        <v>316</v>
      </c>
      <c r="G3" s="275" t="s">
        <v>317</v>
      </c>
    </row>
    <row r="4" spans="1:10" x14ac:dyDescent="0.3">
      <c r="A4" s="183" t="s">
        <v>318</v>
      </c>
      <c r="B4" s="274" t="s">
        <v>319</v>
      </c>
      <c r="C4" s="277">
        <f>'объем работ 100% загр'!E4</f>
        <v>19.366199999999999</v>
      </c>
      <c r="D4" s="73">
        <f>'объем работ 100% загр'!T4</f>
        <v>1.0625</v>
      </c>
      <c r="E4" s="73">
        <f t="shared" ref="E4:E22" si="0">C4*D4</f>
        <v>20.576587499999999</v>
      </c>
      <c r="F4" s="73">
        <f t="shared" ref="F4:F22" si="1">E4*3</f>
        <v>61.729762499999993</v>
      </c>
      <c r="G4">
        <f t="shared" ref="G4:G25" si="2">E4*12</f>
        <v>246.91904999999997</v>
      </c>
    </row>
    <row r="5" spans="1:10" ht="124.2" x14ac:dyDescent="0.3">
      <c r="A5" s="183" t="s">
        <v>320</v>
      </c>
      <c r="B5" s="274" t="s">
        <v>321</v>
      </c>
      <c r="C5" s="277">
        <f>'объем работ 100% загр'!E5</f>
        <v>0</v>
      </c>
      <c r="D5" s="73">
        <f>'объем работ 100% загр'!T5</f>
        <v>0</v>
      </c>
      <c r="E5" s="73">
        <f t="shared" si="0"/>
        <v>0</v>
      </c>
      <c r="F5" s="73">
        <f t="shared" si="1"/>
        <v>0</v>
      </c>
      <c r="G5">
        <f t="shared" si="2"/>
        <v>0</v>
      </c>
    </row>
    <row r="6" spans="1:10" ht="123.75" customHeight="1" x14ac:dyDescent="0.3">
      <c r="A6" s="183" t="s">
        <v>322</v>
      </c>
      <c r="B6" s="274" t="s">
        <v>321</v>
      </c>
      <c r="C6" s="277">
        <f>'объем работ 100% загр'!E6</f>
        <v>0</v>
      </c>
      <c r="D6" s="73">
        <f>'объем работ 100% загр'!T6</f>
        <v>0</v>
      </c>
      <c r="E6" s="73">
        <f t="shared" si="0"/>
        <v>0</v>
      </c>
      <c r="F6" s="73">
        <f t="shared" si="1"/>
        <v>0</v>
      </c>
      <c r="G6">
        <f t="shared" si="2"/>
        <v>0</v>
      </c>
    </row>
    <row r="7" spans="1:10" ht="55.2" x14ac:dyDescent="0.3">
      <c r="A7" s="183" t="s">
        <v>323</v>
      </c>
      <c r="B7" s="274" t="s">
        <v>324</v>
      </c>
      <c r="C7" s="277" t="e">
        <f t="shared" ref="C7:C25" si="3">'объем работ 100% загр'!#REF!</f>
        <v>#REF!</v>
      </c>
      <c r="D7" s="73" t="e">
        <f t="shared" ref="D7:D25" si="4">'объем работ 100% загр'!#REF!</f>
        <v>#REF!</v>
      </c>
      <c r="E7" s="73" t="e">
        <f t="shared" si="0"/>
        <v>#REF!</v>
      </c>
      <c r="F7" s="73" t="e">
        <f t="shared" si="1"/>
        <v>#REF!</v>
      </c>
      <c r="G7" t="e">
        <f t="shared" si="2"/>
        <v>#REF!</v>
      </c>
    </row>
    <row r="8" spans="1:10" ht="27.6" x14ac:dyDescent="0.3">
      <c r="A8" s="183" t="s">
        <v>325</v>
      </c>
      <c r="B8" s="274" t="s">
        <v>326</v>
      </c>
      <c r="C8" s="277" t="e">
        <f t="shared" si="3"/>
        <v>#REF!</v>
      </c>
      <c r="D8" s="73" t="e">
        <f t="shared" si="4"/>
        <v>#REF!</v>
      </c>
      <c r="E8" s="73" t="e">
        <f t="shared" si="0"/>
        <v>#REF!</v>
      </c>
      <c r="F8" s="73" t="e">
        <f t="shared" si="1"/>
        <v>#REF!</v>
      </c>
      <c r="G8" t="e">
        <f t="shared" si="2"/>
        <v>#REF!</v>
      </c>
    </row>
    <row r="9" spans="1:10" ht="27.6" x14ac:dyDescent="0.3">
      <c r="A9" s="183" t="s">
        <v>327</v>
      </c>
      <c r="B9" s="274" t="s">
        <v>328</v>
      </c>
      <c r="C9" s="277" t="e">
        <f t="shared" si="3"/>
        <v>#REF!</v>
      </c>
      <c r="D9" s="73" t="e">
        <f t="shared" si="4"/>
        <v>#REF!</v>
      </c>
      <c r="E9" s="73" t="e">
        <f t="shared" si="0"/>
        <v>#REF!</v>
      </c>
      <c r="F9" s="73" t="e">
        <f t="shared" si="1"/>
        <v>#REF!</v>
      </c>
      <c r="G9" t="e">
        <f t="shared" si="2"/>
        <v>#REF!</v>
      </c>
    </row>
    <row r="10" spans="1:10" ht="69" x14ac:dyDescent="0.3">
      <c r="A10" s="183" t="s">
        <v>329</v>
      </c>
      <c r="B10" s="274" t="s">
        <v>330</v>
      </c>
      <c r="C10" s="277" t="e">
        <f t="shared" si="3"/>
        <v>#REF!</v>
      </c>
      <c r="D10" s="73" t="e">
        <f t="shared" si="4"/>
        <v>#REF!</v>
      </c>
      <c r="E10" s="73" t="e">
        <f t="shared" si="0"/>
        <v>#REF!</v>
      </c>
      <c r="F10" s="73" t="e">
        <f t="shared" si="1"/>
        <v>#REF!</v>
      </c>
      <c r="G10" t="e">
        <f t="shared" si="2"/>
        <v>#REF!</v>
      </c>
    </row>
    <row r="11" spans="1:10" ht="69" x14ac:dyDescent="0.3">
      <c r="A11" s="183" t="s">
        <v>331</v>
      </c>
      <c r="B11" s="274" t="s">
        <v>332</v>
      </c>
      <c r="C11" s="277" t="e">
        <f t="shared" si="3"/>
        <v>#REF!</v>
      </c>
      <c r="D11" s="73" t="e">
        <f t="shared" si="4"/>
        <v>#REF!</v>
      </c>
      <c r="E11" s="73" t="e">
        <f t="shared" si="0"/>
        <v>#REF!</v>
      </c>
      <c r="F11" s="73" t="e">
        <f t="shared" si="1"/>
        <v>#REF!</v>
      </c>
      <c r="G11" t="e">
        <f t="shared" si="2"/>
        <v>#REF!</v>
      </c>
    </row>
    <row r="12" spans="1:10" ht="72" x14ac:dyDescent="0.3">
      <c r="A12" s="54" t="s">
        <v>333</v>
      </c>
      <c r="B12" s="274" t="s">
        <v>330</v>
      </c>
      <c r="C12" s="277" t="e">
        <f t="shared" si="3"/>
        <v>#REF!</v>
      </c>
      <c r="D12" s="73" t="e">
        <f t="shared" si="4"/>
        <v>#REF!</v>
      </c>
      <c r="E12" s="73" t="e">
        <f t="shared" si="0"/>
        <v>#REF!</v>
      </c>
      <c r="F12" s="73" t="e">
        <f t="shared" si="1"/>
        <v>#REF!</v>
      </c>
      <c r="G12" t="e">
        <f t="shared" si="2"/>
        <v>#REF!</v>
      </c>
    </row>
    <row r="13" spans="1:10" ht="72" x14ac:dyDescent="0.3">
      <c r="A13" s="54" t="s">
        <v>334</v>
      </c>
      <c r="B13" s="274" t="s">
        <v>332</v>
      </c>
      <c r="C13" s="277" t="e">
        <f t="shared" si="3"/>
        <v>#REF!</v>
      </c>
      <c r="D13" s="73" t="e">
        <f t="shared" si="4"/>
        <v>#REF!</v>
      </c>
      <c r="E13" s="73" t="e">
        <f t="shared" si="0"/>
        <v>#REF!</v>
      </c>
      <c r="F13" s="73" t="e">
        <f t="shared" si="1"/>
        <v>#REF!</v>
      </c>
      <c r="G13" t="e">
        <f t="shared" si="2"/>
        <v>#REF!</v>
      </c>
    </row>
    <row r="14" spans="1:10" ht="86.4" x14ac:dyDescent="0.3">
      <c r="A14" s="54" t="s">
        <v>335</v>
      </c>
      <c r="B14" s="274" t="s">
        <v>330</v>
      </c>
      <c r="C14" s="277" t="e">
        <f t="shared" si="3"/>
        <v>#REF!</v>
      </c>
      <c r="D14" s="73" t="e">
        <f t="shared" si="4"/>
        <v>#REF!</v>
      </c>
      <c r="E14" s="73" t="e">
        <f t="shared" si="0"/>
        <v>#REF!</v>
      </c>
      <c r="F14" s="73" t="e">
        <f t="shared" si="1"/>
        <v>#REF!</v>
      </c>
      <c r="G14" t="e">
        <f t="shared" si="2"/>
        <v>#REF!</v>
      </c>
    </row>
    <row r="15" spans="1:10" ht="86.4" x14ac:dyDescent="0.3">
      <c r="A15" s="54" t="s">
        <v>336</v>
      </c>
      <c r="B15" s="274" t="s">
        <v>332</v>
      </c>
      <c r="C15" s="277" t="e">
        <f t="shared" si="3"/>
        <v>#REF!</v>
      </c>
      <c r="D15" s="73" t="e">
        <f t="shared" si="4"/>
        <v>#REF!</v>
      </c>
      <c r="E15" s="73" t="e">
        <f t="shared" si="0"/>
        <v>#REF!</v>
      </c>
      <c r="F15" s="73" t="e">
        <f t="shared" si="1"/>
        <v>#REF!</v>
      </c>
      <c r="G15" t="e">
        <f t="shared" si="2"/>
        <v>#REF!</v>
      </c>
    </row>
    <row r="16" spans="1:10" ht="72" x14ac:dyDescent="0.3">
      <c r="A16" s="54" t="s">
        <v>337</v>
      </c>
      <c r="B16" s="274" t="s">
        <v>330</v>
      </c>
      <c r="C16" s="277" t="e">
        <f t="shared" si="3"/>
        <v>#REF!</v>
      </c>
      <c r="D16" s="73" t="e">
        <f t="shared" si="4"/>
        <v>#REF!</v>
      </c>
      <c r="E16" s="73" t="e">
        <f t="shared" si="0"/>
        <v>#REF!</v>
      </c>
      <c r="F16" s="73" t="e">
        <f t="shared" si="1"/>
        <v>#REF!</v>
      </c>
      <c r="G16" t="e">
        <f t="shared" si="2"/>
        <v>#REF!</v>
      </c>
    </row>
    <row r="17" spans="1:9" ht="72" x14ac:dyDescent="0.3">
      <c r="A17" s="54" t="s">
        <v>338</v>
      </c>
      <c r="B17" s="274" t="s">
        <v>332</v>
      </c>
      <c r="C17" s="277" t="e">
        <f t="shared" si="3"/>
        <v>#REF!</v>
      </c>
      <c r="D17" s="73" t="e">
        <f t="shared" si="4"/>
        <v>#REF!</v>
      </c>
      <c r="E17" s="73" t="e">
        <f t="shared" si="0"/>
        <v>#REF!</v>
      </c>
      <c r="F17" s="73" t="e">
        <f t="shared" si="1"/>
        <v>#REF!</v>
      </c>
      <c r="G17" t="e">
        <f t="shared" si="2"/>
        <v>#REF!</v>
      </c>
    </row>
    <row r="18" spans="1:9" ht="27.6" x14ac:dyDescent="0.3">
      <c r="A18" s="54" t="s">
        <v>339</v>
      </c>
      <c r="B18" s="274" t="s">
        <v>330</v>
      </c>
      <c r="C18" s="277" t="e">
        <f t="shared" si="3"/>
        <v>#REF!</v>
      </c>
      <c r="D18" s="73" t="e">
        <f t="shared" si="4"/>
        <v>#REF!</v>
      </c>
      <c r="E18" s="73" t="e">
        <f t="shared" si="0"/>
        <v>#REF!</v>
      </c>
      <c r="F18" s="73" t="e">
        <f t="shared" si="1"/>
        <v>#REF!</v>
      </c>
      <c r="G18" t="e">
        <f t="shared" si="2"/>
        <v>#REF!</v>
      </c>
    </row>
    <row r="19" spans="1:9" ht="72" x14ac:dyDescent="0.3">
      <c r="A19" s="54" t="s">
        <v>340</v>
      </c>
      <c r="B19" s="274" t="s">
        <v>341</v>
      </c>
      <c r="C19" s="277" t="e">
        <f t="shared" si="3"/>
        <v>#REF!</v>
      </c>
      <c r="D19" s="73" t="e">
        <f t="shared" si="4"/>
        <v>#REF!</v>
      </c>
      <c r="E19" s="73" t="e">
        <f t="shared" si="0"/>
        <v>#REF!</v>
      </c>
      <c r="F19" s="73" t="e">
        <f t="shared" si="1"/>
        <v>#REF!</v>
      </c>
      <c r="G19" t="e">
        <f t="shared" si="2"/>
        <v>#REF!</v>
      </c>
    </row>
    <row r="20" spans="1:9" ht="72" x14ac:dyDescent="0.3">
      <c r="A20" s="54" t="s">
        <v>342</v>
      </c>
      <c r="B20" s="274" t="s">
        <v>341</v>
      </c>
      <c r="C20" s="277" t="e">
        <f t="shared" si="3"/>
        <v>#REF!</v>
      </c>
      <c r="D20" s="73" t="e">
        <f t="shared" si="4"/>
        <v>#REF!</v>
      </c>
      <c r="E20" s="73" t="e">
        <f t="shared" si="0"/>
        <v>#REF!</v>
      </c>
      <c r="F20" s="73" t="e">
        <f t="shared" si="1"/>
        <v>#REF!</v>
      </c>
      <c r="G20" t="e">
        <f t="shared" si="2"/>
        <v>#REF!</v>
      </c>
    </row>
    <row r="21" spans="1:9" x14ac:dyDescent="0.3">
      <c r="A21" s="54" t="s">
        <v>343</v>
      </c>
      <c r="B21" s="55" t="s">
        <v>341</v>
      </c>
      <c r="C21" s="277" t="e">
        <f t="shared" si="3"/>
        <v>#REF!</v>
      </c>
      <c r="D21" s="73" t="e">
        <f t="shared" si="4"/>
        <v>#REF!</v>
      </c>
      <c r="E21" s="73" t="e">
        <f t="shared" si="0"/>
        <v>#REF!</v>
      </c>
      <c r="F21" s="73" t="e">
        <f t="shared" si="1"/>
        <v>#REF!</v>
      </c>
      <c r="G21" t="e">
        <f t="shared" si="2"/>
        <v>#REF!</v>
      </c>
    </row>
    <row r="22" spans="1:9" ht="28.8" x14ac:dyDescent="0.3">
      <c r="A22" s="54" t="s">
        <v>344</v>
      </c>
      <c r="B22" s="55" t="s">
        <v>341</v>
      </c>
      <c r="C22" s="277" t="e">
        <f t="shared" si="3"/>
        <v>#REF!</v>
      </c>
      <c r="D22" s="73" t="e">
        <f t="shared" si="4"/>
        <v>#REF!</v>
      </c>
      <c r="E22" s="73" t="e">
        <f t="shared" si="0"/>
        <v>#REF!</v>
      </c>
      <c r="F22" s="73" t="e">
        <f t="shared" si="1"/>
        <v>#REF!</v>
      </c>
      <c r="G22" t="e">
        <f t="shared" si="2"/>
        <v>#REF!</v>
      </c>
    </row>
    <row r="23" spans="1:9" ht="28.8" x14ac:dyDescent="0.3">
      <c r="A23" s="54" t="s">
        <v>345</v>
      </c>
      <c r="B23" s="55" t="s">
        <v>346</v>
      </c>
      <c r="C23" s="277" t="e">
        <f t="shared" si="3"/>
        <v>#REF!</v>
      </c>
      <c r="D23" s="73" t="e">
        <f t="shared" si="4"/>
        <v>#REF!</v>
      </c>
      <c r="E23" s="73" t="e">
        <f t="shared" ref="E23:E25" si="5">C23*D23</f>
        <v>#REF!</v>
      </c>
      <c r="F23" s="73" t="e">
        <f t="shared" ref="F23:F25" si="6">E23*3</f>
        <v>#REF!</v>
      </c>
      <c r="G23" t="e">
        <f t="shared" si="2"/>
        <v>#REF!</v>
      </c>
    </row>
    <row r="24" spans="1:9" ht="56.25" customHeight="1" x14ac:dyDescent="0.3">
      <c r="A24" s="54" t="s">
        <v>347</v>
      </c>
      <c r="B24" s="54" t="s">
        <v>341</v>
      </c>
      <c r="C24" s="54" t="e">
        <f t="shared" si="3"/>
        <v>#REF!</v>
      </c>
      <c r="D24" s="276" t="e">
        <f t="shared" si="4"/>
        <v>#REF!</v>
      </c>
      <c r="E24" s="54" t="e">
        <f t="shared" si="5"/>
        <v>#REF!</v>
      </c>
      <c r="F24" s="54" t="e">
        <f t="shared" si="6"/>
        <v>#REF!</v>
      </c>
      <c r="G24" t="e">
        <f t="shared" si="2"/>
        <v>#REF!</v>
      </c>
    </row>
    <row r="25" spans="1:9" ht="56.25" customHeight="1" x14ac:dyDescent="0.3">
      <c r="A25" s="54" t="s">
        <v>348</v>
      </c>
      <c r="B25" s="54" t="s">
        <v>341</v>
      </c>
      <c r="C25" s="54" t="e">
        <f t="shared" si="3"/>
        <v>#REF!</v>
      </c>
      <c r="D25" s="276" t="e">
        <f t="shared" si="4"/>
        <v>#REF!</v>
      </c>
      <c r="E25" s="54" t="e">
        <f t="shared" si="5"/>
        <v>#REF!</v>
      </c>
      <c r="F25" s="54" t="e">
        <f t="shared" si="6"/>
        <v>#REF!</v>
      </c>
      <c r="G25" t="e">
        <f t="shared" si="2"/>
        <v>#REF!</v>
      </c>
    </row>
    <row r="26" spans="1:9" x14ac:dyDescent="0.3">
      <c r="F26" s="73" t="e">
        <f>SUM(F4:F25)</f>
        <v>#REF!</v>
      </c>
      <c r="G26" t="e">
        <f>SUM(G4:G25)</f>
        <v>#REF!</v>
      </c>
      <c r="I26" s="73"/>
    </row>
  </sheetData>
  <pageMargins left="0.7" right="0.7" top="0.75" bottom="0.75" header="0.3" footer="0.3"/>
  <pageSetup paperSize="9" firstPageNumber="2147483648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F80"/>
  <sheetViews>
    <sheetView topLeftCell="A73" workbookViewId="0">
      <selection activeCell="D9" sqref="D9"/>
    </sheetView>
  </sheetViews>
  <sheetFormatPr defaultRowHeight="14.4" x14ac:dyDescent="0.3"/>
  <cols>
    <col min="1" max="1" width="16" customWidth="1"/>
    <col min="2" max="2" width="33.6640625" customWidth="1"/>
    <col min="3" max="3" width="21.5546875" customWidth="1"/>
    <col min="4" max="4" width="24" customWidth="1"/>
    <col min="5" max="5" width="25.88671875" customWidth="1"/>
    <col min="6" max="6" width="21.6640625" customWidth="1"/>
    <col min="7" max="7" width="21.44140625" customWidth="1"/>
    <col min="8" max="8" width="18.5546875" customWidth="1"/>
    <col min="9" max="9" width="13.6640625" customWidth="1"/>
  </cols>
  <sheetData>
    <row r="1" spans="1:3" x14ac:dyDescent="0.3">
      <c r="A1" t="s">
        <v>407</v>
      </c>
      <c r="B1" s="289" t="s">
        <v>417</v>
      </c>
      <c r="C1" s="288"/>
    </row>
    <row r="2" spans="1:3" ht="16.8" x14ac:dyDescent="0.4">
      <c r="A2" t="s">
        <v>408</v>
      </c>
      <c r="B2" s="287" t="s">
        <v>418</v>
      </c>
      <c r="C2" s="354" t="s">
        <v>440</v>
      </c>
    </row>
    <row r="4" spans="1:3" x14ac:dyDescent="0.3">
      <c r="A4" t="s">
        <v>409</v>
      </c>
      <c r="C4" s="332">
        <v>2</v>
      </c>
    </row>
    <row r="6" spans="1:3" x14ac:dyDescent="0.3">
      <c r="A6" t="s">
        <v>518</v>
      </c>
      <c r="C6" s="358">
        <v>7794.17</v>
      </c>
    </row>
    <row r="7" spans="1:3" x14ac:dyDescent="0.3">
      <c r="A7" t="s">
        <v>522</v>
      </c>
      <c r="C7" s="332">
        <v>3.6</v>
      </c>
    </row>
    <row r="8" spans="1:3" x14ac:dyDescent="0.3">
      <c r="A8" t="s">
        <v>523</v>
      </c>
      <c r="C8" s="332">
        <v>550</v>
      </c>
    </row>
    <row r="9" spans="1:3" ht="31.5" customHeight="1" x14ac:dyDescent="0.3">
      <c r="A9" s="651" t="s">
        <v>557</v>
      </c>
      <c r="B9" s="651"/>
      <c r="C9" s="351">
        <v>0.03</v>
      </c>
    </row>
    <row r="10" spans="1:3" ht="30" customHeight="1" x14ac:dyDescent="0.3">
      <c r="A10" s="651" t="s">
        <v>426</v>
      </c>
      <c r="B10" s="651"/>
      <c r="C10" s="332">
        <v>0.21</v>
      </c>
    </row>
    <row r="11" spans="1:3" x14ac:dyDescent="0.3">
      <c r="A11" s="287" t="s">
        <v>427</v>
      </c>
      <c r="C11" s="332">
        <v>0.9</v>
      </c>
    </row>
    <row r="12" spans="1:3" ht="29.25" customHeight="1" x14ac:dyDescent="0.3">
      <c r="A12" s="651" t="s">
        <v>428</v>
      </c>
      <c r="B12" s="651"/>
      <c r="C12" s="332">
        <v>0.4</v>
      </c>
    </row>
    <row r="14" spans="1:3" x14ac:dyDescent="0.3">
      <c r="A14" s="2" t="s">
        <v>0</v>
      </c>
      <c r="B14" s="2"/>
      <c r="C14" s="2"/>
    </row>
    <row r="15" spans="1:3" x14ac:dyDescent="0.3">
      <c r="A15" s="334" t="s">
        <v>442</v>
      </c>
      <c r="C15" s="332">
        <v>14</v>
      </c>
    </row>
    <row r="16" spans="1:3" x14ac:dyDescent="0.3">
      <c r="A16" s="287" t="s">
        <v>419</v>
      </c>
      <c r="C16" s="332">
        <v>15</v>
      </c>
    </row>
    <row r="17" spans="1:3" ht="30" customHeight="1" x14ac:dyDescent="0.3">
      <c r="A17" s="651" t="s">
        <v>420</v>
      </c>
      <c r="B17" s="651"/>
      <c r="C17" s="332">
        <v>30</v>
      </c>
    </row>
    <row r="18" spans="1:3" x14ac:dyDescent="0.3">
      <c r="A18" t="s">
        <v>517</v>
      </c>
      <c r="C18" s="332">
        <v>450</v>
      </c>
    </row>
    <row r="19" spans="1:3" x14ac:dyDescent="0.3">
      <c r="A19" s="2" t="s">
        <v>1</v>
      </c>
      <c r="C19" s="332"/>
    </row>
    <row r="20" spans="1:3" x14ac:dyDescent="0.3">
      <c r="A20" t="s">
        <v>577</v>
      </c>
      <c r="C20" s="564">
        <v>0.2</v>
      </c>
    </row>
    <row r="21" spans="1:3" x14ac:dyDescent="0.3">
      <c r="A21" s="287" t="s">
        <v>410</v>
      </c>
      <c r="C21" s="564">
        <v>2.1999999999999999E-2</v>
      </c>
    </row>
    <row r="22" spans="1:3" x14ac:dyDescent="0.3">
      <c r="A22" s="287" t="s">
        <v>411</v>
      </c>
      <c r="C22" s="351">
        <v>0.13</v>
      </c>
    </row>
    <row r="23" spans="1:3" x14ac:dyDescent="0.3">
      <c r="A23" s="287" t="s">
        <v>412</v>
      </c>
      <c r="C23" s="351">
        <v>0.3</v>
      </c>
    </row>
    <row r="24" spans="1:3" x14ac:dyDescent="0.3">
      <c r="A24" s="287" t="s">
        <v>413</v>
      </c>
      <c r="C24" s="564">
        <v>3.0000000000000001E-3</v>
      </c>
    </row>
    <row r="25" spans="1:3" x14ac:dyDescent="0.3">
      <c r="A25" s="287" t="s">
        <v>414</v>
      </c>
      <c r="C25" s="351">
        <v>0.22</v>
      </c>
    </row>
    <row r="26" spans="1:3" ht="30" customHeight="1" x14ac:dyDescent="0.3">
      <c r="A26" s="651" t="s">
        <v>415</v>
      </c>
      <c r="B26" s="651"/>
      <c r="C26" s="356">
        <v>2.9000000000000001E-2</v>
      </c>
    </row>
    <row r="27" spans="1:3" ht="30.75" customHeight="1" x14ac:dyDescent="0.3">
      <c r="A27" s="651" t="s">
        <v>416</v>
      </c>
      <c r="B27" s="651"/>
      <c r="C27" s="356">
        <v>5.0999999999999997E-2</v>
      </c>
    </row>
    <row r="28" spans="1:3" x14ac:dyDescent="0.3">
      <c r="A28" s="289" t="s">
        <v>423</v>
      </c>
    </row>
    <row r="29" spans="1:3" ht="27.75" customHeight="1" x14ac:dyDescent="0.3">
      <c r="A29" s="651" t="s">
        <v>510</v>
      </c>
      <c r="B29" s="651"/>
      <c r="C29" s="356">
        <v>1E-4</v>
      </c>
    </row>
    <row r="30" spans="1:3" x14ac:dyDescent="0.3">
      <c r="A30" t="s">
        <v>2</v>
      </c>
      <c r="C30" s="358">
        <v>30263</v>
      </c>
    </row>
    <row r="31" spans="1:3" x14ac:dyDescent="0.3">
      <c r="A31" s="535" t="s">
        <v>559</v>
      </c>
      <c r="C31" s="358">
        <v>16661.597280000002</v>
      </c>
    </row>
    <row r="32" spans="1:3" x14ac:dyDescent="0.3">
      <c r="A32" s="509" t="s">
        <v>537</v>
      </c>
      <c r="C32" s="332">
        <v>0</v>
      </c>
    </row>
    <row r="34" spans="1:5" x14ac:dyDescent="0.3">
      <c r="B34" s="287"/>
      <c r="C34" s="327"/>
    </row>
    <row r="35" spans="1:5" x14ac:dyDescent="0.3">
      <c r="A35" s="334" t="s">
        <v>441</v>
      </c>
      <c r="C35" s="351">
        <v>0.01</v>
      </c>
    </row>
    <row r="37" spans="1:5" x14ac:dyDescent="0.3">
      <c r="A37" s="287" t="s">
        <v>421</v>
      </c>
      <c r="C37" s="351">
        <v>7.0000000000000007E-2</v>
      </c>
    </row>
    <row r="38" spans="1:5" x14ac:dyDescent="0.3">
      <c r="A38" s="563" t="s">
        <v>565</v>
      </c>
      <c r="C38" s="351">
        <v>0.06</v>
      </c>
      <c r="D38" t="s">
        <v>566</v>
      </c>
      <c r="E38" s="564">
        <f>C38/4</f>
        <v>1.4999999999999999E-2</v>
      </c>
    </row>
    <row r="39" spans="1:5" x14ac:dyDescent="0.3">
      <c r="A39" s="288" t="s">
        <v>4</v>
      </c>
      <c r="B39" s="288"/>
      <c r="C39" s="288"/>
    </row>
    <row r="40" spans="1:5" x14ac:dyDescent="0.3">
      <c r="A40" s="287" t="s">
        <v>403</v>
      </c>
      <c r="C40" s="4">
        <v>0.06</v>
      </c>
      <c r="D40" t="s">
        <v>404</v>
      </c>
    </row>
    <row r="41" spans="1:5" x14ac:dyDescent="0.3">
      <c r="A41" s="287" t="s">
        <v>406</v>
      </c>
      <c r="C41" s="4">
        <v>7.4999999999999997E-2</v>
      </c>
      <c r="D41" t="s">
        <v>405</v>
      </c>
    </row>
    <row r="43" spans="1:5" ht="29.25" customHeight="1" x14ac:dyDescent="0.3">
      <c r="A43" s="651" t="s">
        <v>6</v>
      </c>
      <c r="B43" s="652"/>
      <c r="C43" s="351">
        <v>0.15</v>
      </c>
    </row>
    <row r="44" spans="1:5" x14ac:dyDescent="0.3">
      <c r="A44" t="s">
        <v>7</v>
      </c>
      <c r="C44" s="357">
        <f>(1+C41)/(1+C40)-1+C43</f>
        <v>0.16415094339622635</v>
      </c>
    </row>
    <row r="45" spans="1:5" x14ac:dyDescent="0.3">
      <c r="A45" t="s">
        <v>5</v>
      </c>
    </row>
    <row r="52" spans="1:6" x14ac:dyDescent="0.3">
      <c r="A52" s="287" t="s">
        <v>422</v>
      </c>
      <c r="C52" s="351">
        <v>0.15</v>
      </c>
    </row>
    <row r="55" spans="1:6" ht="17.25" customHeight="1" x14ac:dyDescent="0.3">
      <c r="A55" s="288" t="s">
        <v>429</v>
      </c>
      <c r="B55" s="288"/>
      <c r="C55" s="353"/>
      <c r="D55" s="55"/>
      <c r="F55" s="94"/>
    </row>
    <row r="56" spans="1:6" x14ac:dyDescent="0.3">
      <c r="A56" s="335" t="s">
        <v>430</v>
      </c>
      <c r="C56" s="55"/>
      <c r="D56" s="55"/>
      <c r="F56" s="94"/>
    </row>
    <row r="57" spans="1:6" x14ac:dyDescent="0.3">
      <c r="A57" s="655" t="s">
        <v>519</v>
      </c>
      <c r="B57" s="652" t="s">
        <v>64</v>
      </c>
      <c r="C57" s="331">
        <v>5.5169999999999997E-2</v>
      </c>
      <c r="D57" s="328"/>
    </row>
    <row r="58" spans="1:6" x14ac:dyDescent="0.3">
      <c r="A58" s="655" t="s">
        <v>533</v>
      </c>
      <c r="B58" s="652" t="s">
        <v>64</v>
      </c>
      <c r="C58" s="508">
        <v>0</v>
      </c>
      <c r="D58" s="329"/>
    </row>
    <row r="59" spans="1:6" x14ac:dyDescent="0.3">
      <c r="A59" s="655" t="s">
        <v>520</v>
      </c>
      <c r="B59" s="652" t="s">
        <v>64</v>
      </c>
      <c r="C59" s="331">
        <v>4.2610000000000002E-2</v>
      </c>
      <c r="D59" s="329"/>
    </row>
    <row r="60" spans="1:6" x14ac:dyDescent="0.3">
      <c r="A60" s="651" t="s">
        <v>431</v>
      </c>
      <c r="B60" s="652" t="s">
        <v>64</v>
      </c>
      <c r="C60" s="508">
        <v>0</v>
      </c>
      <c r="D60" s="330"/>
    </row>
    <row r="61" spans="1:6" x14ac:dyDescent="0.3">
      <c r="A61" s="651" t="s">
        <v>432</v>
      </c>
      <c r="B61" s="652" t="s">
        <v>64</v>
      </c>
      <c r="C61" s="508">
        <v>0</v>
      </c>
      <c r="D61" s="330"/>
    </row>
    <row r="62" spans="1:6" x14ac:dyDescent="0.3">
      <c r="A62" s="655" t="s">
        <v>521</v>
      </c>
      <c r="B62" s="655"/>
      <c r="C62" s="331">
        <v>0.69098000000000004</v>
      </c>
      <c r="D62" s="330"/>
    </row>
    <row r="64" spans="1:6" x14ac:dyDescent="0.3">
      <c r="A64" s="352" t="s">
        <v>439</v>
      </c>
    </row>
    <row r="65" spans="1:6" x14ac:dyDescent="0.3">
      <c r="A65" s="656" t="s">
        <v>437</v>
      </c>
      <c r="B65" s="657"/>
      <c r="C65" s="351">
        <v>0.05</v>
      </c>
    </row>
    <row r="66" spans="1:6" x14ac:dyDescent="0.3">
      <c r="A66" s="653" t="s">
        <v>545</v>
      </c>
      <c r="B66" s="654"/>
      <c r="C66" s="355">
        <v>0.4</v>
      </c>
      <c r="E66" s="509"/>
    </row>
    <row r="67" spans="1:6" ht="60" customHeight="1" x14ac:dyDescent="0.3">
      <c r="A67" s="658" t="s">
        <v>558</v>
      </c>
      <c r="B67" s="654"/>
      <c r="C67" s="351">
        <v>0.03</v>
      </c>
    </row>
    <row r="68" spans="1:6" ht="15" customHeight="1" x14ac:dyDescent="0.3">
      <c r="A68" s="654" t="s">
        <v>264</v>
      </c>
      <c r="B68" s="654"/>
      <c r="C68" s="351">
        <v>0.02</v>
      </c>
    </row>
    <row r="69" spans="1:6" ht="30.75" customHeight="1" x14ac:dyDescent="0.3">
      <c r="A69" s="654" t="s">
        <v>438</v>
      </c>
      <c r="B69" s="654"/>
      <c r="C69" s="351">
        <v>0.1</v>
      </c>
    </row>
    <row r="70" spans="1:6" x14ac:dyDescent="0.3">
      <c r="A70" t="s">
        <v>3</v>
      </c>
      <c r="C70" s="355">
        <v>7.5</v>
      </c>
    </row>
    <row r="71" spans="1:6" x14ac:dyDescent="0.3">
      <c r="A71" s="651" t="s">
        <v>434</v>
      </c>
      <c r="B71" s="651"/>
      <c r="C71" s="355">
        <v>1.1000000000000001</v>
      </c>
    </row>
    <row r="72" spans="1:6" x14ac:dyDescent="0.3">
      <c r="A72" s="509" t="s">
        <v>551</v>
      </c>
      <c r="C72" s="355">
        <v>20</v>
      </c>
    </row>
    <row r="73" spans="1:6" x14ac:dyDescent="0.3">
      <c r="A73" s="509" t="s">
        <v>540</v>
      </c>
      <c r="C73" s="355">
        <v>800</v>
      </c>
    </row>
    <row r="74" spans="1:6" x14ac:dyDescent="0.3">
      <c r="A74" s="334" t="s">
        <v>493</v>
      </c>
      <c r="C74" s="355">
        <v>2</v>
      </c>
    </row>
    <row r="75" spans="1:6" x14ac:dyDescent="0.3">
      <c r="A75" s="509" t="s">
        <v>516</v>
      </c>
      <c r="C75" s="355">
        <v>2000</v>
      </c>
      <c r="D75" s="509" t="s">
        <v>538</v>
      </c>
      <c r="E75" s="355">
        <v>4</v>
      </c>
      <c r="F75" s="509" t="s">
        <v>539</v>
      </c>
    </row>
    <row r="76" spans="1:6" x14ac:dyDescent="0.3">
      <c r="A76" s="535" t="s">
        <v>554</v>
      </c>
      <c r="C76" s="355">
        <v>6.0000000000000001E-3</v>
      </c>
    </row>
    <row r="77" spans="1:6" x14ac:dyDescent="0.3">
      <c r="A77" s="510" t="s">
        <v>524</v>
      </c>
    </row>
    <row r="78" spans="1:6" ht="29.25" customHeight="1" x14ac:dyDescent="0.3">
      <c r="A78" s="653" t="s">
        <v>525</v>
      </c>
      <c r="B78" s="654"/>
      <c r="C78" s="355">
        <f>7900+500</f>
        <v>8400</v>
      </c>
    </row>
    <row r="79" spans="1:6" x14ac:dyDescent="0.3">
      <c r="A79" s="509" t="s">
        <v>527</v>
      </c>
      <c r="C79" s="355">
        <v>1800</v>
      </c>
    </row>
    <row r="80" spans="1:6" x14ac:dyDescent="0.3">
      <c r="A80" s="650" t="s">
        <v>582</v>
      </c>
      <c r="C80" s="355">
        <v>38150</v>
      </c>
    </row>
  </sheetData>
  <mergeCells count="21">
    <mergeCell ref="A9:B9"/>
    <mergeCell ref="A10:B10"/>
    <mergeCell ref="A57:B57"/>
    <mergeCell ref="A58:B58"/>
    <mergeCell ref="A59:B59"/>
    <mergeCell ref="A60:B60"/>
    <mergeCell ref="A12:B12"/>
    <mergeCell ref="A17:B17"/>
    <mergeCell ref="A29:B29"/>
    <mergeCell ref="A78:B78"/>
    <mergeCell ref="A71:B71"/>
    <mergeCell ref="A26:B26"/>
    <mergeCell ref="A27:B27"/>
    <mergeCell ref="A43:B43"/>
    <mergeCell ref="A61:B61"/>
    <mergeCell ref="A62:B62"/>
    <mergeCell ref="A65:B65"/>
    <mergeCell ref="A67:B67"/>
    <mergeCell ref="A68:B68"/>
    <mergeCell ref="A69:B69"/>
    <mergeCell ref="A66:B66"/>
  </mergeCells>
  <pageMargins left="0.7" right="0.7" top="0.75" bottom="0.75" header="0.3" footer="0.3"/>
  <pageSetup paperSize="9" firstPageNumber="214748364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5"/>
  <dimension ref="A1:J26"/>
  <sheetViews>
    <sheetView zoomScale="70" workbookViewId="0">
      <pane xSplit="1" topLeftCell="B1" activePane="topRight" state="frozen"/>
      <selection pane="topRight"/>
    </sheetView>
  </sheetViews>
  <sheetFormatPr defaultRowHeight="14.4" x14ac:dyDescent="0.3"/>
  <cols>
    <col min="1" max="1" width="26.5546875" style="54" customWidth="1"/>
    <col min="2" max="2" width="11.88671875" style="55" customWidth="1"/>
    <col min="3" max="3" width="13" style="56" customWidth="1"/>
    <col min="4" max="6" width="12.88671875" style="73" customWidth="1"/>
  </cols>
  <sheetData>
    <row r="1" spans="1:10" x14ac:dyDescent="0.3">
      <c r="A1" s="95"/>
      <c r="B1" s="95"/>
      <c r="C1" s="95"/>
      <c r="D1" s="270"/>
      <c r="E1" s="270"/>
      <c r="F1" s="270"/>
      <c r="G1" s="271"/>
      <c r="H1" s="271"/>
      <c r="I1" s="271"/>
      <c r="J1" s="271"/>
    </row>
    <row r="2" spans="1:10" x14ac:dyDescent="0.3">
      <c r="A2" s="95"/>
      <c r="B2" s="95"/>
      <c r="C2" s="95"/>
      <c r="D2" s="272">
        <v>0.3</v>
      </c>
      <c r="E2" s="272"/>
      <c r="F2" s="272"/>
      <c r="G2" s="273"/>
      <c r="H2" s="273"/>
      <c r="I2" s="273"/>
      <c r="J2" s="273"/>
    </row>
    <row r="3" spans="1:10" s="64" customFormat="1" ht="55.2" x14ac:dyDescent="0.3">
      <c r="A3" s="183" t="s">
        <v>80</v>
      </c>
      <c r="B3" s="274" t="s">
        <v>49</v>
      </c>
      <c r="C3" s="212" t="s">
        <v>313</v>
      </c>
      <c r="D3" s="275" t="s">
        <v>314</v>
      </c>
      <c r="E3" s="275" t="s">
        <v>315</v>
      </c>
      <c r="F3" s="275" t="s">
        <v>316</v>
      </c>
      <c r="G3" s="275" t="s">
        <v>317</v>
      </c>
    </row>
    <row r="4" spans="1:10" x14ac:dyDescent="0.3">
      <c r="A4" s="183" t="s">
        <v>318</v>
      </c>
      <c r="B4" s="274" t="s">
        <v>319</v>
      </c>
      <c r="C4" s="277">
        <f>'объем работ 100% загр'!F4</f>
        <v>19.656692999999997</v>
      </c>
      <c r="D4" s="73">
        <f>'объем работ 100% загр'!S4</f>
        <v>1</v>
      </c>
      <c r="E4" s="73">
        <f t="shared" ref="E4:E23" si="0">C4*D4</f>
        <v>19.656692999999997</v>
      </c>
      <c r="F4" s="73">
        <f t="shared" ref="F4:F23" si="1">E4*3</f>
        <v>58.970078999999991</v>
      </c>
      <c r="G4">
        <f t="shared" ref="G4:G23" si="2">E4*12</f>
        <v>235.88031599999997</v>
      </c>
    </row>
    <row r="5" spans="1:10" ht="124.2" x14ac:dyDescent="0.3">
      <c r="A5" s="183" t="s">
        <v>320</v>
      </c>
      <c r="B5" s="274" t="s">
        <v>321</v>
      </c>
      <c r="C5" s="277">
        <f>'объем работ 100% загр'!F5</f>
        <v>0</v>
      </c>
      <c r="D5" s="73">
        <f>'объем работ 100% загр'!S5</f>
        <v>0</v>
      </c>
      <c r="E5" s="73">
        <f t="shared" si="0"/>
        <v>0</v>
      </c>
      <c r="F5" s="73">
        <f t="shared" si="1"/>
        <v>0</v>
      </c>
      <c r="G5">
        <f t="shared" si="2"/>
        <v>0</v>
      </c>
    </row>
    <row r="6" spans="1:10" ht="123.75" customHeight="1" x14ac:dyDescent="0.3">
      <c r="A6" s="183" t="s">
        <v>322</v>
      </c>
      <c r="B6" s="274" t="s">
        <v>321</v>
      </c>
      <c r="C6" s="277">
        <f>'объем работ 100% загр'!F6</f>
        <v>0</v>
      </c>
      <c r="D6" s="73">
        <f>'объем работ 100% загр'!S6</f>
        <v>0</v>
      </c>
      <c r="E6" s="73">
        <f t="shared" si="0"/>
        <v>0</v>
      </c>
      <c r="F6" s="73">
        <f t="shared" si="1"/>
        <v>0</v>
      </c>
      <c r="G6">
        <f t="shared" si="2"/>
        <v>0</v>
      </c>
    </row>
    <row r="7" spans="1:10" ht="55.2" x14ac:dyDescent="0.3">
      <c r="A7" s="183" t="s">
        <v>323</v>
      </c>
      <c r="B7" s="274" t="s">
        <v>324</v>
      </c>
      <c r="C7" s="277" t="e">
        <f t="shared" ref="C7:C25" si="3">'объем работ 100% загр'!#REF!</f>
        <v>#REF!</v>
      </c>
      <c r="D7" s="73" t="e">
        <f t="shared" ref="D7:D25" si="4">'объем работ 100% загр'!#REF!</f>
        <v>#REF!</v>
      </c>
      <c r="E7" s="73" t="e">
        <f t="shared" si="0"/>
        <v>#REF!</v>
      </c>
      <c r="F7" s="73" t="e">
        <f t="shared" si="1"/>
        <v>#REF!</v>
      </c>
      <c r="G7" t="e">
        <f t="shared" si="2"/>
        <v>#REF!</v>
      </c>
    </row>
    <row r="8" spans="1:10" ht="27.6" x14ac:dyDescent="0.3">
      <c r="A8" s="183" t="s">
        <v>325</v>
      </c>
      <c r="B8" s="274" t="s">
        <v>326</v>
      </c>
      <c r="C8" s="277" t="e">
        <f t="shared" si="3"/>
        <v>#REF!</v>
      </c>
      <c r="D8" s="73" t="e">
        <f t="shared" si="4"/>
        <v>#REF!</v>
      </c>
      <c r="E8" s="73" t="e">
        <f t="shared" si="0"/>
        <v>#REF!</v>
      </c>
      <c r="F8" s="73" t="e">
        <f t="shared" si="1"/>
        <v>#REF!</v>
      </c>
      <c r="G8" t="e">
        <f t="shared" si="2"/>
        <v>#REF!</v>
      </c>
    </row>
    <row r="9" spans="1:10" ht="27.6" x14ac:dyDescent="0.3">
      <c r="A9" s="183" t="s">
        <v>327</v>
      </c>
      <c r="B9" s="274" t="s">
        <v>328</v>
      </c>
      <c r="C9" s="277" t="e">
        <f t="shared" si="3"/>
        <v>#REF!</v>
      </c>
      <c r="D9" s="73" t="e">
        <f t="shared" si="4"/>
        <v>#REF!</v>
      </c>
      <c r="E9" s="73" t="e">
        <f t="shared" si="0"/>
        <v>#REF!</v>
      </c>
      <c r="F9" s="73" t="e">
        <f t="shared" si="1"/>
        <v>#REF!</v>
      </c>
      <c r="G9" t="e">
        <f t="shared" si="2"/>
        <v>#REF!</v>
      </c>
    </row>
    <row r="10" spans="1:10" ht="69" x14ac:dyDescent="0.3">
      <c r="A10" s="183" t="s">
        <v>329</v>
      </c>
      <c r="B10" s="274" t="s">
        <v>330</v>
      </c>
      <c r="C10" s="277" t="e">
        <f t="shared" si="3"/>
        <v>#REF!</v>
      </c>
      <c r="D10" s="73" t="e">
        <f t="shared" si="4"/>
        <v>#REF!</v>
      </c>
      <c r="E10" s="73" t="e">
        <f t="shared" si="0"/>
        <v>#REF!</v>
      </c>
      <c r="F10" s="73" t="e">
        <f t="shared" si="1"/>
        <v>#REF!</v>
      </c>
      <c r="G10" t="e">
        <f t="shared" si="2"/>
        <v>#REF!</v>
      </c>
    </row>
    <row r="11" spans="1:10" ht="69" x14ac:dyDescent="0.3">
      <c r="A11" s="183" t="s">
        <v>331</v>
      </c>
      <c r="B11" s="274" t="s">
        <v>332</v>
      </c>
      <c r="C11" s="277" t="e">
        <f t="shared" si="3"/>
        <v>#REF!</v>
      </c>
      <c r="D11" s="73" t="e">
        <f t="shared" si="4"/>
        <v>#REF!</v>
      </c>
      <c r="E11" s="73" t="e">
        <f t="shared" si="0"/>
        <v>#REF!</v>
      </c>
      <c r="F11" s="73" t="e">
        <f t="shared" si="1"/>
        <v>#REF!</v>
      </c>
      <c r="G11" t="e">
        <f t="shared" si="2"/>
        <v>#REF!</v>
      </c>
    </row>
    <row r="12" spans="1:10" ht="72" x14ac:dyDescent="0.3">
      <c r="A12" s="54" t="s">
        <v>333</v>
      </c>
      <c r="B12" s="274" t="s">
        <v>330</v>
      </c>
      <c r="C12" s="277" t="e">
        <f t="shared" si="3"/>
        <v>#REF!</v>
      </c>
      <c r="D12" s="73" t="e">
        <f t="shared" si="4"/>
        <v>#REF!</v>
      </c>
      <c r="E12" s="73" t="e">
        <f t="shared" si="0"/>
        <v>#REF!</v>
      </c>
      <c r="F12" s="73" t="e">
        <f t="shared" si="1"/>
        <v>#REF!</v>
      </c>
      <c r="G12" t="e">
        <f t="shared" si="2"/>
        <v>#REF!</v>
      </c>
    </row>
    <row r="13" spans="1:10" ht="72" x14ac:dyDescent="0.3">
      <c r="A13" s="54" t="s">
        <v>334</v>
      </c>
      <c r="B13" s="274" t="s">
        <v>332</v>
      </c>
      <c r="C13" s="277" t="e">
        <f t="shared" si="3"/>
        <v>#REF!</v>
      </c>
      <c r="D13" s="73" t="e">
        <f t="shared" si="4"/>
        <v>#REF!</v>
      </c>
      <c r="E13" s="73" t="e">
        <f t="shared" si="0"/>
        <v>#REF!</v>
      </c>
      <c r="F13" s="73" t="e">
        <f t="shared" si="1"/>
        <v>#REF!</v>
      </c>
      <c r="G13" t="e">
        <f t="shared" si="2"/>
        <v>#REF!</v>
      </c>
    </row>
    <row r="14" spans="1:10" ht="86.4" x14ac:dyDescent="0.3">
      <c r="A14" s="54" t="s">
        <v>335</v>
      </c>
      <c r="B14" s="274" t="s">
        <v>330</v>
      </c>
      <c r="C14" s="277" t="e">
        <f t="shared" si="3"/>
        <v>#REF!</v>
      </c>
      <c r="D14" s="73" t="e">
        <f t="shared" si="4"/>
        <v>#REF!</v>
      </c>
      <c r="E14" s="73" t="e">
        <f t="shared" si="0"/>
        <v>#REF!</v>
      </c>
      <c r="F14" s="73" t="e">
        <f t="shared" si="1"/>
        <v>#REF!</v>
      </c>
      <c r="G14" t="e">
        <f t="shared" si="2"/>
        <v>#REF!</v>
      </c>
    </row>
    <row r="15" spans="1:10" ht="86.4" x14ac:dyDescent="0.3">
      <c r="A15" s="54" t="s">
        <v>336</v>
      </c>
      <c r="B15" s="274" t="s">
        <v>332</v>
      </c>
      <c r="C15" s="277" t="e">
        <f t="shared" si="3"/>
        <v>#REF!</v>
      </c>
      <c r="D15" s="73" t="e">
        <f t="shared" si="4"/>
        <v>#REF!</v>
      </c>
      <c r="E15" s="73" t="e">
        <f t="shared" si="0"/>
        <v>#REF!</v>
      </c>
      <c r="F15" s="73" t="e">
        <f t="shared" si="1"/>
        <v>#REF!</v>
      </c>
      <c r="G15" t="e">
        <f t="shared" si="2"/>
        <v>#REF!</v>
      </c>
    </row>
    <row r="16" spans="1:10" ht="72" x14ac:dyDescent="0.3">
      <c r="A16" s="54" t="s">
        <v>337</v>
      </c>
      <c r="B16" s="274" t="s">
        <v>330</v>
      </c>
      <c r="C16" s="277" t="e">
        <f t="shared" si="3"/>
        <v>#REF!</v>
      </c>
      <c r="D16" s="73" t="e">
        <f t="shared" si="4"/>
        <v>#REF!</v>
      </c>
      <c r="E16" s="73" t="e">
        <f t="shared" si="0"/>
        <v>#REF!</v>
      </c>
      <c r="F16" s="73" t="e">
        <f t="shared" si="1"/>
        <v>#REF!</v>
      </c>
      <c r="G16" t="e">
        <f t="shared" si="2"/>
        <v>#REF!</v>
      </c>
    </row>
    <row r="17" spans="1:9" ht="72" x14ac:dyDescent="0.3">
      <c r="A17" s="54" t="s">
        <v>338</v>
      </c>
      <c r="B17" s="274" t="s">
        <v>332</v>
      </c>
      <c r="C17" s="277" t="e">
        <f t="shared" si="3"/>
        <v>#REF!</v>
      </c>
      <c r="D17" s="73" t="e">
        <f t="shared" si="4"/>
        <v>#REF!</v>
      </c>
      <c r="E17" s="73" t="e">
        <f t="shared" si="0"/>
        <v>#REF!</v>
      </c>
      <c r="F17" s="73" t="e">
        <f t="shared" si="1"/>
        <v>#REF!</v>
      </c>
      <c r="G17" t="e">
        <f t="shared" si="2"/>
        <v>#REF!</v>
      </c>
    </row>
    <row r="18" spans="1:9" ht="27.6" x14ac:dyDescent="0.3">
      <c r="A18" s="54" t="s">
        <v>339</v>
      </c>
      <c r="B18" s="274" t="s">
        <v>330</v>
      </c>
      <c r="C18" s="277" t="e">
        <f t="shared" si="3"/>
        <v>#REF!</v>
      </c>
      <c r="D18" s="73" t="e">
        <f t="shared" si="4"/>
        <v>#REF!</v>
      </c>
      <c r="E18" s="73" t="e">
        <f t="shared" si="0"/>
        <v>#REF!</v>
      </c>
      <c r="F18" s="73" t="e">
        <f t="shared" si="1"/>
        <v>#REF!</v>
      </c>
      <c r="G18" t="e">
        <f t="shared" si="2"/>
        <v>#REF!</v>
      </c>
    </row>
    <row r="19" spans="1:9" ht="72" x14ac:dyDescent="0.3">
      <c r="A19" s="54" t="s">
        <v>340</v>
      </c>
      <c r="B19" s="274" t="s">
        <v>341</v>
      </c>
      <c r="C19" s="277" t="e">
        <f t="shared" si="3"/>
        <v>#REF!</v>
      </c>
      <c r="D19" s="73" t="e">
        <f t="shared" si="4"/>
        <v>#REF!</v>
      </c>
      <c r="E19" s="73" t="e">
        <f t="shared" si="0"/>
        <v>#REF!</v>
      </c>
      <c r="F19" s="73" t="e">
        <f t="shared" si="1"/>
        <v>#REF!</v>
      </c>
      <c r="G19" t="e">
        <f t="shared" si="2"/>
        <v>#REF!</v>
      </c>
    </row>
    <row r="20" spans="1:9" ht="72" x14ac:dyDescent="0.3">
      <c r="A20" s="54" t="s">
        <v>342</v>
      </c>
      <c r="B20" s="274" t="s">
        <v>341</v>
      </c>
      <c r="C20" s="277" t="e">
        <f t="shared" si="3"/>
        <v>#REF!</v>
      </c>
      <c r="D20" s="73" t="e">
        <f t="shared" si="4"/>
        <v>#REF!</v>
      </c>
      <c r="E20" s="73" t="e">
        <f t="shared" si="0"/>
        <v>#REF!</v>
      </c>
      <c r="F20" s="73" t="e">
        <f t="shared" si="1"/>
        <v>#REF!</v>
      </c>
      <c r="G20" t="e">
        <f t="shared" si="2"/>
        <v>#REF!</v>
      </c>
    </row>
    <row r="21" spans="1:9" x14ac:dyDescent="0.3">
      <c r="A21" s="54" t="s">
        <v>343</v>
      </c>
      <c r="B21" s="55" t="s">
        <v>341</v>
      </c>
      <c r="C21" s="277" t="e">
        <f t="shared" si="3"/>
        <v>#REF!</v>
      </c>
      <c r="D21" s="73" t="e">
        <f t="shared" si="4"/>
        <v>#REF!</v>
      </c>
      <c r="E21" s="73" t="e">
        <f t="shared" si="0"/>
        <v>#REF!</v>
      </c>
      <c r="F21" s="73" t="e">
        <f t="shared" si="1"/>
        <v>#REF!</v>
      </c>
      <c r="G21" t="e">
        <f t="shared" si="2"/>
        <v>#REF!</v>
      </c>
    </row>
    <row r="22" spans="1:9" ht="28.8" x14ac:dyDescent="0.3">
      <c r="A22" s="54" t="s">
        <v>344</v>
      </c>
      <c r="B22" s="55" t="s">
        <v>341</v>
      </c>
      <c r="C22" s="277" t="e">
        <f t="shared" si="3"/>
        <v>#REF!</v>
      </c>
      <c r="D22" s="73" t="e">
        <f t="shared" si="4"/>
        <v>#REF!</v>
      </c>
      <c r="E22" s="73" t="e">
        <f t="shared" si="0"/>
        <v>#REF!</v>
      </c>
      <c r="F22" s="73" t="e">
        <f t="shared" si="1"/>
        <v>#REF!</v>
      </c>
      <c r="G22" t="e">
        <f t="shared" si="2"/>
        <v>#REF!</v>
      </c>
    </row>
    <row r="23" spans="1:9" ht="56.25" customHeight="1" x14ac:dyDescent="0.3">
      <c r="A23" s="54" t="s">
        <v>345</v>
      </c>
      <c r="B23" s="55" t="s">
        <v>346</v>
      </c>
      <c r="C23" s="277" t="e">
        <f t="shared" si="3"/>
        <v>#REF!</v>
      </c>
      <c r="D23" s="73" t="e">
        <f t="shared" si="4"/>
        <v>#REF!</v>
      </c>
      <c r="E23" s="73" t="e">
        <f t="shared" si="0"/>
        <v>#REF!</v>
      </c>
      <c r="F23" s="73" t="e">
        <f t="shared" si="1"/>
        <v>#REF!</v>
      </c>
      <c r="G23" t="e">
        <f t="shared" si="2"/>
        <v>#REF!</v>
      </c>
    </row>
    <row r="24" spans="1:9" ht="56.25" customHeight="1" x14ac:dyDescent="0.3">
      <c r="A24" s="54" t="s">
        <v>347</v>
      </c>
      <c r="B24" s="54" t="s">
        <v>341</v>
      </c>
      <c r="C24" s="54" t="e">
        <f t="shared" si="3"/>
        <v>#REF!</v>
      </c>
      <c r="D24" s="276" t="e">
        <f t="shared" si="4"/>
        <v>#REF!</v>
      </c>
      <c r="E24" s="54" t="e">
        <f t="shared" ref="E24:E25" si="5">C24*D24</f>
        <v>#REF!</v>
      </c>
      <c r="F24" s="54" t="e">
        <f t="shared" ref="F24:F25" si="6">E24*3</f>
        <v>#REF!</v>
      </c>
      <c r="G24" s="54" t="e">
        <f t="shared" ref="G24:G25" si="7">E24*12</f>
        <v>#REF!</v>
      </c>
    </row>
    <row r="25" spans="1:9" ht="56.25" customHeight="1" x14ac:dyDescent="0.3">
      <c r="A25" s="54" t="s">
        <v>348</v>
      </c>
      <c r="B25" s="54" t="s">
        <v>341</v>
      </c>
      <c r="C25" s="54" t="e">
        <f t="shared" si="3"/>
        <v>#REF!</v>
      </c>
      <c r="D25" s="276" t="e">
        <f t="shared" si="4"/>
        <v>#REF!</v>
      </c>
      <c r="E25" s="54" t="e">
        <f t="shared" si="5"/>
        <v>#REF!</v>
      </c>
      <c r="F25" s="54" t="e">
        <f t="shared" si="6"/>
        <v>#REF!</v>
      </c>
      <c r="G25" s="54" t="e">
        <f t="shared" si="7"/>
        <v>#REF!</v>
      </c>
    </row>
    <row r="26" spans="1:9" x14ac:dyDescent="0.3">
      <c r="F26" s="73" t="e">
        <f>SUM(F4:F25)</f>
        <v>#REF!</v>
      </c>
      <c r="G26" t="e">
        <f>SUM(G4:G25)</f>
        <v>#REF!</v>
      </c>
      <c r="I26" s="73"/>
    </row>
  </sheetData>
  <pageMargins left="0.7" right="0.7" top="0.75" bottom="0.75" header="0.3" footer="0.3"/>
  <pageSetup paperSize="9" firstPageNumber="2147483648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6"/>
  <dimension ref="A1:J27"/>
  <sheetViews>
    <sheetView zoomScale="70" workbookViewId="0">
      <pane xSplit="1" topLeftCell="B1" activePane="topRight" state="frozen"/>
      <selection pane="topRight"/>
    </sheetView>
  </sheetViews>
  <sheetFormatPr defaultRowHeight="14.4" x14ac:dyDescent="0.3"/>
  <cols>
    <col min="1" max="1" width="26.5546875" style="54" customWidth="1"/>
    <col min="2" max="2" width="11.88671875" style="55" customWidth="1"/>
    <col min="3" max="3" width="13" style="56" customWidth="1"/>
    <col min="4" max="6" width="12.88671875" style="73" customWidth="1"/>
  </cols>
  <sheetData>
    <row r="1" spans="1:10" x14ac:dyDescent="0.3">
      <c r="A1" s="95"/>
      <c r="B1" s="95"/>
      <c r="C1" s="95"/>
      <c r="D1" s="270"/>
      <c r="E1" s="270"/>
      <c r="F1" s="270"/>
      <c r="G1" s="271"/>
      <c r="H1" s="271"/>
      <c r="I1" s="271"/>
      <c r="J1" s="271"/>
    </row>
    <row r="2" spans="1:10" x14ac:dyDescent="0.3">
      <c r="A2" s="95"/>
      <c r="B2" s="95"/>
      <c r="C2" s="95"/>
      <c r="D2" s="272">
        <v>0.3</v>
      </c>
      <c r="E2" s="272"/>
      <c r="F2" s="272"/>
      <c r="G2" s="273"/>
      <c r="H2" s="273"/>
      <c r="I2" s="273"/>
      <c r="J2" s="273"/>
    </row>
    <row r="3" spans="1:10" s="64" customFormat="1" ht="55.2" x14ac:dyDescent="0.3">
      <c r="A3" s="183" t="s">
        <v>80</v>
      </c>
      <c r="B3" s="274" t="s">
        <v>49</v>
      </c>
      <c r="C3" s="212" t="s">
        <v>313</v>
      </c>
      <c r="D3" s="275" t="s">
        <v>314</v>
      </c>
      <c r="E3" s="275" t="s">
        <v>315</v>
      </c>
      <c r="F3" s="275" t="s">
        <v>316</v>
      </c>
      <c r="G3" s="275" t="s">
        <v>317</v>
      </c>
    </row>
    <row r="4" spans="1:10" x14ac:dyDescent="0.3">
      <c r="A4" s="183" t="s">
        <v>318</v>
      </c>
      <c r="B4" s="274" t="s">
        <v>319</v>
      </c>
      <c r="C4" s="277">
        <f>'объем работ 100% загр'!G4</f>
        <v>19.951543394999995</v>
      </c>
      <c r="D4" s="73">
        <f>'объем работ 100% загр'!S4</f>
        <v>1</v>
      </c>
      <c r="E4" s="73">
        <f t="shared" ref="E4:E22" si="0">C4*D4</f>
        <v>19.951543394999995</v>
      </c>
      <c r="F4" s="73">
        <f t="shared" ref="F4:F22" si="1">E4*3</f>
        <v>59.854630184999984</v>
      </c>
      <c r="G4">
        <f t="shared" ref="G4:G22" si="2">E4*12</f>
        <v>239.41852073999993</v>
      </c>
    </row>
    <row r="5" spans="1:10" ht="124.2" x14ac:dyDescent="0.3">
      <c r="A5" s="183" t="s">
        <v>320</v>
      </c>
      <c r="B5" s="274" t="s">
        <v>321</v>
      </c>
      <c r="C5" s="277">
        <f>'объем работ 100% загр'!G5</f>
        <v>0</v>
      </c>
      <c r="D5" s="73">
        <f>'объем работ 100% загр'!S5</f>
        <v>0</v>
      </c>
      <c r="E5" s="73">
        <f t="shared" si="0"/>
        <v>0</v>
      </c>
      <c r="F5" s="73">
        <f t="shared" si="1"/>
        <v>0</v>
      </c>
      <c r="G5">
        <f t="shared" si="2"/>
        <v>0</v>
      </c>
    </row>
    <row r="6" spans="1:10" ht="123.75" customHeight="1" x14ac:dyDescent="0.3">
      <c r="A6" s="183" t="s">
        <v>322</v>
      </c>
      <c r="B6" s="274" t="s">
        <v>321</v>
      </c>
      <c r="C6" s="277">
        <f>'объем работ 100% загр'!G6</f>
        <v>0</v>
      </c>
      <c r="D6" s="73">
        <f>'объем работ 100% загр'!S6</f>
        <v>0</v>
      </c>
      <c r="E6" s="73">
        <f t="shared" si="0"/>
        <v>0</v>
      </c>
      <c r="F6" s="73">
        <f t="shared" si="1"/>
        <v>0</v>
      </c>
      <c r="G6">
        <f t="shared" si="2"/>
        <v>0</v>
      </c>
    </row>
    <row r="7" spans="1:10" ht="55.2" x14ac:dyDescent="0.3">
      <c r="A7" s="183" t="s">
        <v>323</v>
      </c>
      <c r="B7" s="274" t="s">
        <v>324</v>
      </c>
      <c r="C7" s="277" t="e">
        <f t="shared" ref="C7:C25" si="3">'объем работ 100% загр'!#REF!</f>
        <v>#REF!</v>
      </c>
      <c r="D7" s="73" t="e">
        <f t="shared" ref="D7:D25" si="4">'объем работ 100% загр'!#REF!</f>
        <v>#REF!</v>
      </c>
      <c r="E7" s="73" t="e">
        <f t="shared" si="0"/>
        <v>#REF!</v>
      </c>
      <c r="F7" s="73" t="e">
        <f t="shared" si="1"/>
        <v>#REF!</v>
      </c>
      <c r="G7" t="e">
        <f t="shared" si="2"/>
        <v>#REF!</v>
      </c>
    </row>
    <row r="8" spans="1:10" ht="27.6" x14ac:dyDescent="0.3">
      <c r="A8" s="183" t="s">
        <v>325</v>
      </c>
      <c r="B8" s="274" t="s">
        <v>326</v>
      </c>
      <c r="C8" s="277" t="e">
        <f t="shared" si="3"/>
        <v>#REF!</v>
      </c>
      <c r="D8" s="73" t="e">
        <f t="shared" si="4"/>
        <v>#REF!</v>
      </c>
      <c r="E8" s="73" t="e">
        <f t="shared" si="0"/>
        <v>#REF!</v>
      </c>
      <c r="F8" s="73" t="e">
        <f t="shared" si="1"/>
        <v>#REF!</v>
      </c>
      <c r="G8" t="e">
        <f t="shared" si="2"/>
        <v>#REF!</v>
      </c>
    </row>
    <row r="9" spans="1:10" ht="27.6" x14ac:dyDescent="0.3">
      <c r="A9" s="183" t="s">
        <v>327</v>
      </c>
      <c r="B9" s="274" t="s">
        <v>328</v>
      </c>
      <c r="C9" s="277" t="e">
        <f t="shared" si="3"/>
        <v>#REF!</v>
      </c>
      <c r="D9" s="73" t="e">
        <f t="shared" si="4"/>
        <v>#REF!</v>
      </c>
      <c r="E9" s="73" t="e">
        <f t="shared" si="0"/>
        <v>#REF!</v>
      </c>
      <c r="F9" s="73" t="e">
        <f t="shared" si="1"/>
        <v>#REF!</v>
      </c>
      <c r="G9" t="e">
        <f t="shared" si="2"/>
        <v>#REF!</v>
      </c>
    </row>
    <row r="10" spans="1:10" ht="69" x14ac:dyDescent="0.3">
      <c r="A10" s="183" t="s">
        <v>329</v>
      </c>
      <c r="B10" s="274" t="s">
        <v>330</v>
      </c>
      <c r="C10" s="277" t="e">
        <f t="shared" si="3"/>
        <v>#REF!</v>
      </c>
      <c r="D10" s="73" t="e">
        <f t="shared" si="4"/>
        <v>#REF!</v>
      </c>
      <c r="E10" s="73" t="e">
        <f t="shared" si="0"/>
        <v>#REF!</v>
      </c>
      <c r="F10" s="73" t="e">
        <f t="shared" si="1"/>
        <v>#REF!</v>
      </c>
      <c r="G10" t="e">
        <f t="shared" si="2"/>
        <v>#REF!</v>
      </c>
    </row>
    <row r="11" spans="1:10" ht="69" x14ac:dyDescent="0.3">
      <c r="A11" s="183" t="s">
        <v>331</v>
      </c>
      <c r="B11" s="274" t="s">
        <v>332</v>
      </c>
      <c r="C11" s="277" t="e">
        <f t="shared" si="3"/>
        <v>#REF!</v>
      </c>
      <c r="D11" s="73" t="e">
        <f t="shared" si="4"/>
        <v>#REF!</v>
      </c>
      <c r="E11" s="73" t="e">
        <f t="shared" si="0"/>
        <v>#REF!</v>
      </c>
      <c r="F11" s="73" t="e">
        <f t="shared" si="1"/>
        <v>#REF!</v>
      </c>
      <c r="G11" t="e">
        <f t="shared" si="2"/>
        <v>#REF!</v>
      </c>
    </row>
    <row r="12" spans="1:10" ht="72" x14ac:dyDescent="0.3">
      <c r="A12" s="54" t="s">
        <v>333</v>
      </c>
      <c r="B12" s="274" t="s">
        <v>330</v>
      </c>
      <c r="C12" s="277" t="e">
        <f t="shared" si="3"/>
        <v>#REF!</v>
      </c>
      <c r="D12" s="73" t="e">
        <f t="shared" si="4"/>
        <v>#REF!</v>
      </c>
      <c r="E12" s="73" t="e">
        <f t="shared" si="0"/>
        <v>#REF!</v>
      </c>
      <c r="F12" s="73" t="e">
        <f t="shared" si="1"/>
        <v>#REF!</v>
      </c>
      <c r="G12" t="e">
        <f t="shared" si="2"/>
        <v>#REF!</v>
      </c>
    </row>
    <row r="13" spans="1:10" ht="72" x14ac:dyDescent="0.3">
      <c r="A13" s="54" t="s">
        <v>334</v>
      </c>
      <c r="B13" s="274" t="s">
        <v>332</v>
      </c>
      <c r="C13" s="277" t="e">
        <f t="shared" si="3"/>
        <v>#REF!</v>
      </c>
      <c r="D13" s="73" t="e">
        <f t="shared" si="4"/>
        <v>#REF!</v>
      </c>
      <c r="E13" s="73" t="e">
        <f t="shared" si="0"/>
        <v>#REF!</v>
      </c>
      <c r="F13" s="73" t="e">
        <f t="shared" si="1"/>
        <v>#REF!</v>
      </c>
      <c r="G13" t="e">
        <f t="shared" si="2"/>
        <v>#REF!</v>
      </c>
    </row>
    <row r="14" spans="1:10" ht="86.4" x14ac:dyDescent="0.3">
      <c r="A14" s="54" t="s">
        <v>335</v>
      </c>
      <c r="B14" s="274" t="s">
        <v>330</v>
      </c>
      <c r="C14" s="277" t="e">
        <f t="shared" si="3"/>
        <v>#REF!</v>
      </c>
      <c r="D14" s="73" t="e">
        <f t="shared" si="4"/>
        <v>#REF!</v>
      </c>
      <c r="E14" s="73" t="e">
        <f t="shared" si="0"/>
        <v>#REF!</v>
      </c>
      <c r="F14" s="73" t="e">
        <f t="shared" si="1"/>
        <v>#REF!</v>
      </c>
      <c r="G14" t="e">
        <f t="shared" si="2"/>
        <v>#REF!</v>
      </c>
    </row>
    <row r="15" spans="1:10" ht="86.4" x14ac:dyDescent="0.3">
      <c r="A15" s="54" t="s">
        <v>336</v>
      </c>
      <c r="B15" s="274" t="s">
        <v>332</v>
      </c>
      <c r="C15" s="277" t="e">
        <f t="shared" si="3"/>
        <v>#REF!</v>
      </c>
      <c r="D15" s="73" t="e">
        <f t="shared" si="4"/>
        <v>#REF!</v>
      </c>
      <c r="E15" s="73" t="e">
        <f t="shared" si="0"/>
        <v>#REF!</v>
      </c>
      <c r="F15" s="73" t="e">
        <f t="shared" si="1"/>
        <v>#REF!</v>
      </c>
      <c r="G15" t="e">
        <f t="shared" si="2"/>
        <v>#REF!</v>
      </c>
    </row>
    <row r="16" spans="1:10" ht="72" x14ac:dyDescent="0.3">
      <c r="A16" s="54" t="s">
        <v>337</v>
      </c>
      <c r="B16" s="274" t="s">
        <v>330</v>
      </c>
      <c r="C16" s="277" t="e">
        <f t="shared" si="3"/>
        <v>#REF!</v>
      </c>
      <c r="D16" s="73" t="e">
        <f t="shared" si="4"/>
        <v>#REF!</v>
      </c>
      <c r="E16" s="73" t="e">
        <f t="shared" si="0"/>
        <v>#REF!</v>
      </c>
      <c r="F16" s="73" t="e">
        <f t="shared" si="1"/>
        <v>#REF!</v>
      </c>
      <c r="G16" t="e">
        <f t="shared" si="2"/>
        <v>#REF!</v>
      </c>
    </row>
    <row r="17" spans="1:9" ht="72" x14ac:dyDescent="0.3">
      <c r="A17" s="54" t="s">
        <v>338</v>
      </c>
      <c r="B17" s="274" t="s">
        <v>332</v>
      </c>
      <c r="C17" s="277" t="e">
        <f t="shared" si="3"/>
        <v>#REF!</v>
      </c>
      <c r="D17" s="73" t="e">
        <f t="shared" si="4"/>
        <v>#REF!</v>
      </c>
      <c r="E17" s="73" t="e">
        <f t="shared" si="0"/>
        <v>#REF!</v>
      </c>
      <c r="F17" s="73" t="e">
        <f t="shared" si="1"/>
        <v>#REF!</v>
      </c>
      <c r="G17" t="e">
        <f t="shared" si="2"/>
        <v>#REF!</v>
      </c>
    </row>
    <row r="18" spans="1:9" ht="27.6" x14ac:dyDescent="0.3">
      <c r="A18" s="54" t="s">
        <v>339</v>
      </c>
      <c r="B18" s="274" t="s">
        <v>330</v>
      </c>
      <c r="C18" s="277" t="e">
        <f t="shared" si="3"/>
        <v>#REF!</v>
      </c>
      <c r="D18" s="73" t="e">
        <f t="shared" si="4"/>
        <v>#REF!</v>
      </c>
      <c r="E18" s="73" t="e">
        <f t="shared" si="0"/>
        <v>#REF!</v>
      </c>
      <c r="F18" s="73" t="e">
        <f t="shared" si="1"/>
        <v>#REF!</v>
      </c>
      <c r="G18" t="e">
        <f t="shared" si="2"/>
        <v>#REF!</v>
      </c>
    </row>
    <row r="19" spans="1:9" ht="72" x14ac:dyDescent="0.3">
      <c r="A19" s="54" t="s">
        <v>340</v>
      </c>
      <c r="B19" s="274" t="s">
        <v>341</v>
      </c>
      <c r="C19" s="277" t="e">
        <f t="shared" si="3"/>
        <v>#REF!</v>
      </c>
      <c r="D19" s="73" t="e">
        <f t="shared" si="4"/>
        <v>#REF!</v>
      </c>
      <c r="E19" s="73" t="e">
        <f t="shared" si="0"/>
        <v>#REF!</v>
      </c>
      <c r="F19" s="73" t="e">
        <f t="shared" si="1"/>
        <v>#REF!</v>
      </c>
      <c r="G19" t="e">
        <f t="shared" si="2"/>
        <v>#REF!</v>
      </c>
    </row>
    <row r="20" spans="1:9" ht="72" x14ac:dyDescent="0.3">
      <c r="A20" s="54" t="s">
        <v>342</v>
      </c>
      <c r="B20" s="274" t="s">
        <v>341</v>
      </c>
      <c r="C20" s="277" t="e">
        <f t="shared" si="3"/>
        <v>#REF!</v>
      </c>
      <c r="D20" s="73" t="e">
        <f t="shared" si="4"/>
        <v>#REF!</v>
      </c>
      <c r="E20" s="73" t="e">
        <f t="shared" si="0"/>
        <v>#REF!</v>
      </c>
      <c r="F20" s="73" t="e">
        <f t="shared" si="1"/>
        <v>#REF!</v>
      </c>
      <c r="G20" t="e">
        <f t="shared" si="2"/>
        <v>#REF!</v>
      </c>
    </row>
    <row r="21" spans="1:9" x14ac:dyDescent="0.3">
      <c r="A21" s="54" t="s">
        <v>343</v>
      </c>
      <c r="B21" s="55" t="s">
        <v>341</v>
      </c>
      <c r="C21" s="277" t="e">
        <f t="shared" si="3"/>
        <v>#REF!</v>
      </c>
      <c r="D21" s="73" t="e">
        <f t="shared" si="4"/>
        <v>#REF!</v>
      </c>
      <c r="E21" s="73" t="e">
        <f t="shared" si="0"/>
        <v>#REF!</v>
      </c>
      <c r="F21" s="73" t="e">
        <f t="shared" si="1"/>
        <v>#REF!</v>
      </c>
      <c r="G21" t="e">
        <f t="shared" si="2"/>
        <v>#REF!</v>
      </c>
    </row>
    <row r="22" spans="1:9" ht="28.8" x14ac:dyDescent="0.3">
      <c r="A22" s="54" t="s">
        <v>344</v>
      </c>
      <c r="B22" s="55" t="s">
        <v>341</v>
      </c>
      <c r="C22" s="277" t="e">
        <f t="shared" si="3"/>
        <v>#REF!</v>
      </c>
      <c r="D22" s="73" t="e">
        <f t="shared" si="4"/>
        <v>#REF!</v>
      </c>
      <c r="E22" s="73" t="e">
        <f t="shared" si="0"/>
        <v>#REF!</v>
      </c>
      <c r="F22" s="73" t="e">
        <f t="shared" si="1"/>
        <v>#REF!</v>
      </c>
      <c r="G22" t="e">
        <f t="shared" si="2"/>
        <v>#REF!</v>
      </c>
    </row>
    <row r="23" spans="1:9" ht="28.8" x14ac:dyDescent="0.3">
      <c r="A23" s="54" t="s">
        <v>345</v>
      </c>
      <c r="B23" s="55" t="s">
        <v>346</v>
      </c>
      <c r="C23" s="277" t="e">
        <f t="shared" si="3"/>
        <v>#REF!</v>
      </c>
      <c r="D23" s="73" t="e">
        <f t="shared" si="4"/>
        <v>#REF!</v>
      </c>
      <c r="E23" s="73" t="e">
        <f t="shared" ref="E23:E25" si="5">C23*D23</f>
        <v>#REF!</v>
      </c>
      <c r="F23" s="73" t="e">
        <f t="shared" ref="F23:F25" si="6">E23*3</f>
        <v>#REF!</v>
      </c>
      <c r="G23" t="e">
        <f t="shared" ref="G23:G25" si="7">E23*12</f>
        <v>#REF!</v>
      </c>
    </row>
    <row r="24" spans="1:9" ht="56.25" customHeight="1" x14ac:dyDescent="0.3">
      <c r="A24" s="54" t="s">
        <v>347</v>
      </c>
      <c r="B24" s="54" t="s">
        <v>341</v>
      </c>
      <c r="C24" s="54" t="e">
        <f t="shared" si="3"/>
        <v>#REF!</v>
      </c>
      <c r="D24" s="276" t="e">
        <f t="shared" si="4"/>
        <v>#REF!</v>
      </c>
      <c r="E24" s="54" t="e">
        <f t="shared" si="5"/>
        <v>#REF!</v>
      </c>
      <c r="F24" s="54" t="e">
        <f t="shared" si="6"/>
        <v>#REF!</v>
      </c>
      <c r="G24" s="54" t="e">
        <f t="shared" si="7"/>
        <v>#REF!</v>
      </c>
    </row>
    <row r="25" spans="1:9" ht="56.25" customHeight="1" x14ac:dyDescent="0.3">
      <c r="A25" s="54" t="s">
        <v>348</v>
      </c>
      <c r="B25" s="54" t="s">
        <v>341</v>
      </c>
      <c r="C25" s="54" t="e">
        <f t="shared" si="3"/>
        <v>#REF!</v>
      </c>
      <c r="D25" s="276" t="e">
        <f t="shared" si="4"/>
        <v>#REF!</v>
      </c>
      <c r="E25" s="54" t="e">
        <f t="shared" si="5"/>
        <v>#REF!</v>
      </c>
      <c r="F25" s="54" t="e">
        <f t="shared" si="6"/>
        <v>#REF!</v>
      </c>
      <c r="G25" s="54" t="e">
        <f t="shared" si="7"/>
        <v>#REF!</v>
      </c>
    </row>
    <row r="27" spans="1:9" x14ac:dyDescent="0.3">
      <c r="F27" s="73" t="e">
        <f>SUM(F4:F26)</f>
        <v>#REF!</v>
      </c>
      <c r="G27" t="e">
        <f>SUM(G4:G26)</f>
        <v>#REF!</v>
      </c>
      <c r="I27" s="73"/>
    </row>
  </sheetData>
  <pageMargins left="0.7" right="0.7" top="0.75" bottom="0.75" header="0.3" footer="0.3"/>
  <pageSetup paperSize="9" firstPageNumber="2147483648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27"/>
  <sheetViews>
    <sheetView zoomScale="70" workbookViewId="0">
      <pane xSplit="1" topLeftCell="B1" activePane="topRight" state="frozen"/>
      <selection pane="topRight"/>
    </sheetView>
  </sheetViews>
  <sheetFormatPr defaultRowHeight="14.4" x14ac:dyDescent="0.3"/>
  <cols>
    <col min="1" max="1" width="26.5546875" style="54" customWidth="1"/>
    <col min="2" max="2" width="11.88671875" style="55" customWidth="1"/>
    <col min="3" max="3" width="13" style="56" customWidth="1"/>
    <col min="4" max="6" width="12.88671875" style="73" customWidth="1"/>
    <col min="7" max="7" width="10.109375" bestFit="1" customWidth="1"/>
  </cols>
  <sheetData>
    <row r="1" spans="1:10" x14ac:dyDescent="0.3">
      <c r="A1" s="95"/>
      <c r="B1" s="95"/>
      <c r="C1" s="95"/>
      <c r="D1" s="270"/>
      <c r="E1" s="270"/>
      <c r="F1" s="270"/>
      <c r="G1" s="271"/>
      <c r="H1" s="271"/>
      <c r="I1" s="271"/>
      <c r="J1" s="271"/>
    </row>
    <row r="2" spans="1:10" ht="30" customHeight="1" x14ac:dyDescent="0.3">
      <c r="A2" s="95"/>
      <c r="B2" s="95"/>
      <c r="C2" s="95"/>
      <c r="D2" s="272">
        <v>0.3</v>
      </c>
      <c r="E2" s="272"/>
      <c r="F2" s="272"/>
      <c r="G2" s="273"/>
      <c r="H2" s="273"/>
      <c r="I2" s="273"/>
      <c r="J2" s="273"/>
    </row>
    <row r="3" spans="1:10" s="64" customFormat="1" ht="55.2" x14ac:dyDescent="0.3">
      <c r="A3" s="183" t="s">
        <v>80</v>
      </c>
      <c r="B3" s="274" t="s">
        <v>49</v>
      </c>
      <c r="C3" s="212" t="s">
        <v>313</v>
      </c>
      <c r="D3" s="275" t="s">
        <v>314</v>
      </c>
      <c r="E3" s="275" t="s">
        <v>315</v>
      </c>
      <c r="F3" s="275" t="s">
        <v>316</v>
      </c>
      <c r="G3" s="275" t="s">
        <v>317</v>
      </c>
    </row>
    <row r="4" spans="1:10" x14ac:dyDescent="0.3">
      <c r="A4" s="183" t="s">
        <v>318</v>
      </c>
      <c r="B4" s="274" t="s">
        <v>319</v>
      </c>
      <c r="C4" s="277">
        <f>'объем работ 100% загр'!H4</f>
        <v>20.250816545924991</v>
      </c>
      <c r="D4" s="160">
        <f>'объем работ 100% загр'!S4</f>
        <v>1</v>
      </c>
      <c r="E4" s="160">
        <f t="shared" ref="E4:E22" si="0">C4*D4</f>
        <v>20.250816545924991</v>
      </c>
      <c r="F4" s="160">
        <f t="shared" ref="F4:F22" si="1">E4*3</f>
        <v>60.752449637774973</v>
      </c>
      <c r="G4" s="160">
        <f t="shared" ref="G4:G22" si="2">E4*12</f>
        <v>243.00979855109989</v>
      </c>
    </row>
    <row r="5" spans="1:10" ht="124.2" x14ac:dyDescent="0.3">
      <c r="A5" s="183" t="s">
        <v>320</v>
      </c>
      <c r="B5" s="274" t="s">
        <v>321</v>
      </c>
      <c r="C5" s="277">
        <f>'объем работ 100% загр'!H5</f>
        <v>0</v>
      </c>
      <c r="D5" s="160">
        <f>'объем работ 100% загр'!S5</f>
        <v>0</v>
      </c>
      <c r="E5" s="160">
        <f t="shared" si="0"/>
        <v>0</v>
      </c>
      <c r="F5" s="160">
        <f t="shared" si="1"/>
        <v>0</v>
      </c>
      <c r="G5" s="160">
        <f t="shared" si="2"/>
        <v>0</v>
      </c>
    </row>
    <row r="6" spans="1:10" ht="123.75" customHeight="1" x14ac:dyDescent="0.3">
      <c r="A6" s="183" t="s">
        <v>322</v>
      </c>
      <c r="B6" s="274" t="s">
        <v>321</v>
      </c>
      <c r="C6" s="277">
        <f>'объем работ 100% загр'!H6</f>
        <v>0</v>
      </c>
      <c r="D6" s="160">
        <f>'объем работ 100% загр'!S6</f>
        <v>0</v>
      </c>
      <c r="E6" s="160">
        <f t="shared" si="0"/>
        <v>0</v>
      </c>
      <c r="F6" s="160">
        <f t="shared" si="1"/>
        <v>0</v>
      </c>
      <c r="G6" s="160">
        <f t="shared" si="2"/>
        <v>0</v>
      </c>
    </row>
    <row r="7" spans="1:10" ht="55.2" x14ac:dyDescent="0.3">
      <c r="A7" s="183" t="s">
        <v>323</v>
      </c>
      <c r="B7" s="274" t="s">
        <v>324</v>
      </c>
      <c r="C7" s="277" t="e">
        <f t="shared" ref="C7:C25" si="3">'объем работ 100% загр'!#REF!</f>
        <v>#REF!</v>
      </c>
      <c r="D7" s="160" t="e">
        <f t="shared" ref="D7:D25" si="4">'объем работ 100% загр'!#REF!</f>
        <v>#REF!</v>
      </c>
      <c r="E7" s="160" t="e">
        <f t="shared" si="0"/>
        <v>#REF!</v>
      </c>
      <c r="F7" s="160" t="e">
        <f t="shared" si="1"/>
        <v>#REF!</v>
      </c>
      <c r="G7" s="160" t="e">
        <f t="shared" si="2"/>
        <v>#REF!</v>
      </c>
    </row>
    <row r="8" spans="1:10" ht="27.6" x14ac:dyDescent="0.3">
      <c r="A8" s="183" t="s">
        <v>325</v>
      </c>
      <c r="B8" s="274" t="s">
        <v>326</v>
      </c>
      <c r="C8" s="277" t="e">
        <f t="shared" si="3"/>
        <v>#REF!</v>
      </c>
      <c r="D8" s="160" t="e">
        <f t="shared" si="4"/>
        <v>#REF!</v>
      </c>
      <c r="E8" s="160" t="e">
        <f t="shared" si="0"/>
        <v>#REF!</v>
      </c>
      <c r="F8" s="160" t="e">
        <f t="shared" si="1"/>
        <v>#REF!</v>
      </c>
      <c r="G8" s="160" t="e">
        <f t="shared" si="2"/>
        <v>#REF!</v>
      </c>
    </row>
    <row r="9" spans="1:10" ht="27.6" x14ac:dyDescent="0.3">
      <c r="A9" s="183" t="s">
        <v>327</v>
      </c>
      <c r="B9" s="274" t="s">
        <v>328</v>
      </c>
      <c r="C9" s="277" t="e">
        <f t="shared" si="3"/>
        <v>#REF!</v>
      </c>
      <c r="D9" s="160" t="e">
        <f t="shared" si="4"/>
        <v>#REF!</v>
      </c>
      <c r="E9" s="160" t="e">
        <f t="shared" si="0"/>
        <v>#REF!</v>
      </c>
      <c r="F9" s="160" t="e">
        <f t="shared" si="1"/>
        <v>#REF!</v>
      </c>
      <c r="G9" s="160" t="e">
        <f t="shared" si="2"/>
        <v>#REF!</v>
      </c>
    </row>
    <row r="10" spans="1:10" ht="69" x14ac:dyDescent="0.3">
      <c r="A10" s="183" t="s">
        <v>329</v>
      </c>
      <c r="B10" s="274" t="s">
        <v>330</v>
      </c>
      <c r="C10" s="277" t="e">
        <f t="shared" si="3"/>
        <v>#REF!</v>
      </c>
      <c r="D10" s="160" t="e">
        <f t="shared" si="4"/>
        <v>#REF!</v>
      </c>
      <c r="E10" s="160" t="e">
        <f t="shared" si="0"/>
        <v>#REF!</v>
      </c>
      <c r="F10" s="160" t="e">
        <f t="shared" si="1"/>
        <v>#REF!</v>
      </c>
      <c r="G10" s="160" t="e">
        <f t="shared" si="2"/>
        <v>#REF!</v>
      </c>
    </row>
    <row r="11" spans="1:10" ht="69" x14ac:dyDescent="0.3">
      <c r="A11" s="183" t="s">
        <v>331</v>
      </c>
      <c r="B11" s="274" t="s">
        <v>332</v>
      </c>
      <c r="C11" s="277" t="e">
        <f t="shared" si="3"/>
        <v>#REF!</v>
      </c>
      <c r="D11" s="160" t="e">
        <f t="shared" si="4"/>
        <v>#REF!</v>
      </c>
      <c r="E11" s="160" t="e">
        <f t="shared" si="0"/>
        <v>#REF!</v>
      </c>
      <c r="F11" s="160" t="e">
        <f t="shared" si="1"/>
        <v>#REF!</v>
      </c>
      <c r="G11" s="160" t="e">
        <f t="shared" si="2"/>
        <v>#REF!</v>
      </c>
    </row>
    <row r="12" spans="1:10" ht="72" x14ac:dyDescent="0.3">
      <c r="A12" s="54" t="s">
        <v>333</v>
      </c>
      <c r="B12" s="274" t="s">
        <v>330</v>
      </c>
      <c r="C12" s="277" t="e">
        <f t="shared" si="3"/>
        <v>#REF!</v>
      </c>
      <c r="D12" s="160" t="e">
        <f t="shared" si="4"/>
        <v>#REF!</v>
      </c>
      <c r="E12" s="160" t="e">
        <f t="shared" si="0"/>
        <v>#REF!</v>
      </c>
      <c r="F12" s="160" t="e">
        <f t="shared" si="1"/>
        <v>#REF!</v>
      </c>
      <c r="G12" s="160" t="e">
        <f t="shared" si="2"/>
        <v>#REF!</v>
      </c>
    </row>
    <row r="13" spans="1:10" ht="72" x14ac:dyDescent="0.3">
      <c r="A13" s="54" t="s">
        <v>334</v>
      </c>
      <c r="B13" s="274" t="s">
        <v>332</v>
      </c>
      <c r="C13" s="277" t="e">
        <f t="shared" si="3"/>
        <v>#REF!</v>
      </c>
      <c r="D13" s="160" t="e">
        <f t="shared" si="4"/>
        <v>#REF!</v>
      </c>
      <c r="E13" s="160" t="e">
        <f t="shared" si="0"/>
        <v>#REF!</v>
      </c>
      <c r="F13" s="160" t="e">
        <f t="shared" si="1"/>
        <v>#REF!</v>
      </c>
      <c r="G13" s="160" t="e">
        <f t="shared" si="2"/>
        <v>#REF!</v>
      </c>
    </row>
    <row r="14" spans="1:10" ht="86.4" x14ac:dyDescent="0.3">
      <c r="A14" s="54" t="s">
        <v>335</v>
      </c>
      <c r="B14" s="274" t="s">
        <v>330</v>
      </c>
      <c r="C14" s="277" t="e">
        <f t="shared" si="3"/>
        <v>#REF!</v>
      </c>
      <c r="D14" s="160" t="e">
        <f t="shared" si="4"/>
        <v>#REF!</v>
      </c>
      <c r="E14" s="160" t="e">
        <f t="shared" si="0"/>
        <v>#REF!</v>
      </c>
      <c r="F14" s="160" t="e">
        <f t="shared" si="1"/>
        <v>#REF!</v>
      </c>
      <c r="G14" s="160" t="e">
        <f t="shared" si="2"/>
        <v>#REF!</v>
      </c>
    </row>
    <row r="15" spans="1:10" ht="86.4" x14ac:dyDescent="0.3">
      <c r="A15" s="54" t="s">
        <v>336</v>
      </c>
      <c r="B15" s="274" t="s">
        <v>332</v>
      </c>
      <c r="C15" s="277" t="e">
        <f t="shared" si="3"/>
        <v>#REF!</v>
      </c>
      <c r="D15" s="160" t="e">
        <f t="shared" si="4"/>
        <v>#REF!</v>
      </c>
      <c r="E15" s="160" t="e">
        <f t="shared" si="0"/>
        <v>#REF!</v>
      </c>
      <c r="F15" s="160" t="e">
        <f t="shared" si="1"/>
        <v>#REF!</v>
      </c>
      <c r="G15" s="160" t="e">
        <f t="shared" si="2"/>
        <v>#REF!</v>
      </c>
    </row>
    <row r="16" spans="1:10" ht="72" x14ac:dyDescent="0.3">
      <c r="A16" s="54" t="s">
        <v>337</v>
      </c>
      <c r="B16" s="274" t="s">
        <v>330</v>
      </c>
      <c r="C16" s="277" t="e">
        <f t="shared" si="3"/>
        <v>#REF!</v>
      </c>
      <c r="D16" s="160" t="e">
        <f t="shared" si="4"/>
        <v>#REF!</v>
      </c>
      <c r="E16" s="160" t="e">
        <f t="shared" si="0"/>
        <v>#REF!</v>
      </c>
      <c r="F16" s="160" t="e">
        <f t="shared" si="1"/>
        <v>#REF!</v>
      </c>
      <c r="G16" s="160" t="e">
        <f t="shared" si="2"/>
        <v>#REF!</v>
      </c>
    </row>
    <row r="17" spans="1:9" ht="72" x14ac:dyDescent="0.3">
      <c r="A17" s="54" t="s">
        <v>338</v>
      </c>
      <c r="B17" s="274" t="s">
        <v>332</v>
      </c>
      <c r="C17" s="277" t="e">
        <f t="shared" si="3"/>
        <v>#REF!</v>
      </c>
      <c r="D17" s="160" t="e">
        <f t="shared" si="4"/>
        <v>#REF!</v>
      </c>
      <c r="E17" s="160" t="e">
        <f t="shared" si="0"/>
        <v>#REF!</v>
      </c>
      <c r="F17" s="160" t="e">
        <f t="shared" si="1"/>
        <v>#REF!</v>
      </c>
      <c r="G17" s="160" t="e">
        <f t="shared" si="2"/>
        <v>#REF!</v>
      </c>
    </row>
    <row r="18" spans="1:9" ht="27.6" x14ac:dyDescent="0.3">
      <c r="A18" s="54" t="s">
        <v>339</v>
      </c>
      <c r="B18" s="274" t="s">
        <v>330</v>
      </c>
      <c r="C18" s="277" t="e">
        <f t="shared" si="3"/>
        <v>#REF!</v>
      </c>
      <c r="D18" s="160" t="e">
        <f t="shared" si="4"/>
        <v>#REF!</v>
      </c>
      <c r="E18" s="160" t="e">
        <f t="shared" si="0"/>
        <v>#REF!</v>
      </c>
      <c r="F18" s="160" t="e">
        <f t="shared" si="1"/>
        <v>#REF!</v>
      </c>
      <c r="G18" s="160" t="e">
        <f t="shared" si="2"/>
        <v>#REF!</v>
      </c>
    </row>
    <row r="19" spans="1:9" ht="72" x14ac:dyDescent="0.3">
      <c r="A19" s="54" t="s">
        <v>340</v>
      </c>
      <c r="B19" s="274" t="s">
        <v>341</v>
      </c>
      <c r="C19" s="277" t="e">
        <f t="shared" si="3"/>
        <v>#REF!</v>
      </c>
      <c r="D19" s="160" t="e">
        <f t="shared" si="4"/>
        <v>#REF!</v>
      </c>
      <c r="E19" s="160" t="e">
        <f t="shared" si="0"/>
        <v>#REF!</v>
      </c>
      <c r="F19" s="160" t="e">
        <f t="shared" si="1"/>
        <v>#REF!</v>
      </c>
      <c r="G19" s="160" t="e">
        <f t="shared" si="2"/>
        <v>#REF!</v>
      </c>
    </row>
    <row r="20" spans="1:9" ht="72" x14ac:dyDescent="0.3">
      <c r="A20" s="54" t="s">
        <v>342</v>
      </c>
      <c r="B20" s="274" t="s">
        <v>341</v>
      </c>
      <c r="C20" s="277" t="e">
        <f t="shared" si="3"/>
        <v>#REF!</v>
      </c>
      <c r="D20" s="160" t="e">
        <f t="shared" si="4"/>
        <v>#REF!</v>
      </c>
      <c r="E20" s="160" t="e">
        <f t="shared" si="0"/>
        <v>#REF!</v>
      </c>
      <c r="F20" s="160" t="e">
        <f t="shared" si="1"/>
        <v>#REF!</v>
      </c>
      <c r="G20" s="160" t="e">
        <f t="shared" si="2"/>
        <v>#REF!</v>
      </c>
    </row>
    <row r="21" spans="1:9" x14ac:dyDescent="0.3">
      <c r="A21" s="54" t="s">
        <v>343</v>
      </c>
      <c r="B21" s="55" t="s">
        <v>341</v>
      </c>
      <c r="C21" s="277" t="e">
        <f t="shared" si="3"/>
        <v>#REF!</v>
      </c>
      <c r="D21" s="160" t="e">
        <f t="shared" si="4"/>
        <v>#REF!</v>
      </c>
      <c r="E21" s="160" t="e">
        <f t="shared" si="0"/>
        <v>#REF!</v>
      </c>
      <c r="F21" s="160" t="e">
        <f t="shared" si="1"/>
        <v>#REF!</v>
      </c>
      <c r="G21" s="160" t="e">
        <f t="shared" si="2"/>
        <v>#REF!</v>
      </c>
    </row>
    <row r="22" spans="1:9" ht="28.8" x14ac:dyDescent="0.3">
      <c r="A22" s="54" t="s">
        <v>344</v>
      </c>
      <c r="B22" s="55" t="s">
        <v>341</v>
      </c>
      <c r="C22" s="277" t="e">
        <f t="shared" si="3"/>
        <v>#REF!</v>
      </c>
      <c r="D22" s="160" t="e">
        <f t="shared" si="4"/>
        <v>#REF!</v>
      </c>
      <c r="E22" s="160" t="e">
        <f t="shared" si="0"/>
        <v>#REF!</v>
      </c>
      <c r="F22" s="160" t="e">
        <f t="shared" si="1"/>
        <v>#REF!</v>
      </c>
      <c r="G22" s="160" t="e">
        <f t="shared" si="2"/>
        <v>#REF!</v>
      </c>
    </row>
    <row r="23" spans="1:9" ht="28.8" x14ac:dyDescent="0.3">
      <c r="A23" s="54" t="s">
        <v>345</v>
      </c>
      <c r="B23" s="55" t="s">
        <v>346</v>
      </c>
      <c r="C23" s="277" t="e">
        <f t="shared" si="3"/>
        <v>#REF!</v>
      </c>
      <c r="D23" s="160" t="e">
        <f t="shared" si="4"/>
        <v>#REF!</v>
      </c>
      <c r="E23" s="160" t="e">
        <f t="shared" ref="E23:E25" si="5">C23*D23</f>
        <v>#REF!</v>
      </c>
      <c r="F23" s="160" t="e">
        <f t="shared" ref="F23:F25" si="6">E23*3</f>
        <v>#REF!</v>
      </c>
      <c r="G23" s="160" t="e">
        <f t="shared" ref="G23:G25" si="7">E23*12</f>
        <v>#REF!</v>
      </c>
    </row>
    <row r="24" spans="1:9" ht="56.25" customHeight="1" x14ac:dyDescent="0.3">
      <c r="A24" s="54" t="s">
        <v>347</v>
      </c>
      <c r="B24" s="54" t="s">
        <v>341</v>
      </c>
      <c r="C24" s="277" t="e">
        <f t="shared" si="3"/>
        <v>#REF!</v>
      </c>
      <c r="D24" s="278" t="e">
        <f t="shared" si="4"/>
        <v>#REF!</v>
      </c>
      <c r="E24" s="278" t="e">
        <f t="shared" si="5"/>
        <v>#REF!</v>
      </c>
      <c r="F24" s="278" t="e">
        <f t="shared" si="6"/>
        <v>#REF!</v>
      </c>
      <c r="G24" s="278" t="e">
        <f t="shared" si="7"/>
        <v>#REF!</v>
      </c>
    </row>
    <row r="25" spans="1:9" ht="56.25" customHeight="1" x14ac:dyDescent="0.3">
      <c r="A25" s="54" t="s">
        <v>348</v>
      </c>
      <c r="B25" s="54" t="s">
        <v>341</v>
      </c>
      <c r="C25" s="277" t="e">
        <f t="shared" si="3"/>
        <v>#REF!</v>
      </c>
      <c r="D25" s="278" t="e">
        <f t="shared" si="4"/>
        <v>#REF!</v>
      </c>
      <c r="E25" s="278" t="e">
        <f t="shared" si="5"/>
        <v>#REF!</v>
      </c>
      <c r="F25" s="278" t="e">
        <f t="shared" si="6"/>
        <v>#REF!</v>
      </c>
      <c r="G25" s="278" t="e">
        <f t="shared" si="7"/>
        <v>#REF!</v>
      </c>
    </row>
    <row r="27" spans="1:9" x14ac:dyDescent="0.3">
      <c r="F27" s="73" t="e">
        <f>SUM(F4:F26)</f>
        <v>#REF!</v>
      </c>
      <c r="G27" t="e">
        <f>SUM(G4:G26)</f>
        <v>#REF!</v>
      </c>
      <c r="I27" s="73"/>
    </row>
  </sheetData>
  <pageMargins left="0.7" right="0.7" top="0.75" bottom="0.75" header="0.3" footer="0.3"/>
  <pageSetup paperSize="9" firstPageNumber="2147483648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27"/>
  <sheetViews>
    <sheetView zoomScale="70" workbookViewId="0">
      <pane xSplit="1" topLeftCell="B1" activePane="topRight" state="frozen"/>
      <selection pane="topRight"/>
    </sheetView>
  </sheetViews>
  <sheetFormatPr defaultRowHeight="14.4" x14ac:dyDescent="0.3"/>
  <cols>
    <col min="1" max="1" width="26.5546875" style="54" customWidth="1"/>
    <col min="2" max="2" width="11.88671875" style="55" customWidth="1"/>
    <col min="3" max="3" width="13" style="56" customWidth="1"/>
    <col min="4" max="6" width="12.88671875" style="73" customWidth="1"/>
    <col min="7" max="7" width="10.109375" bestFit="1" customWidth="1"/>
  </cols>
  <sheetData>
    <row r="1" spans="1:10" x14ac:dyDescent="0.3">
      <c r="A1" s="95"/>
      <c r="B1" s="95"/>
      <c r="C1" s="95"/>
      <c r="D1" s="270"/>
      <c r="E1" s="270"/>
      <c r="F1" s="270"/>
      <c r="G1" s="271"/>
      <c r="H1" s="271"/>
      <c r="I1" s="271"/>
      <c r="J1" s="271"/>
    </row>
    <row r="2" spans="1:10" ht="30" customHeight="1" x14ac:dyDescent="0.3">
      <c r="A2" s="95"/>
      <c r="B2" s="95"/>
      <c r="C2" s="95"/>
      <c r="D2" s="272">
        <v>0.3</v>
      </c>
      <c r="E2" s="272"/>
      <c r="F2" s="272"/>
      <c r="G2" s="273"/>
      <c r="H2" s="273"/>
      <c r="I2" s="273"/>
      <c r="J2" s="273"/>
    </row>
    <row r="3" spans="1:10" s="64" customFormat="1" ht="55.2" x14ac:dyDescent="0.3">
      <c r="A3" s="183" t="s">
        <v>80</v>
      </c>
      <c r="B3" s="274" t="s">
        <v>49</v>
      </c>
      <c r="C3" s="212" t="s">
        <v>313</v>
      </c>
      <c r="D3" s="275" t="s">
        <v>314</v>
      </c>
      <c r="E3" s="275" t="s">
        <v>315</v>
      </c>
      <c r="F3" s="275" t="s">
        <v>316</v>
      </c>
      <c r="G3" s="275" t="s">
        <v>317</v>
      </c>
    </row>
    <row r="4" spans="1:10" x14ac:dyDescent="0.3">
      <c r="A4" s="183" t="s">
        <v>318</v>
      </c>
      <c r="B4" s="274" t="s">
        <v>319</v>
      </c>
      <c r="C4" s="277">
        <f>'объем работ 100% загр'!I4</f>
        <v>20.554578794113866</v>
      </c>
      <c r="D4" s="160">
        <f>'объем работ 100% загр'!S4</f>
        <v>1</v>
      </c>
      <c r="E4" s="160">
        <f t="shared" ref="E4:E22" si="0">C4*D4</f>
        <v>20.554578794113866</v>
      </c>
      <c r="F4" s="160">
        <f t="shared" ref="F4:F22" si="1">E4*3</f>
        <v>61.663736382341597</v>
      </c>
      <c r="G4" s="160">
        <f t="shared" ref="G4:G22" si="2">E4*12</f>
        <v>246.65494552936639</v>
      </c>
    </row>
    <row r="5" spans="1:10" ht="124.2" x14ac:dyDescent="0.3">
      <c r="A5" s="183" t="s">
        <v>320</v>
      </c>
      <c r="B5" s="274" t="s">
        <v>321</v>
      </c>
      <c r="C5" s="277">
        <f>'объем работ 100% загр'!I5</f>
        <v>0</v>
      </c>
      <c r="D5" s="160">
        <f>'объем работ 100% загр'!S5</f>
        <v>0</v>
      </c>
      <c r="E5" s="160">
        <f t="shared" si="0"/>
        <v>0</v>
      </c>
      <c r="F5" s="160">
        <f t="shared" si="1"/>
        <v>0</v>
      </c>
      <c r="G5" s="160">
        <f t="shared" si="2"/>
        <v>0</v>
      </c>
    </row>
    <row r="6" spans="1:10" ht="123.75" customHeight="1" x14ac:dyDescent="0.3">
      <c r="A6" s="183" t="s">
        <v>322</v>
      </c>
      <c r="B6" s="274" t="s">
        <v>321</v>
      </c>
      <c r="C6" s="277">
        <f>'объем работ 100% загр'!I6</f>
        <v>0</v>
      </c>
      <c r="D6" s="160">
        <f>'объем работ 100% загр'!S6</f>
        <v>0</v>
      </c>
      <c r="E6" s="160">
        <f t="shared" si="0"/>
        <v>0</v>
      </c>
      <c r="F6" s="160">
        <f t="shared" si="1"/>
        <v>0</v>
      </c>
      <c r="G6" s="160">
        <f t="shared" si="2"/>
        <v>0</v>
      </c>
    </row>
    <row r="7" spans="1:10" ht="55.2" x14ac:dyDescent="0.3">
      <c r="A7" s="183" t="s">
        <v>323</v>
      </c>
      <c r="B7" s="274" t="s">
        <v>324</v>
      </c>
      <c r="C7" s="277" t="e">
        <f t="shared" ref="C7:C25" si="3">'объем работ 100% загр'!#REF!</f>
        <v>#REF!</v>
      </c>
      <c r="D7" s="160" t="e">
        <f t="shared" ref="D7:D25" si="4">'объем работ 100% загр'!#REF!</f>
        <v>#REF!</v>
      </c>
      <c r="E7" s="160" t="e">
        <f t="shared" si="0"/>
        <v>#REF!</v>
      </c>
      <c r="F7" s="160" t="e">
        <f t="shared" si="1"/>
        <v>#REF!</v>
      </c>
      <c r="G7" s="160" t="e">
        <f t="shared" si="2"/>
        <v>#REF!</v>
      </c>
    </row>
    <row r="8" spans="1:10" ht="27.6" x14ac:dyDescent="0.3">
      <c r="A8" s="183" t="s">
        <v>325</v>
      </c>
      <c r="B8" s="274" t="s">
        <v>326</v>
      </c>
      <c r="C8" s="277" t="e">
        <f t="shared" si="3"/>
        <v>#REF!</v>
      </c>
      <c r="D8" s="160" t="e">
        <f t="shared" si="4"/>
        <v>#REF!</v>
      </c>
      <c r="E8" s="160" t="e">
        <f t="shared" si="0"/>
        <v>#REF!</v>
      </c>
      <c r="F8" s="160" t="e">
        <f t="shared" si="1"/>
        <v>#REF!</v>
      </c>
      <c r="G8" s="160" t="e">
        <f t="shared" si="2"/>
        <v>#REF!</v>
      </c>
    </row>
    <row r="9" spans="1:10" ht="27.6" x14ac:dyDescent="0.3">
      <c r="A9" s="183" t="s">
        <v>327</v>
      </c>
      <c r="B9" s="274" t="s">
        <v>328</v>
      </c>
      <c r="C9" s="277" t="e">
        <f t="shared" si="3"/>
        <v>#REF!</v>
      </c>
      <c r="D9" s="160" t="e">
        <f t="shared" si="4"/>
        <v>#REF!</v>
      </c>
      <c r="E9" s="160" t="e">
        <f t="shared" si="0"/>
        <v>#REF!</v>
      </c>
      <c r="F9" s="160" t="e">
        <f t="shared" si="1"/>
        <v>#REF!</v>
      </c>
      <c r="G9" s="160" t="e">
        <f t="shared" si="2"/>
        <v>#REF!</v>
      </c>
    </row>
    <row r="10" spans="1:10" ht="69" x14ac:dyDescent="0.3">
      <c r="A10" s="183" t="s">
        <v>329</v>
      </c>
      <c r="B10" s="274" t="s">
        <v>330</v>
      </c>
      <c r="C10" s="277" t="e">
        <f t="shared" si="3"/>
        <v>#REF!</v>
      </c>
      <c r="D10" s="160" t="e">
        <f t="shared" si="4"/>
        <v>#REF!</v>
      </c>
      <c r="E10" s="160" t="e">
        <f t="shared" si="0"/>
        <v>#REF!</v>
      </c>
      <c r="F10" s="160" t="e">
        <f t="shared" si="1"/>
        <v>#REF!</v>
      </c>
      <c r="G10" s="160" t="e">
        <f t="shared" si="2"/>
        <v>#REF!</v>
      </c>
    </row>
    <row r="11" spans="1:10" ht="69" x14ac:dyDescent="0.3">
      <c r="A11" s="183" t="s">
        <v>331</v>
      </c>
      <c r="B11" s="274" t="s">
        <v>332</v>
      </c>
      <c r="C11" s="277" t="e">
        <f t="shared" si="3"/>
        <v>#REF!</v>
      </c>
      <c r="D11" s="160" t="e">
        <f t="shared" si="4"/>
        <v>#REF!</v>
      </c>
      <c r="E11" s="160" t="e">
        <f t="shared" si="0"/>
        <v>#REF!</v>
      </c>
      <c r="F11" s="160" t="e">
        <f t="shared" si="1"/>
        <v>#REF!</v>
      </c>
      <c r="G11" s="160" t="e">
        <f t="shared" si="2"/>
        <v>#REF!</v>
      </c>
    </row>
    <row r="12" spans="1:10" ht="72" x14ac:dyDescent="0.3">
      <c r="A12" s="54" t="s">
        <v>333</v>
      </c>
      <c r="B12" s="274" t="s">
        <v>330</v>
      </c>
      <c r="C12" s="277" t="e">
        <f t="shared" si="3"/>
        <v>#REF!</v>
      </c>
      <c r="D12" s="160" t="e">
        <f t="shared" si="4"/>
        <v>#REF!</v>
      </c>
      <c r="E12" s="160" t="e">
        <f t="shared" si="0"/>
        <v>#REF!</v>
      </c>
      <c r="F12" s="160" t="e">
        <f t="shared" si="1"/>
        <v>#REF!</v>
      </c>
      <c r="G12" s="160" t="e">
        <f t="shared" si="2"/>
        <v>#REF!</v>
      </c>
    </row>
    <row r="13" spans="1:10" ht="72" x14ac:dyDescent="0.3">
      <c r="A13" s="54" t="s">
        <v>334</v>
      </c>
      <c r="B13" s="274" t="s">
        <v>332</v>
      </c>
      <c r="C13" s="277" t="e">
        <f t="shared" si="3"/>
        <v>#REF!</v>
      </c>
      <c r="D13" s="160" t="e">
        <f t="shared" si="4"/>
        <v>#REF!</v>
      </c>
      <c r="E13" s="160" t="e">
        <f t="shared" si="0"/>
        <v>#REF!</v>
      </c>
      <c r="F13" s="160" t="e">
        <f t="shared" si="1"/>
        <v>#REF!</v>
      </c>
      <c r="G13" s="160" t="e">
        <f t="shared" si="2"/>
        <v>#REF!</v>
      </c>
    </row>
    <row r="14" spans="1:10" ht="86.4" x14ac:dyDescent="0.3">
      <c r="A14" s="54" t="s">
        <v>335</v>
      </c>
      <c r="B14" s="274" t="s">
        <v>330</v>
      </c>
      <c r="C14" s="277" t="e">
        <f t="shared" si="3"/>
        <v>#REF!</v>
      </c>
      <c r="D14" s="160" t="e">
        <f t="shared" si="4"/>
        <v>#REF!</v>
      </c>
      <c r="E14" s="160" t="e">
        <f t="shared" si="0"/>
        <v>#REF!</v>
      </c>
      <c r="F14" s="160" t="e">
        <f t="shared" si="1"/>
        <v>#REF!</v>
      </c>
      <c r="G14" s="160" t="e">
        <f t="shared" si="2"/>
        <v>#REF!</v>
      </c>
    </row>
    <row r="15" spans="1:10" ht="86.4" x14ac:dyDescent="0.3">
      <c r="A15" s="54" t="s">
        <v>336</v>
      </c>
      <c r="B15" s="274" t="s">
        <v>332</v>
      </c>
      <c r="C15" s="277" t="e">
        <f t="shared" si="3"/>
        <v>#REF!</v>
      </c>
      <c r="D15" s="160" t="e">
        <f t="shared" si="4"/>
        <v>#REF!</v>
      </c>
      <c r="E15" s="160" t="e">
        <f t="shared" si="0"/>
        <v>#REF!</v>
      </c>
      <c r="F15" s="160" t="e">
        <f t="shared" si="1"/>
        <v>#REF!</v>
      </c>
      <c r="G15" s="160" t="e">
        <f t="shared" si="2"/>
        <v>#REF!</v>
      </c>
    </row>
    <row r="16" spans="1:10" ht="72" x14ac:dyDescent="0.3">
      <c r="A16" s="54" t="s">
        <v>337</v>
      </c>
      <c r="B16" s="274" t="s">
        <v>330</v>
      </c>
      <c r="C16" s="277" t="e">
        <f t="shared" si="3"/>
        <v>#REF!</v>
      </c>
      <c r="D16" s="160" t="e">
        <f t="shared" si="4"/>
        <v>#REF!</v>
      </c>
      <c r="E16" s="160" t="e">
        <f t="shared" si="0"/>
        <v>#REF!</v>
      </c>
      <c r="F16" s="160" t="e">
        <f t="shared" si="1"/>
        <v>#REF!</v>
      </c>
      <c r="G16" s="160" t="e">
        <f t="shared" si="2"/>
        <v>#REF!</v>
      </c>
    </row>
    <row r="17" spans="1:9" ht="72" x14ac:dyDescent="0.3">
      <c r="A17" s="54" t="s">
        <v>338</v>
      </c>
      <c r="B17" s="274" t="s">
        <v>332</v>
      </c>
      <c r="C17" s="277" t="e">
        <f t="shared" si="3"/>
        <v>#REF!</v>
      </c>
      <c r="D17" s="160" t="e">
        <f t="shared" si="4"/>
        <v>#REF!</v>
      </c>
      <c r="E17" s="160" t="e">
        <f t="shared" si="0"/>
        <v>#REF!</v>
      </c>
      <c r="F17" s="160" t="e">
        <f t="shared" si="1"/>
        <v>#REF!</v>
      </c>
      <c r="G17" s="160" t="e">
        <f t="shared" si="2"/>
        <v>#REF!</v>
      </c>
    </row>
    <row r="18" spans="1:9" ht="27.6" x14ac:dyDescent="0.3">
      <c r="A18" s="54" t="s">
        <v>339</v>
      </c>
      <c r="B18" s="274" t="s">
        <v>330</v>
      </c>
      <c r="C18" s="277" t="e">
        <f t="shared" si="3"/>
        <v>#REF!</v>
      </c>
      <c r="D18" s="160" t="e">
        <f t="shared" si="4"/>
        <v>#REF!</v>
      </c>
      <c r="E18" s="160" t="e">
        <f t="shared" si="0"/>
        <v>#REF!</v>
      </c>
      <c r="F18" s="160" t="e">
        <f t="shared" si="1"/>
        <v>#REF!</v>
      </c>
      <c r="G18" s="160" t="e">
        <f t="shared" si="2"/>
        <v>#REF!</v>
      </c>
    </row>
    <row r="19" spans="1:9" ht="72" x14ac:dyDescent="0.3">
      <c r="A19" s="54" t="s">
        <v>340</v>
      </c>
      <c r="B19" s="274" t="s">
        <v>341</v>
      </c>
      <c r="C19" s="277" t="e">
        <f t="shared" si="3"/>
        <v>#REF!</v>
      </c>
      <c r="D19" s="160" t="e">
        <f t="shared" si="4"/>
        <v>#REF!</v>
      </c>
      <c r="E19" s="160" t="e">
        <f t="shared" si="0"/>
        <v>#REF!</v>
      </c>
      <c r="F19" s="160" t="e">
        <f t="shared" si="1"/>
        <v>#REF!</v>
      </c>
      <c r="G19" s="160" t="e">
        <f t="shared" si="2"/>
        <v>#REF!</v>
      </c>
    </row>
    <row r="20" spans="1:9" ht="72" x14ac:dyDescent="0.3">
      <c r="A20" s="54" t="s">
        <v>342</v>
      </c>
      <c r="B20" s="274" t="s">
        <v>341</v>
      </c>
      <c r="C20" s="277" t="e">
        <f t="shared" si="3"/>
        <v>#REF!</v>
      </c>
      <c r="D20" s="160" t="e">
        <f t="shared" si="4"/>
        <v>#REF!</v>
      </c>
      <c r="E20" s="160" t="e">
        <f t="shared" si="0"/>
        <v>#REF!</v>
      </c>
      <c r="F20" s="160" t="e">
        <f t="shared" si="1"/>
        <v>#REF!</v>
      </c>
      <c r="G20" s="160" t="e">
        <f t="shared" si="2"/>
        <v>#REF!</v>
      </c>
    </row>
    <row r="21" spans="1:9" x14ac:dyDescent="0.3">
      <c r="A21" s="54" t="s">
        <v>343</v>
      </c>
      <c r="B21" s="55" t="s">
        <v>341</v>
      </c>
      <c r="C21" s="277" t="e">
        <f t="shared" si="3"/>
        <v>#REF!</v>
      </c>
      <c r="D21" s="160" t="e">
        <f t="shared" si="4"/>
        <v>#REF!</v>
      </c>
      <c r="E21" s="160" t="e">
        <f t="shared" si="0"/>
        <v>#REF!</v>
      </c>
      <c r="F21" s="160" t="e">
        <f t="shared" si="1"/>
        <v>#REF!</v>
      </c>
      <c r="G21" s="160" t="e">
        <f t="shared" si="2"/>
        <v>#REF!</v>
      </c>
    </row>
    <row r="22" spans="1:9" ht="28.8" x14ac:dyDescent="0.3">
      <c r="A22" s="54" t="s">
        <v>344</v>
      </c>
      <c r="B22" s="55" t="s">
        <v>341</v>
      </c>
      <c r="C22" s="277" t="e">
        <f t="shared" si="3"/>
        <v>#REF!</v>
      </c>
      <c r="D22" s="160" t="e">
        <f t="shared" si="4"/>
        <v>#REF!</v>
      </c>
      <c r="E22" s="160" t="e">
        <f t="shared" si="0"/>
        <v>#REF!</v>
      </c>
      <c r="F22" s="160" t="e">
        <f t="shared" si="1"/>
        <v>#REF!</v>
      </c>
      <c r="G22" s="160" t="e">
        <f t="shared" si="2"/>
        <v>#REF!</v>
      </c>
    </row>
    <row r="23" spans="1:9" ht="28.8" x14ac:dyDescent="0.3">
      <c r="A23" s="54" t="s">
        <v>345</v>
      </c>
      <c r="B23" s="55" t="s">
        <v>346</v>
      </c>
      <c r="C23" s="277" t="e">
        <f t="shared" si="3"/>
        <v>#REF!</v>
      </c>
      <c r="D23" s="160" t="e">
        <f t="shared" si="4"/>
        <v>#REF!</v>
      </c>
      <c r="E23" s="160" t="e">
        <f t="shared" ref="E23:E25" si="5">C23*D23</f>
        <v>#REF!</v>
      </c>
      <c r="F23" s="160" t="e">
        <f t="shared" ref="F23:F25" si="6">E23*3</f>
        <v>#REF!</v>
      </c>
      <c r="G23" s="160" t="e">
        <f t="shared" ref="G23:G25" si="7">E23*12</f>
        <v>#REF!</v>
      </c>
    </row>
    <row r="24" spans="1:9" ht="56.25" customHeight="1" x14ac:dyDescent="0.3">
      <c r="A24" s="54" t="s">
        <v>347</v>
      </c>
      <c r="B24" s="54" t="s">
        <v>341</v>
      </c>
      <c r="C24" s="277" t="e">
        <f t="shared" si="3"/>
        <v>#REF!</v>
      </c>
      <c r="D24" s="278" t="e">
        <f t="shared" si="4"/>
        <v>#REF!</v>
      </c>
      <c r="E24" s="278" t="e">
        <f t="shared" si="5"/>
        <v>#REF!</v>
      </c>
      <c r="F24" s="278" t="e">
        <f t="shared" si="6"/>
        <v>#REF!</v>
      </c>
      <c r="G24" s="278" t="e">
        <f t="shared" si="7"/>
        <v>#REF!</v>
      </c>
    </row>
    <row r="25" spans="1:9" ht="56.25" customHeight="1" x14ac:dyDescent="0.3">
      <c r="A25" s="54" t="s">
        <v>348</v>
      </c>
      <c r="B25" s="54" t="s">
        <v>341</v>
      </c>
      <c r="C25" s="277" t="e">
        <f t="shared" si="3"/>
        <v>#REF!</v>
      </c>
      <c r="D25" s="278" t="e">
        <f t="shared" si="4"/>
        <v>#REF!</v>
      </c>
      <c r="E25" s="278" t="e">
        <f t="shared" si="5"/>
        <v>#REF!</v>
      </c>
      <c r="F25" s="278" t="e">
        <f t="shared" si="6"/>
        <v>#REF!</v>
      </c>
      <c r="G25" s="278" t="e">
        <f t="shared" si="7"/>
        <v>#REF!</v>
      </c>
    </row>
    <row r="27" spans="1:9" x14ac:dyDescent="0.3">
      <c r="F27" s="73" t="e">
        <f>SUM(F4:F26)</f>
        <v>#REF!</v>
      </c>
      <c r="G27" t="e">
        <f>SUM(G4:G26)</f>
        <v>#REF!</v>
      </c>
      <c r="I27" s="73"/>
    </row>
  </sheetData>
  <pageMargins left="0.7" right="0.7" top="0.75" bottom="0.75" header="0.3" footer="0.3"/>
  <pageSetup paperSize="9" firstPageNumber="2147483648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27"/>
  <sheetViews>
    <sheetView zoomScale="70" workbookViewId="0">
      <pane xSplit="1" topLeftCell="B1" activePane="topRight" state="frozen"/>
      <selection pane="topRight"/>
    </sheetView>
  </sheetViews>
  <sheetFormatPr defaultRowHeight="14.4" x14ac:dyDescent="0.3"/>
  <cols>
    <col min="1" max="1" width="26.5546875" style="54" customWidth="1"/>
    <col min="2" max="2" width="11.88671875" style="55" customWidth="1"/>
    <col min="3" max="3" width="13" style="56" customWidth="1"/>
    <col min="4" max="6" width="12.88671875" style="73" customWidth="1"/>
    <col min="7" max="7" width="10.109375" bestFit="1" customWidth="1"/>
  </cols>
  <sheetData>
    <row r="1" spans="1:10" x14ac:dyDescent="0.3">
      <c r="A1" s="95"/>
      <c r="B1" s="95"/>
      <c r="C1" s="95"/>
      <c r="D1" s="270"/>
      <c r="E1" s="270"/>
      <c r="F1" s="270"/>
      <c r="G1" s="271"/>
      <c r="H1" s="271"/>
      <c r="I1" s="271"/>
      <c r="J1" s="271"/>
    </row>
    <row r="2" spans="1:10" ht="30" customHeight="1" x14ac:dyDescent="0.3">
      <c r="A2" s="95"/>
      <c r="B2" s="95"/>
      <c r="C2" s="95"/>
      <c r="D2" s="272">
        <v>0.3</v>
      </c>
      <c r="E2" s="272"/>
      <c r="F2" s="272"/>
      <c r="G2" s="273"/>
      <c r="H2" s="273"/>
      <c r="I2" s="273"/>
      <c r="J2" s="273"/>
    </row>
    <row r="3" spans="1:10" s="64" customFormat="1" ht="55.2" x14ac:dyDescent="0.3">
      <c r="A3" s="183" t="s">
        <v>80</v>
      </c>
      <c r="B3" s="274" t="s">
        <v>49</v>
      </c>
      <c r="C3" s="212" t="s">
        <v>313</v>
      </c>
      <c r="D3" s="275" t="s">
        <v>314</v>
      </c>
      <c r="E3" s="275" t="s">
        <v>315</v>
      </c>
      <c r="F3" s="275" t="s">
        <v>316</v>
      </c>
      <c r="G3" s="275" t="s">
        <v>317</v>
      </c>
    </row>
    <row r="4" spans="1:10" x14ac:dyDescent="0.3">
      <c r="A4" s="183" t="s">
        <v>318</v>
      </c>
      <c r="B4" s="274" t="s">
        <v>319</v>
      </c>
      <c r="C4" s="277">
        <f>'объем работ 100% загр'!J4</f>
        <v>20.862897476025573</v>
      </c>
      <c r="D4" s="160">
        <f>'объем работ 100% загр'!S4</f>
        <v>1</v>
      </c>
      <c r="E4" s="160">
        <f t="shared" ref="E4:E22" si="0">C4*D4</f>
        <v>20.862897476025573</v>
      </c>
      <c r="F4" s="160">
        <f t="shared" ref="F4:F22" si="1">E4*3</f>
        <v>62.588692428076719</v>
      </c>
      <c r="G4" s="160">
        <f t="shared" ref="G4:G22" si="2">E4*12</f>
        <v>250.35476971230688</v>
      </c>
    </row>
    <row r="5" spans="1:10" ht="124.2" x14ac:dyDescent="0.3">
      <c r="A5" s="183" t="s">
        <v>320</v>
      </c>
      <c r="B5" s="274" t="s">
        <v>321</v>
      </c>
      <c r="C5" s="277">
        <f>'объем работ 100% загр'!J5</f>
        <v>0</v>
      </c>
      <c r="D5" s="160">
        <f>'объем работ 100% загр'!S5</f>
        <v>0</v>
      </c>
      <c r="E5" s="160">
        <f t="shared" si="0"/>
        <v>0</v>
      </c>
      <c r="F5" s="160">
        <f t="shared" si="1"/>
        <v>0</v>
      </c>
      <c r="G5" s="160">
        <f t="shared" si="2"/>
        <v>0</v>
      </c>
    </row>
    <row r="6" spans="1:10" ht="123.75" customHeight="1" x14ac:dyDescent="0.3">
      <c r="A6" s="183" t="s">
        <v>322</v>
      </c>
      <c r="B6" s="274" t="s">
        <v>321</v>
      </c>
      <c r="C6" s="277">
        <f>'объем работ 100% загр'!J6</f>
        <v>0</v>
      </c>
      <c r="D6" s="160">
        <f>'объем работ 100% загр'!S6</f>
        <v>0</v>
      </c>
      <c r="E6" s="160">
        <f t="shared" si="0"/>
        <v>0</v>
      </c>
      <c r="F6" s="160">
        <f t="shared" si="1"/>
        <v>0</v>
      </c>
      <c r="G6" s="160">
        <f t="shared" si="2"/>
        <v>0</v>
      </c>
    </row>
    <row r="7" spans="1:10" ht="55.2" x14ac:dyDescent="0.3">
      <c r="A7" s="183" t="s">
        <v>323</v>
      </c>
      <c r="B7" s="274" t="s">
        <v>324</v>
      </c>
      <c r="C7" s="277" t="e">
        <f t="shared" ref="C7:C25" si="3">'объем работ 100% загр'!#REF!</f>
        <v>#REF!</v>
      </c>
      <c r="D7" s="160" t="e">
        <f t="shared" ref="D7:D25" si="4">'объем работ 100% загр'!#REF!</f>
        <v>#REF!</v>
      </c>
      <c r="E7" s="160" t="e">
        <f t="shared" si="0"/>
        <v>#REF!</v>
      </c>
      <c r="F7" s="160" t="e">
        <f t="shared" si="1"/>
        <v>#REF!</v>
      </c>
      <c r="G7" s="160" t="e">
        <f t="shared" si="2"/>
        <v>#REF!</v>
      </c>
    </row>
    <row r="8" spans="1:10" ht="27.6" x14ac:dyDescent="0.3">
      <c r="A8" s="183" t="s">
        <v>325</v>
      </c>
      <c r="B8" s="274" t="s">
        <v>326</v>
      </c>
      <c r="C8" s="277" t="e">
        <f t="shared" si="3"/>
        <v>#REF!</v>
      </c>
      <c r="D8" s="160" t="e">
        <f t="shared" si="4"/>
        <v>#REF!</v>
      </c>
      <c r="E8" s="160" t="e">
        <f t="shared" si="0"/>
        <v>#REF!</v>
      </c>
      <c r="F8" s="160" t="e">
        <f t="shared" si="1"/>
        <v>#REF!</v>
      </c>
      <c r="G8" s="160" t="e">
        <f t="shared" si="2"/>
        <v>#REF!</v>
      </c>
    </row>
    <row r="9" spans="1:10" ht="27.6" x14ac:dyDescent="0.3">
      <c r="A9" s="183" t="s">
        <v>327</v>
      </c>
      <c r="B9" s="274" t="s">
        <v>328</v>
      </c>
      <c r="C9" s="277" t="e">
        <f t="shared" si="3"/>
        <v>#REF!</v>
      </c>
      <c r="D9" s="160" t="e">
        <f t="shared" si="4"/>
        <v>#REF!</v>
      </c>
      <c r="E9" s="160" t="e">
        <f t="shared" si="0"/>
        <v>#REF!</v>
      </c>
      <c r="F9" s="160" t="e">
        <f t="shared" si="1"/>
        <v>#REF!</v>
      </c>
      <c r="G9" s="160" t="e">
        <f t="shared" si="2"/>
        <v>#REF!</v>
      </c>
    </row>
    <row r="10" spans="1:10" ht="69" x14ac:dyDescent="0.3">
      <c r="A10" s="183" t="s">
        <v>329</v>
      </c>
      <c r="B10" s="274" t="s">
        <v>330</v>
      </c>
      <c r="C10" s="277" t="e">
        <f t="shared" si="3"/>
        <v>#REF!</v>
      </c>
      <c r="D10" s="160" t="e">
        <f t="shared" si="4"/>
        <v>#REF!</v>
      </c>
      <c r="E10" s="160" t="e">
        <f t="shared" si="0"/>
        <v>#REF!</v>
      </c>
      <c r="F10" s="160" t="e">
        <f t="shared" si="1"/>
        <v>#REF!</v>
      </c>
      <c r="G10" s="160" t="e">
        <f t="shared" si="2"/>
        <v>#REF!</v>
      </c>
    </row>
    <row r="11" spans="1:10" ht="69" x14ac:dyDescent="0.3">
      <c r="A11" s="183" t="s">
        <v>331</v>
      </c>
      <c r="B11" s="274" t="s">
        <v>332</v>
      </c>
      <c r="C11" s="277" t="e">
        <f t="shared" si="3"/>
        <v>#REF!</v>
      </c>
      <c r="D11" s="160" t="e">
        <f t="shared" si="4"/>
        <v>#REF!</v>
      </c>
      <c r="E11" s="160" t="e">
        <f t="shared" si="0"/>
        <v>#REF!</v>
      </c>
      <c r="F11" s="160" t="e">
        <f t="shared" si="1"/>
        <v>#REF!</v>
      </c>
      <c r="G11" s="160" t="e">
        <f t="shared" si="2"/>
        <v>#REF!</v>
      </c>
    </row>
    <row r="12" spans="1:10" ht="72" x14ac:dyDescent="0.3">
      <c r="A12" s="54" t="s">
        <v>333</v>
      </c>
      <c r="B12" s="274" t="s">
        <v>330</v>
      </c>
      <c r="C12" s="277" t="e">
        <f t="shared" si="3"/>
        <v>#REF!</v>
      </c>
      <c r="D12" s="160" t="e">
        <f t="shared" si="4"/>
        <v>#REF!</v>
      </c>
      <c r="E12" s="160" t="e">
        <f t="shared" si="0"/>
        <v>#REF!</v>
      </c>
      <c r="F12" s="160" t="e">
        <f t="shared" si="1"/>
        <v>#REF!</v>
      </c>
      <c r="G12" s="160" t="e">
        <f t="shared" si="2"/>
        <v>#REF!</v>
      </c>
    </row>
    <row r="13" spans="1:10" ht="72" x14ac:dyDescent="0.3">
      <c r="A13" s="54" t="s">
        <v>334</v>
      </c>
      <c r="B13" s="274" t="s">
        <v>332</v>
      </c>
      <c r="C13" s="277" t="e">
        <f t="shared" si="3"/>
        <v>#REF!</v>
      </c>
      <c r="D13" s="160" t="e">
        <f t="shared" si="4"/>
        <v>#REF!</v>
      </c>
      <c r="E13" s="160" t="e">
        <f t="shared" si="0"/>
        <v>#REF!</v>
      </c>
      <c r="F13" s="160" t="e">
        <f t="shared" si="1"/>
        <v>#REF!</v>
      </c>
      <c r="G13" s="160" t="e">
        <f t="shared" si="2"/>
        <v>#REF!</v>
      </c>
    </row>
    <row r="14" spans="1:10" ht="86.4" x14ac:dyDescent="0.3">
      <c r="A14" s="54" t="s">
        <v>335</v>
      </c>
      <c r="B14" s="274" t="s">
        <v>330</v>
      </c>
      <c r="C14" s="277" t="e">
        <f t="shared" si="3"/>
        <v>#REF!</v>
      </c>
      <c r="D14" s="160" t="e">
        <f t="shared" si="4"/>
        <v>#REF!</v>
      </c>
      <c r="E14" s="160" t="e">
        <f t="shared" si="0"/>
        <v>#REF!</v>
      </c>
      <c r="F14" s="160" t="e">
        <f t="shared" si="1"/>
        <v>#REF!</v>
      </c>
      <c r="G14" s="160" t="e">
        <f t="shared" si="2"/>
        <v>#REF!</v>
      </c>
    </row>
    <row r="15" spans="1:10" ht="86.4" x14ac:dyDescent="0.3">
      <c r="A15" s="54" t="s">
        <v>336</v>
      </c>
      <c r="B15" s="274" t="s">
        <v>332</v>
      </c>
      <c r="C15" s="277" t="e">
        <f t="shared" si="3"/>
        <v>#REF!</v>
      </c>
      <c r="D15" s="160" t="e">
        <f t="shared" si="4"/>
        <v>#REF!</v>
      </c>
      <c r="E15" s="160" t="e">
        <f t="shared" si="0"/>
        <v>#REF!</v>
      </c>
      <c r="F15" s="160" t="e">
        <f t="shared" si="1"/>
        <v>#REF!</v>
      </c>
      <c r="G15" s="160" t="e">
        <f t="shared" si="2"/>
        <v>#REF!</v>
      </c>
    </row>
    <row r="16" spans="1:10" ht="72" x14ac:dyDescent="0.3">
      <c r="A16" s="54" t="s">
        <v>337</v>
      </c>
      <c r="B16" s="274" t="s">
        <v>330</v>
      </c>
      <c r="C16" s="277" t="e">
        <f t="shared" si="3"/>
        <v>#REF!</v>
      </c>
      <c r="D16" s="160" t="e">
        <f t="shared" si="4"/>
        <v>#REF!</v>
      </c>
      <c r="E16" s="160" t="e">
        <f t="shared" si="0"/>
        <v>#REF!</v>
      </c>
      <c r="F16" s="160" t="e">
        <f t="shared" si="1"/>
        <v>#REF!</v>
      </c>
      <c r="G16" s="160" t="e">
        <f t="shared" si="2"/>
        <v>#REF!</v>
      </c>
    </row>
    <row r="17" spans="1:9" ht="72" x14ac:dyDescent="0.3">
      <c r="A17" s="54" t="s">
        <v>338</v>
      </c>
      <c r="B17" s="274" t="s">
        <v>332</v>
      </c>
      <c r="C17" s="277" t="e">
        <f t="shared" si="3"/>
        <v>#REF!</v>
      </c>
      <c r="D17" s="160" t="e">
        <f t="shared" si="4"/>
        <v>#REF!</v>
      </c>
      <c r="E17" s="160" t="e">
        <f t="shared" si="0"/>
        <v>#REF!</v>
      </c>
      <c r="F17" s="160" t="e">
        <f t="shared" si="1"/>
        <v>#REF!</v>
      </c>
      <c r="G17" s="160" t="e">
        <f t="shared" si="2"/>
        <v>#REF!</v>
      </c>
    </row>
    <row r="18" spans="1:9" ht="27.6" x14ac:dyDescent="0.3">
      <c r="A18" s="54" t="s">
        <v>339</v>
      </c>
      <c r="B18" s="274" t="s">
        <v>330</v>
      </c>
      <c r="C18" s="277" t="e">
        <f t="shared" si="3"/>
        <v>#REF!</v>
      </c>
      <c r="D18" s="160" t="e">
        <f t="shared" si="4"/>
        <v>#REF!</v>
      </c>
      <c r="E18" s="160" t="e">
        <f t="shared" si="0"/>
        <v>#REF!</v>
      </c>
      <c r="F18" s="160" t="e">
        <f t="shared" si="1"/>
        <v>#REF!</v>
      </c>
      <c r="G18" s="160" t="e">
        <f t="shared" si="2"/>
        <v>#REF!</v>
      </c>
    </row>
    <row r="19" spans="1:9" ht="72" x14ac:dyDescent="0.3">
      <c r="A19" s="54" t="s">
        <v>340</v>
      </c>
      <c r="B19" s="274" t="s">
        <v>341</v>
      </c>
      <c r="C19" s="277" t="e">
        <f t="shared" si="3"/>
        <v>#REF!</v>
      </c>
      <c r="D19" s="160" t="e">
        <f t="shared" si="4"/>
        <v>#REF!</v>
      </c>
      <c r="E19" s="160" t="e">
        <f t="shared" si="0"/>
        <v>#REF!</v>
      </c>
      <c r="F19" s="160" t="e">
        <f t="shared" si="1"/>
        <v>#REF!</v>
      </c>
      <c r="G19" s="160" t="e">
        <f t="shared" si="2"/>
        <v>#REF!</v>
      </c>
    </row>
    <row r="20" spans="1:9" ht="72" x14ac:dyDescent="0.3">
      <c r="A20" s="54" t="s">
        <v>342</v>
      </c>
      <c r="B20" s="274" t="s">
        <v>341</v>
      </c>
      <c r="C20" s="277" t="e">
        <f t="shared" si="3"/>
        <v>#REF!</v>
      </c>
      <c r="D20" s="160" t="e">
        <f t="shared" si="4"/>
        <v>#REF!</v>
      </c>
      <c r="E20" s="160" t="e">
        <f t="shared" si="0"/>
        <v>#REF!</v>
      </c>
      <c r="F20" s="160" t="e">
        <f t="shared" si="1"/>
        <v>#REF!</v>
      </c>
      <c r="G20" s="160" t="e">
        <f t="shared" si="2"/>
        <v>#REF!</v>
      </c>
    </row>
    <row r="21" spans="1:9" x14ac:dyDescent="0.3">
      <c r="A21" s="54" t="s">
        <v>343</v>
      </c>
      <c r="B21" s="55" t="s">
        <v>341</v>
      </c>
      <c r="C21" s="277" t="e">
        <f t="shared" si="3"/>
        <v>#REF!</v>
      </c>
      <c r="D21" s="160" t="e">
        <f t="shared" si="4"/>
        <v>#REF!</v>
      </c>
      <c r="E21" s="160" t="e">
        <f t="shared" si="0"/>
        <v>#REF!</v>
      </c>
      <c r="F21" s="160" t="e">
        <f t="shared" si="1"/>
        <v>#REF!</v>
      </c>
      <c r="G21" s="160" t="e">
        <f t="shared" si="2"/>
        <v>#REF!</v>
      </c>
    </row>
    <row r="22" spans="1:9" ht="28.8" x14ac:dyDescent="0.3">
      <c r="A22" s="54" t="s">
        <v>344</v>
      </c>
      <c r="B22" s="55" t="s">
        <v>341</v>
      </c>
      <c r="C22" s="277" t="e">
        <f t="shared" si="3"/>
        <v>#REF!</v>
      </c>
      <c r="D22" s="160" t="e">
        <f t="shared" si="4"/>
        <v>#REF!</v>
      </c>
      <c r="E22" s="160" t="e">
        <f t="shared" si="0"/>
        <v>#REF!</v>
      </c>
      <c r="F22" s="160" t="e">
        <f t="shared" si="1"/>
        <v>#REF!</v>
      </c>
      <c r="G22" s="160" t="e">
        <f t="shared" si="2"/>
        <v>#REF!</v>
      </c>
    </row>
    <row r="23" spans="1:9" ht="28.8" x14ac:dyDescent="0.3">
      <c r="A23" s="54" t="s">
        <v>345</v>
      </c>
      <c r="B23" s="55" t="s">
        <v>346</v>
      </c>
      <c r="C23" s="277" t="e">
        <f t="shared" si="3"/>
        <v>#REF!</v>
      </c>
      <c r="D23" s="160" t="e">
        <f t="shared" si="4"/>
        <v>#REF!</v>
      </c>
      <c r="E23" s="160" t="e">
        <f t="shared" ref="E23:E25" si="5">C23*D23</f>
        <v>#REF!</v>
      </c>
      <c r="F23" s="160" t="e">
        <f t="shared" ref="F23:F25" si="6">E23*3</f>
        <v>#REF!</v>
      </c>
      <c r="G23" s="160" t="e">
        <f t="shared" ref="G23:G25" si="7">E23*12</f>
        <v>#REF!</v>
      </c>
    </row>
    <row r="24" spans="1:9" ht="56.25" customHeight="1" x14ac:dyDescent="0.3">
      <c r="A24" s="54" t="s">
        <v>347</v>
      </c>
      <c r="B24" s="54" t="s">
        <v>341</v>
      </c>
      <c r="C24" s="277" t="e">
        <f t="shared" si="3"/>
        <v>#REF!</v>
      </c>
      <c r="D24" s="278" t="e">
        <f t="shared" si="4"/>
        <v>#REF!</v>
      </c>
      <c r="E24" s="278" t="e">
        <f t="shared" si="5"/>
        <v>#REF!</v>
      </c>
      <c r="F24" s="278" t="e">
        <f t="shared" si="6"/>
        <v>#REF!</v>
      </c>
      <c r="G24" s="278" t="e">
        <f t="shared" si="7"/>
        <v>#REF!</v>
      </c>
    </row>
    <row r="25" spans="1:9" ht="56.25" customHeight="1" x14ac:dyDescent="0.3">
      <c r="A25" s="54" t="s">
        <v>348</v>
      </c>
      <c r="B25" s="54" t="s">
        <v>341</v>
      </c>
      <c r="C25" s="277" t="e">
        <f t="shared" si="3"/>
        <v>#REF!</v>
      </c>
      <c r="D25" s="278" t="e">
        <f t="shared" si="4"/>
        <v>#REF!</v>
      </c>
      <c r="E25" s="278" t="e">
        <f t="shared" si="5"/>
        <v>#REF!</v>
      </c>
      <c r="F25" s="278" t="e">
        <f t="shared" si="6"/>
        <v>#REF!</v>
      </c>
      <c r="G25" s="278" t="e">
        <f t="shared" si="7"/>
        <v>#REF!</v>
      </c>
    </row>
    <row r="27" spans="1:9" x14ac:dyDescent="0.3">
      <c r="F27" s="73" t="e">
        <f>SUM(F4:F26)</f>
        <v>#REF!</v>
      </c>
      <c r="G27" t="e">
        <f>SUM(G4:G26)</f>
        <v>#REF!</v>
      </c>
      <c r="I27" s="73"/>
    </row>
  </sheetData>
  <pageMargins left="0.7" right="0.7" top="0.75" bottom="0.75" header="0.3" footer="0.3"/>
  <pageSetup paperSize="9" firstPageNumber="2147483648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27"/>
  <sheetViews>
    <sheetView zoomScale="70" workbookViewId="0">
      <pane xSplit="1" topLeftCell="B1" activePane="topRight" state="frozen"/>
      <selection pane="topRight"/>
    </sheetView>
  </sheetViews>
  <sheetFormatPr defaultRowHeight="14.4" x14ac:dyDescent="0.3"/>
  <cols>
    <col min="1" max="1" width="26.5546875" style="54" customWidth="1"/>
    <col min="2" max="2" width="11.88671875" style="55" customWidth="1"/>
    <col min="3" max="3" width="13" style="56" customWidth="1"/>
    <col min="4" max="6" width="12.88671875" style="73" customWidth="1"/>
    <col min="7" max="7" width="10.109375" bestFit="1" customWidth="1"/>
  </cols>
  <sheetData>
    <row r="1" spans="1:10" x14ac:dyDescent="0.3">
      <c r="A1" s="95"/>
      <c r="B1" s="95"/>
      <c r="C1" s="95"/>
      <c r="D1" s="270"/>
      <c r="E1" s="270"/>
      <c r="F1" s="270"/>
      <c r="G1" s="271"/>
      <c r="H1" s="271"/>
      <c r="I1" s="271"/>
      <c r="J1" s="271"/>
    </row>
    <row r="2" spans="1:10" ht="30" customHeight="1" x14ac:dyDescent="0.3">
      <c r="A2" s="95"/>
      <c r="B2" s="95"/>
      <c r="C2" s="95"/>
      <c r="D2" s="272">
        <v>0.3</v>
      </c>
      <c r="E2" s="272"/>
      <c r="F2" s="272"/>
      <c r="G2" s="273"/>
      <c r="H2" s="273"/>
      <c r="I2" s="273"/>
      <c r="J2" s="273"/>
    </row>
    <row r="3" spans="1:10" s="64" customFormat="1" ht="55.2" x14ac:dyDescent="0.3">
      <c r="A3" s="183" t="s">
        <v>80</v>
      </c>
      <c r="B3" s="274" t="s">
        <v>49</v>
      </c>
      <c r="C3" s="212" t="s">
        <v>313</v>
      </c>
      <c r="D3" s="275" t="s">
        <v>314</v>
      </c>
      <c r="E3" s="275" t="s">
        <v>315</v>
      </c>
      <c r="F3" s="275" t="s">
        <v>316</v>
      </c>
      <c r="G3" s="275" t="s">
        <v>317</v>
      </c>
    </row>
    <row r="4" spans="1:10" x14ac:dyDescent="0.3">
      <c r="A4" s="183" t="s">
        <v>318</v>
      </c>
      <c r="B4" s="274" t="s">
        <v>319</v>
      </c>
      <c r="C4" s="277">
        <f>'объем работ 100% загр'!K4</f>
        <v>21.175840938165955</v>
      </c>
      <c r="D4" s="160">
        <f>'объем работ 100% загр'!S4</f>
        <v>1</v>
      </c>
      <c r="E4" s="160">
        <f t="shared" ref="E4:E22" si="0">C4*D4</f>
        <v>21.175840938165955</v>
      </c>
      <c r="F4" s="160">
        <f t="shared" ref="F4:F22" si="1">E4*3</f>
        <v>63.527522814497864</v>
      </c>
      <c r="G4" s="160">
        <f t="shared" ref="G4:G22" si="2">E4*12</f>
        <v>254.11009125799146</v>
      </c>
    </row>
    <row r="5" spans="1:10" ht="124.2" x14ac:dyDescent="0.3">
      <c r="A5" s="183" t="s">
        <v>320</v>
      </c>
      <c r="B5" s="274" t="s">
        <v>321</v>
      </c>
      <c r="C5" s="277">
        <f>'объем работ 100% загр'!K5</f>
        <v>0</v>
      </c>
      <c r="D5" s="160">
        <f>'объем работ 100% загр'!S5</f>
        <v>0</v>
      </c>
      <c r="E5" s="160">
        <f t="shared" si="0"/>
        <v>0</v>
      </c>
      <c r="F5" s="160">
        <f t="shared" si="1"/>
        <v>0</v>
      </c>
      <c r="G5" s="160">
        <f t="shared" si="2"/>
        <v>0</v>
      </c>
    </row>
    <row r="6" spans="1:10" ht="123.75" customHeight="1" x14ac:dyDescent="0.3">
      <c r="A6" s="183" t="s">
        <v>322</v>
      </c>
      <c r="B6" s="274" t="s">
        <v>321</v>
      </c>
      <c r="C6" s="277">
        <f>'объем работ 100% загр'!K6</f>
        <v>0</v>
      </c>
      <c r="D6" s="160">
        <f>'объем работ 100% загр'!S6</f>
        <v>0</v>
      </c>
      <c r="E6" s="160">
        <f t="shared" si="0"/>
        <v>0</v>
      </c>
      <c r="F6" s="160">
        <f t="shared" si="1"/>
        <v>0</v>
      </c>
      <c r="G6" s="160">
        <f t="shared" si="2"/>
        <v>0</v>
      </c>
    </row>
    <row r="7" spans="1:10" ht="55.2" x14ac:dyDescent="0.3">
      <c r="A7" s="183" t="s">
        <v>323</v>
      </c>
      <c r="B7" s="274" t="s">
        <v>324</v>
      </c>
      <c r="C7" s="277" t="e">
        <f t="shared" ref="C7:C25" si="3">'объем работ 100% загр'!#REF!</f>
        <v>#REF!</v>
      </c>
      <c r="D7" s="160" t="e">
        <f t="shared" ref="D7:D25" si="4">'объем работ 100% загр'!#REF!</f>
        <v>#REF!</v>
      </c>
      <c r="E7" s="160" t="e">
        <f t="shared" si="0"/>
        <v>#REF!</v>
      </c>
      <c r="F7" s="160" t="e">
        <f t="shared" si="1"/>
        <v>#REF!</v>
      </c>
      <c r="G7" s="160" t="e">
        <f t="shared" si="2"/>
        <v>#REF!</v>
      </c>
    </row>
    <row r="8" spans="1:10" ht="27.6" x14ac:dyDescent="0.3">
      <c r="A8" s="183" t="s">
        <v>325</v>
      </c>
      <c r="B8" s="274" t="s">
        <v>326</v>
      </c>
      <c r="C8" s="277" t="e">
        <f t="shared" si="3"/>
        <v>#REF!</v>
      </c>
      <c r="D8" s="160" t="e">
        <f t="shared" si="4"/>
        <v>#REF!</v>
      </c>
      <c r="E8" s="160" t="e">
        <f t="shared" si="0"/>
        <v>#REF!</v>
      </c>
      <c r="F8" s="160" t="e">
        <f t="shared" si="1"/>
        <v>#REF!</v>
      </c>
      <c r="G8" s="160" t="e">
        <f t="shared" si="2"/>
        <v>#REF!</v>
      </c>
    </row>
    <row r="9" spans="1:10" ht="27.6" x14ac:dyDescent="0.3">
      <c r="A9" s="183" t="s">
        <v>327</v>
      </c>
      <c r="B9" s="274" t="s">
        <v>328</v>
      </c>
      <c r="C9" s="277" t="e">
        <f t="shared" si="3"/>
        <v>#REF!</v>
      </c>
      <c r="D9" s="160" t="e">
        <f t="shared" si="4"/>
        <v>#REF!</v>
      </c>
      <c r="E9" s="160" t="e">
        <f t="shared" si="0"/>
        <v>#REF!</v>
      </c>
      <c r="F9" s="160" t="e">
        <f t="shared" si="1"/>
        <v>#REF!</v>
      </c>
      <c r="G9" s="160" t="e">
        <f t="shared" si="2"/>
        <v>#REF!</v>
      </c>
    </row>
    <row r="10" spans="1:10" ht="69" x14ac:dyDescent="0.3">
      <c r="A10" s="183" t="s">
        <v>329</v>
      </c>
      <c r="B10" s="274" t="s">
        <v>330</v>
      </c>
      <c r="C10" s="277" t="e">
        <f t="shared" si="3"/>
        <v>#REF!</v>
      </c>
      <c r="D10" s="160" t="e">
        <f t="shared" si="4"/>
        <v>#REF!</v>
      </c>
      <c r="E10" s="160" t="e">
        <f t="shared" si="0"/>
        <v>#REF!</v>
      </c>
      <c r="F10" s="160" t="e">
        <f t="shared" si="1"/>
        <v>#REF!</v>
      </c>
      <c r="G10" s="160" t="e">
        <f t="shared" si="2"/>
        <v>#REF!</v>
      </c>
    </row>
    <row r="11" spans="1:10" ht="69" x14ac:dyDescent="0.3">
      <c r="A11" s="183" t="s">
        <v>331</v>
      </c>
      <c r="B11" s="274" t="s">
        <v>332</v>
      </c>
      <c r="C11" s="277" t="e">
        <f t="shared" si="3"/>
        <v>#REF!</v>
      </c>
      <c r="D11" s="160" t="e">
        <f t="shared" si="4"/>
        <v>#REF!</v>
      </c>
      <c r="E11" s="160" t="e">
        <f t="shared" si="0"/>
        <v>#REF!</v>
      </c>
      <c r="F11" s="160" t="e">
        <f t="shared" si="1"/>
        <v>#REF!</v>
      </c>
      <c r="G11" s="160" t="e">
        <f t="shared" si="2"/>
        <v>#REF!</v>
      </c>
    </row>
    <row r="12" spans="1:10" ht="72" x14ac:dyDescent="0.3">
      <c r="A12" s="54" t="s">
        <v>333</v>
      </c>
      <c r="B12" s="274" t="s">
        <v>330</v>
      </c>
      <c r="C12" s="277" t="e">
        <f t="shared" si="3"/>
        <v>#REF!</v>
      </c>
      <c r="D12" s="160" t="e">
        <f t="shared" si="4"/>
        <v>#REF!</v>
      </c>
      <c r="E12" s="160" t="e">
        <f t="shared" si="0"/>
        <v>#REF!</v>
      </c>
      <c r="F12" s="160" t="e">
        <f t="shared" si="1"/>
        <v>#REF!</v>
      </c>
      <c r="G12" s="160" t="e">
        <f t="shared" si="2"/>
        <v>#REF!</v>
      </c>
    </row>
    <row r="13" spans="1:10" ht="72" x14ac:dyDescent="0.3">
      <c r="A13" s="54" t="s">
        <v>334</v>
      </c>
      <c r="B13" s="274" t="s">
        <v>332</v>
      </c>
      <c r="C13" s="277" t="e">
        <f t="shared" si="3"/>
        <v>#REF!</v>
      </c>
      <c r="D13" s="160" t="e">
        <f t="shared" si="4"/>
        <v>#REF!</v>
      </c>
      <c r="E13" s="160" t="e">
        <f t="shared" si="0"/>
        <v>#REF!</v>
      </c>
      <c r="F13" s="160" t="e">
        <f t="shared" si="1"/>
        <v>#REF!</v>
      </c>
      <c r="G13" s="160" t="e">
        <f t="shared" si="2"/>
        <v>#REF!</v>
      </c>
    </row>
    <row r="14" spans="1:10" ht="86.4" x14ac:dyDescent="0.3">
      <c r="A14" s="54" t="s">
        <v>335</v>
      </c>
      <c r="B14" s="274" t="s">
        <v>330</v>
      </c>
      <c r="C14" s="277" t="e">
        <f t="shared" si="3"/>
        <v>#REF!</v>
      </c>
      <c r="D14" s="160" t="e">
        <f t="shared" si="4"/>
        <v>#REF!</v>
      </c>
      <c r="E14" s="160" t="e">
        <f t="shared" si="0"/>
        <v>#REF!</v>
      </c>
      <c r="F14" s="160" t="e">
        <f t="shared" si="1"/>
        <v>#REF!</v>
      </c>
      <c r="G14" s="160" t="e">
        <f t="shared" si="2"/>
        <v>#REF!</v>
      </c>
    </row>
    <row r="15" spans="1:10" ht="86.4" x14ac:dyDescent="0.3">
      <c r="A15" s="54" t="s">
        <v>336</v>
      </c>
      <c r="B15" s="274" t="s">
        <v>332</v>
      </c>
      <c r="C15" s="277" t="e">
        <f t="shared" si="3"/>
        <v>#REF!</v>
      </c>
      <c r="D15" s="160" t="e">
        <f t="shared" si="4"/>
        <v>#REF!</v>
      </c>
      <c r="E15" s="160" t="e">
        <f t="shared" si="0"/>
        <v>#REF!</v>
      </c>
      <c r="F15" s="160" t="e">
        <f t="shared" si="1"/>
        <v>#REF!</v>
      </c>
      <c r="G15" s="160" t="e">
        <f t="shared" si="2"/>
        <v>#REF!</v>
      </c>
    </row>
    <row r="16" spans="1:10" ht="72" x14ac:dyDescent="0.3">
      <c r="A16" s="54" t="s">
        <v>337</v>
      </c>
      <c r="B16" s="274" t="s">
        <v>330</v>
      </c>
      <c r="C16" s="277" t="e">
        <f t="shared" si="3"/>
        <v>#REF!</v>
      </c>
      <c r="D16" s="160" t="e">
        <f t="shared" si="4"/>
        <v>#REF!</v>
      </c>
      <c r="E16" s="160" t="e">
        <f t="shared" si="0"/>
        <v>#REF!</v>
      </c>
      <c r="F16" s="160" t="e">
        <f t="shared" si="1"/>
        <v>#REF!</v>
      </c>
      <c r="G16" s="160" t="e">
        <f t="shared" si="2"/>
        <v>#REF!</v>
      </c>
    </row>
    <row r="17" spans="1:9" ht="72" x14ac:dyDescent="0.3">
      <c r="A17" s="54" t="s">
        <v>338</v>
      </c>
      <c r="B17" s="274" t="s">
        <v>332</v>
      </c>
      <c r="C17" s="277" t="e">
        <f t="shared" si="3"/>
        <v>#REF!</v>
      </c>
      <c r="D17" s="160" t="e">
        <f t="shared" si="4"/>
        <v>#REF!</v>
      </c>
      <c r="E17" s="160" t="e">
        <f t="shared" si="0"/>
        <v>#REF!</v>
      </c>
      <c r="F17" s="160" t="e">
        <f t="shared" si="1"/>
        <v>#REF!</v>
      </c>
      <c r="G17" s="160" t="e">
        <f t="shared" si="2"/>
        <v>#REF!</v>
      </c>
    </row>
    <row r="18" spans="1:9" ht="27.6" x14ac:dyDescent="0.3">
      <c r="A18" s="54" t="s">
        <v>339</v>
      </c>
      <c r="B18" s="274" t="s">
        <v>330</v>
      </c>
      <c r="C18" s="277" t="e">
        <f t="shared" si="3"/>
        <v>#REF!</v>
      </c>
      <c r="D18" s="160" t="e">
        <f t="shared" si="4"/>
        <v>#REF!</v>
      </c>
      <c r="E18" s="160" t="e">
        <f t="shared" si="0"/>
        <v>#REF!</v>
      </c>
      <c r="F18" s="160" t="e">
        <f t="shared" si="1"/>
        <v>#REF!</v>
      </c>
      <c r="G18" s="160" t="e">
        <f t="shared" si="2"/>
        <v>#REF!</v>
      </c>
    </row>
    <row r="19" spans="1:9" ht="72" x14ac:dyDescent="0.3">
      <c r="A19" s="54" t="s">
        <v>340</v>
      </c>
      <c r="B19" s="274" t="s">
        <v>341</v>
      </c>
      <c r="C19" s="277" t="e">
        <f t="shared" si="3"/>
        <v>#REF!</v>
      </c>
      <c r="D19" s="160" t="e">
        <f t="shared" si="4"/>
        <v>#REF!</v>
      </c>
      <c r="E19" s="160" t="e">
        <f t="shared" si="0"/>
        <v>#REF!</v>
      </c>
      <c r="F19" s="160" t="e">
        <f t="shared" si="1"/>
        <v>#REF!</v>
      </c>
      <c r="G19" s="160" t="e">
        <f t="shared" si="2"/>
        <v>#REF!</v>
      </c>
    </row>
    <row r="20" spans="1:9" ht="72" x14ac:dyDescent="0.3">
      <c r="A20" s="54" t="s">
        <v>342</v>
      </c>
      <c r="B20" s="274" t="s">
        <v>341</v>
      </c>
      <c r="C20" s="277" t="e">
        <f t="shared" si="3"/>
        <v>#REF!</v>
      </c>
      <c r="D20" s="160" t="e">
        <f t="shared" si="4"/>
        <v>#REF!</v>
      </c>
      <c r="E20" s="160" t="e">
        <f t="shared" si="0"/>
        <v>#REF!</v>
      </c>
      <c r="F20" s="160" t="e">
        <f t="shared" si="1"/>
        <v>#REF!</v>
      </c>
      <c r="G20" s="160" t="e">
        <f t="shared" si="2"/>
        <v>#REF!</v>
      </c>
    </row>
    <row r="21" spans="1:9" x14ac:dyDescent="0.3">
      <c r="A21" s="54" t="s">
        <v>343</v>
      </c>
      <c r="B21" s="55" t="s">
        <v>341</v>
      </c>
      <c r="C21" s="277" t="e">
        <f t="shared" si="3"/>
        <v>#REF!</v>
      </c>
      <c r="D21" s="160" t="e">
        <f t="shared" si="4"/>
        <v>#REF!</v>
      </c>
      <c r="E21" s="160" t="e">
        <f t="shared" si="0"/>
        <v>#REF!</v>
      </c>
      <c r="F21" s="160" t="e">
        <f t="shared" si="1"/>
        <v>#REF!</v>
      </c>
      <c r="G21" s="160" t="e">
        <f t="shared" si="2"/>
        <v>#REF!</v>
      </c>
    </row>
    <row r="22" spans="1:9" ht="28.8" x14ac:dyDescent="0.3">
      <c r="A22" s="54" t="s">
        <v>344</v>
      </c>
      <c r="B22" s="55" t="s">
        <v>341</v>
      </c>
      <c r="C22" s="277" t="e">
        <f t="shared" si="3"/>
        <v>#REF!</v>
      </c>
      <c r="D22" s="160" t="e">
        <f t="shared" si="4"/>
        <v>#REF!</v>
      </c>
      <c r="E22" s="160" t="e">
        <f t="shared" si="0"/>
        <v>#REF!</v>
      </c>
      <c r="F22" s="160" t="e">
        <f t="shared" si="1"/>
        <v>#REF!</v>
      </c>
      <c r="G22" s="160" t="e">
        <f t="shared" si="2"/>
        <v>#REF!</v>
      </c>
    </row>
    <row r="23" spans="1:9" ht="28.8" x14ac:dyDescent="0.3">
      <c r="A23" s="54" t="s">
        <v>345</v>
      </c>
      <c r="B23" s="55" t="s">
        <v>346</v>
      </c>
      <c r="C23" s="277" t="e">
        <f t="shared" si="3"/>
        <v>#REF!</v>
      </c>
      <c r="D23" s="160" t="e">
        <f t="shared" si="4"/>
        <v>#REF!</v>
      </c>
      <c r="E23" s="160" t="e">
        <f t="shared" ref="E23:E25" si="5">C23*D23</f>
        <v>#REF!</v>
      </c>
      <c r="F23" s="160" t="e">
        <f t="shared" ref="F23:F25" si="6">E23*3</f>
        <v>#REF!</v>
      </c>
      <c r="G23" s="160" t="e">
        <f t="shared" ref="G23:G25" si="7">E23*12</f>
        <v>#REF!</v>
      </c>
    </row>
    <row r="24" spans="1:9" ht="56.25" customHeight="1" x14ac:dyDescent="0.3">
      <c r="A24" s="54" t="s">
        <v>347</v>
      </c>
      <c r="B24" s="54" t="s">
        <v>341</v>
      </c>
      <c r="C24" s="277" t="e">
        <f t="shared" si="3"/>
        <v>#REF!</v>
      </c>
      <c r="D24" s="278" t="e">
        <f t="shared" si="4"/>
        <v>#REF!</v>
      </c>
      <c r="E24" s="278" t="e">
        <f t="shared" si="5"/>
        <v>#REF!</v>
      </c>
      <c r="F24" s="278" t="e">
        <f t="shared" si="6"/>
        <v>#REF!</v>
      </c>
      <c r="G24" s="278" t="e">
        <f t="shared" si="7"/>
        <v>#REF!</v>
      </c>
    </row>
    <row r="25" spans="1:9" ht="56.25" customHeight="1" x14ac:dyDescent="0.3">
      <c r="A25" s="54" t="s">
        <v>348</v>
      </c>
      <c r="B25" s="54" t="s">
        <v>341</v>
      </c>
      <c r="C25" s="277" t="e">
        <f t="shared" si="3"/>
        <v>#REF!</v>
      </c>
      <c r="D25" s="278" t="e">
        <f t="shared" si="4"/>
        <v>#REF!</v>
      </c>
      <c r="E25" s="278" t="e">
        <f t="shared" si="5"/>
        <v>#REF!</v>
      </c>
      <c r="F25" s="278" t="e">
        <f t="shared" si="6"/>
        <v>#REF!</v>
      </c>
      <c r="G25" s="278" t="e">
        <f t="shared" si="7"/>
        <v>#REF!</v>
      </c>
    </row>
    <row r="27" spans="1:9" x14ac:dyDescent="0.3">
      <c r="F27" s="73" t="e">
        <f>SUM(F4:F26)</f>
        <v>#REF!</v>
      </c>
      <c r="G27" t="e">
        <f>SUM(G4:G26)</f>
        <v>#REF!</v>
      </c>
      <c r="I27" s="73"/>
    </row>
  </sheetData>
  <pageMargins left="0.7" right="0.7" top="0.75" bottom="0.75" header="0.3" footer="0.3"/>
  <pageSetup paperSize="9" firstPageNumber="2147483648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27"/>
  <sheetViews>
    <sheetView zoomScale="70" workbookViewId="0">
      <pane xSplit="1" topLeftCell="B1" activePane="topRight" state="frozen"/>
      <selection pane="topRight"/>
    </sheetView>
  </sheetViews>
  <sheetFormatPr defaultRowHeight="14.4" x14ac:dyDescent="0.3"/>
  <cols>
    <col min="1" max="1" width="26.5546875" style="54" customWidth="1"/>
    <col min="2" max="2" width="11.88671875" style="55" customWidth="1"/>
    <col min="3" max="3" width="13" style="56" customWidth="1"/>
    <col min="4" max="6" width="12.88671875" style="73" customWidth="1"/>
    <col min="7" max="7" width="10.109375" bestFit="1" customWidth="1"/>
  </cols>
  <sheetData>
    <row r="1" spans="1:10" x14ac:dyDescent="0.3">
      <c r="A1" s="95"/>
      <c r="B1" s="95"/>
      <c r="C1" s="95"/>
      <c r="D1" s="270"/>
      <c r="E1" s="270"/>
      <c r="F1" s="270"/>
      <c r="G1" s="271"/>
      <c r="H1" s="271"/>
      <c r="I1" s="271"/>
      <c r="J1" s="271"/>
    </row>
    <row r="2" spans="1:10" ht="30" customHeight="1" x14ac:dyDescent="0.3">
      <c r="A2" s="95"/>
      <c r="B2" s="95"/>
      <c r="C2" s="95"/>
      <c r="D2" s="272">
        <v>0.3</v>
      </c>
      <c r="E2" s="272"/>
      <c r="F2" s="272"/>
      <c r="G2" s="273"/>
      <c r="H2" s="273"/>
      <c r="I2" s="273"/>
      <c r="J2" s="273"/>
    </row>
    <row r="3" spans="1:10" s="64" customFormat="1" ht="55.2" x14ac:dyDescent="0.3">
      <c r="A3" s="183" t="s">
        <v>80</v>
      </c>
      <c r="B3" s="274" t="s">
        <v>49</v>
      </c>
      <c r="C3" s="212" t="s">
        <v>313</v>
      </c>
      <c r="D3" s="275" t="s">
        <v>314</v>
      </c>
      <c r="E3" s="275" t="s">
        <v>315</v>
      </c>
      <c r="F3" s="275" t="s">
        <v>316</v>
      </c>
      <c r="G3" s="275" t="s">
        <v>317</v>
      </c>
    </row>
    <row r="4" spans="1:10" x14ac:dyDescent="0.3">
      <c r="A4" s="183" t="s">
        <v>318</v>
      </c>
      <c r="B4" s="274" t="s">
        <v>319</v>
      </c>
      <c r="C4" s="277">
        <f>'объем работ 100% загр'!L4</f>
        <v>21.493478552238443</v>
      </c>
      <c r="D4" s="160">
        <f>'объем работ 100% загр'!S4</f>
        <v>1</v>
      </c>
      <c r="E4" s="160">
        <f t="shared" ref="E4:E22" si="0">C4*D4</f>
        <v>21.493478552238443</v>
      </c>
      <c r="F4" s="160">
        <f t="shared" ref="F4:F22" si="1">E4*3</f>
        <v>64.480435656715329</v>
      </c>
      <c r="G4" s="160">
        <f t="shared" ref="G4:G22" si="2">E4*12</f>
        <v>257.92174262686132</v>
      </c>
    </row>
    <row r="5" spans="1:10" ht="124.2" x14ac:dyDescent="0.3">
      <c r="A5" s="183" t="s">
        <v>320</v>
      </c>
      <c r="B5" s="274" t="s">
        <v>321</v>
      </c>
      <c r="C5" s="277">
        <f>'объем работ 100% загр'!L5</f>
        <v>0</v>
      </c>
      <c r="D5" s="160">
        <f>'объем работ 100% загр'!S5</f>
        <v>0</v>
      </c>
      <c r="E5" s="160">
        <f t="shared" si="0"/>
        <v>0</v>
      </c>
      <c r="F5" s="160">
        <f t="shared" si="1"/>
        <v>0</v>
      </c>
      <c r="G5" s="160">
        <f t="shared" si="2"/>
        <v>0</v>
      </c>
    </row>
    <row r="6" spans="1:10" ht="123.75" customHeight="1" x14ac:dyDescent="0.3">
      <c r="A6" s="183" t="s">
        <v>322</v>
      </c>
      <c r="B6" s="274" t="s">
        <v>321</v>
      </c>
      <c r="C6" s="277">
        <f>'объем работ 100% загр'!L6</f>
        <v>0</v>
      </c>
      <c r="D6" s="160">
        <f>'объем работ 100% загр'!S6</f>
        <v>0</v>
      </c>
      <c r="E6" s="160">
        <f t="shared" si="0"/>
        <v>0</v>
      </c>
      <c r="F6" s="160">
        <f t="shared" si="1"/>
        <v>0</v>
      </c>
      <c r="G6" s="160">
        <f t="shared" si="2"/>
        <v>0</v>
      </c>
    </row>
    <row r="7" spans="1:10" ht="55.2" x14ac:dyDescent="0.3">
      <c r="A7" s="183" t="s">
        <v>323</v>
      </c>
      <c r="B7" s="274" t="s">
        <v>324</v>
      </c>
      <c r="C7" s="277" t="e">
        <f t="shared" ref="C7:C25" si="3">'объем работ 100% загр'!#REF!</f>
        <v>#REF!</v>
      </c>
      <c r="D7" s="160" t="e">
        <f t="shared" ref="D7:D25" si="4">'объем работ 100% загр'!#REF!</f>
        <v>#REF!</v>
      </c>
      <c r="E7" s="160" t="e">
        <f t="shared" si="0"/>
        <v>#REF!</v>
      </c>
      <c r="F7" s="160" t="e">
        <f t="shared" si="1"/>
        <v>#REF!</v>
      </c>
      <c r="G7" s="160" t="e">
        <f t="shared" si="2"/>
        <v>#REF!</v>
      </c>
    </row>
    <row r="8" spans="1:10" ht="27.6" x14ac:dyDescent="0.3">
      <c r="A8" s="183" t="s">
        <v>325</v>
      </c>
      <c r="B8" s="274" t="s">
        <v>326</v>
      </c>
      <c r="C8" s="277" t="e">
        <f t="shared" si="3"/>
        <v>#REF!</v>
      </c>
      <c r="D8" s="160" t="e">
        <f t="shared" si="4"/>
        <v>#REF!</v>
      </c>
      <c r="E8" s="160" t="e">
        <f t="shared" si="0"/>
        <v>#REF!</v>
      </c>
      <c r="F8" s="160" t="e">
        <f t="shared" si="1"/>
        <v>#REF!</v>
      </c>
      <c r="G8" s="160" t="e">
        <f t="shared" si="2"/>
        <v>#REF!</v>
      </c>
    </row>
    <row r="9" spans="1:10" ht="27.6" x14ac:dyDescent="0.3">
      <c r="A9" s="183" t="s">
        <v>327</v>
      </c>
      <c r="B9" s="274" t="s">
        <v>328</v>
      </c>
      <c r="C9" s="277" t="e">
        <f t="shared" si="3"/>
        <v>#REF!</v>
      </c>
      <c r="D9" s="160" t="e">
        <f t="shared" si="4"/>
        <v>#REF!</v>
      </c>
      <c r="E9" s="160" t="e">
        <f t="shared" si="0"/>
        <v>#REF!</v>
      </c>
      <c r="F9" s="160" t="e">
        <f t="shared" si="1"/>
        <v>#REF!</v>
      </c>
      <c r="G9" s="160" t="e">
        <f t="shared" si="2"/>
        <v>#REF!</v>
      </c>
    </row>
    <row r="10" spans="1:10" ht="69" x14ac:dyDescent="0.3">
      <c r="A10" s="183" t="s">
        <v>329</v>
      </c>
      <c r="B10" s="274" t="s">
        <v>330</v>
      </c>
      <c r="C10" s="277" t="e">
        <f t="shared" si="3"/>
        <v>#REF!</v>
      </c>
      <c r="D10" s="160" t="e">
        <f t="shared" si="4"/>
        <v>#REF!</v>
      </c>
      <c r="E10" s="160" t="e">
        <f t="shared" si="0"/>
        <v>#REF!</v>
      </c>
      <c r="F10" s="160" t="e">
        <f t="shared" si="1"/>
        <v>#REF!</v>
      </c>
      <c r="G10" s="160" t="e">
        <f t="shared" si="2"/>
        <v>#REF!</v>
      </c>
    </row>
    <row r="11" spans="1:10" ht="69" x14ac:dyDescent="0.3">
      <c r="A11" s="183" t="s">
        <v>331</v>
      </c>
      <c r="B11" s="274" t="s">
        <v>332</v>
      </c>
      <c r="C11" s="277" t="e">
        <f t="shared" si="3"/>
        <v>#REF!</v>
      </c>
      <c r="D11" s="160" t="e">
        <f t="shared" si="4"/>
        <v>#REF!</v>
      </c>
      <c r="E11" s="160" t="e">
        <f t="shared" si="0"/>
        <v>#REF!</v>
      </c>
      <c r="F11" s="160" t="e">
        <f t="shared" si="1"/>
        <v>#REF!</v>
      </c>
      <c r="G11" s="160" t="e">
        <f t="shared" si="2"/>
        <v>#REF!</v>
      </c>
    </row>
    <row r="12" spans="1:10" ht="72" x14ac:dyDescent="0.3">
      <c r="A12" s="54" t="s">
        <v>333</v>
      </c>
      <c r="B12" s="274" t="s">
        <v>330</v>
      </c>
      <c r="C12" s="277" t="e">
        <f t="shared" si="3"/>
        <v>#REF!</v>
      </c>
      <c r="D12" s="160" t="e">
        <f t="shared" si="4"/>
        <v>#REF!</v>
      </c>
      <c r="E12" s="160" t="e">
        <f t="shared" si="0"/>
        <v>#REF!</v>
      </c>
      <c r="F12" s="160" t="e">
        <f t="shared" si="1"/>
        <v>#REF!</v>
      </c>
      <c r="G12" s="160" t="e">
        <f t="shared" si="2"/>
        <v>#REF!</v>
      </c>
    </row>
    <row r="13" spans="1:10" ht="72" x14ac:dyDescent="0.3">
      <c r="A13" s="54" t="s">
        <v>334</v>
      </c>
      <c r="B13" s="274" t="s">
        <v>332</v>
      </c>
      <c r="C13" s="277" t="e">
        <f t="shared" si="3"/>
        <v>#REF!</v>
      </c>
      <c r="D13" s="160" t="e">
        <f t="shared" si="4"/>
        <v>#REF!</v>
      </c>
      <c r="E13" s="160" t="e">
        <f t="shared" si="0"/>
        <v>#REF!</v>
      </c>
      <c r="F13" s="160" t="e">
        <f t="shared" si="1"/>
        <v>#REF!</v>
      </c>
      <c r="G13" s="160" t="e">
        <f t="shared" si="2"/>
        <v>#REF!</v>
      </c>
    </row>
    <row r="14" spans="1:10" ht="86.4" x14ac:dyDescent="0.3">
      <c r="A14" s="54" t="s">
        <v>335</v>
      </c>
      <c r="B14" s="274" t="s">
        <v>330</v>
      </c>
      <c r="C14" s="277" t="e">
        <f t="shared" si="3"/>
        <v>#REF!</v>
      </c>
      <c r="D14" s="160" t="e">
        <f t="shared" si="4"/>
        <v>#REF!</v>
      </c>
      <c r="E14" s="160" t="e">
        <f t="shared" si="0"/>
        <v>#REF!</v>
      </c>
      <c r="F14" s="160" t="e">
        <f t="shared" si="1"/>
        <v>#REF!</v>
      </c>
      <c r="G14" s="160" t="e">
        <f t="shared" si="2"/>
        <v>#REF!</v>
      </c>
    </row>
    <row r="15" spans="1:10" ht="86.4" x14ac:dyDescent="0.3">
      <c r="A15" s="54" t="s">
        <v>336</v>
      </c>
      <c r="B15" s="274" t="s">
        <v>332</v>
      </c>
      <c r="C15" s="277" t="e">
        <f t="shared" si="3"/>
        <v>#REF!</v>
      </c>
      <c r="D15" s="160" t="e">
        <f t="shared" si="4"/>
        <v>#REF!</v>
      </c>
      <c r="E15" s="160" t="e">
        <f t="shared" si="0"/>
        <v>#REF!</v>
      </c>
      <c r="F15" s="160" t="e">
        <f t="shared" si="1"/>
        <v>#REF!</v>
      </c>
      <c r="G15" s="160" t="e">
        <f t="shared" si="2"/>
        <v>#REF!</v>
      </c>
    </row>
    <row r="16" spans="1:10" ht="72" x14ac:dyDescent="0.3">
      <c r="A16" s="54" t="s">
        <v>337</v>
      </c>
      <c r="B16" s="274" t="s">
        <v>330</v>
      </c>
      <c r="C16" s="277" t="e">
        <f t="shared" si="3"/>
        <v>#REF!</v>
      </c>
      <c r="D16" s="160" t="e">
        <f t="shared" si="4"/>
        <v>#REF!</v>
      </c>
      <c r="E16" s="160" t="e">
        <f t="shared" si="0"/>
        <v>#REF!</v>
      </c>
      <c r="F16" s="160" t="e">
        <f t="shared" si="1"/>
        <v>#REF!</v>
      </c>
      <c r="G16" s="160" t="e">
        <f t="shared" si="2"/>
        <v>#REF!</v>
      </c>
    </row>
    <row r="17" spans="1:9" ht="72" x14ac:dyDescent="0.3">
      <c r="A17" s="54" t="s">
        <v>338</v>
      </c>
      <c r="B17" s="274" t="s">
        <v>332</v>
      </c>
      <c r="C17" s="277" t="e">
        <f t="shared" si="3"/>
        <v>#REF!</v>
      </c>
      <c r="D17" s="160" t="e">
        <f t="shared" si="4"/>
        <v>#REF!</v>
      </c>
      <c r="E17" s="160" t="e">
        <f t="shared" si="0"/>
        <v>#REF!</v>
      </c>
      <c r="F17" s="160" t="e">
        <f t="shared" si="1"/>
        <v>#REF!</v>
      </c>
      <c r="G17" s="160" t="e">
        <f t="shared" si="2"/>
        <v>#REF!</v>
      </c>
    </row>
    <row r="18" spans="1:9" ht="27.6" x14ac:dyDescent="0.3">
      <c r="A18" s="54" t="s">
        <v>339</v>
      </c>
      <c r="B18" s="274" t="s">
        <v>330</v>
      </c>
      <c r="C18" s="277" t="e">
        <f t="shared" si="3"/>
        <v>#REF!</v>
      </c>
      <c r="D18" s="160" t="e">
        <f t="shared" si="4"/>
        <v>#REF!</v>
      </c>
      <c r="E18" s="160" t="e">
        <f t="shared" si="0"/>
        <v>#REF!</v>
      </c>
      <c r="F18" s="160" t="e">
        <f t="shared" si="1"/>
        <v>#REF!</v>
      </c>
      <c r="G18" s="160" t="e">
        <f t="shared" si="2"/>
        <v>#REF!</v>
      </c>
    </row>
    <row r="19" spans="1:9" ht="72" x14ac:dyDescent="0.3">
      <c r="A19" s="54" t="s">
        <v>340</v>
      </c>
      <c r="B19" s="274" t="s">
        <v>341</v>
      </c>
      <c r="C19" s="277" t="e">
        <f t="shared" si="3"/>
        <v>#REF!</v>
      </c>
      <c r="D19" s="160" t="e">
        <f t="shared" si="4"/>
        <v>#REF!</v>
      </c>
      <c r="E19" s="160" t="e">
        <f t="shared" si="0"/>
        <v>#REF!</v>
      </c>
      <c r="F19" s="160" t="e">
        <f t="shared" si="1"/>
        <v>#REF!</v>
      </c>
      <c r="G19" s="160" t="e">
        <f t="shared" si="2"/>
        <v>#REF!</v>
      </c>
    </row>
    <row r="20" spans="1:9" ht="72" x14ac:dyDescent="0.3">
      <c r="A20" s="54" t="s">
        <v>342</v>
      </c>
      <c r="B20" s="274" t="s">
        <v>341</v>
      </c>
      <c r="C20" s="277" t="e">
        <f t="shared" si="3"/>
        <v>#REF!</v>
      </c>
      <c r="D20" s="160" t="e">
        <f t="shared" si="4"/>
        <v>#REF!</v>
      </c>
      <c r="E20" s="160" t="e">
        <f t="shared" si="0"/>
        <v>#REF!</v>
      </c>
      <c r="F20" s="160" t="e">
        <f t="shared" si="1"/>
        <v>#REF!</v>
      </c>
      <c r="G20" s="160" t="e">
        <f t="shared" si="2"/>
        <v>#REF!</v>
      </c>
    </row>
    <row r="21" spans="1:9" x14ac:dyDescent="0.3">
      <c r="A21" s="54" t="s">
        <v>343</v>
      </c>
      <c r="B21" s="55" t="s">
        <v>341</v>
      </c>
      <c r="C21" s="277" t="e">
        <f t="shared" si="3"/>
        <v>#REF!</v>
      </c>
      <c r="D21" s="160" t="e">
        <f t="shared" si="4"/>
        <v>#REF!</v>
      </c>
      <c r="E21" s="160" t="e">
        <f t="shared" si="0"/>
        <v>#REF!</v>
      </c>
      <c r="F21" s="160" t="e">
        <f t="shared" si="1"/>
        <v>#REF!</v>
      </c>
      <c r="G21" s="160" t="e">
        <f t="shared" si="2"/>
        <v>#REF!</v>
      </c>
    </row>
    <row r="22" spans="1:9" ht="28.8" x14ac:dyDescent="0.3">
      <c r="A22" s="54" t="s">
        <v>344</v>
      </c>
      <c r="B22" s="55" t="s">
        <v>341</v>
      </c>
      <c r="C22" s="277" t="e">
        <f t="shared" si="3"/>
        <v>#REF!</v>
      </c>
      <c r="D22" s="160" t="e">
        <f t="shared" si="4"/>
        <v>#REF!</v>
      </c>
      <c r="E22" s="160" t="e">
        <f t="shared" si="0"/>
        <v>#REF!</v>
      </c>
      <c r="F22" s="160" t="e">
        <f t="shared" si="1"/>
        <v>#REF!</v>
      </c>
      <c r="G22" s="160" t="e">
        <f t="shared" si="2"/>
        <v>#REF!</v>
      </c>
    </row>
    <row r="23" spans="1:9" ht="28.8" x14ac:dyDescent="0.3">
      <c r="A23" s="54" t="s">
        <v>345</v>
      </c>
      <c r="B23" s="55" t="s">
        <v>346</v>
      </c>
      <c r="C23" s="277" t="e">
        <f t="shared" si="3"/>
        <v>#REF!</v>
      </c>
      <c r="D23" s="160" t="e">
        <f t="shared" si="4"/>
        <v>#REF!</v>
      </c>
      <c r="E23" s="160" t="e">
        <f t="shared" ref="E23:E25" si="5">C23*D23</f>
        <v>#REF!</v>
      </c>
      <c r="F23" s="160" t="e">
        <f t="shared" ref="F23:F25" si="6">E23*3</f>
        <v>#REF!</v>
      </c>
      <c r="G23" s="160" t="e">
        <f t="shared" ref="G23:G25" si="7">E23*12</f>
        <v>#REF!</v>
      </c>
    </row>
    <row r="24" spans="1:9" ht="56.25" customHeight="1" x14ac:dyDescent="0.3">
      <c r="A24" s="54" t="s">
        <v>347</v>
      </c>
      <c r="B24" s="54" t="s">
        <v>341</v>
      </c>
      <c r="C24" s="277" t="e">
        <f t="shared" si="3"/>
        <v>#REF!</v>
      </c>
      <c r="D24" s="278" t="e">
        <f t="shared" si="4"/>
        <v>#REF!</v>
      </c>
      <c r="E24" s="278" t="e">
        <f t="shared" si="5"/>
        <v>#REF!</v>
      </c>
      <c r="F24" s="278" t="e">
        <f t="shared" si="6"/>
        <v>#REF!</v>
      </c>
      <c r="G24" s="278" t="e">
        <f t="shared" si="7"/>
        <v>#REF!</v>
      </c>
    </row>
    <row r="25" spans="1:9" ht="56.25" customHeight="1" x14ac:dyDescent="0.3">
      <c r="A25" s="54" t="s">
        <v>348</v>
      </c>
      <c r="B25" s="54" t="s">
        <v>341</v>
      </c>
      <c r="C25" s="277" t="e">
        <f t="shared" si="3"/>
        <v>#REF!</v>
      </c>
      <c r="D25" s="278" t="e">
        <f t="shared" si="4"/>
        <v>#REF!</v>
      </c>
      <c r="E25" s="278" t="e">
        <f t="shared" si="5"/>
        <v>#REF!</v>
      </c>
      <c r="F25" s="278" t="e">
        <f t="shared" si="6"/>
        <v>#REF!</v>
      </c>
      <c r="G25" s="278" t="e">
        <f t="shared" si="7"/>
        <v>#REF!</v>
      </c>
    </row>
    <row r="27" spans="1:9" x14ac:dyDescent="0.3">
      <c r="F27" s="73" t="e">
        <f>SUM(F4:F26)</f>
        <v>#REF!</v>
      </c>
      <c r="G27" t="e">
        <f>SUM(G4:G26)</f>
        <v>#REF!</v>
      </c>
      <c r="I27" s="73"/>
    </row>
  </sheetData>
  <pageMargins left="0.7" right="0.7" top="0.75" bottom="0.75" header="0.3" footer="0.3"/>
  <pageSetup paperSize="9" firstPageNumber="2147483648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27"/>
  <sheetViews>
    <sheetView zoomScale="70" workbookViewId="0">
      <pane xSplit="1" topLeftCell="B1" activePane="topRight" state="frozen"/>
      <selection pane="topRight"/>
    </sheetView>
  </sheetViews>
  <sheetFormatPr defaultRowHeight="14.4" x14ac:dyDescent="0.3"/>
  <cols>
    <col min="1" max="1" width="26.5546875" style="54" customWidth="1"/>
    <col min="2" max="2" width="11.88671875" style="55" customWidth="1"/>
    <col min="3" max="3" width="13" style="56" customWidth="1"/>
    <col min="4" max="6" width="12.88671875" style="73" customWidth="1"/>
    <col min="7" max="7" width="10.109375" bestFit="1" customWidth="1"/>
  </cols>
  <sheetData>
    <row r="1" spans="1:10" x14ac:dyDescent="0.3">
      <c r="A1" s="95"/>
      <c r="B1" s="95"/>
      <c r="C1" s="95"/>
      <c r="D1" s="270"/>
      <c r="E1" s="270"/>
      <c r="F1" s="270"/>
      <c r="G1" s="271"/>
      <c r="H1" s="271"/>
      <c r="I1" s="271"/>
      <c r="J1" s="271"/>
    </row>
    <row r="2" spans="1:10" ht="30" customHeight="1" x14ac:dyDescent="0.3">
      <c r="A2" s="95"/>
      <c r="B2" s="95"/>
      <c r="C2" s="95"/>
      <c r="D2" s="272">
        <v>0.3</v>
      </c>
      <c r="E2" s="272"/>
      <c r="F2" s="272"/>
      <c r="G2" s="273"/>
      <c r="H2" s="273"/>
      <c r="I2" s="273"/>
      <c r="J2" s="273"/>
    </row>
    <row r="3" spans="1:10" s="64" customFormat="1" ht="55.2" x14ac:dyDescent="0.3">
      <c r="A3" s="183" t="s">
        <v>80</v>
      </c>
      <c r="B3" s="274" t="s">
        <v>49</v>
      </c>
      <c r="C3" s="212" t="s">
        <v>313</v>
      </c>
      <c r="D3" s="275" t="s">
        <v>314</v>
      </c>
      <c r="E3" s="275" t="s">
        <v>315</v>
      </c>
      <c r="F3" s="275" t="s">
        <v>316</v>
      </c>
      <c r="G3" s="275" t="s">
        <v>317</v>
      </c>
    </row>
    <row r="4" spans="1:10" x14ac:dyDescent="0.3">
      <c r="A4" s="183" t="s">
        <v>318</v>
      </c>
      <c r="B4" s="274" t="s">
        <v>319</v>
      </c>
      <c r="C4" s="277" t="e">
        <f t="shared" ref="C4:C25" si="0">'объем работ 100% загр'!#REF!</f>
        <v>#REF!</v>
      </c>
      <c r="D4" s="160">
        <f>'объем работ 100% загр'!S4</f>
        <v>1</v>
      </c>
      <c r="E4" s="160" t="e">
        <f t="shared" ref="E4:E22" si="1">C4*D4</f>
        <v>#REF!</v>
      </c>
      <c r="F4" s="160" t="e">
        <f t="shared" ref="F4:F22" si="2">E4*3</f>
        <v>#REF!</v>
      </c>
      <c r="G4" s="160" t="e">
        <f t="shared" ref="G4:G22" si="3">E4*12</f>
        <v>#REF!</v>
      </c>
    </row>
    <row r="5" spans="1:10" ht="124.2" x14ac:dyDescent="0.3">
      <c r="A5" s="183" t="s">
        <v>320</v>
      </c>
      <c r="B5" s="274" t="s">
        <v>321</v>
      </c>
      <c r="C5" s="277" t="e">
        <f t="shared" si="0"/>
        <v>#REF!</v>
      </c>
      <c r="D5" s="160">
        <f>'объем работ 100% загр'!S5</f>
        <v>0</v>
      </c>
      <c r="E5" s="160" t="e">
        <f t="shared" si="1"/>
        <v>#REF!</v>
      </c>
      <c r="F5" s="160" t="e">
        <f t="shared" si="2"/>
        <v>#REF!</v>
      </c>
      <c r="G5" s="160" t="e">
        <f t="shared" si="3"/>
        <v>#REF!</v>
      </c>
    </row>
    <row r="6" spans="1:10" ht="123.75" customHeight="1" x14ac:dyDescent="0.3">
      <c r="A6" s="183" t="s">
        <v>322</v>
      </c>
      <c r="B6" s="274" t="s">
        <v>321</v>
      </c>
      <c r="C6" s="277" t="e">
        <f t="shared" si="0"/>
        <v>#REF!</v>
      </c>
      <c r="D6" s="160">
        <f>'объем работ 100% загр'!S6</f>
        <v>0</v>
      </c>
      <c r="E6" s="160" t="e">
        <f t="shared" si="1"/>
        <v>#REF!</v>
      </c>
      <c r="F6" s="160" t="e">
        <f t="shared" si="2"/>
        <v>#REF!</v>
      </c>
      <c r="G6" s="160" t="e">
        <f t="shared" si="3"/>
        <v>#REF!</v>
      </c>
    </row>
    <row r="7" spans="1:10" ht="55.2" x14ac:dyDescent="0.3">
      <c r="A7" s="183" t="s">
        <v>323</v>
      </c>
      <c r="B7" s="274" t="s">
        <v>324</v>
      </c>
      <c r="C7" s="277" t="e">
        <f t="shared" si="0"/>
        <v>#REF!</v>
      </c>
      <c r="D7" s="160" t="e">
        <f t="shared" ref="D7:D25" si="4">'объем работ 100% загр'!#REF!</f>
        <v>#REF!</v>
      </c>
      <c r="E7" s="160" t="e">
        <f t="shared" si="1"/>
        <v>#REF!</v>
      </c>
      <c r="F7" s="160" t="e">
        <f t="shared" si="2"/>
        <v>#REF!</v>
      </c>
      <c r="G7" s="160" t="e">
        <f t="shared" si="3"/>
        <v>#REF!</v>
      </c>
    </row>
    <row r="8" spans="1:10" ht="27.6" x14ac:dyDescent="0.3">
      <c r="A8" s="183" t="s">
        <v>325</v>
      </c>
      <c r="B8" s="274" t="s">
        <v>326</v>
      </c>
      <c r="C8" s="277" t="e">
        <f t="shared" si="0"/>
        <v>#REF!</v>
      </c>
      <c r="D8" s="160" t="e">
        <f t="shared" si="4"/>
        <v>#REF!</v>
      </c>
      <c r="E8" s="160" t="e">
        <f t="shared" si="1"/>
        <v>#REF!</v>
      </c>
      <c r="F8" s="160" t="e">
        <f t="shared" si="2"/>
        <v>#REF!</v>
      </c>
      <c r="G8" s="160" t="e">
        <f t="shared" si="3"/>
        <v>#REF!</v>
      </c>
    </row>
    <row r="9" spans="1:10" ht="27.6" x14ac:dyDescent="0.3">
      <c r="A9" s="183" t="s">
        <v>327</v>
      </c>
      <c r="B9" s="274" t="s">
        <v>328</v>
      </c>
      <c r="C9" s="277" t="e">
        <f t="shared" si="0"/>
        <v>#REF!</v>
      </c>
      <c r="D9" s="160" t="e">
        <f t="shared" si="4"/>
        <v>#REF!</v>
      </c>
      <c r="E9" s="160" t="e">
        <f t="shared" si="1"/>
        <v>#REF!</v>
      </c>
      <c r="F9" s="160" t="e">
        <f t="shared" si="2"/>
        <v>#REF!</v>
      </c>
      <c r="G9" s="160" t="e">
        <f t="shared" si="3"/>
        <v>#REF!</v>
      </c>
    </row>
    <row r="10" spans="1:10" ht="69" x14ac:dyDescent="0.3">
      <c r="A10" s="183" t="s">
        <v>329</v>
      </c>
      <c r="B10" s="274" t="s">
        <v>330</v>
      </c>
      <c r="C10" s="277" t="e">
        <f t="shared" si="0"/>
        <v>#REF!</v>
      </c>
      <c r="D10" s="160" t="e">
        <f t="shared" si="4"/>
        <v>#REF!</v>
      </c>
      <c r="E10" s="160" t="e">
        <f t="shared" si="1"/>
        <v>#REF!</v>
      </c>
      <c r="F10" s="160" t="e">
        <f t="shared" si="2"/>
        <v>#REF!</v>
      </c>
      <c r="G10" s="160" t="e">
        <f t="shared" si="3"/>
        <v>#REF!</v>
      </c>
    </row>
    <row r="11" spans="1:10" ht="69" x14ac:dyDescent="0.3">
      <c r="A11" s="183" t="s">
        <v>331</v>
      </c>
      <c r="B11" s="274" t="s">
        <v>332</v>
      </c>
      <c r="C11" s="277" t="e">
        <f t="shared" si="0"/>
        <v>#REF!</v>
      </c>
      <c r="D11" s="160" t="e">
        <f t="shared" si="4"/>
        <v>#REF!</v>
      </c>
      <c r="E11" s="160" t="e">
        <f t="shared" si="1"/>
        <v>#REF!</v>
      </c>
      <c r="F11" s="160" t="e">
        <f t="shared" si="2"/>
        <v>#REF!</v>
      </c>
      <c r="G11" s="160" t="e">
        <f t="shared" si="3"/>
        <v>#REF!</v>
      </c>
    </row>
    <row r="12" spans="1:10" ht="72" x14ac:dyDescent="0.3">
      <c r="A12" s="54" t="s">
        <v>333</v>
      </c>
      <c r="B12" s="274" t="s">
        <v>330</v>
      </c>
      <c r="C12" s="277" t="e">
        <f t="shared" si="0"/>
        <v>#REF!</v>
      </c>
      <c r="D12" s="160" t="e">
        <f t="shared" si="4"/>
        <v>#REF!</v>
      </c>
      <c r="E12" s="160" t="e">
        <f t="shared" si="1"/>
        <v>#REF!</v>
      </c>
      <c r="F12" s="160" t="e">
        <f t="shared" si="2"/>
        <v>#REF!</v>
      </c>
      <c r="G12" s="160" t="e">
        <f t="shared" si="3"/>
        <v>#REF!</v>
      </c>
    </row>
    <row r="13" spans="1:10" ht="72" x14ac:dyDescent="0.3">
      <c r="A13" s="54" t="s">
        <v>334</v>
      </c>
      <c r="B13" s="274" t="s">
        <v>332</v>
      </c>
      <c r="C13" s="277" t="e">
        <f t="shared" si="0"/>
        <v>#REF!</v>
      </c>
      <c r="D13" s="160" t="e">
        <f t="shared" si="4"/>
        <v>#REF!</v>
      </c>
      <c r="E13" s="160" t="e">
        <f t="shared" si="1"/>
        <v>#REF!</v>
      </c>
      <c r="F13" s="160" t="e">
        <f t="shared" si="2"/>
        <v>#REF!</v>
      </c>
      <c r="G13" s="160" t="e">
        <f t="shared" si="3"/>
        <v>#REF!</v>
      </c>
    </row>
    <row r="14" spans="1:10" ht="86.4" x14ac:dyDescent="0.3">
      <c r="A14" s="54" t="s">
        <v>335</v>
      </c>
      <c r="B14" s="274" t="s">
        <v>330</v>
      </c>
      <c r="C14" s="277" t="e">
        <f t="shared" si="0"/>
        <v>#REF!</v>
      </c>
      <c r="D14" s="160" t="e">
        <f t="shared" si="4"/>
        <v>#REF!</v>
      </c>
      <c r="E14" s="160" t="e">
        <f t="shared" si="1"/>
        <v>#REF!</v>
      </c>
      <c r="F14" s="160" t="e">
        <f t="shared" si="2"/>
        <v>#REF!</v>
      </c>
      <c r="G14" s="160" t="e">
        <f t="shared" si="3"/>
        <v>#REF!</v>
      </c>
    </row>
    <row r="15" spans="1:10" ht="86.4" x14ac:dyDescent="0.3">
      <c r="A15" s="54" t="s">
        <v>336</v>
      </c>
      <c r="B15" s="274" t="s">
        <v>332</v>
      </c>
      <c r="C15" s="277" t="e">
        <f t="shared" si="0"/>
        <v>#REF!</v>
      </c>
      <c r="D15" s="160" t="e">
        <f t="shared" si="4"/>
        <v>#REF!</v>
      </c>
      <c r="E15" s="160" t="e">
        <f t="shared" si="1"/>
        <v>#REF!</v>
      </c>
      <c r="F15" s="160" t="e">
        <f t="shared" si="2"/>
        <v>#REF!</v>
      </c>
      <c r="G15" s="160" t="e">
        <f t="shared" si="3"/>
        <v>#REF!</v>
      </c>
    </row>
    <row r="16" spans="1:10" ht="72" x14ac:dyDescent="0.3">
      <c r="A16" s="54" t="s">
        <v>337</v>
      </c>
      <c r="B16" s="274" t="s">
        <v>330</v>
      </c>
      <c r="C16" s="277" t="e">
        <f t="shared" si="0"/>
        <v>#REF!</v>
      </c>
      <c r="D16" s="160" t="e">
        <f t="shared" si="4"/>
        <v>#REF!</v>
      </c>
      <c r="E16" s="160" t="e">
        <f t="shared" si="1"/>
        <v>#REF!</v>
      </c>
      <c r="F16" s="160" t="e">
        <f t="shared" si="2"/>
        <v>#REF!</v>
      </c>
      <c r="G16" s="160" t="e">
        <f t="shared" si="3"/>
        <v>#REF!</v>
      </c>
    </row>
    <row r="17" spans="1:9" ht="72" x14ac:dyDescent="0.3">
      <c r="A17" s="54" t="s">
        <v>338</v>
      </c>
      <c r="B17" s="274" t="s">
        <v>332</v>
      </c>
      <c r="C17" s="277" t="e">
        <f t="shared" si="0"/>
        <v>#REF!</v>
      </c>
      <c r="D17" s="160" t="e">
        <f t="shared" si="4"/>
        <v>#REF!</v>
      </c>
      <c r="E17" s="160" t="e">
        <f t="shared" si="1"/>
        <v>#REF!</v>
      </c>
      <c r="F17" s="160" t="e">
        <f t="shared" si="2"/>
        <v>#REF!</v>
      </c>
      <c r="G17" s="160" t="e">
        <f t="shared" si="3"/>
        <v>#REF!</v>
      </c>
    </row>
    <row r="18" spans="1:9" ht="27.6" x14ac:dyDescent="0.3">
      <c r="A18" s="54" t="s">
        <v>339</v>
      </c>
      <c r="B18" s="274" t="s">
        <v>330</v>
      </c>
      <c r="C18" s="277" t="e">
        <f t="shared" si="0"/>
        <v>#REF!</v>
      </c>
      <c r="D18" s="160" t="e">
        <f t="shared" si="4"/>
        <v>#REF!</v>
      </c>
      <c r="E18" s="160" t="e">
        <f t="shared" si="1"/>
        <v>#REF!</v>
      </c>
      <c r="F18" s="160" t="e">
        <f t="shared" si="2"/>
        <v>#REF!</v>
      </c>
      <c r="G18" s="160" t="e">
        <f t="shared" si="3"/>
        <v>#REF!</v>
      </c>
    </row>
    <row r="19" spans="1:9" ht="72" x14ac:dyDescent="0.3">
      <c r="A19" s="54" t="s">
        <v>340</v>
      </c>
      <c r="B19" s="274" t="s">
        <v>341</v>
      </c>
      <c r="C19" s="277" t="e">
        <f t="shared" si="0"/>
        <v>#REF!</v>
      </c>
      <c r="D19" s="160" t="e">
        <f t="shared" si="4"/>
        <v>#REF!</v>
      </c>
      <c r="E19" s="160" t="e">
        <f t="shared" si="1"/>
        <v>#REF!</v>
      </c>
      <c r="F19" s="160" t="e">
        <f t="shared" si="2"/>
        <v>#REF!</v>
      </c>
      <c r="G19" s="160" t="e">
        <f t="shared" si="3"/>
        <v>#REF!</v>
      </c>
    </row>
    <row r="20" spans="1:9" ht="72" x14ac:dyDescent="0.3">
      <c r="A20" s="54" t="s">
        <v>342</v>
      </c>
      <c r="B20" s="274" t="s">
        <v>341</v>
      </c>
      <c r="C20" s="277" t="e">
        <f t="shared" si="0"/>
        <v>#REF!</v>
      </c>
      <c r="D20" s="160" t="e">
        <f t="shared" si="4"/>
        <v>#REF!</v>
      </c>
      <c r="E20" s="160" t="e">
        <f t="shared" si="1"/>
        <v>#REF!</v>
      </c>
      <c r="F20" s="160" t="e">
        <f t="shared" si="2"/>
        <v>#REF!</v>
      </c>
      <c r="G20" s="160" t="e">
        <f t="shared" si="3"/>
        <v>#REF!</v>
      </c>
    </row>
    <row r="21" spans="1:9" x14ac:dyDescent="0.3">
      <c r="A21" s="54" t="s">
        <v>343</v>
      </c>
      <c r="B21" s="55" t="s">
        <v>341</v>
      </c>
      <c r="C21" s="277" t="e">
        <f t="shared" si="0"/>
        <v>#REF!</v>
      </c>
      <c r="D21" s="160" t="e">
        <f t="shared" si="4"/>
        <v>#REF!</v>
      </c>
      <c r="E21" s="160" t="e">
        <f t="shared" si="1"/>
        <v>#REF!</v>
      </c>
      <c r="F21" s="160" t="e">
        <f t="shared" si="2"/>
        <v>#REF!</v>
      </c>
      <c r="G21" s="160" t="e">
        <f t="shared" si="3"/>
        <v>#REF!</v>
      </c>
    </row>
    <row r="22" spans="1:9" ht="28.8" x14ac:dyDescent="0.3">
      <c r="A22" s="54" t="s">
        <v>344</v>
      </c>
      <c r="B22" s="55" t="s">
        <v>341</v>
      </c>
      <c r="C22" s="277" t="e">
        <f t="shared" si="0"/>
        <v>#REF!</v>
      </c>
      <c r="D22" s="160" t="e">
        <f t="shared" si="4"/>
        <v>#REF!</v>
      </c>
      <c r="E22" s="160" t="e">
        <f t="shared" si="1"/>
        <v>#REF!</v>
      </c>
      <c r="F22" s="160" t="e">
        <f t="shared" si="2"/>
        <v>#REF!</v>
      </c>
      <c r="G22" s="160" t="e">
        <f t="shared" si="3"/>
        <v>#REF!</v>
      </c>
    </row>
    <row r="23" spans="1:9" ht="28.8" x14ac:dyDescent="0.3">
      <c r="A23" s="54" t="s">
        <v>345</v>
      </c>
      <c r="B23" s="55" t="s">
        <v>346</v>
      </c>
      <c r="C23" s="277" t="e">
        <f t="shared" si="0"/>
        <v>#REF!</v>
      </c>
      <c r="D23" s="160" t="e">
        <f t="shared" si="4"/>
        <v>#REF!</v>
      </c>
      <c r="E23" s="160" t="e">
        <f t="shared" ref="E23:E25" si="5">C23*D23</f>
        <v>#REF!</v>
      </c>
      <c r="F23" s="160" t="e">
        <f t="shared" ref="F23:F25" si="6">E23*3</f>
        <v>#REF!</v>
      </c>
      <c r="G23" s="160" t="e">
        <f t="shared" ref="G23:G25" si="7">E23*12</f>
        <v>#REF!</v>
      </c>
    </row>
    <row r="24" spans="1:9" ht="56.25" customHeight="1" x14ac:dyDescent="0.3">
      <c r="A24" s="54" t="s">
        <v>347</v>
      </c>
      <c r="B24" s="54" t="s">
        <v>341</v>
      </c>
      <c r="C24" s="277" t="e">
        <f t="shared" si="0"/>
        <v>#REF!</v>
      </c>
      <c r="D24" s="278" t="e">
        <f t="shared" si="4"/>
        <v>#REF!</v>
      </c>
      <c r="E24" s="278" t="e">
        <f t="shared" si="5"/>
        <v>#REF!</v>
      </c>
      <c r="F24" s="278" t="e">
        <f t="shared" si="6"/>
        <v>#REF!</v>
      </c>
      <c r="G24" s="278" t="e">
        <f t="shared" si="7"/>
        <v>#REF!</v>
      </c>
    </row>
    <row r="25" spans="1:9" ht="56.25" customHeight="1" x14ac:dyDescent="0.3">
      <c r="A25" s="54" t="s">
        <v>348</v>
      </c>
      <c r="B25" s="54" t="s">
        <v>341</v>
      </c>
      <c r="C25" s="277" t="e">
        <f t="shared" si="0"/>
        <v>#REF!</v>
      </c>
      <c r="D25" s="278" t="e">
        <f t="shared" si="4"/>
        <v>#REF!</v>
      </c>
      <c r="E25" s="278" t="e">
        <f t="shared" si="5"/>
        <v>#REF!</v>
      </c>
      <c r="F25" s="278" t="e">
        <f t="shared" si="6"/>
        <v>#REF!</v>
      </c>
      <c r="G25" s="278" t="e">
        <f t="shared" si="7"/>
        <v>#REF!</v>
      </c>
    </row>
    <row r="27" spans="1:9" x14ac:dyDescent="0.3">
      <c r="F27" s="73" t="e">
        <f>SUM(F4:F26)</f>
        <v>#REF!</v>
      </c>
      <c r="G27" t="e">
        <f>SUM(G4:G26)</f>
        <v>#REF!</v>
      </c>
      <c r="I27" s="73"/>
    </row>
  </sheetData>
  <pageMargins left="0.7" right="0.7" top="0.75" bottom="0.75" header="0.3" footer="0.3"/>
  <pageSetup paperSize="9" firstPageNumber="2147483648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Y237"/>
  <sheetViews>
    <sheetView topLeftCell="C1" zoomScale="40" zoomScaleNormal="40" workbookViewId="0">
      <selection activeCell="AL29" sqref="AL29"/>
    </sheetView>
  </sheetViews>
  <sheetFormatPr defaultRowHeight="14.4" x14ac:dyDescent="0.3"/>
  <cols>
    <col min="1" max="1" width="5" customWidth="1"/>
    <col min="2" max="2" width="37.5546875" customWidth="1"/>
    <col min="3" max="3" width="12.88671875" customWidth="1"/>
    <col min="4" max="4" width="18" customWidth="1"/>
    <col min="5" max="6" width="16.33203125" customWidth="1"/>
    <col min="7" max="7" width="13.6640625" customWidth="1"/>
    <col min="8" max="8" width="14.33203125" customWidth="1"/>
    <col min="12" max="12" width="4" customWidth="1"/>
    <col min="13" max="13" width="41.44140625" customWidth="1"/>
    <col min="16" max="17" width="12.5546875" customWidth="1"/>
  </cols>
  <sheetData>
    <row r="1" spans="1:19" x14ac:dyDescent="0.3">
      <c r="B1" s="352" t="s">
        <v>494</v>
      </c>
    </row>
    <row r="2" spans="1:19" ht="18" thickBot="1" x14ac:dyDescent="0.35">
      <c r="A2" s="701" t="s">
        <v>349</v>
      </c>
      <c r="B2" s="701"/>
      <c r="C2" s="701"/>
      <c r="D2" s="701"/>
      <c r="E2" s="701"/>
      <c r="F2" s="701"/>
      <c r="G2" s="701"/>
      <c r="H2" s="701"/>
      <c r="L2" s="364" t="s">
        <v>490</v>
      </c>
    </row>
    <row r="3" spans="1:19" ht="47.25" customHeight="1" thickBot="1" x14ac:dyDescent="0.35">
      <c r="A3" s="279" t="s">
        <v>350</v>
      </c>
      <c r="B3" s="279" t="s">
        <v>351</v>
      </c>
      <c r="C3" s="280" t="s">
        <v>352</v>
      </c>
      <c r="D3" s="279" t="s">
        <v>353</v>
      </c>
      <c r="E3" s="279" t="s">
        <v>354</v>
      </c>
      <c r="F3" s="279" t="s">
        <v>355</v>
      </c>
      <c r="G3" s="279" t="s">
        <v>356</v>
      </c>
      <c r="H3" s="279" t="s">
        <v>357</v>
      </c>
      <c r="L3" s="361" t="s">
        <v>350</v>
      </c>
      <c r="M3" s="361" t="s">
        <v>447</v>
      </c>
      <c r="N3" s="362" t="s">
        <v>352</v>
      </c>
      <c r="O3" s="362" t="s">
        <v>448</v>
      </c>
      <c r="P3" s="362" t="s">
        <v>449</v>
      </c>
      <c r="Q3" s="362" t="s">
        <v>450</v>
      </c>
      <c r="R3" s="362" t="s">
        <v>451</v>
      </c>
      <c r="S3" s="362" t="s">
        <v>452</v>
      </c>
    </row>
    <row r="4" spans="1:19" ht="16.2" thickBot="1" x14ac:dyDescent="0.35">
      <c r="A4" s="279">
        <v>1</v>
      </c>
      <c r="B4" s="279" t="s">
        <v>358</v>
      </c>
      <c r="C4" s="280" t="s">
        <v>319</v>
      </c>
      <c r="D4" s="280">
        <v>450</v>
      </c>
      <c r="E4" s="280">
        <v>525</v>
      </c>
      <c r="F4" s="280">
        <v>800</v>
      </c>
      <c r="G4" s="280">
        <v>900</v>
      </c>
      <c r="H4" s="280">
        <v>1200</v>
      </c>
      <c r="L4" s="361">
        <v>1</v>
      </c>
      <c r="M4" s="361" t="s">
        <v>453</v>
      </c>
      <c r="N4" s="362" t="s">
        <v>454</v>
      </c>
      <c r="O4" s="362" t="s">
        <v>455</v>
      </c>
      <c r="P4" s="362" t="s">
        <v>443</v>
      </c>
      <c r="Q4" s="362" t="s">
        <v>456</v>
      </c>
      <c r="R4" s="362" t="s">
        <v>457</v>
      </c>
      <c r="S4" s="362" t="s">
        <v>458</v>
      </c>
    </row>
    <row r="5" spans="1:19" ht="31.8" thickBot="1" x14ac:dyDescent="0.35">
      <c r="A5" s="279">
        <v>2</v>
      </c>
      <c r="B5" s="279" t="s">
        <v>359</v>
      </c>
      <c r="C5" s="280" t="s">
        <v>360</v>
      </c>
      <c r="D5" s="280">
        <v>30</v>
      </c>
      <c r="E5" s="280">
        <v>35</v>
      </c>
      <c r="F5" s="280">
        <v>40</v>
      </c>
      <c r="G5" s="280">
        <v>45</v>
      </c>
      <c r="H5" s="280">
        <v>60</v>
      </c>
      <c r="L5" s="361">
        <v>2</v>
      </c>
      <c r="M5" s="361" t="s">
        <v>459</v>
      </c>
      <c r="N5" s="362" t="s">
        <v>70</v>
      </c>
      <c r="O5" s="362">
        <v>93</v>
      </c>
      <c r="P5" s="362">
        <v>93</v>
      </c>
      <c r="Q5" s="362">
        <v>93</v>
      </c>
      <c r="R5" s="362">
        <v>93</v>
      </c>
      <c r="S5" s="362">
        <v>93</v>
      </c>
    </row>
    <row r="6" spans="1:19" ht="16.2" thickBot="1" x14ac:dyDescent="0.35">
      <c r="A6" s="279">
        <v>3</v>
      </c>
      <c r="B6" s="279" t="s">
        <v>361</v>
      </c>
      <c r="C6" s="280" t="s">
        <v>360</v>
      </c>
      <c r="D6" s="280">
        <v>4.5</v>
      </c>
      <c r="E6" s="280">
        <v>4.5</v>
      </c>
      <c r="F6" s="280">
        <v>5</v>
      </c>
      <c r="G6" s="280">
        <v>5</v>
      </c>
      <c r="H6" s="280">
        <v>5</v>
      </c>
      <c r="L6" s="361">
        <v>3</v>
      </c>
      <c r="M6" s="361" t="s">
        <v>460</v>
      </c>
      <c r="N6" s="362" t="s">
        <v>461</v>
      </c>
      <c r="O6" s="362" t="s">
        <v>462</v>
      </c>
      <c r="P6" s="362" t="s">
        <v>462</v>
      </c>
      <c r="Q6" s="362" t="s">
        <v>462</v>
      </c>
      <c r="R6" s="362" t="s">
        <v>462</v>
      </c>
      <c r="S6" s="362" t="s">
        <v>462</v>
      </c>
    </row>
    <row r="7" spans="1:19" ht="31.8" thickBot="1" x14ac:dyDescent="0.35">
      <c r="A7" s="279">
        <v>4</v>
      </c>
      <c r="B7" s="279" t="s">
        <v>362</v>
      </c>
      <c r="C7" s="280" t="s">
        <v>363</v>
      </c>
      <c r="D7" s="280">
        <v>130</v>
      </c>
      <c r="E7" s="280">
        <v>150</v>
      </c>
      <c r="F7" s="280">
        <v>190</v>
      </c>
      <c r="G7" s="280">
        <v>220</v>
      </c>
      <c r="H7" s="280">
        <v>250</v>
      </c>
      <c r="L7" s="361">
        <v>4</v>
      </c>
      <c r="M7" s="361" t="s">
        <v>463</v>
      </c>
      <c r="N7" s="362" t="s">
        <v>464</v>
      </c>
      <c r="O7" s="362" t="s">
        <v>465</v>
      </c>
      <c r="P7" s="362" t="s">
        <v>466</v>
      </c>
      <c r="Q7" s="362" t="s">
        <v>467</v>
      </c>
      <c r="R7" s="362" t="s">
        <v>468</v>
      </c>
      <c r="S7" s="362" t="s">
        <v>469</v>
      </c>
    </row>
    <row r="8" spans="1:19" ht="31.5" customHeight="1" thickBot="1" x14ac:dyDescent="0.35">
      <c r="A8" s="279">
        <v>5</v>
      </c>
      <c r="B8" s="279" t="s">
        <v>364</v>
      </c>
      <c r="C8" s="280" t="s">
        <v>365</v>
      </c>
      <c r="D8" s="280" t="s">
        <v>366</v>
      </c>
      <c r="E8" s="280" t="s">
        <v>367</v>
      </c>
      <c r="F8" s="280" t="s">
        <v>368</v>
      </c>
      <c r="G8" s="280" t="s">
        <v>369</v>
      </c>
      <c r="H8" s="280" t="s">
        <v>370</v>
      </c>
      <c r="L8" s="361">
        <v>5</v>
      </c>
      <c r="M8" s="361" t="s">
        <v>470</v>
      </c>
      <c r="N8" s="362" t="s">
        <v>464</v>
      </c>
      <c r="O8" s="362">
        <v>130</v>
      </c>
      <c r="P8" s="362">
        <v>150</v>
      </c>
      <c r="Q8" s="362">
        <v>190</v>
      </c>
      <c r="R8" s="362">
        <v>220</v>
      </c>
      <c r="S8" s="362">
        <v>250</v>
      </c>
    </row>
    <row r="9" spans="1:19" ht="31.8" thickBot="1" x14ac:dyDescent="0.35">
      <c r="A9" s="279">
        <v>6</v>
      </c>
      <c r="B9" s="279" t="s">
        <v>371</v>
      </c>
      <c r="C9" s="280" t="s">
        <v>372</v>
      </c>
      <c r="D9" s="280" t="s">
        <v>373</v>
      </c>
      <c r="E9" s="280" t="s">
        <v>373</v>
      </c>
      <c r="F9" s="280" t="s">
        <v>373</v>
      </c>
      <c r="G9" s="280" t="s">
        <v>373</v>
      </c>
      <c r="H9" s="280" t="s">
        <v>373</v>
      </c>
      <c r="L9" s="361">
        <v>6</v>
      </c>
      <c r="M9" s="361" t="s">
        <v>471</v>
      </c>
      <c r="N9" s="362" t="s">
        <v>472</v>
      </c>
      <c r="O9" s="362" t="s">
        <v>366</v>
      </c>
      <c r="P9" s="362" t="s">
        <v>367</v>
      </c>
      <c r="Q9" s="362" t="s">
        <v>368</v>
      </c>
      <c r="R9" s="362" t="s">
        <v>369</v>
      </c>
      <c r="S9" s="362" t="s">
        <v>370</v>
      </c>
    </row>
    <row r="10" spans="1:19" ht="31.8" thickBot="1" x14ac:dyDescent="0.35">
      <c r="A10" s="279">
        <v>7</v>
      </c>
      <c r="B10" s="279" t="s">
        <v>374</v>
      </c>
      <c r="C10" s="280" t="s">
        <v>375</v>
      </c>
      <c r="D10" s="280">
        <v>25</v>
      </c>
      <c r="E10" s="280">
        <v>40</v>
      </c>
      <c r="F10" s="280">
        <v>50</v>
      </c>
      <c r="G10" s="280">
        <v>60</v>
      </c>
      <c r="H10" s="280">
        <v>70</v>
      </c>
      <c r="L10" s="361">
        <v>7</v>
      </c>
      <c r="M10" s="361" t="s">
        <v>473</v>
      </c>
      <c r="N10" s="362" t="s">
        <v>474</v>
      </c>
      <c r="O10" s="362" t="s">
        <v>475</v>
      </c>
      <c r="P10" s="362" t="s">
        <v>476</v>
      </c>
      <c r="Q10" s="362" t="s">
        <v>477</v>
      </c>
      <c r="R10" s="362" t="s">
        <v>478</v>
      </c>
      <c r="S10" s="362" t="s">
        <v>479</v>
      </c>
    </row>
    <row r="11" spans="1:19" ht="31.8" thickBot="1" x14ac:dyDescent="0.35">
      <c r="A11" s="279">
        <v>8</v>
      </c>
      <c r="B11" s="279" t="s">
        <v>376</v>
      </c>
      <c r="C11" s="280" t="s">
        <v>377</v>
      </c>
      <c r="D11" s="359" t="s">
        <v>444</v>
      </c>
      <c r="E11" s="359" t="s">
        <v>444</v>
      </c>
      <c r="F11" s="359" t="s">
        <v>445</v>
      </c>
      <c r="G11" s="359" t="s">
        <v>445</v>
      </c>
      <c r="H11" s="359" t="s">
        <v>446</v>
      </c>
      <c r="L11" s="361">
        <v>8</v>
      </c>
      <c r="M11" s="361" t="s">
        <v>480</v>
      </c>
      <c r="N11" s="362" t="s">
        <v>481</v>
      </c>
      <c r="O11" s="362">
        <v>1250</v>
      </c>
      <c r="P11" s="362">
        <v>1400</v>
      </c>
      <c r="Q11" s="362">
        <v>1400</v>
      </c>
      <c r="R11" s="362">
        <v>1700</v>
      </c>
      <c r="S11" s="362">
        <v>2100</v>
      </c>
    </row>
    <row r="12" spans="1:19" ht="16.2" thickBot="1" x14ac:dyDescent="0.35">
      <c r="A12" s="279">
        <v>9</v>
      </c>
      <c r="B12" s="697" t="s">
        <v>378</v>
      </c>
      <c r="C12" s="698"/>
      <c r="D12" s="698"/>
      <c r="E12" s="698"/>
      <c r="F12" s="698"/>
      <c r="G12" s="698"/>
      <c r="H12" s="699"/>
      <c r="L12" s="361">
        <v>9</v>
      </c>
      <c r="M12" s="361" t="s">
        <v>482</v>
      </c>
      <c r="N12" s="362" t="s">
        <v>483</v>
      </c>
      <c r="O12" s="359" t="s">
        <v>444</v>
      </c>
      <c r="P12" s="359" t="s">
        <v>444</v>
      </c>
      <c r="Q12" s="359" t="s">
        <v>445</v>
      </c>
      <c r="R12" s="359" t="s">
        <v>491</v>
      </c>
      <c r="S12" s="359" t="s">
        <v>446</v>
      </c>
    </row>
    <row r="13" spans="1:19" ht="31.5" customHeight="1" thickBot="1" x14ac:dyDescent="0.35">
      <c r="A13" s="279">
        <v>10</v>
      </c>
      <c r="B13" s="697" t="s">
        <v>379</v>
      </c>
      <c r="C13" s="698"/>
      <c r="D13" s="698"/>
      <c r="E13" s="698"/>
      <c r="F13" s="698"/>
      <c r="G13" s="698"/>
      <c r="H13" s="699"/>
      <c r="L13" s="361">
        <v>10</v>
      </c>
      <c r="M13" s="361" t="s">
        <v>484</v>
      </c>
      <c r="N13" s="362" t="s">
        <v>485</v>
      </c>
      <c r="O13" s="363" t="s">
        <v>492</v>
      </c>
      <c r="P13" s="363" t="s">
        <v>492</v>
      </c>
      <c r="Q13" s="363" t="s">
        <v>492</v>
      </c>
      <c r="R13" s="363" t="s">
        <v>492</v>
      </c>
      <c r="S13" s="363" t="s">
        <v>492</v>
      </c>
    </row>
    <row r="14" spans="1:19" ht="31.5" customHeight="1" thickBot="1" x14ac:dyDescent="0.35">
      <c r="A14" s="279">
        <v>11</v>
      </c>
      <c r="B14" s="697" t="s">
        <v>380</v>
      </c>
      <c r="C14" s="698"/>
      <c r="D14" s="698"/>
      <c r="E14" s="698"/>
      <c r="F14" s="698"/>
      <c r="G14" s="698"/>
      <c r="H14" s="699"/>
      <c r="L14" s="361">
        <v>11</v>
      </c>
      <c r="M14" s="361" t="s">
        <v>486</v>
      </c>
      <c r="N14" s="361" t="s">
        <v>487</v>
      </c>
      <c r="O14" s="362" t="s">
        <v>488</v>
      </c>
      <c r="P14" s="362" t="s">
        <v>488</v>
      </c>
      <c r="Q14" s="362" t="s">
        <v>488</v>
      </c>
      <c r="R14" s="362" t="s">
        <v>488</v>
      </c>
      <c r="S14" s="362" t="s">
        <v>488</v>
      </c>
    </row>
    <row r="15" spans="1:19" ht="57" customHeight="1" x14ac:dyDescent="0.3">
      <c r="A15" s="689">
        <v>12</v>
      </c>
      <c r="B15" s="691" t="s">
        <v>381</v>
      </c>
      <c r="C15" s="692"/>
      <c r="D15" s="692"/>
      <c r="E15" s="692"/>
      <c r="F15" s="692"/>
      <c r="G15" s="692"/>
      <c r="H15" s="693"/>
      <c r="L15" s="700" t="s">
        <v>489</v>
      </c>
      <c r="M15" s="700"/>
      <c r="N15" s="700"/>
      <c r="O15" s="700"/>
      <c r="P15" s="700"/>
      <c r="Q15" s="700"/>
      <c r="R15" s="700"/>
      <c r="S15" s="700"/>
    </row>
    <row r="16" spans="1:19" ht="15" thickBot="1" x14ac:dyDescent="0.35">
      <c r="A16" s="690"/>
      <c r="B16" s="694"/>
      <c r="C16" s="695"/>
      <c r="D16" s="695"/>
      <c r="E16" s="695"/>
      <c r="F16" s="695"/>
      <c r="G16" s="695"/>
      <c r="H16" s="696"/>
    </row>
    <row r="17" spans="1:13" x14ac:dyDescent="0.3">
      <c r="A17" s="689">
        <v>13</v>
      </c>
      <c r="B17" s="691" t="s">
        <v>382</v>
      </c>
      <c r="C17" s="692"/>
      <c r="D17" s="692"/>
      <c r="E17" s="692"/>
      <c r="F17" s="692"/>
      <c r="G17" s="692"/>
      <c r="H17" s="693"/>
    </row>
    <row r="18" spans="1:13" x14ac:dyDescent="0.3">
      <c r="A18" s="690"/>
      <c r="B18" s="694"/>
      <c r="C18" s="695"/>
      <c r="D18" s="695"/>
      <c r="E18" s="695"/>
      <c r="F18" s="695"/>
      <c r="G18" s="695"/>
      <c r="H18" s="696"/>
    </row>
    <row r="19" spans="1:13" ht="31.5" customHeight="1" x14ac:dyDescent="0.3">
      <c r="A19" s="279">
        <v>14</v>
      </c>
      <c r="B19" s="697" t="s">
        <v>383</v>
      </c>
      <c r="C19" s="698"/>
      <c r="D19" s="698"/>
      <c r="E19" s="698"/>
      <c r="F19" s="698"/>
      <c r="G19" s="698"/>
      <c r="H19" s="699"/>
    </row>
    <row r="20" spans="1:13" ht="31.5" customHeight="1" x14ac:dyDescent="0.3">
      <c r="A20" s="279">
        <v>15</v>
      </c>
      <c r="B20" s="697" t="s">
        <v>384</v>
      </c>
      <c r="C20" s="698"/>
      <c r="D20" s="698"/>
      <c r="E20" s="698"/>
      <c r="F20" s="698"/>
      <c r="G20" s="698"/>
      <c r="H20" s="699"/>
    </row>
    <row r="21" spans="1:13" ht="31.5" customHeight="1" x14ac:dyDescent="0.3">
      <c r="A21" s="279">
        <v>16</v>
      </c>
      <c r="B21" s="697" t="s">
        <v>385</v>
      </c>
      <c r="C21" s="698"/>
      <c r="D21" s="698"/>
      <c r="E21" s="698"/>
      <c r="F21" s="698"/>
      <c r="G21" s="698"/>
      <c r="H21" s="699"/>
    </row>
    <row r="22" spans="1:13" x14ac:dyDescent="0.3">
      <c r="B22" s="360" t="s">
        <v>386</v>
      </c>
    </row>
    <row r="24" spans="1:13" x14ac:dyDescent="0.3">
      <c r="B24" s="688" t="s">
        <v>387</v>
      </c>
      <c r="C24" s="688"/>
      <c r="D24" s="688"/>
      <c r="E24" s="688"/>
      <c r="F24" s="688"/>
      <c r="G24" s="688"/>
      <c r="H24" s="688"/>
      <c r="I24" s="688"/>
      <c r="J24" s="688"/>
      <c r="K24" s="688"/>
      <c r="L24" s="688"/>
      <c r="M24" s="688"/>
    </row>
    <row r="26" spans="1:13" x14ac:dyDescent="0.3">
      <c r="B26" s="365" t="s">
        <v>502</v>
      </c>
    </row>
    <row r="60" spans="2:2" x14ac:dyDescent="0.3">
      <c r="B60" s="352" t="s">
        <v>495</v>
      </c>
    </row>
    <row r="61" spans="2:2" x14ac:dyDescent="0.3">
      <c r="B61" t="s">
        <v>496</v>
      </c>
    </row>
    <row r="62" spans="2:2" x14ac:dyDescent="0.3">
      <c r="B62" t="s">
        <v>497</v>
      </c>
    </row>
    <row r="63" spans="2:2" x14ac:dyDescent="0.3">
      <c r="B63" t="s">
        <v>498</v>
      </c>
    </row>
    <row r="64" spans="2:2" x14ac:dyDescent="0.3">
      <c r="B64" t="s">
        <v>499</v>
      </c>
    </row>
    <row r="65" spans="2:2" x14ac:dyDescent="0.3">
      <c r="B65" t="s">
        <v>500</v>
      </c>
    </row>
    <row r="66" spans="2:2" x14ac:dyDescent="0.3">
      <c r="B66" t="s">
        <v>501</v>
      </c>
    </row>
    <row r="67" spans="2:2" x14ac:dyDescent="0.3">
      <c r="B67" t="s">
        <v>526</v>
      </c>
    </row>
    <row r="68" spans="2:2" x14ac:dyDescent="0.3">
      <c r="B68" t="s">
        <v>555</v>
      </c>
    </row>
    <row r="145" spans="2:2" x14ac:dyDescent="0.3">
      <c r="B145" s="509" t="s">
        <v>528</v>
      </c>
    </row>
    <row r="146" spans="2:2" x14ac:dyDescent="0.3">
      <c r="B146" t="s">
        <v>529</v>
      </c>
    </row>
    <row r="182" spans="2:2" x14ac:dyDescent="0.3">
      <c r="B182" t="s">
        <v>530</v>
      </c>
    </row>
    <row r="183" spans="2:2" x14ac:dyDescent="0.3">
      <c r="B183" t="s">
        <v>531</v>
      </c>
    </row>
    <row r="184" spans="2:2" x14ac:dyDescent="0.3">
      <c r="B184" t="s">
        <v>532</v>
      </c>
    </row>
    <row r="237" spans="51:51" x14ac:dyDescent="0.3">
      <c r="AY237" s="360"/>
    </row>
  </sheetData>
  <mergeCells count="13">
    <mergeCell ref="L15:S15"/>
    <mergeCell ref="A2:H2"/>
    <mergeCell ref="B12:H12"/>
    <mergeCell ref="B13:H13"/>
    <mergeCell ref="B14:H14"/>
    <mergeCell ref="A15:A16"/>
    <mergeCell ref="B15:H16"/>
    <mergeCell ref="B24:M24"/>
    <mergeCell ref="A17:A18"/>
    <mergeCell ref="B17:H18"/>
    <mergeCell ref="B19:H19"/>
    <mergeCell ref="B20:H20"/>
    <mergeCell ref="B21:H21"/>
  </mergeCells>
  <hyperlinks>
    <hyperlink ref="B22" r:id="rId1" xr:uid="{00000000-0004-0000-1B00-000000000000}"/>
  </hyperlinks>
  <pageMargins left="0.7" right="0.7" top="0.75" bottom="0.75" header="0.3" footer="0.3"/>
  <pageSetup paperSize="9" firstPageNumber="2147483648" orientation="portrait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45"/>
  <sheetViews>
    <sheetView tabSelected="1" topLeftCell="A5" zoomScale="80" zoomScaleNormal="80" workbookViewId="0">
      <selection activeCell="B11" sqref="B11"/>
    </sheetView>
  </sheetViews>
  <sheetFormatPr defaultRowHeight="14.4" x14ac:dyDescent="0.3"/>
  <cols>
    <col min="1" max="1" width="48.33203125" customWidth="1"/>
    <col min="2" max="2" width="16.6640625" customWidth="1"/>
    <col min="20" max="20" width="10.33203125" customWidth="1"/>
  </cols>
  <sheetData>
    <row r="1" spans="1:4" x14ac:dyDescent="0.3">
      <c r="A1" t="s">
        <v>8</v>
      </c>
    </row>
    <row r="2" spans="1:4" ht="45.75" customHeight="1" x14ac:dyDescent="0.3">
      <c r="A2" s="5" t="s">
        <v>9</v>
      </c>
      <c r="B2" s="6">
        <f>'объем работ 100% загр'!N10</f>
        <v>11.316666666666668</v>
      </c>
    </row>
    <row r="3" spans="1:4" x14ac:dyDescent="0.3">
      <c r="A3" t="str">
        <f>'объем работ 100% загр'!A22</f>
        <v>Выручка, тыс.руб</v>
      </c>
      <c r="B3" s="7">
        <f>'объем работ 100% загр'!L26</f>
        <v>290161.96045521903</v>
      </c>
    </row>
    <row r="4" spans="1:4" x14ac:dyDescent="0.3">
      <c r="A4" t="s">
        <v>580</v>
      </c>
      <c r="B4" s="6">
        <f>'объем работ 100% загр'!N4</f>
        <v>20.039204870146882</v>
      </c>
      <c r="C4" s="8"/>
      <c r="D4" s="6"/>
    </row>
    <row r="5" spans="1:4" x14ac:dyDescent="0.3">
      <c r="A5" t="s">
        <v>10</v>
      </c>
      <c r="B5">
        <f>'Расходы на ЗП ОТ'!B66</f>
        <v>15</v>
      </c>
    </row>
    <row r="6" spans="1:4" x14ac:dyDescent="0.3">
      <c r="A6" t="s">
        <v>11</v>
      </c>
      <c r="B6" s="6">
        <f>'Расходы на ЗП ОТ'!C66</f>
        <v>52.533333333333331</v>
      </c>
    </row>
    <row r="7" spans="1:4" x14ac:dyDescent="0.3">
      <c r="A7" s="9" t="s">
        <v>12</v>
      </c>
      <c r="B7" s="6">
        <f>'Расходы на ЗП ТОР'!BF54/1000</f>
        <v>21.049542180989469</v>
      </c>
    </row>
    <row r="8" spans="1:4" x14ac:dyDescent="0.3">
      <c r="A8" s="9" t="s">
        <v>13</v>
      </c>
      <c r="B8" s="10">
        <f>'объем работ 100% загр'!N37</f>
        <v>7764</v>
      </c>
    </row>
    <row r="9" spans="1:4" x14ac:dyDescent="0.3">
      <c r="A9" s="535" t="s">
        <v>562</v>
      </c>
      <c r="B9" s="6">
        <f>Себестоимость!M49</f>
        <v>15.798067948296923</v>
      </c>
    </row>
    <row r="10" spans="1:4" x14ac:dyDescent="0.3">
      <c r="A10" s="562" t="s">
        <v>564</v>
      </c>
      <c r="B10" s="10">
        <f>'Расходы на П, строит-во, ввод'!AA14</f>
        <v>70146.94783646916</v>
      </c>
    </row>
    <row r="11" spans="1:4" x14ac:dyDescent="0.3">
      <c r="A11" t="str">
        <f>'Расходы ТОР'!A51</f>
        <v>Разница в ЧП с ТОСЭР и без, тыс.руб.</v>
      </c>
      <c r="B11" s="10">
        <f>'Расходы ТОР'!L53</f>
        <v>19767.162722087134</v>
      </c>
    </row>
    <row r="12" spans="1:4" x14ac:dyDescent="0.3">
      <c r="A12" t="s">
        <v>14</v>
      </c>
      <c r="B12" s="10">
        <f>'NPV, IRR, PI ТОР'!N7</f>
        <v>30478.78745434865</v>
      </c>
    </row>
    <row r="14" spans="1:4" x14ac:dyDescent="0.3">
      <c r="B14" s="11"/>
    </row>
    <row r="15" spans="1:4" x14ac:dyDescent="0.3">
      <c r="A15" t="str">
        <f>'NPV, IRR, PI ТОР'!A21</f>
        <v>Чистая приведенная стоимость  (ЧПС) Способ 1</v>
      </c>
      <c r="B15" s="10">
        <f>'NPV, IRR, PI ТОР'!B21</f>
        <v>67650.315395662314</v>
      </c>
    </row>
    <row r="16" spans="1:4" x14ac:dyDescent="0.3">
      <c r="A16" t="str">
        <f>'NPV, IRR, PI ТОР'!A23</f>
        <v>Рентабельность продаж, %</v>
      </c>
      <c r="B16" s="11">
        <f>'NPV, IRR, PI ТОР'!B23</f>
        <v>0.14122394333638483</v>
      </c>
    </row>
    <row r="17" spans="1:2" x14ac:dyDescent="0.3">
      <c r="A17" t="str">
        <f>'NPV, IRR, PI ТОР'!A24</f>
        <v>Рентабельность продукции, %</v>
      </c>
      <c r="B17" s="11">
        <f>'NPV, IRR, PI ТОР'!B24</f>
        <v>0.16928652050986898</v>
      </c>
    </row>
    <row r="18" spans="1:2" x14ac:dyDescent="0.3">
      <c r="A18" t="str">
        <f>'NPV, IRR, PI ТОР'!A25</f>
        <v>Индекс доходности (PI)</v>
      </c>
      <c r="B18" s="10">
        <f>'NPV, IRR, PI ТОР'!B25</f>
        <v>1.050076631110068</v>
      </c>
    </row>
    <row r="19" spans="1:2" x14ac:dyDescent="0.3">
      <c r="A19" t="str">
        <f>'NPV, IRR, PI ТОР'!A26</f>
        <v>Внутренняя норма доходности (IRR), %</v>
      </c>
      <c r="B19" s="11">
        <f>'NPV, IRR, PI ТОР'!B26</f>
        <v>0.22733012650324569</v>
      </c>
    </row>
    <row r="20" spans="1:2" ht="28.8" x14ac:dyDescent="0.3">
      <c r="A20" s="64" t="str">
        <f>'NPV, IRR, PI ТОР'!A27</f>
        <v>Срок окупаемости первоначальных инвестиций (РB), лет</v>
      </c>
      <c r="B20" s="10">
        <f>'NPV, IRR, PI ТОР'!B27</f>
        <v>8.1137379594413002</v>
      </c>
    </row>
    <row r="21" spans="1:2" x14ac:dyDescent="0.3">
      <c r="B21" s="10"/>
    </row>
    <row r="22" spans="1:2" x14ac:dyDescent="0.3">
      <c r="A22" t="str">
        <f>'NPV, IRR, PI ТОР'!A29</f>
        <v>Финансовый результат (+/- прибыль/убыток)</v>
      </c>
      <c r="B22" s="10">
        <f>'NPV, IRR, PI ТОР'!B29</f>
        <v>290989.43983430433</v>
      </c>
    </row>
    <row r="23" spans="1:2" x14ac:dyDescent="0.3">
      <c r="A23" t="str">
        <f>'NPV, IRR, PI ТОР'!A30</f>
        <v> Средняя норма рентабельности - ARR, % </v>
      </c>
      <c r="B23" s="11">
        <f>'NPV, IRR, PI ТОР'!B30</f>
        <v>0.47309553936587234</v>
      </c>
    </row>
    <row r="24" spans="1:2" x14ac:dyDescent="0.3">
      <c r="A24" t="str">
        <f>'NPV, IRR, PI ТОР'!A31</f>
        <v>Рентабельность инвестиций, ROI, %</v>
      </c>
      <c r="B24" s="11">
        <f>'NPV, IRR, PI ТОР'!B31</f>
        <v>5.2040509330245959</v>
      </c>
    </row>
    <row r="25" spans="1:2" x14ac:dyDescent="0.3">
      <c r="B25" s="11"/>
    </row>
    <row r="26" spans="1:2" x14ac:dyDescent="0.3">
      <c r="B26" s="11"/>
    </row>
    <row r="27" spans="1:2" x14ac:dyDescent="0.3">
      <c r="B27" s="11"/>
    </row>
    <row r="28" spans="1:2" x14ac:dyDescent="0.3">
      <c r="A28" t="s">
        <v>15</v>
      </c>
      <c r="B28" s="10">
        <f>'Налоги ТОР'!AA24/1000</f>
        <v>40.133648169479891</v>
      </c>
    </row>
    <row r="45" spans="3:3" x14ac:dyDescent="0.3">
      <c r="C45" t="s">
        <v>16</v>
      </c>
    </row>
  </sheetData>
  <pageMargins left="0.7" right="0.7" top="0.75" bottom="0.75" header="0.3" footer="0.3"/>
  <pageSetup paperSize="9" firstPageNumber="2147483648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1">
    <tabColor theme="0"/>
    <pageSetUpPr fitToPage="1"/>
  </sheetPr>
  <dimension ref="A1:AJ39"/>
  <sheetViews>
    <sheetView zoomScale="80" workbookViewId="0">
      <pane xSplit="1" topLeftCell="B1" activePane="topRight" state="frozen"/>
      <selection activeCell="B28" sqref="B28"/>
      <selection pane="topRight" activeCell="O15" sqref="O15"/>
    </sheetView>
  </sheetViews>
  <sheetFormatPr defaultColWidth="9.109375" defaultRowHeight="14.4" x14ac:dyDescent="0.3"/>
  <cols>
    <col min="1" max="1" width="26.5546875" style="54" customWidth="1"/>
    <col min="2" max="2" width="13.88671875" style="55" customWidth="1"/>
    <col min="3" max="11" width="13" style="56" customWidth="1"/>
    <col min="12" max="12" width="17.44140625" style="56" customWidth="1"/>
    <col min="13" max="15" width="12.88671875" customWidth="1"/>
    <col min="16" max="16" width="10" bestFit="1" customWidth="1"/>
    <col min="17" max="17" width="12.44140625" bestFit="1" customWidth="1"/>
    <col min="18" max="19" width="12.44140625" customWidth="1"/>
    <col min="20" max="20" width="13" customWidth="1"/>
    <col min="21" max="21" width="12.88671875" customWidth="1"/>
    <col min="22" max="22" width="13.44140625" customWidth="1"/>
    <col min="23" max="24" width="15.33203125" customWidth="1"/>
    <col min="25" max="25" width="18.33203125" customWidth="1"/>
    <col min="26" max="26" width="14" customWidth="1"/>
    <col min="27" max="27" width="20.5546875" customWidth="1"/>
    <col min="28" max="30" width="10.5546875" bestFit="1" customWidth="1"/>
    <col min="31" max="31" width="11.44140625" customWidth="1"/>
    <col min="32" max="32" width="11.88671875" style="56" customWidth="1"/>
    <col min="33" max="36" width="13" style="56" customWidth="1"/>
  </cols>
  <sheetData>
    <row r="1" spans="1:32" ht="25.8" x14ac:dyDescent="0.3">
      <c r="A1" s="57"/>
      <c r="C1" s="58"/>
      <c r="D1" s="58"/>
      <c r="E1" s="58"/>
      <c r="F1" s="58"/>
      <c r="G1" s="58"/>
      <c r="H1" s="58"/>
      <c r="I1" s="58"/>
      <c r="J1" s="58"/>
      <c r="K1" s="58"/>
      <c r="L1" s="58"/>
      <c r="N1" s="59"/>
      <c r="P1" s="378" t="str">
        <f t="shared" ref="P1:Z1" si="0">C3</f>
        <v>1 год</v>
      </c>
      <c r="Q1" s="378" t="str">
        <f t="shared" si="0"/>
        <v>2 год</v>
      </c>
      <c r="R1" s="378" t="str">
        <f t="shared" si="0"/>
        <v>3 год</v>
      </c>
      <c r="S1" s="378" t="str">
        <f t="shared" si="0"/>
        <v>4 год</v>
      </c>
      <c r="T1" s="378" t="str">
        <f t="shared" si="0"/>
        <v>5 год</v>
      </c>
      <c r="U1" s="378" t="str">
        <f t="shared" si="0"/>
        <v>6 год</v>
      </c>
      <c r="V1" s="378" t="str">
        <f t="shared" si="0"/>
        <v>7 год</v>
      </c>
      <c r="W1" s="378" t="str">
        <f t="shared" si="0"/>
        <v>8 год</v>
      </c>
      <c r="X1" s="378" t="str">
        <f t="shared" si="0"/>
        <v>9 год</v>
      </c>
      <c r="Y1" s="378" t="str">
        <f t="shared" si="0"/>
        <v>10 год</v>
      </c>
      <c r="Z1" s="378" t="str">
        <f t="shared" si="0"/>
        <v>11 год</v>
      </c>
      <c r="AA1" s="60"/>
      <c r="AB1" s="60"/>
      <c r="AC1" s="60"/>
      <c r="AD1" s="60"/>
    </row>
    <row r="2" spans="1:32" ht="18" customHeight="1" x14ac:dyDescent="0.3">
      <c r="A2" s="378"/>
      <c r="B2" s="378"/>
      <c r="C2" s="665" t="s">
        <v>313</v>
      </c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2"/>
      <c r="O2" s="63"/>
      <c r="P2" s="666" t="s">
        <v>47</v>
      </c>
      <c r="Q2" s="667"/>
      <c r="R2" s="667"/>
      <c r="S2" s="667"/>
      <c r="T2" s="667"/>
      <c r="U2" s="667"/>
      <c r="V2" s="667"/>
      <c r="W2" s="667"/>
      <c r="X2" s="667"/>
      <c r="Y2" s="667"/>
      <c r="Z2" s="667"/>
      <c r="AE2" s="64"/>
      <c r="AF2" s="64"/>
    </row>
    <row r="3" spans="1:32" s="64" customFormat="1" x14ac:dyDescent="0.3">
      <c r="A3" s="380" t="s">
        <v>48</v>
      </c>
      <c r="B3" s="381" t="s">
        <v>49</v>
      </c>
      <c r="C3" s="378" t="s">
        <v>50</v>
      </c>
      <c r="D3" s="378" t="s">
        <v>51</v>
      </c>
      <c r="E3" s="378" t="s">
        <v>52</v>
      </c>
      <c r="F3" s="378" t="s">
        <v>53</v>
      </c>
      <c r="G3" s="378" t="s">
        <v>54</v>
      </c>
      <c r="H3" s="379" t="s">
        <v>55</v>
      </c>
      <c r="I3" s="379" t="s">
        <v>56</v>
      </c>
      <c r="J3" s="379" t="s">
        <v>57</v>
      </c>
      <c r="K3" s="379" t="s">
        <v>58</v>
      </c>
      <c r="L3" s="379" t="s">
        <v>59</v>
      </c>
      <c r="M3" s="379" t="s">
        <v>60</v>
      </c>
      <c r="N3" s="383" t="s">
        <v>61</v>
      </c>
      <c r="O3" s="67"/>
      <c r="P3" s="68">
        <v>0</v>
      </c>
      <c r="Q3" s="68">
        <v>0.7</v>
      </c>
      <c r="R3" s="68">
        <f>Q3+5%</f>
        <v>0.75</v>
      </c>
      <c r="S3" s="68">
        <f t="shared" ref="S3:W3" si="1">R3+5%</f>
        <v>0.8</v>
      </c>
      <c r="T3" s="68">
        <f t="shared" si="1"/>
        <v>0.85000000000000009</v>
      </c>
      <c r="U3" s="68">
        <f t="shared" si="1"/>
        <v>0.90000000000000013</v>
      </c>
      <c r="V3" s="68">
        <f t="shared" si="1"/>
        <v>0.95000000000000018</v>
      </c>
      <c r="W3" s="68">
        <f t="shared" si="1"/>
        <v>1.0000000000000002</v>
      </c>
      <c r="X3" s="68">
        <f>W3</f>
        <v>1.0000000000000002</v>
      </c>
      <c r="Y3" s="68">
        <v>1</v>
      </c>
      <c r="Z3" s="68">
        <v>1</v>
      </c>
      <c r="AA3" s="383" t="s">
        <v>62</v>
      </c>
    </row>
    <row r="4" spans="1:32" ht="43.2" x14ac:dyDescent="0.3">
      <c r="A4" s="65" t="s">
        <v>63</v>
      </c>
      <c r="B4" s="527" t="s">
        <v>549</v>
      </c>
      <c r="C4" s="70">
        <v>18</v>
      </c>
      <c r="D4" s="70">
        <f>C4*(1+допущения!$C$38)</f>
        <v>19.080000000000002</v>
      </c>
      <c r="E4" s="70">
        <f>D4*(1+допущения!$C$38/4)</f>
        <v>19.366199999999999</v>
      </c>
      <c r="F4" s="70">
        <f>E4*(1+допущения!$C$38/4)</f>
        <v>19.656692999999997</v>
      </c>
      <c r="G4" s="70">
        <f>F4*(1+допущения!$C$38/4)</f>
        <v>19.951543394999995</v>
      </c>
      <c r="H4" s="70">
        <f>G4*(1+допущения!$C$38/4)</f>
        <v>20.250816545924991</v>
      </c>
      <c r="I4" s="70">
        <f>H4*(1+допущения!$C$38/4)</f>
        <v>20.554578794113866</v>
      </c>
      <c r="J4" s="70">
        <f>I4*(1+допущения!$C$38/4)</f>
        <v>20.862897476025573</v>
      </c>
      <c r="K4" s="70">
        <f>J4*(1+допущения!$C$38/4)</f>
        <v>21.175840938165955</v>
      </c>
      <c r="L4" s="70">
        <f>K4*(1+допущения!$C$38/4)</f>
        <v>21.493478552238443</v>
      </c>
      <c r="M4" s="70">
        <f>L4*(1+допущения!$C$38/4)</f>
        <v>21.815880730522018</v>
      </c>
      <c r="N4" s="69">
        <f>AVERAGE(C4:L4)</f>
        <v>20.039204870146882</v>
      </c>
      <c r="O4" s="63"/>
      <c r="P4" s="70">
        <f>P3*Y4</f>
        <v>0</v>
      </c>
      <c r="Q4" s="70">
        <f>Y4*$Q$3</f>
        <v>0.875</v>
      </c>
      <c r="R4" s="70">
        <f t="shared" ref="R4" si="2">Y4*$R$3</f>
        <v>0.9375</v>
      </c>
      <c r="S4" s="70">
        <f t="shared" ref="S4" si="3">Y4*$S$3</f>
        <v>1</v>
      </c>
      <c r="T4" s="70">
        <f t="shared" ref="T4" si="4">Y4*$T$3</f>
        <v>1.0625</v>
      </c>
      <c r="U4" s="70">
        <f t="shared" ref="U4" si="5">Y4*$U$3</f>
        <v>1.1250000000000002</v>
      </c>
      <c r="V4" s="70">
        <f t="shared" ref="V4" si="6">Y4*$V$3</f>
        <v>1.1875000000000002</v>
      </c>
      <c r="W4" s="70">
        <f t="shared" ref="W4" si="7">Y4*$W$3</f>
        <v>1.2500000000000002</v>
      </c>
      <c r="X4" s="70">
        <f t="shared" ref="X4" si="8">Y4*$X$3</f>
        <v>1.2500000000000002</v>
      </c>
      <c r="Y4" s="71">
        <v>1.25</v>
      </c>
      <c r="Z4" s="70">
        <f>Y4</f>
        <v>1.25</v>
      </c>
      <c r="AA4" s="70">
        <f>Y4/22</f>
        <v>5.6818181818181816E-2</v>
      </c>
      <c r="AE4" s="64"/>
      <c r="AF4" s="64"/>
    </row>
    <row r="5" spans="1:32" ht="12.75" customHeight="1" x14ac:dyDescent="0.3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62"/>
      <c r="O5" s="63"/>
      <c r="P5" s="73"/>
      <c r="Q5" s="73"/>
      <c r="R5" s="73"/>
      <c r="S5" s="73"/>
      <c r="T5" s="73"/>
      <c r="U5" s="73"/>
      <c r="V5" s="73"/>
      <c r="Y5" s="74"/>
      <c r="Z5" s="75"/>
      <c r="AA5" s="76"/>
    </row>
    <row r="6" spans="1:32" ht="32.25" hidden="1" customHeight="1" x14ac:dyDescent="0.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62"/>
      <c r="O6" s="63"/>
      <c r="P6" s="73"/>
      <c r="Q6" s="73"/>
      <c r="R6" s="73"/>
      <c r="S6" s="73"/>
      <c r="T6" s="73"/>
      <c r="U6" s="73"/>
      <c r="V6" s="73"/>
      <c r="Y6" s="74"/>
      <c r="Z6" s="75"/>
      <c r="AA6" s="76"/>
    </row>
    <row r="7" spans="1:32" ht="18" customHeight="1" x14ac:dyDescent="0.3">
      <c r="B7" s="77"/>
      <c r="C7" s="78"/>
      <c r="M7" s="73"/>
      <c r="N7" s="72"/>
      <c r="O7" s="63"/>
      <c r="P7" s="73"/>
      <c r="Q7" s="73"/>
      <c r="R7" s="73"/>
      <c r="S7" s="73"/>
      <c r="U7" s="79"/>
      <c r="V7" s="79"/>
      <c r="W7" s="79"/>
      <c r="X7" s="79"/>
      <c r="Y7" s="79"/>
      <c r="Z7" s="79"/>
      <c r="AA7" s="79"/>
      <c r="AB7" s="79"/>
      <c r="AC7" s="79"/>
      <c r="AD7" s="79"/>
    </row>
    <row r="8" spans="1:32" ht="18" customHeight="1" x14ac:dyDescent="0.3">
      <c r="A8" s="382"/>
      <c r="B8" s="353"/>
      <c r="C8" s="668" t="s">
        <v>65</v>
      </c>
      <c r="D8" s="669"/>
      <c r="E8" s="669"/>
      <c r="F8" s="669"/>
      <c r="G8" s="669"/>
      <c r="H8" s="669"/>
      <c r="I8" s="669"/>
      <c r="J8" s="669"/>
      <c r="K8" s="669"/>
      <c r="L8" s="669"/>
      <c r="M8" s="669"/>
      <c r="N8" s="384" t="s">
        <v>66</v>
      </c>
      <c r="O8" s="63"/>
      <c r="P8" s="665" t="s">
        <v>67</v>
      </c>
      <c r="Q8" s="665"/>
      <c r="R8" s="665"/>
      <c r="S8" s="665"/>
      <c r="T8" s="665"/>
      <c r="U8" s="665"/>
      <c r="V8" s="665"/>
      <c r="W8" s="665"/>
      <c r="X8" s="665"/>
      <c r="Y8" s="665"/>
      <c r="Z8" s="665"/>
      <c r="AA8" s="79"/>
      <c r="AB8" s="79"/>
      <c r="AC8" s="79"/>
      <c r="AD8" s="79"/>
    </row>
    <row r="9" spans="1:32" ht="18" customHeight="1" x14ac:dyDescent="0.3">
      <c r="A9" s="380" t="s">
        <v>48</v>
      </c>
      <c r="B9" s="381"/>
      <c r="C9" s="378" t="str">
        <f>C3</f>
        <v>1 год</v>
      </c>
      <c r="D9" s="378" t="str">
        <f>D3</f>
        <v>2 год</v>
      </c>
      <c r="E9" s="378" t="str">
        <f>E3</f>
        <v>3 год</v>
      </c>
      <c r="F9" s="378" t="str">
        <f>F3</f>
        <v>4 год</v>
      </c>
      <c r="G9" s="378" t="str">
        <f t="shared" ref="G9:M9" si="9">G3</f>
        <v>5 год</v>
      </c>
      <c r="H9" s="378" t="str">
        <f t="shared" si="9"/>
        <v>6 год</v>
      </c>
      <c r="I9" s="378" t="str">
        <f t="shared" si="9"/>
        <v>7 год</v>
      </c>
      <c r="J9" s="378" t="str">
        <f t="shared" si="9"/>
        <v>8 год</v>
      </c>
      <c r="K9" s="378" t="str">
        <f t="shared" si="9"/>
        <v>9 год</v>
      </c>
      <c r="L9" s="378" t="str">
        <f t="shared" si="9"/>
        <v>10 год</v>
      </c>
      <c r="M9" s="378" t="str">
        <f t="shared" si="9"/>
        <v>11 год</v>
      </c>
      <c r="N9" s="63"/>
      <c r="O9" s="63"/>
      <c r="P9" s="378" t="str">
        <f>C9</f>
        <v>1 год</v>
      </c>
      <c r="Q9" s="378" t="str">
        <f t="shared" ref="Q9:Z9" si="10">D9</f>
        <v>2 год</v>
      </c>
      <c r="R9" s="378" t="str">
        <f t="shared" si="10"/>
        <v>3 год</v>
      </c>
      <c r="S9" s="378" t="str">
        <f t="shared" si="10"/>
        <v>4 год</v>
      </c>
      <c r="T9" s="378" t="str">
        <f t="shared" si="10"/>
        <v>5 год</v>
      </c>
      <c r="U9" s="378" t="str">
        <f t="shared" si="10"/>
        <v>6 год</v>
      </c>
      <c r="V9" s="378" t="str">
        <f t="shared" si="10"/>
        <v>7 год</v>
      </c>
      <c r="W9" s="378" t="str">
        <f t="shared" si="10"/>
        <v>8 год</v>
      </c>
      <c r="X9" s="378" t="str">
        <f t="shared" si="10"/>
        <v>9 год</v>
      </c>
      <c r="Y9" s="378" t="str">
        <f t="shared" si="10"/>
        <v>10 год</v>
      </c>
      <c r="Z9" s="378" t="str">
        <f t="shared" si="10"/>
        <v>11 год</v>
      </c>
      <c r="AA9" s="79"/>
      <c r="AB9" s="79"/>
      <c r="AC9" s="79"/>
      <c r="AD9" s="79"/>
    </row>
    <row r="10" spans="1:32" ht="41.25" customHeight="1" x14ac:dyDescent="0.3">
      <c r="A10" s="65" t="str">
        <f>A4</f>
        <v>картон для строительных материалов (для гипсокартона)</v>
      </c>
      <c r="B10" s="66" t="s">
        <v>68</v>
      </c>
      <c r="C10" s="70">
        <v>0</v>
      </c>
      <c r="D10" s="70">
        <f t="shared" ref="D10:L10" si="11">Q4*Q10*D16</f>
        <v>6.3</v>
      </c>
      <c r="E10" s="70">
        <f t="shared" si="11"/>
        <v>9</v>
      </c>
      <c r="F10" s="70">
        <f t="shared" si="11"/>
        <v>9.6000000000000014</v>
      </c>
      <c r="G10" s="70">
        <f t="shared" si="11"/>
        <v>11.475</v>
      </c>
      <c r="H10" s="70">
        <f t="shared" si="11"/>
        <v>12.150000000000004</v>
      </c>
      <c r="I10" s="70">
        <f t="shared" si="11"/>
        <v>12.825000000000003</v>
      </c>
      <c r="J10" s="70">
        <f t="shared" si="11"/>
        <v>13.500000000000004</v>
      </c>
      <c r="K10" s="70">
        <f t="shared" si="11"/>
        <v>13.500000000000004</v>
      </c>
      <c r="L10" s="70">
        <f t="shared" si="11"/>
        <v>13.5</v>
      </c>
      <c r="M10" s="70">
        <f>Z4*Z10*M16</f>
        <v>13.5</v>
      </c>
      <c r="N10" s="80">
        <f>AVERAGE(D10:L10)</f>
        <v>11.316666666666668</v>
      </c>
      <c r="O10" s="63"/>
      <c r="P10" s="70">
        <v>0</v>
      </c>
      <c r="Q10" s="71">
        <v>12</v>
      </c>
      <c r="R10" s="71">
        <v>12</v>
      </c>
      <c r="S10" s="71">
        <v>12</v>
      </c>
      <c r="T10" s="71">
        <v>12</v>
      </c>
      <c r="U10" s="71">
        <v>12</v>
      </c>
      <c r="V10" s="71">
        <v>12</v>
      </c>
      <c r="W10" s="71">
        <v>12</v>
      </c>
      <c r="X10" s="71">
        <v>12</v>
      </c>
      <c r="Y10" s="71">
        <v>12</v>
      </c>
      <c r="Z10" s="71">
        <v>12</v>
      </c>
      <c r="AA10" s="79"/>
      <c r="AB10" s="79"/>
      <c r="AC10" s="79"/>
      <c r="AD10" s="79"/>
    </row>
    <row r="11" spans="1:32" x14ac:dyDescent="0.3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81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9"/>
      <c r="AC11" s="79"/>
      <c r="AD11" s="79"/>
    </row>
    <row r="12" spans="1:32" ht="13.5" customHeight="1" x14ac:dyDescent="0.3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81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9"/>
      <c r="AC12" s="79"/>
      <c r="AD12" s="79"/>
    </row>
    <row r="13" spans="1:32" ht="38.25" hidden="1" customHeight="1" x14ac:dyDescent="0.3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79"/>
      <c r="AA13" s="79"/>
      <c r="AB13" s="79"/>
      <c r="AC13" s="79"/>
      <c r="AD13" s="79"/>
    </row>
    <row r="14" spans="1:32" x14ac:dyDescent="0.3">
      <c r="A14" s="382"/>
      <c r="B14" s="385"/>
      <c r="C14" s="670" t="s">
        <v>69</v>
      </c>
      <c r="D14" s="670"/>
      <c r="E14" s="670"/>
      <c r="F14" s="670"/>
      <c r="G14" s="670"/>
      <c r="H14" s="670"/>
      <c r="I14" s="670"/>
      <c r="J14" s="670"/>
      <c r="K14" s="670"/>
      <c r="L14" s="670"/>
      <c r="M14" s="384"/>
      <c r="N14" s="73"/>
      <c r="O14" s="73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79"/>
      <c r="AA14" s="79"/>
      <c r="AB14" s="79"/>
      <c r="AC14" s="79"/>
      <c r="AD14" s="79"/>
    </row>
    <row r="15" spans="1:32" ht="25.5" customHeight="1" x14ac:dyDescent="0.3">
      <c r="A15" s="380" t="s">
        <v>48</v>
      </c>
      <c r="B15" s="386"/>
      <c r="C15" s="387" t="str">
        <f>C9</f>
        <v>1 год</v>
      </c>
      <c r="D15" s="387" t="str">
        <f t="shared" ref="D15:M15" si="12">D9</f>
        <v>2 год</v>
      </c>
      <c r="E15" s="387" t="str">
        <f t="shared" si="12"/>
        <v>3 год</v>
      </c>
      <c r="F15" s="387" t="str">
        <f t="shared" si="12"/>
        <v>4 год</v>
      </c>
      <c r="G15" s="387" t="str">
        <f t="shared" si="12"/>
        <v>5 год</v>
      </c>
      <c r="H15" s="387" t="str">
        <f t="shared" si="12"/>
        <v>6 год</v>
      </c>
      <c r="I15" s="387" t="str">
        <f t="shared" si="12"/>
        <v>7 год</v>
      </c>
      <c r="J15" s="387" t="str">
        <f t="shared" si="12"/>
        <v>8 год</v>
      </c>
      <c r="K15" s="387" t="str">
        <f t="shared" si="12"/>
        <v>9 год</v>
      </c>
      <c r="L15" s="387" t="str">
        <f t="shared" si="12"/>
        <v>10 год</v>
      </c>
      <c r="M15" s="387" t="str">
        <f t="shared" si="12"/>
        <v>11 год</v>
      </c>
      <c r="N15" s="63"/>
    </row>
    <row r="16" spans="1:32" ht="43.2" x14ac:dyDescent="0.3">
      <c r="A16" s="65" t="str">
        <f>A4</f>
        <v>картон для строительных материалов (для гипсокартона)</v>
      </c>
      <c r="B16" s="66" t="s">
        <v>70</v>
      </c>
      <c r="C16" s="83">
        <v>0</v>
      </c>
      <c r="D16" s="84">
        <v>0.6</v>
      </c>
      <c r="E16" s="84">
        <v>0.8</v>
      </c>
      <c r="F16" s="84">
        <v>0.8</v>
      </c>
      <c r="G16" s="84">
        <v>0.9</v>
      </c>
      <c r="H16" s="84">
        <f>G16</f>
        <v>0.9</v>
      </c>
      <c r="I16" s="84">
        <f>H16</f>
        <v>0.9</v>
      </c>
      <c r="J16" s="84">
        <f>I16</f>
        <v>0.9</v>
      </c>
      <c r="K16" s="84">
        <f>J16</f>
        <v>0.9</v>
      </c>
      <c r="L16" s="84">
        <v>0.9</v>
      </c>
      <c r="M16" s="84">
        <v>0.9</v>
      </c>
      <c r="N16" s="63"/>
    </row>
    <row r="17" spans="1:31" ht="7.5" customHeight="1" x14ac:dyDescent="0.3">
      <c r="A17" s="85"/>
      <c r="B17" s="86"/>
      <c r="C17" s="87"/>
      <c r="D17" s="87"/>
      <c r="E17" s="87"/>
      <c r="F17" s="87"/>
      <c r="G17" s="88"/>
      <c r="H17" s="88"/>
      <c r="I17" s="88"/>
      <c r="J17" s="88"/>
      <c r="K17" s="88"/>
      <c r="L17" s="88"/>
      <c r="M17" s="89"/>
      <c r="N17" s="63"/>
    </row>
    <row r="18" spans="1:31" ht="1.5" hidden="1" customHeight="1" x14ac:dyDescent="0.3">
      <c r="A18" s="85"/>
      <c r="B18" s="86"/>
      <c r="C18" s="87"/>
      <c r="D18" s="87"/>
      <c r="E18" s="87"/>
      <c r="F18" s="87"/>
      <c r="G18" s="88"/>
      <c r="H18" s="88"/>
      <c r="I18" s="88"/>
      <c r="J18" s="88"/>
      <c r="K18" s="88"/>
      <c r="L18" s="88"/>
      <c r="M18" s="89"/>
      <c r="N18" s="63"/>
    </row>
    <row r="19" spans="1:31" hidden="1" x14ac:dyDescent="0.3">
      <c r="E19" s="3"/>
      <c r="F19" s="3"/>
      <c r="G19" s="3"/>
      <c r="H19" s="3"/>
      <c r="I19" s="3"/>
      <c r="J19" s="3"/>
      <c r="K19" s="3"/>
      <c r="L19" s="3"/>
      <c r="M19" s="63"/>
      <c r="N19" s="63"/>
      <c r="Q19" s="7"/>
      <c r="W19" s="10"/>
    </row>
    <row r="20" spans="1:31" hidden="1" x14ac:dyDescent="0.3">
      <c r="E20" s="3"/>
      <c r="F20" s="3"/>
      <c r="G20" s="3"/>
      <c r="H20" s="3"/>
      <c r="I20" s="3"/>
      <c r="J20" s="3"/>
      <c r="K20" s="3"/>
      <c r="L20" s="3"/>
      <c r="M20" s="3"/>
      <c r="N20" s="3"/>
      <c r="W20" s="10"/>
    </row>
    <row r="21" spans="1:31" x14ac:dyDescent="0.3">
      <c r="M21" s="56"/>
      <c r="W21" s="10"/>
    </row>
    <row r="22" spans="1:31" x14ac:dyDescent="0.3">
      <c r="A22" s="380" t="s">
        <v>71</v>
      </c>
      <c r="B22" s="379"/>
      <c r="C22" s="379" t="str">
        <f t="shared" ref="C22:M22" si="13">C3</f>
        <v>1 год</v>
      </c>
      <c r="D22" s="379" t="str">
        <f t="shared" si="13"/>
        <v>2 год</v>
      </c>
      <c r="E22" s="379" t="str">
        <f t="shared" si="13"/>
        <v>3 год</v>
      </c>
      <c r="F22" s="379" t="str">
        <f t="shared" si="13"/>
        <v>4 год</v>
      </c>
      <c r="G22" s="379" t="str">
        <f t="shared" si="13"/>
        <v>5 год</v>
      </c>
      <c r="H22" s="379" t="str">
        <f t="shared" si="13"/>
        <v>6 год</v>
      </c>
      <c r="I22" s="379" t="str">
        <f t="shared" si="13"/>
        <v>7 год</v>
      </c>
      <c r="J22" s="379" t="str">
        <f t="shared" si="13"/>
        <v>8 год</v>
      </c>
      <c r="K22" s="379" t="str">
        <f t="shared" si="13"/>
        <v>9 год</v>
      </c>
      <c r="L22" s="379" t="str">
        <f t="shared" si="13"/>
        <v>10 год</v>
      </c>
      <c r="M22" s="379" t="str">
        <f t="shared" si="13"/>
        <v>11 год</v>
      </c>
      <c r="W22" s="10"/>
    </row>
    <row r="23" spans="1:31" ht="57" customHeight="1" x14ac:dyDescent="0.3">
      <c r="A23" s="65" t="str">
        <f>A16</f>
        <v>картон для строительных материалов (для гипсокартона)</v>
      </c>
      <c r="B23" s="61"/>
      <c r="C23" s="70">
        <f>C10*C4</f>
        <v>0</v>
      </c>
      <c r="D23" s="70">
        <f>D10*D4*1000</f>
        <v>120204.00000000001</v>
      </c>
      <c r="E23" s="70">
        <f t="shared" ref="E23:M23" si="14">E10*E4*1000</f>
        <v>174295.8</v>
      </c>
      <c r="F23" s="70">
        <f t="shared" si="14"/>
        <v>188704.25280000002</v>
      </c>
      <c r="G23" s="70">
        <f t="shared" si="14"/>
        <v>228943.96045762493</v>
      </c>
      <c r="H23" s="70">
        <f t="shared" si="14"/>
        <v>246047.42103298873</v>
      </c>
      <c r="I23" s="70">
        <f t="shared" si="14"/>
        <v>263612.47303451039</v>
      </c>
      <c r="J23" s="70">
        <f t="shared" si="14"/>
        <v>281649.11592634529</v>
      </c>
      <c r="K23" s="70">
        <f t="shared" si="14"/>
        <v>285873.85266524047</v>
      </c>
      <c r="L23" s="70">
        <f t="shared" si="14"/>
        <v>290161.96045521903</v>
      </c>
      <c r="M23" s="70">
        <f t="shared" si="14"/>
        <v>294514.38986204728</v>
      </c>
      <c r="Q23" s="10"/>
      <c r="W23" s="10"/>
    </row>
    <row r="24" spans="1:31" hidden="1" x14ac:dyDescent="0.3">
      <c r="A24" s="65"/>
      <c r="B24" s="61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</row>
    <row r="25" spans="1:31" ht="3" customHeight="1" x14ac:dyDescent="0.3">
      <c r="A25" s="65"/>
      <c r="B25" s="61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</row>
    <row r="26" spans="1:31" x14ac:dyDescent="0.3">
      <c r="A26" s="65" t="s">
        <v>18</v>
      </c>
      <c r="B26" s="61"/>
      <c r="C26" s="70">
        <f>SUM(C23:C25)</f>
        <v>0</v>
      </c>
      <c r="D26" s="70">
        <f t="shared" ref="D26:M26" si="15">SUM(D23:D25)</f>
        <v>120204.00000000001</v>
      </c>
      <c r="E26" s="70">
        <f t="shared" si="15"/>
        <v>174295.8</v>
      </c>
      <c r="F26" s="70">
        <f t="shared" si="15"/>
        <v>188704.25280000002</v>
      </c>
      <c r="G26" s="70">
        <f t="shared" si="15"/>
        <v>228943.96045762493</v>
      </c>
      <c r="H26" s="70">
        <f>SUM(H23:H25)</f>
        <v>246047.42103298873</v>
      </c>
      <c r="I26" s="70">
        <f t="shared" si="15"/>
        <v>263612.47303451039</v>
      </c>
      <c r="J26" s="70">
        <f t="shared" si="15"/>
        <v>281649.11592634529</v>
      </c>
      <c r="K26" s="70">
        <f t="shared" si="15"/>
        <v>285873.85266524047</v>
      </c>
      <c r="L26" s="90">
        <f>SUM(L23:L25)</f>
        <v>290161.96045521903</v>
      </c>
      <c r="M26" s="70">
        <f t="shared" si="15"/>
        <v>294514.38986204728</v>
      </c>
      <c r="O26" s="63"/>
    </row>
    <row r="27" spans="1:31" x14ac:dyDescent="0.3">
      <c r="O27" s="63"/>
      <c r="AE27" s="56"/>
    </row>
    <row r="29" spans="1:31" x14ac:dyDescent="0.3">
      <c r="C29" s="659" t="s">
        <v>72</v>
      </c>
      <c r="D29" s="660"/>
      <c r="E29" s="660"/>
      <c r="F29" s="660"/>
      <c r="G29" s="660"/>
      <c r="H29" s="660"/>
      <c r="I29" s="660"/>
      <c r="J29" s="660"/>
      <c r="K29" s="660"/>
      <c r="L29" s="660"/>
      <c r="M29" s="661"/>
    </row>
    <row r="30" spans="1:31" x14ac:dyDescent="0.3">
      <c r="C30" s="91" t="s">
        <v>50</v>
      </c>
      <c r="D30" s="91" t="s">
        <v>51</v>
      </c>
      <c r="E30" s="91" t="s">
        <v>52</v>
      </c>
      <c r="F30" s="91" t="s">
        <v>53</v>
      </c>
      <c r="G30" s="91" t="s">
        <v>54</v>
      </c>
      <c r="H30" s="91" t="s">
        <v>73</v>
      </c>
      <c r="I30" s="91" t="s">
        <v>56</v>
      </c>
      <c r="J30" s="91" t="s">
        <v>57</v>
      </c>
      <c r="K30" s="91" t="s">
        <v>58</v>
      </c>
      <c r="L30" s="91" t="s">
        <v>59</v>
      </c>
      <c r="M30" s="545" t="s">
        <v>60</v>
      </c>
    </row>
    <row r="31" spans="1:31" x14ac:dyDescent="0.3">
      <c r="C31" s="92">
        <f>C10</f>
        <v>0</v>
      </c>
      <c r="D31" s="92">
        <f t="shared" ref="D31:K31" si="16">D10</f>
        <v>6.3</v>
      </c>
      <c r="E31" s="92">
        <f t="shared" si="16"/>
        <v>9</v>
      </c>
      <c r="F31" s="92">
        <f t="shared" si="16"/>
        <v>9.6000000000000014</v>
      </c>
      <c r="G31" s="92">
        <f t="shared" si="16"/>
        <v>11.475</v>
      </c>
      <c r="H31" s="92">
        <f t="shared" si="16"/>
        <v>12.150000000000004</v>
      </c>
      <c r="I31" s="92">
        <f t="shared" si="16"/>
        <v>12.825000000000003</v>
      </c>
      <c r="J31" s="92">
        <f t="shared" si="16"/>
        <v>13.500000000000004</v>
      </c>
      <c r="K31" s="92">
        <f t="shared" si="16"/>
        <v>13.500000000000004</v>
      </c>
      <c r="L31" s="92">
        <f>L10</f>
        <v>13.5</v>
      </c>
      <c r="M31" s="92">
        <f>M10</f>
        <v>13.5</v>
      </c>
    </row>
    <row r="32" spans="1:31" x14ac:dyDescent="0.3">
      <c r="C32" s="79"/>
      <c r="D32" s="79"/>
      <c r="E32" s="79"/>
      <c r="F32" s="79"/>
      <c r="G32" s="79"/>
      <c r="H32" s="79"/>
    </row>
    <row r="33" spans="1:14" ht="18" customHeight="1" x14ac:dyDescent="0.3">
      <c r="C33" s="662" t="s">
        <v>74</v>
      </c>
      <c r="D33" s="663"/>
      <c r="E33" s="663"/>
      <c r="F33" s="663"/>
      <c r="G33" s="663"/>
      <c r="H33" s="663"/>
      <c r="I33" s="663"/>
      <c r="J33" s="663"/>
      <c r="K33" s="663"/>
      <c r="L33" s="663"/>
      <c r="M33" s="664"/>
    </row>
    <row r="34" spans="1:14" x14ac:dyDescent="0.3">
      <c r="C34" s="91" t="str">
        <f>C30</f>
        <v>1 год</v>
      </c>
      <c r="D34" s="91" t="str">
        <f t="shared" ref="D34:M34" si="17">D30</f>
        <v>2 год</v>
      </c>
      <c r="E34" s="91" t="str">
        <f t="shared" si="17"/>
        <v>3 год</v>
      </c>
      <c r="F34" s="91" t="str">
        <f t="shared" si="17"/>
        <v>4 год</v>
      </c>
      <c r="G34" s="91" t="str">
        <f t="shared" si="17"/>
        <v>5 год</v>
      </c>
      <c r="H34" s="91" t="str">
        <f t="shared" si="17"/>
        <v xml:space="preserve">6 год </v>
      </c>
      <c r="I34" s="91" t="str">
        <f t="shared" si="17"/>
        <v>7 год</v>
      </c>
      <c r="J34" s="91" t="str">
        <f t="shared" si="17"/>
        <v>8 год</v>
      </c>
      <c r="K34" s="91" t="str">
        <f t="shared" si="17"/>
        <v>9 год</v>
      </c>
      <c r="L34" s="91" t="str">
        <f t="shared" si="17"/>
        <v>10 год</v>
      </c>
      <c r="M34" s="91" t="str">
        <f t="shared" si="17"/>
        <v>11 год</v>
      </c>
    </row>
    <row r="35" spans="1:14" x14ac:dyDescent="0.3">
      <c r="C35" s="93">
        <f>C16</f>
        <v>0</v>
      </c>
      <c r="D35" s="93">
        <f>D16</f>
        <v>0.6</v>
      </c>
      <c r="E35" s="93">
        <f t="shared" ref="E35:M35" si="18">E16</f>
        <v>0.8</v>
      </c>
      <c r="F35" s="93">
        <f t="shared" si="18"/>
        <v>0.8</v>
      </c>
      <c r="G35" s="93">
        <f t="shared" si="18"/>
        <v>0.9</v>
      </c>
      <c r="H35" s="93">
        <f t="shared" si="18"/>
        <v>0.9</v>
      </c>
      <c r="I35" s="93">
        <f t="shared" si="18"/>
        <v>0.9</v>
      </c>
      <c r="J35" s="93">
        <f t="shared" si="18"/>
        <v>0.9</v>
      </c>
      <c r="K35" s="93">
        <f t="shared" si="18"/>
        <v>0.9</v>
      </c>
      <c r="L35" s="93">
        <f t="shared" si="18"/>
        <v>0.9</v>
      </c>
      <c r="M35" s="93">
        <f t="shared" si="18"/>
        <v>0.9</v>
      </c>
    </row>
    <row r="36" spans="1:14" ht="28.8" x14ac:dyDescent="0.3">
      <c r="A36" s="54" t="s">
        <v>75</v>
      </c>
      <c r="N36" s="94" t="s">
        <v>61</v>
      </c>
    </row>
    <row r="37" spans="1:14" x14ac:dyDescent="0.3">
      <c r="A37" s="388" t="s">
        <v>76</v>
      </c>
      <c r="B37" s="65">
        <v>800</v>
      </c>
      <c r="C37" s="61">
        <f>$B$37*C31</f>
        <v>0</v>
      </c>
      <c r="D37" s="70">
        <f>$B$37*D31</f>
        <v>5040</v>
      </c>
      <c r="E37" s="70">
        <f t="shared" ref="E37:G37" si="19">$B$37*E31</f>
        <v>7200</v>
      </c>
      <c r="F37" s="70">
        <f t="shared" si="19"/>
        <v>7680.0000000000009</v>
      </c>
      <c r="G37" s="70">
        <f t="shared" si="19"/>
        <v>9180</v>
      </c>
      <c r="H37" s="70">
        <f>$B$37*H31</f>
        <v>9720.0000000000036</v>
      </c>
      <c r="I37" s="70">
        <f t="shared" ref="I37:M37" si="20">$B$37*I31</f>
        <v>10260.000000000002</v>
      </c>
      <c r="J37" s="70">
        <f t="shared" si="20"/>
        <v>10800.000000000004</v>
      </c>
      <c r="K37" s="70">
        <f t="shared" si="20"/>
        <v>10800.000000000004</v>
      </c>
      <c r="L37" s="70">
        <f t="shared" si="20"/>
        <v>10800</v>
      </c>
      <c r="M37" s="70">
        <f t="shared" si="20"/>
        <v>10800</v>
      </c>
      <c r="N37" s="80">
        <f t="shared" ref="N37:N39" si="21">AVERAGE(D37:H37)</f>
        <v>7764</v>
      </c>
    </row>
    <row r="38" spans="1:14" x14ac:dyDescent="0.3">
      <c r="A38" s="65" t="s">
        <v>77</v>
      </c>
      <c r="B38" s="65">
        <v>20</v>
      </c>
      <c r="C38" s="61">
        <f>$B$38*C31*1000</f>
        <v>0</v>
      </c>
      <c r="D38" s="70">
        <f t="shared" ref="D38:M38" si="22">$B$38*D31*1000</f>
        <v>126000</v>
      </c>
      <c r="E38" s="70">
        <f t="shared" si="22"/>
        <v>180000</v>
      </c>
      <c r="F38" s="70">
        <f t="shared" si="22"/>
        <v>192000.00000000003</v>
      </c>
      <c r="G38" s="70">
        <f t="shared" si="22"/>
        <v>229500</v>
      </c>
      <c r="H38" s="70">
        <f t="shared" si="22"/>
        <v>243000.00000000009</v>
      </c>
      <c r="I38" s="70">
        <f t="shared" si="22"/>
        <v>256500.00000000006</v>
      </c>
      <c r="J38" s="70">
        <f t="shared" si="22"/>
        <v>270000.00000000006</v>
      </c>
      <c r="K38" s="70">
        <f t="shared" si="22"/>
        <v>270000.00000000006</v>
      </c>
      <c r="L38" s="70">
        <f t="shared" si="22"/>
        <v>270000</v>
      </c>
      <c r="M38" s="70">
        <f t="shared" si="22"/>
        <v>270000</v>
      </c>
      <c r="N38" s="70">
        <f t="shared" si="21"/>
        <v>194100.00000000003</v>
      </c>
    </row>
    <row r="39" spans="1:14" x14ac:dyDescent="0.3">
      <c r="A39" s="65" t="s">
        <v>78</v>
      </c>
      <c r="B39" s="65">
        <v>2000</v>
      </c>
      <c r="C39" s="61">
        <f>$B$39*C31</f>
        <v>0</v>
      </c>
      <c r="D39" s="70">
        <f t="shared" ref="D39:M39" si="23">$B$39*D31</f>
        <v>12600</v>
      </c>
      <c r="E39" s="70">
        <f t="shared" si="23"/>
        <v>18000</v>
      </c>
      <c r="F39" s="70">
        <f t="shared" si="23"/>
        <v>19200.000000000004</v>
      </c>
      <c r="G39" s="70">
        <f t="shared" si="23"/>
        <v>22950</v>
      </c>
      <c r="H39" s="70">
        <f t="shared" si="23"/>
        <v>24300.000000000007</v>
      </c>
      <c r="I39" s="70">
        <f t="shared" si="23"/>
        <v>25650.000000000007</v>
      </c>
      <c r="J39" s="70">
        <f t="shared" si="23"/>
        <v>27000.000000000007</v>
      </c>
      <c r="K39" s="70">
        <f t="shared" si="23"/>
        <v>27000.000000000007</v>
      </c>
      <c r="L39" s="70">
        <f t="shared" si="23"/>
        <v>27000</v>
      </c>
      <c r="M39" s="70">
        <f t="shared" si="23"/>
        <v>27000</v>
      </c>
      <c r="N39" s="70">
        <f t="shared" si="21"/>
        <v>19410</v>
      </c>
    </row>
  </sheetData>
  <mergeCells count="7">
    <mergeCell ref="C29:M29"/>
    <mergeCell ref="C33:M33"/>
    <mergeCell ref="C2:M2"/>
    <mergeCell ref="P2:Z2"/>
    <mergeCell ref="C8:M8"/>
    <mergeCell ref="P8:Z8"/>
    <mergeCell ref="C14:L14"/>
  </mergeCells>
  <pageMargins left="0.7" right="0.7" top="0.75" bottom="0.75" header="0.3" footer="0.3"/>
  <pageSetup paperSize="8" scale="62" firstPageNumber="2147483648"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7">
    <tabColor theme="0"/>
    <pageSetUpPr fitToPage="1"/>
  </sheetPr>
  <dimension ref="A1:AU20"/>
  <sheetViews>
    <sheetView zoomScale="70" zoomScaleNormal="70" workbookViewId="0">
      <pane xSplit="2" ySplit="1" topLeftCell="C2" activePane="bottomRight" state="frozen"/>
      <selection activeCell="C20" sqref="C20"/>
      <selection pane="topRight"/>
      <selection pane="bottomLeft"/>
      <selection pane="bottomRight" activeCell="AS20" sqref="AS20"/>
    </sheetView>
  </sheetViews>
  <sheetFormatPr defaultColWidth="9.109375" defaultRowHeight="14.4" x14ac:dyDescent="0.3"/>
  <cols>
    <col min="1" max="1" width="7.33203125" style="95" customWidth="1"/>
    <col min="2" max="2" width="26.5546875" style="54" customWidth="1"/>
    <col min="3" max="3" width="12.109375" style="96" customWidth="1"/>
    <col min="4" max="4" width="13.44140625" style="96" customWidth="1"/>
    <col min="5" max="5" width="14" style="96" customWidth="1"/>
    <col min="6" max="6" width="15.109375" style="96" customWidth="1"/>
    <col min="7" max="7" width="15.33203125" style="96" customWidth="1"/>
    <col min="8" max="8" width="15.44140625" style="96" customWidth="1"/>
    <col min="9" max="9" width="14" style="96" customWidth="1"/>
    <col min="10" max="10" width="15.33203125" style="96" customWidth="1"/>
    <col min="11" max="11" width="16.109375" style="96" customWidth="1"/>
    <col min="12" max="12" width="16.33203125" style="96" customWidth="1"/>
    <col min="13" max="13" width="16.44140625" style="96" customWidth="1"/>
    <col min="14" max="14" width="13.44140625" style="96" customWidth="1"/>
    <col min="15" max="15" width="17.109375" style="96" customWidth="1"/>
    <col min="16" max="16" width="13.6640625" style="96" customWidth="1"/>
    <col min="17" max="17" width="13.5546875" style="96" customWidth="1"/>
    <col min="18" max="18" width="13.88671875" style="96" customWidth="1"/>
    <col min="19" max="19" width="18.44140625" style="96" customWidth="1"/>
    <col min="20" max="20" width="14.88671875" style="96" customWidth="1"/>
    <col min="21" max="21" width="14.44140625" style="96" customWidth="1"/>
    <col min="22" max="22" width="14.33203125" style="96" customWidth="1"/>
    <col min="23" max="23" width="15.33203125" style="96" customWidth="1"/>
    <col min="24" max="24" width="14.44140625" customWidth="1"/>
    <col min="25" max="25" width="13.5546875" customWidth="1"/>
    <col min="26" max="26" width="14.44140625" customWidth="1"/>
    <col min="27" max="27" width="15.88671875" customWidth="1"/>
    <col min="28" max="28" width="17.5546875" customWidth="1"/>
    <col min="29" max="29" width="15.44140625" customWidth="1"/>
    <col min="30" max="30" width="19.5546875" customWidth="1"/>
    <col min="31" max="31" width="16.109375" customWidth="1"/>
    <col min="32" max="32" width="13" customWidth="1"/>
    <col min="33" max="33" width="14.109375" customWidth="1"/>
    <col min="34" max="34" width="11.6640625" customWidth="1"/>
    <col min="35" max="35" width="14.109375" customWidth="1"/>
    <col min="36" max="36" width="16.6640625" customWidth="1"/>
    <col min="37" max="37" width="13.6640625" customWidth="1"/>
    <col min="38" max="38" width="13" customWidth="1"/>
    <col min="39" max="39" width="12.44140625" customWidth="1"/>
    <col min="40" max="40" width="14.109375" customWidth="1"/>
    <col min="41" max="41" width="12.6640625" customWidth="1"/>
    <col min="42" max="42" width="13" customWidth="1"/>
    <col min="43" max="43" width="12.33203125" customWidth="1"/>
    <col min="44" max="44" width="13" customWidth="1"/>
    <col min="45" max="45" width="11.6640625" customWidth="1"/>
    <col min="46" max="46" width="12.44140625" customWidth="1"/>
    <col min="47" max="47" width="13.44140625" customWidth="1"/>
  </cols>
  <sheetData>
    <row r="1" spans="1:47" s="64" customFormat="1" x14ac:dyDescent="0.3">
      <c r="A1" s="381" t="s">
        <v>79</v>
      </c>
      <c r="B1" s="380" t="s">
        <v>80</v>
      </c>
      <c r="C1" s="379"/>
      <c r="D1" s="379" t="s">
        <v>81</v>
      </c>
      <c r="E1" s="379" t="s">
        <v>82</v>
      </c>
      <c r="F1" s="379" t="s">
        <v>83</v>
      </c>
      <c r="G1" s="379" t="s">
        <v>84</v>
      </c>
      <c r="H1" s="379" t="s">
        <v>85</v>
      </c>
      <c r="I1" s="379" t="s">
        <v>86</v>
      </c>
      <c r="J1" s="379" t="s">
        <v>87</v>
      </c>
      <c r="K1" s="379" t="s">
        <v>88</v>
      </c>
      <c r="L1" s="379" t="s">
        <v>89</v>
      </c>
      <c r="M1" s="379" t="s">
        <v>90</v>
      </c>
      <c r="N1" s="379" t="s">
        <v>91</v>
      </c>
      <c r="O1" s="379" t="s">
        <v>92</v>
      </c>
      <c r="P1" s="379" t="s">
        <v>93</v>
      </c>
      <c r="Q1" s="379" t="s">
        <v>94</v>
      </c>
      <c r="R1" s="379" t="s">
        <v>95</v>
      </c>
      <c r="S1" s="379" t="s">
        <v>96</v>
      </c>
      <c r="T1" s="379" t="s">
        <v>97</v>
      </c>
      <c r="U1" s="379" t="s">
        <v>98</v>
      </c>
      <c r="V1" s="379" t="s">
        <v>99</v>
      </c>
      <c r="W1" s="379" t="s">
        <v>100</v>
      </c>
      <c r="X1" s="379" t="s">
        <v>101</v>
      </c>
      <c r="Y1" s="379" t="s">
        <v>102</v>
      </c>
      <c r="Z1" s="379" t="s">
        <v>103</v>
      </c>
      <c r="AA1" s="379" t="s">
        <v>104</v>
      </c>
      <c r="AB1" s="379" t="s">
        <v>107</v>
      </c>
      <c r="AC1" s="379" t="s">
        <v>108</v>
      </c>
      <c r="AD1" s="379" t="s">
        <v>109</v>
      </c>
      <c r="AE1" s="379" t="s">
        <v>110</v>
      </c>
      <c r="AF1" s="379" t="s">
        <v>111</v>
      </c>
      <c r="AG1" s="379" t="s">
        <v>112</v>
      </c>
      <c r="AH1" s="379" t="s">
        <v>113</v>
      </c>
      <c r="AI1" s="379" t="s">
        <v>114</v>
      </c>
      <c r="AJ1" s="379" t="s">
        <v>115</v>
      </c>
      <c r="AK1" s="379" t="s">
        <v>116</v>
      </c>
      <c r="AL1" s="379" t="s">
        <v>117</v>
      </c>
      <c r="AM1" s="379" t="s">
        <v>118</v>
      </c>
      <c r="AN1" s="379" t="s">
        <v>119</v>
      </c>
      <c r="AO1" s="379" t="s">
        <v>120</v>
      </c>
      <c r="AP1" s="379" t="s">
        <v>121</v>
      </c>
      <c r="AQ1" s="379" t="s">
        <v>122</v>
      </c>
      <c r="AR1" s="379" t="s">
        <v>123</v>
      </c>
      <c r="AS1" s="379" t="s">
        <v>124</v>
      </c>
      <c r="AT1" s="379" t="s">
        <v>125</v>
      </c>
      <c r="AU1" s="379" t="s">
        <v>126</v>
      </c>
    </row>
    <row r="2" spans="1:47" ht="43.2" x14ac:dyDescent="0.3">
      <c r="A2" s="66">
        <v>1</v>
      </c>
      <c r="B2" s="65" t="str">
        <f>'объем работ 100% загр'!A4</f>
        <v>картон для строительных материалов (для гипсокартона)</v>
      </c>
      <c r="C2" s="98" t="s">
        <v>105</v>
      </c>
      <c r="E2" s="70"/>
      <c r="F2" s="390">
        <f>'объем работ 100% загр'!C23/2</f>
        <v>0</v>
      </c>
      <c r="G2" s="390">
        <f>F2</f>
        <v>0</v>
      </c>
      <c r="H2" s="390">
        <f>'объем работ 100% загр'!D23/4</f>
        <v>30051.000000000004</v>
      </c>
      <c r="I2" s="390">
        <f t="shared" ref="I2:I4" si="0">H2</f>
        <v>30051.000000000004</v>
      </c>
      <c r="J2" s="390">
        <f t="shared" ref="J2:K4" si="1">I2</f>
        <v>30051.000000000004</v>
      </c>
      <c r="K2" s="390">
        <f t="shared" si="1"/>
        <v>30051.000000000004</v>
      </c>
      <c r="L2" s="390">
        <f>'объем работ 100% загр'!E23/4</f>
        <v>43573.95</v>
      </c>
      <c r="M2" s="390">
        <f t="shared" ref="M2:O4" si="2">L2</f>
        <v>43573.95</v>
      </c>
      <c r="N2" s="390">
        <f t="shared" ref="N2:O2" si="3">M2</f>
        <v>43573.95</v>
      </c>
      <c r="O2" s="390">
        <f t="shared" si="3"/>
        <v>43573.95</v>
      </c>
      <c r="P2" s="390">
        <f>'объем работ 100% загр'!F23/4</f>
        <v>47176.063200000004</v>
      </c>
      <c r="Q2" s="390">
        <f t="shared" ref="Q2:S4" si="4">P2</f>
        <v>47176.063200000004</v>
      </c>
      <c r="R2" s="390">
        <f>Q2</f>
        <v>47176.063200000004</v>
      </c>
      <c r="S2" s="390">
        <f>R2</f>
        <v>47176.063200000004</v>
      </c>
      <c r="T2" s="390">
        <f>'объем работ 100% загр'!G23/4</f>
        <v>57235.990114406231</v>
      </c>
      <c r="U2" s="390">
        <f t="shared" ref="U2:AA4" si="5">T2</f>
        <v>57235.990114406231</v>
      </c>
      <c r="V2" s="390">
        <f t="shared" ref="V2:AA2" si="6">U2</f>
        <v>57235.990114406231</v>
      </c>
      <c r="W2" s="390">
        <f t="shared" si="6"/>
        <v>57235.990114406231</v>
      </c>
      <c r="X2" s="390">
        <f>'объем работ 100% загр'!H23/4</f>
        <v>61511.855258247182</v>
      </c>
      <c r="Y2" s="390">
        <f t="shared" si="6"/>
        <v>61511.855258247182</v>
      </c>
      <c r="Z2" s="390">
        <f t="shared" si="6"/>
        <v>61511.855258247182</v>
      </c>
      <c r="AA2" s="390">
        <f t="shared" si="6"/>
        <v>61511.855258247182</v>
      </c>
      <c r="AB2" s="390">
        <f>'объем работ 100% загр'!I23/4</f>
        <v>65903.118258627597</v>
      </c>
      <c r="AC2" s="390">
        <f>AB2</f>
        <v>65903.118258627597</v>
      </c>
      <c r="AD2" s="390">
        <f t="shared" ref="AD2:AE2" si="7">AC2</f>
        <v>65903.118258627597</v>
      </c>
      <c r="AE2" s="390">
        <f t="shared" si="7"/>
        <v>65903.118258627597</v>
      </c>
      <c r="AF2" s="390">
        <f>'объем работ 100% загр'!J23/4</f>
        <v>70412.278981586322</v>
      </c>
      <c r="AG2" s="390">
        <f>AF2</f>
        <v>70412.278981586322</v>
      </c>
      <c r="AH2" s="390">
        <f t="shared" ref="AH2:AI2" si="8">AG2</f>
        <v>70412.278981586322</v>
      </c>
      <c r="AI2" s="390">
        <f t="shared" si="8"/>
        <v>70412.278981586322</v>
      </c>
      <c r="AJ2" s="390">
        <f>'объем работ 100% загр'!K23/4</f>
        <v>71468.463166310117</v>
      </c>
      <c r="AK2" s="390">
        <f>AJ2</f>
        <v>71468.463166310117</v>
      </c>
      <c r="AL2" s="390">
        <f t="shared" ref="AL2:AM2" si="9">AK2</f>
        <v>71468.463166310117</v>
      </c>
      <c r="AM2" s="390">
        <f t="shared" si="9"/>
        <v>71468.463166310117</v>
      </c>
      <c r="AN2" s="390">
        <f>'объем работ 100% загр'!L23/4</f>
        <v>72540.490113804757</v>
      </c>
      <c r="AO2" s="390">
        <f>AN2</f>
        <v>72540.490113804757</v>
      </c>
      <c r="AP2" s="390">
        <f>AO2</f>
        <v>72540.490113804757</v>
      </c>
      <c r="AQ2" s="390">
        <f t="shared" ref="AQ2:AQ4" si="10">AP2</f>
        <v>72540.490113804757</v>
      </c>
      <c r="AR2" s="390">
        <f>'объем работ 100% загр'!M23/4</f>
        <v>73628.597465511819</v>
      </c>
      <c r="AS2" s="390">
        <f t="shared" ref="AS2:AU2" si="11">AR2</f>
        <v>73628.597465511819</v>
      </c>
      <c r="AT2" s="390">
        <f t="shared" si="11"/>
        <v>73628.597465511819</v>
      </c>
      <c r="AU2" s="390">
        <f t="shared" si="11"/>
        <v>73628.597465511819</v>
      </c>
    </row>
    <row r="3" spans="1:47" ht="1.5" customHeight="1" x14ac:dyDescent="0.3">
      <c r="A3" s="66">
        <v>2</v>
      </c>
      <c r="B3" s="65">
        <f>'объем работ 100% загр'!A5</f>
        <v>0</v>
      </c>
      <c r="C3" s="99"/>
      <c r="D3" s="70">
        <f>'объем работ 100% загр'!C24/4</f>
        <v>0</v>
      </c>
      <c r="E3" s="70">
        <f t="shared" ref="E3:E4" si="12">D3</f>
        <v>0</v>
      </c>
      <c r="F3" s="70">
        <f t="shared" ref="F3:G4" si="13">E3</f>
        <v>0</v>
      </c>
      <c r="G3" s="70">
        <f t="shared" si="13"/>
        <v>0</v>
      </c>
      <c r="H3" s="70">
        <f>'объем работ 100% загр'!D24/4</f>
        <v>0</v>
      </c>
      <c r="I3" s="70">
        <f t="shared" si="0"/>
        <v>0</v>
      </c>
      <c r="J3" s="70">
        <f t="shared" si="1"/>
        <v>0</v>
      </c>
      <c r="K3" s="70">
        <f>'объем работ 100% загр'!D5*'объем работ 100% загр'!D11</f>
        <v>0</v>
      </c>
      <c r="L3" s="70">
        <f>'объем работ 100% загр'!E24/4</f>
        <v>0</v>
      </c>
      <c r="M3" s="70">
        <f t="shared" si="2"/>
        <v>0</v>
      </c>
      <c r="N3" s="70">
        <f t="shared" si="2"/>
        <v>0</v>
      </c>
      <c r="O3" s="70">
        <f t="shared" si="2"/>
        <v>0</v>
      </c>
      <c r="P3" s="70">
        <f>'объем работ 100% загр'!F24/4</f>
        <v>0</v>
      </c>
      <c r="Q3" s="70">
        <f t="shared" si="4"/>
        <v>0</v>
      </c>
      <c r="R3" s="70">
        <f t="shared" si="4"/>
        <v>0</v>
      </c>
      <c r="S3" s="70">
        <f t="shared" si="4"/>
        <v>0</v>
      </c>
      <c r="T3" s="70">
        <f>'объем работ 100% загр'!G24/4</f>
        <v>0</v>
      </c>
      <c r="U3" s="70">
        <f t="shared" si="5"/>
        <v>0</v>
      </c>
      <c r="V3" s="70">
        <f t="shared" si="5"/>
        <v>0</v>
      </c>
      <c r="W3" s="70">
        <f t="shared" si="5"/>
        <v>0</v>
      </c>
      <c r="X3" s="70">
        <f>'объем работ 100% загр'!H24/4</f>
        <v>0</v>
      </c>
      <c r="Y3" s="70">
        <f t="shared" si="5"/>
        <v>0</v>
      </c>
      <c r="Z3" s="70">
        <f t="shared" si="5"/>
        <v>0</v>
      </c>
      <c r="AA3" s="70">
        <f t="shared" si="5"/>
        <v>0</v>
      </c>
      <c r="AB3" s="99">
        <f>'объем работ 100% загр'!I24/4</f>
        <v>0</v>
      </c>
      <c r="AC3" s="99">
        <f>'объем работ 100% загр'!J24/4</f>
        <v>0</v>
      </c>
      <c r="AD3" s="99">
        <f>'объем работ 100% загр'!K24/4</f>
        <v>0</v>
      </c>
      <c r="AE3" s="99">
        <f>'объем работ 100% загр'!L24/4</f>
        <v>0</v>
      </c>
      <c r="AF3" s="99">
        <f>'объем работ 100% загр'!J24/4</f>
        <v>0</v>
      </c>
      <c r="AG3" s="99">
        <f>'объем работ 100% загр'!K24/4</f>
        <v>0</v>
      </c>
      <c r="AH3" s="99">
        <f>'объем работ 100% загр'!L24/4</f>
        <v>0</v>
      </c>
      <c r="AI3" s="99">
        <f>'объем работ 100% загр'!M24/4</f>
        <v>0</v>
      </c>
      <c r="AJ3" s="99">
        <f>'объем работ 100% загр'!K24/4</f>
        <v>0</v>
      </c>
      <c r="AK3" s="99">
        <f>'объем работ 100% загр'!L24/4</f>
        <v>0</v>
      </c>
      <c r="AL3" s="99">
        <f>'объем работ 100% загр'!M24/4</f>
        <v>0</v>
      </c>
      <c r="AM3" s="99">
        <f>'объем работ 100% загр'!N24/4</f>
        <v>0</v>
      </c>
      <c r="AN3" s="99">
        <f>'объем работ 100% загр'!L24/4</f>
        <v>0</v>
      </c>
      <c r="AO3" s="99">
        <f>'объем работ 100% загр'!M24/4</f>
        <v>0</v>
      </c>
      <c r="AP3" s="99">
        <f>'объем работ 100% загр'!N24/4</f>
        <v>0</v>
      </c>
      <c r="AQ3" s="70">
        <f t="shared" si="10"/>
        <v>0</v>
      </c>
      <c r="AR3" s="99">
        <f>'объем работ 100% загр'!M24/4</f>
        <v>0</v>
      </c>
      <c r="AS3" s="99">
        <f t="shared" ref="AS3:AS4" si="14">AR3</f>
        <v>0</v>
      </c>
      <c r="AT3" s="99">
        <f t="shared" ref="AT3:AU4" si="15">AS3</f>
        <v>0</v>
      </c>
      <c r="AU3" s="99">
        <f t="shared" si="15"/>
        <v>0</v>
      </c>
    </row>
    <row r="4" spans="1:47" hidden="1" x14ac:dyDescent="0.3">
      <c r="A4" s="66">
        <v>3</v>
      </c>
      <c r="B4" s="65">
        <f>'объем работ 100% загр'!A6</f>
        <v>0</v>
      </c>
      <c r="C4" s="99"/>
      <c r="D4" s="70">
        <f>'объем работ 100% загр'!C25/4</f>
        <v>0</v>
      </c>
      <c r="E4" s="70">
        <f t="shared" si="12"/>
        <v>0</v>
      </c>
      <c r="F4" s="70">
        <f t="shared" si="13"/>
        <v>0</v>
      </c>
      <c r="G4" s="70">
        <f t="shared" si="13"/>
        <v>0</v>
      </c>
      <c r="H4" s="70">
        <f>'объем работ 100% загр'!D25/4</f>
        <v>0</v>
      </c>
      <c r="I4" s="70">
        <f t="shared" si="0"/>
        <v>0</v>
      </c>
      <c r="J4" s="70">
        <f t="shared" si="1"/>
        <v>0</v>
      </c>
      <c r="K4" s="70">
        <f t="shared" si="1"/>
        <v>0</v>
      </c>
      <c r="L4" s="70">
        <f>'объем работ 100% загр'!E25/4</f>
        <v>0</v>
      </c>
      <c r="M4" s="70">
        <f t="shared" si="2"/>
        <v>0</v>
      </c>
      <c r="N4" s="70">
        <f t="shared" si="2"/>
        <v>0</v>
      </c>
      <c r="O4" s="70">
        <f t="shared" si="2"/>
        <v>0</v>
      </c>
      <c r="P4" s="70">
        <f>'объем работ 100% загр'!F25/4</f>
        <v>0</v>
      </c>
      <c r="Q4" s="70">
        <f t="shared" si="4"/>
        <v>0</v>
      </c>
      <c r="R4" s="70">
        <f t="shared" si="4"/>
        <v>0</v>
      </c>
      <c r="S4" s="70">
        <f t="shared" si="4"/>
        <v>0</v>
      </c>
      <c r="T4" s="70">
        <f>'объем работ 100% загр'!G25/4</f>
        <v>0</v>
      </c>
      <c r="U4" s="70">
        <f t="shared" si="5"/>
        <v>0</v>
      </c>
      <c r="V4" s="70">
        <f t="shared" si="5"/>
        <v>0</v>
      </c>
      <c r="W4" s="70">
        <f t="shared" si="5"/>
        <v>0</v>
      </c>
      <c r="X4" s="70">
        <f>'объем работ 100% загр'!H25/4</f>
        <v>0</v>
      </c>
      <c r="Y4" s="70">
        <f>X4</f>
        <v>0</v>
      </c>
      <c r="Z4" s="70">
        <f t="shared" si="5"/>
        <v>0</v>
      </c>
      <c r="AA4" s="70">
        <f t="shared" si="5"/>
        <v>0</v>
      </c>
      <c r="AB4" s="99">
        <f>'объем работ 100% загр'!I25/4</f>
        <v>0</v>
      </c>
      <c r="AC4" s="99">
        <f>'объем работ 100% загр'!J25/4</f>
        <v>0</v>
      </c>
      <c r="AD4" s="99">
        <f>'объем работ 100% загр'!K25/4</f>
        <v>0</v>
      </c>
      <c r="AE4" s="99">
        <f>'объем работ 100% загр'!L25/4</f>
        <v>0</v>
      </c>
      <c r="AF4" s="99">
        <f>'объем работ 100% загр'!J25/4</f>
        <v>0</v>
      </c>
      <c r="AG4" s="99">
        <f>'объем работ 100% загр'!K25/4</f>
        <v>0</v>
      </c>
      <c r="AH4" s="99">
        <f>'объем работ 100% загр'!L25/4</f>
        <v>0</v>
      </c>
      <c r="AI4" s="99">
        <f>'объем работ 100% загр'!M25/4</f>
        <v>0</v>
      </c>
      <c r="AJ4" s="99">
        <f>'объем работ 100% загр'!K25/4</f>
        <v>0</v>
      </c>
      <c r="AK4" s="99">
        <f>'объем работ 100% загр'!L25/4</f>
        <v>0</v>
      </c>
      <c r="AL4" s="99">
        <f>'объем работ 100% загр'!M25/4</f>
        <v>0</v>
      </c>
      <c r="AM4" s="99">
        <f>'объем работ 100% загр'!N25/4</f>
        <v>0</v>
      </c>
      <c r="AN4" s="99">
        <f>'объем работ 100% загр'!L25/4</f>
        <v>0</v>
      </c>
      <c r="AO4" s="99">
        <f>'объем работ 100% загр'!M25/4</f>
        <v>0</v>
      </c>
      <c r="AP4" s="99">
        <f>'объем работ 100% загр'!N25/4</f>
        <v>0</v>
      </c>
      <c r="AQ4" s="70">
        <f t="shared" si="10"/>
        <v>0</v>
      </c>
      <c r="AR4" s="99">
        <f>'объем работ 100% загр'!M25/4</f>
        <v>0</v>
      </c>
      <c r="AS4" s="99">
        <f t="shared" si="14"/>
        <v>0</v>
      </c>
      <c r="AT4" s="99">
        <f t="shared" si="15"/>
        <v>0</v>
      </c>
      <c r="AU4" s="99">
        <f t="shared" si="15"/>
        <v>0</v>
      </c>
    </row>
    <row r="5" spans="1:47" s="9" customFormat="1" x14ac:dyDescent="0.3">
      <c r="A5" s="100"/>
      <c r="B5" s="101" t="s">
        <v>26</v>
      </c>
      <c r="C5" s="102"/>
      <c r="D5" s="103">
        <f>SUM(D2:D4)</f>
        <v>0</v>
      </c>
      <c r="E5" s="103">
        <f t="shared" ref="E5:L5" si="16">SUM(E2:E4)</f>
        <v>0</v>
      </c>
      <c r="F5" s="103">
        <f>SUM(F2:F4)</f>
        <v>0</v>
      </c>
      <c r="G5" s="103">
        <f t="shared" si="16"/>
        <v>0</v>
      </c>
      <c r="H5" s="103">
        <f t="shared" si="16"/>
        <v>30051.000000000004</v>
      </c>
      <c r="I5" s="103">
        <f t="shared" si="16"/>
        <v>30051.000000000004</v>
      </c>
      <c r="J5" s="103">
        <f t="shared" si="16"/>
        <v>30051.000000000004</v>
      </c>
      <c r="K5" s="103">
        <f t="shared" si="16"/>
        <v>30051.000000000004</v>
      </c>
      <c r="L5" s="103">
        <f t="shared" si="16"/>
        <v>43573.95</v>
      </c>
      <c r="M5" s="103">
        <f t="shared" ref="M5:AA5" si="17">SUM(M2:M4)</f>
        <v>43573.95</v>
      </c>
      <c r="N5" s="103">
        <f t="shared" si="17"/>
        <v>43573.95</v>
      </c>
      <c r="O5" s="103">
        <f t="shared" si="17"/>
        <v>43573.95</v>
      </c>
      <c r="P5" s="103">
        <f t="shared" si="17"/>
        <v>47176.063200000004</v>
      </c>
      <c r="Q5" s="103">
        <f t="shared" si="17"/>
        <v>47176.063200000004</v>
      </c>
      <c r="R5" s="103">
        <f t="shared" si="17"/>
        <v>47176.063200000004</v>
      </c>
      <c r="S5" s="103">
        <f t="shared" si="17"/>
        <v>47176.063200000004</v>
      </c>
      <c r="T5" s="103">
        <f t="shared" si="17"/>
        <v>57235.990114406231</v>
      </c>
      <c r="U5" s="103">
        <f t="shared" si="17"/>
        <v>57235.990114406231</v>
      </c>
      <c r="V5" s="103">
        <f t="shared" si="17"/>
        <v>57235.990114406231</v>
      </c>
      <c r="W5" s="103">
        <f t="shared" si="17"/>
        <v>57235.990114406231</v>
      </c>
      <c r="X5" s="103">
        <f>SUM(X2:X4)</f>
        <v>61511.855258247182</v>
      </c>
      <c r="Y5" s="103">
        <f t="shared" si="17"/>
        <v>61511.855258247182</v>
      </c>
      <c r="Z5" s="103">
        <f t="shared" si="17"/>
        <v>61511.855258247182</v>
      </c>
      <c r="AA5" s="103">
        <f t="shared" si="17"/>
        <v>61511.855258247182</v>
      </c>
      <c r="AB5" s="103">
        <f>SUM(AB2:AB4)</f>
        <v>65903.118258627597</v>
      </c>
      <c r="AC5" s="103">
        <f t="shared" ref="AC5:AQ5" si="18">SUM(AC2:AC4)</f>
        <v>65903.118258627597</v>
      </c>
      <c r="AD5" s="103">
        <f t="shared" si="18"/>
        <v>65903.118258627597</v>
      </c>
      <c r="AE5" s="103">
        <f t="shared" si="18"/>
        <v>65903.118258627597</v>
      </c>
      <c r="AF5" s="103">
        <f t="shared" si="18"/>
        <v>70412.278981586322</v>
      </c>
      <c r="AG5" s="103">
        <f t="shared" si="18"/>
        <v>70412.278981586322</v>
      </c>
      <c r="AH5" s="103">
        <f t="shared" si="18"/>
        <v>70412.278981586322</v>
      </c>
      <c r="AI5" s="103">
        <f t="shared" si="18"/>
        <v>70412.278981586322</v>
      </c>
      <c r="AJ5" s="103">
        <f t="shared" si="18"/>
        <v>71468.463166310117</v>
      </c>
      <c r="AK5" s="103">
        <f t="shared" si="18"/>
        <v>71468.463166310117</v>
      </c>
      <c r="AL5" s="103">
        <f t="shared" si="18"/>
        <v>71468.463166310117</v>
      </c>
      <c r="AM5" s="103">
        <f t="shared" si="18"/>
        <v>71468.463166310117</v>
      </c>
      <c r="AN5" s="103">
        <f t="shared" si="18"/>
        <v>72540.490113804757</v>
      </c>
      <c r="AO5" s="103">
        <f t="shared" si="18"/>
        <v>72540.490113804757</v>
      </c>
      <c r="AP5" s="103">
        <f t="shared" si="18"/>
        <v>72540.490113804757</v>
      </c>
      <c r="AQ5" s="103">
        <f t="shared" si="18"/>
        <v>72540.490113804757</v>
      </c>
      <c r="AR5" s="103">
        <f t="shared" ref="AR5:AU5" si="19">SUM(AR2:AR4)</f>
        <v>73628.597465511819</v>
      </c>
      <c r="AS5" s="103">
        <f t="shared" si="19"/>
        <v>73628.597465511819</v>
      </c>
      <c r="AT5" s="103">
        <f t="shared" si="19"/>
        <v>73628.597465511819</v>
      </c>
      <c r="AU5" s="103">
        <f t="shared" si="19"/>
        <v>73628.597465511819</v>
      </c>
    </row>
    <row r="6" spans="1:47" s="9" customFormat="1" x14ac:dyDescent="0.3">
      <c r="A6" s="391"/>
      <c r="B6" s="392" t="s">
        <v>106</v>
      </c>
      <c r="C6" s="393"/>
      <c r="D6" s="393"/>
      <c r="E6" s="393"/>
      <c r="F6" s="393"/>
      <c r="G6" s="394">
        <f>SUM(D5:G5)</f>
        <v>0</v>
      </c>
      <c r="H6" s="393"/>
      <c r="I6" s="393"/>
      <c r="J6" s="393"/>
      <c r="K6" s="394">
        <f>SUM(H5:K5)</f>
        <v>120204.00000000001</v>
      </c>
      <c r="L6" s="393"/>
      <c r="M6" s="394"/>
      <c r="N6" s="394"/>
      <c r="O6" s="394">
        <f>SUM(L5:O5)</f>
        <v>174295.8</v>
      </c>
      <c r="P6" s="394"/>
      <c r="Q6" s="394"/>
      <c r="R6" s="394"/>
      <c r="S6" s="394">
        <f>P5+Q5+R5+S5</f>
        <v>188704.25280000002</v>
      </c>
      <c r="T6" s="394"/>
      <c r="U6" s="394"/>
      <c r="V6" s="394"/>
      <c r="W6" s="394">
        <f>T5+U5+V5+W5</f>
        <v>228943.96045762493</v>
      </c>
      <c r="X6" s="394"/>
      <c r="Y6" s="394"/>
      <c r="Z6" s="394"/>
      <c r="AA6" s="394">
        <f>X5+Y5+Z5+AA5</f>
        <v>246047.42103298873</v>
      </c>
      <c r="AB6" s="395"/>
      <c r="AC6" s="395"/>
      <c r="AD6" s="395"/>
      <c r="AE6" s="394">
        <f>SUM(AB5:AE5)</f>
        <v>263612.47303451039</v>
      </c>
      <c r="AF6" s="395"/>
      <c r="AG6" s="395"/>
      <c r="AH6" s="395"/>
      <c r="AI6" s="394">
        <f>SUM(AF5:AI5)</f>
        <v>281649.11592634529</v>
      </c>
      <c r="AJ6" s="395"/>
      <c r="AK6" s="395"/>
      <c r="AL6" s="395"/>
      <c r="AM6" s="394">
        <f>SUM(AJ5:AM5)</f>
        <v>285873.85266524047</v>
      </c>
      <c r="AN6" s="395"/>
      <c r="AO6" s="395"/>
      <c r="AP6" s="395"/>
      <c r="AQ6" s="394">
        <f>SUM(AN5:AQ5)</f>
        <v>290161.96045521903</v>
      </c>
      <c r="AR6" s="395"/>
      <c r="AS6" s="395"/>
      <c r="AT6" s="395"/>
      <c r="AU6" s="394">
        <f>SUM(AR5:AU5)</f>
        <v>294514.38986204728</v>
      </c>
    </row>
    <row r="7" spans="1:47" x14ac:dyDescent="0.3">
      <c r="A7" s="77"/>
    </row>
    <row r="8" spans="1:47" x14ac:dyDescent="0.3">
      <c r="A8" s="77"/>
      <c r="AA8" s="64"/>
    </row>
    <row r="9" spans="1:47" x14ac:dyDescent="0.3">
      <c r="A9" s="77"/>
    </row>
    <row r="12" spans="1:47" ht="3" customHeight="1" x14ac:dyDescent="0.3"/>
    <row r="13" spans="1:47" hidden="1" x14ac:dyDescent="0.3"/>
    <row r="15" spans="1:47" x14ac:dyDescent="0.3">
      <c r="A15" s="381" t="s">
        <v>79</v>
      </c>
      <c r="B15" s="380" t="s">
        <v>80</v>
      </c>
      <c r="C15" s="379"/>
      <c r="D15" s="389" t="str">
        <f>'объем работ 100% загр'!C3</f>
        <v>1 год</v>
      </c>
      <c r="E15" s="389" t="str">
        <f>'объем работ 100% загр'!D3</f>
        <v>2 год</v>
      </c>
      <c r="F15" s="389" t="str">
        <f>'объем работ 100% загр'!E3</f>
        <v>3 год</v>
      </c>
      <c r="G15" s="389" t="str">
        <f>'объем работ 100% загр'!F3</f>
        <v>4 год</v>
      </c>
      <c r="H15" s="389" t="str">
        <f>'объем работ 100% загр'!G3</f>
        <v>5 год</v>
      </c>
      <c r="I15" s="389" t="str">
        <f>'объем работ 100% загр'!H3</f>
        <v>6 год</v>
      </c>
      <c r="J15" s="389" t="str">
        <f>'объем работ 100% загр'!I22</f>
        <v>7 год</v>
      </c>
      <c r="K15" s="389" t="str">
        <f>'объем работ 100% загр'!J22</f>
        <v>8 год</v>
      </c>
      <c r="L15" s="389" t="str">
        <f>'объем работ 100% загр'!K22</f>
        <v>9 год</v>
      </c>
      <c r="M15" s="389" t="str">
        <f>'объем работ 100% загр'!L22</f>
        <v>10 год</v>
      </c>
      <c r="N15" s="389" t="str">
        <f>'объем работ 100% загр'!M22</f>
        <v>11 год</v>
      </c>
    </row>
    <row r="16" spans="1:47" ht="43.2" x14ac:dyDescent="0.3">
      <c r="A16" s="66">
        <v>1</v>
      </c>
      <c r="B16" s="65" t="str">
        <f>B2</f>
        <v>картон для строительных материалов (для гипсокартона)</v>
      </c>
      <c r="C16" s="98" t="s">
        <v>105</v>
      </c>
      <c r="D16" s="390">
        <f>SUM(E2:G2)</f>
        <v>0</v>
      </c>
      <c r="E16" s="390">
        <f>SUM(H2:K2)</f>
        <v>120204.00000000001</v>
      </c>
      <c r="F16" s="390">
        <f>SUM(L2:O2)</f>
        <v>174295.8</v>
      </c>
      <c r="G16" s="390">
        <f>SUM(P2:S2)</f>
        <v>188704.25280000002</v>
      </c>
      <c r="H16" s="390">
        <f>SUM(T2:W2)</f>
        <v>228943.96045762493</v>
      </c>
      <c r="I16" s="390">
        <f>SUM(X2:AA2)</f>
        <v>246047.42103298873</v>
      </c>
      <c r="J16" s="390">
        <f>SUM(AB2:AE2)</f>
        <v>263612.47303451039</v>
      </c>
      <c r="K16" s="390">
        <f>SUM(AF2:AI2)</f>
        <v>281649.11592634529</v>
      </c>
      <c r="L16" s="390">
        <f>SUM(AJ2:AM2)</f>
        <v>285873.85266524047</v>
      </c>
      <c r="M16" s="390">
        <f>SUM(AN2:AQ2)</f>
        <v>290161.96045521903</v>
      </c>
      <c r="N16" s="390">
        <f>SUM(AR2:AU2)</f>
        <v>294514.38986204728</v>
      </c>
    </row>
    <row r="17" spans="1:27" x14ac:dyDescent="0.3">
      <c r="A17" s="66">
        <v>2</v>
      </c>
      <c r="B17" s="65">
        <f>'объем работ 100% загр'!A19</f>
        <v>0</v>
      </c>
      <c r="C17" s="99"/>
      <c r="D17" s="70">
        <f>SUM(D3:G3)</f>
        <v>0</v>
      </c>
      <c r="E17" s="70">
        <f>SUM(H3:K3)</f>
        <v>0</v>
      </c>
      <c r="F17" s="70">
        <f>SUM(L3:O3)</f>
        <v>0</v>
      </c>
      <c r="G17" s="70">
        <f>SUM(P3:S3)</f>
        <v>0</v>
      </c>
      <c r="H17" s="70">
        <f>SUM(T3:W3)</f>
        <v>0</v>
      </c>
      <c r="I17" s="70">
        <f>SUM(X3:AA3)</f>
        <v>0</v>
      </c>
      <c r="J17" s="106">
        <f>SUM(AB3:AE3)</f>
        <v>0</v>
      </c>
      <c r="K17" s="106">
        <f>SUM(AF3:AI3)</f>
        <v>0</v>
      </c>
      <c r="L17" s="106">
        <f>SUM(AJ3:AM3)</f>
        <v>0</v>
      </c>
      <c r="M17" s="106">
        <f>SUM(AN3:AQ3)</f>
        <v>0</v>
      </c>
      <c r="N17" s="106">
        <f>SUM(AR3:AU3)</f>
        <v>0</v>
      </c>
      <c r="AA17" s="64"/>
    </row>
    <row r="18" spans="1:27" x14ac:dyDescent="0.3">
      <c r="A18" s="66">
        <v>3</v>
      </c>
      <c r="B18" s="65">
        <f>'объем работ 100% загр'!A20</f>
        <v>0</v>
      </c>
      <c r="C18" s="99"/>
      <c r="D18" s="70">
        <f>SUM(D4:G4)</f>
        <v>0</v>
      </c>
      <c r="E18" s="70">
        <f>SUM(H4:K4)</f>
        <v>0</v>
      </c>
      <c r="F18" s="70">
        <f>SUM(L4:O4)</f>
        <v>0</v>
      </c>
      <c r="G18" s="70">
        <f>SUM(P4:S4)</f>
        <v>0</v>
      </c>
      <c r="H18" s="70">
        <f>SUM(T4:W4)</f>
        <v>0</v>
      </c>
      <c r="I18" s="70">
        <f>SUM(X4:AA4)</f>
        <v>0</v>
      </c>
      <c r="J18" s="106">
        <f>SUM(AB4:AE4)</f>
        <v>0</v>
      </c>
      <c r="K18" s="106">
        <f>SUM(AF4:AI4)</f>
        <v>0</v>
      </c>
      <c r="L18" s="106">
        <f>SUM(AJ4:AM4)</f>
        <v>0</v>
      </c>
      <c r="M18" s="106">
        <f>SUM(AN4:AQ4)</f>
        <v>0</v>
      </c>
      <c r="N18" s="106">
        <f>SUM(AR4:AU4)</f>
        <v>0</v>
      </c>
    </row>
    <row r="19" spans="1:27" x14ac:dyDescent="0.3">
      <c r="A19" s="100"/>
      <c r="B19" s="101" t="s">
        <v>26</v>
      </c>
      <c r="C19" s="102"/>
      <c r="D19" s="103"/>
      <c r="E19" s="103"/>
      <c r="F19" s="103"/>
      <c r="G19" s="103"/>
      <c r="H19" s="103"/>
      <c r="I19" s="104"/>
      <c r="J19" s="103"/>
      <c r="K19" s="103"/>
      <c r="L19" s="103"/>
      <c r="M19" s="103"/>
      <c r="N19" s="103"/>
    </row>
    <row r="20" spans="1:27" x14ac:dyDescent="0.3">
      <c r="A20" s="391"/>
      <c r="B20" s="392" t="s">
        <v>106</v>
      </c>
      <c r="C20" s="393"/>
      <c r="D20" s="394">
        <f t="shared" ref="D20:I20" si="20">SUM(D16:D18)</f>
        <v>0</v>
      </c>
      <c r="E20" s="394">
        <f t="shared" si="20"/>
        <v>120204.00000000001</v>
      </c>
      <c r="F20" s="394">
        <f t="shared" si="20"/>
        <v>174295.8</v>
      </c>
      <c r="G20" s="394">
        <f t="shared" si="20"/>
        <v>188704.25280000002</v>
      </c>
      <c r="H20" s="394">
        <f t="shared" si="20"/>
        <v>228943.96045762493</v>
      </c>
      <c r="I20" s="394">
        <f t="shared" si="20"/>
        <v>246047.42103298873</v>
      </c>
      <c r="J20" s="394">
        <f t="shared" ref="J20:N20" si="21">SUM(J16:J18)</f>
        <v>263612.47303451039</v>
      </c>
      <c r="K20" s="394">
        <f t="shared" si="21"/>
        <v>281649.11592634529</v>
      </c>
      <c r="L20" s="394">
        <f t="shared" si="21"/>
        <v>285873.85266524047</v>
      </c>
      <c r="M20" s="394">
        <f t="shared" si="21"/>
        <v>290161.96045521903</v>
      </c>
      <c r="N20" s="394">
        <f t="shared" si="21"/>
        <v>294514.38986204728</v>
      </c>
    </row>
  </sheetData>
  <pageMargins left="0.7" right="0.7" top="0.75" bottom="0.75" header="0.3" footer="0.3"/>
  <pageSetup paperSize="8" scale="50" firstPageNumber="2147483648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12">
    <tabColor theme="0"/>
    <pageSetUpPr fitToPage="1"/>
  </sheetPr>
  <dimension ref="A1:AS53"/>
  <sheetViews>
    <sheetView zoomScale="50" zoomScaleNormal="50" workbookViewId="0">
      <pane xSplit="1" topLeftCell="B1" activePane="topRight" state="frozen"/>
      <selection activeCell="Y13" sqref="Y13"/>
      <selection pane="topRight" activeCell="E5" sqref="E5"/>
    </sheetView>
  </sheetViews>
  <sheetFormatPr defaultColWidth="9.109375" defaultRowHeight="15.6" x14ac:dyDescent="0.3"/>
  <cols>
    <col min="1" max="1" width="24.6640625" style="13" customWidth="1"/>
    <col min="2" max="2" width="20.44140625" style="13" customWidth="1"/>
    <col min="3" max="3" width="18" style="13" customWidth="1"/>
    <col min="4" max="4" width="17.109375" style="13" customWidth="1"/>
    <col min="5" max="5" width="15.109375" style="13" customWidth="1"/>
    <col min="6" max="6" width="14.6640625" style="12" customWidth="1"/>
    <col min="7" max="7" width="14.88671875" style="12" customWidth="1"/>
    <col min="8" max="8" width="15.6640625" style="12" customWidth="1"/>
    <col min="9" max="9" width="14.6640625" style="12" customWidth="1"/>
    <col min="10" max="10" width="14.44140625" style="12" customWidth="1"/>
    <col min="11" max="11" width="15.6640625" style="12" customWidth="1"/>
    <col min="12" max="12" width="14.88671875" style="12" customWidth="1"/>
    <col min="13" max="13" width="16" style="12" customWidth="1"/>
    <col min="14" max="14" width="15.6640625" style="12" customWidth="1"/>
    <col min="15" max="15" width="14.5546875" style="12" customWidth="1"/>
    <col min="16" max="16" width="16.5546875" style="12" customWidth="1"/>
    <col min="17" max="17" width="15.5546875" style="12" customWidth="1"/>
    <col min="18" max="19" width="15.88671875" style="12" customWidth="1"/>
    <col min="20" max="21" width="16" style="12" customWidth="1"/>
    <col min="22" max="22" width="29.33203125" style="12" customWidth="1"/>
    <col min="23" max="23" width="16" style="12" customWidth="1"/>
    <col min="24" max="24" width="16.6640625" style="12" customWidth="1"/>
    <col min="25" max="25" width="19" style="12" customWidth="1"/>
    <col min="26" max="26" width="27" style="14" customWidth="1"/>
    <col min="27" max="27" width="15.109375" style="12" customWidth="1"/>
    <col min="28" max="35" width="18.88671875" style="12" customWidth="1"/>
    <col min="36" max="36" width="18.6640625" style="12" customWidth="1"/>
    <col min="37" max="53" width="23.88671875" style="12" customWidth="1"/>
    <col min="54" max="54" width="12" style="12" customWidth="1"/>
    <col min="55" max="55" width="11.33203125" style="12" customWidth="1"/>
    <col min="56" max="56" width="12" style="12" customWidth="1"/>
    <col min="57" max="57" width="12.109375" style="12" customWidth="1"/>
    <col min="58" max="58" width="12.6640625" style="12" customWidth="1"/>
    <col min="59" max="59" width="12.33203125" style="12" customWidth="1"/>
    <col min="60" max="60" width="13.44140625" style="12" customWidth="1"/>
    <col min="61" max="16384" width="9.109375" style="12"/>
  </cols>
  <sheetData>
    <row r="1" spans="1:34" ht="30.75" customHeight="1" x14ac:dyDescent="0.3">
      <c r="A1" s="366" t="s">
        <v>17</v>
      </c>
      <c r="B1" s="367" t="str">
        <f>'выручка по кв и годам'!D1</f>
        <v>I кв. 1 г.</v>
      </c>
      <c r="C1" s="367" t="str">
        <f>'выручка по кв и годам'!E1</f>
        <v>II кв. 1 г.</v>
      </c>
      <c r="D1" s="367" t="str">
        <f>'выручка по кв и годам'!F1</f>
        <v>III кв. 1 г.</v>
      </c>
      <c r="E1" s="367" t="str">
        <f>'выручка по кв и годам'!G1</f>
        <v>IV кв. 1 г.</v>
      </c>
      <c r="F1" s="367" t="str">
        <f>'выручка по кв и годам'!H1</f>
        <v>I кв. 2 г.</v>
      </c>
      <c r="G1" s="367" t="str">
        <f>'выручка по кв и годам'!I1</f>
        <v>II кв. 2 г.</v>
      </c>
      <c r="H1" s="367" t="str">
        <f>'выручка по кв и годам'!J1</f>
        <v>III кв. 2 г.</v>
      </c>
      <c r="I1" s="367" t="str">
        <f>'выручка по кв и годам'!K1</f>
        <v>IV кв. 2 г.</v>
      </c>
      <c r="J1" s="367" t="str">
        <f>'выручка по кв и годам'!L1</f>
        <v>I кв. 3 г.</v>
      </c>
      <c r="K1" s="367" t="str">
        <f>'выручка по кв и годам'!M1</f>
        <v>II кв. 3 г.</v>
      </c>
      <c r="L1" s="367" t="str">
        <f>'выручка по кв и годам'!N1</f>
        <v>III кв. 3 г.</v>
      </c>
      <c r="M1" s="367" t="str">
        <f>'выручка по кв и годам'!O1</f>
        <v>IV кв. 3 г.</v>
      </c>
      <c r="N1" s="367" t="str">
        <f>'выручка по кв и годам'!P1</f>
        <v>I кв. 4 г.</v>
      </c>
      <c r="O1" s="367" t="str">
        <f>'выручка по кв и годам'!Q1</f>
        <v>II кв. 4 г.</v>
      </c>
      <c r="P1" s="367" t="str">
        <f>'выручка по кв и годам'!R1</f>
        <v>III кв. 4 г.</v>
      </c>
      <c r="Q1" s="367" t="str">
        <f>'выручка по кв и годам'!S1</f>
        <v>IV кв. 4 г.</v>
      </c>
      <c r="R1" s="368" t="s">
        <v>18</v>
      </c>
      <c r="U1" s="17"/>
      <c r="V1" s="366" t="s">
        <v>17</v>
      </c>
      <c r="W1" s="518" t="str">
        <f>'объем работ 100% загр'!C3</f>
        <v>1 год</v>
      </c>
      <c r="X1" s="518" t="str">
        <f>'объем работ 100% загр'!D3</f>
        <v>2 год</v>
      </c>
      <c r="Y1" s="518" t="str">
        <f>'объем работ 100% загр'!E3</f>
        <v>3 год</v>
      </c>
      <c r="Z1" s="518" t="str">
        <f>'объем работ 100% загр'!F3</f>
        <v>4 год</v>
      </c>
      <c r="AA1" s="519" t="s">
        <v>19</v>
      </c>
      <c r="AB1" s="520" t="s">
        <v>20</v>
      </c>
    </row>
    <row r="2" spans="1:34" ht="37.5" customHeight="1" x14ac:dyDescent="0.3">
      <c r="A2" s="18" t="s">
        <v>21</v>
      </c>
      <c r="B2" s="19"/>
      <c r="C2" s="20"/>
      <c r="D2" s="20">
        <f>допущения!C8*допущения!C7</f>
        <v>1980</v>
      </c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19"/>
      <c r="R2" s="21">
        <f t="shared" ref="R2:R11" si="0">SUM(B2:Q2)</f>
        <v>1980</v>
      </c>
      <c r="V2" s="22" t="str">
        <f>A2</f>
        <v>Подготовка площадки, тыс. руб.</v>
      </c>
      <c r="W2" s="23">
        <f t="shared" ref="W2:W5" si="1">SUM(B2:E2)</f>
        <v>1980</v>
      </c>
      <c r="X2" s="23">
        <f t="shared" ref="X2:X5" si="2">SUM(F2:I2)</f>
        <v>0</v>
      </c>
      <c r="Y2" s="23">
        <f>SUM(J2:M2)</f>
        <v>0</v>
      </c>
      <c r="Z2" s="23">
        <f t="shared" ref="Z2:Z5" si="3">SUM(N2:Q2)</f>
        <v>0</v>
      </c>
      <c r="AA2" s="23">
        <f t="shared" ref="AA2:AA11" si="4">SUM(W2:Z2)</f>
        <v>1980</v>
      </c>
      <c r="AB2" s="24">
        <f t="shared" ref="AB2:AB11" si="5">AA2/$AA$14</f>
        <v>2.8226459754398674E-2</v>
      </c>
    </row>
    <row r="3" spans="1:34" ht="95.25" customHeight="1" x14ac:dyDescent="0.3">
      <c r="A3" s="25" t="s">
        <v>22</v>
      </c>
      <c r="B3" s="26"/>
      <c r="C3" s="26"/>
      <c r="D3" s="27">
        <f>допущения!C6+допущения!C15*допущения!C18</f>
        <v>14094.17</v>
      </c>
      <c r="E3" s="26"/>
      <c r="F3" s="26"/>
      <c r="G3" s="26"/>
      <c r="H3" s="26"/>
      <c r="I3" s="26"/>
      <c r="J3" s="28"/>
      <c r="K3" s="26"/>
      <c r="L3" s="26"/>
      <c r="M3" s="26"/>
      <c r="N3" s="20"/>
      <c r="O3" s="20"/>
      <c r="P3" s="20"/>
      <c r="Q3" s="19"/>
      <c r="R3" s="21">
        <f t="shared" si="0"/>
        <v>14094.17</v>
      </c>
      <c r="V3" s="22" t="str">
        <f>A3</f>
        <v>Возведение модульных производственно-бытовых помещений (450 кв м), подключение к теплу, воде, тыс. руб.</v>
      </c>
      <c r="W3" s="23">
        <f t="shared" si="1"/>
        <v>14094.17</v>
      </c>
      <c r="X3" s="23">
        <f t="shared" si="2"/>
        <v>0</v>
      </c>
      <c r="Y3" s="23">
        <f>SUM(K3:M3)</f>
        <v>0</v>
      </c>
      <c r="Z3" s="23">
        <f t="shared" si="3"/>
        <v>0</v>
      </c>
      <c r="AA3" s="23">
        <f t="shared" si="4"/>
        <v>14094.17</v>
      </c>
      <c r="AB3" s="24">
        <f t="shared" si="5"/>
        <v>0.20092349609931978</v>
      </c>
    </row>
    <row r="4" spans="1:34" ht="80.25" customHeight="1" x14ac:dyDescent="0.3">
      <c r="A4" s="25" t="s">
        <v>23</v>
      </c>
      <c r="B4" s="26"/>
      <c r="C4" s="26"/>
      <c r="D4" s="27"/>
      <c r="E4" s="26">
        <f>допущения!C78+допущения!C79</f>
        <v>10200</v>
      </c>
      <c r="F4" s="26"/>
      <c r="G4" s="20"/>
      <c r="H4" s="28"/>
      <c r="I4" s="20"/>
      <c r="J4" s="20"/>
      <c r="K4" s="20"/>
      <c r="L4" s="20"/>
      <c r="M4" s="20"/>
      <c r="N4" s="20"/>
      <c r="O4" s="20"/>
      <c r="P4" s="20"/>
      <c r="Q4" s="20"/>
      <c r="R4" s="21">
        <f t="shared" si="0"/>
        <v>10200</v>
      </c>
      <c r="V4" s="22" t="str">
        <f>A4</f>
        <v>Приобретение производственной линии*, спецтехники, тыс. руб.</v>
      </c>
      <c r="W4" s="23">
        <f t="shared" si="1"/>
        <v>10200</v>
      </c>
      <c r="X4" s="23">
        <f t="shared" si="2"/>
        <v>0</v>
      </c>
      <c r="Y4" s="23">
        <f t="shared" ref="Y4:Y5" si="6">SUM(J4:M4)</f>
        <v>0</v>
      </c>
      <c r="Z4" s="23">
        <f t="shared" si="3"/>
        <v>0</v>
      </c>
      <c r="AA4" s="23">
        <f t="shared" si="4"/>
        <v>10200</v>
      </c>
      <c r="AB4" s="24">
        <f t="shared" si="5"/>
        <v>0.14540903509841743</v>
      </c>
    </row>
    <row r="5" spans="1:34" ht="46.8" x14ac:dyDescent="0.3">
      <c r="A5" s="25" t="s">
        <v>536</v>
      </c>
      <c r="B5" s="26"/>
      <c r="C5" s="26"/>
      <c r="D5" s="27"/>
      <c r="E5" s="26">
        <f>допущения!C80</f>
        <v>38150</v>
      </c>
      <c r="F5" s="26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1">
        <f t="shared" si="0"/>
        <v>38150</v>
      </c>
      <c r="V5" s="22" t="str">
        <f>A5</f>
        <v>Оборудование по генерации э/э, прочие, тыс. руб.</v>
      </c>
      <c r="W5" s="23">
        <f t="shared" si="1"/>
        <v>38150</v>
      </c>
      <c r="X5" s="23">
        <f t="shared" si="2"/>
        <v>0</v>
      </c>
      <c r="Y5" s="23">
        <f t="shared" si="6"/>
        <v>0</v>
      </c>
      <c r="Z5" s="23">
        <f t="shared" si="3"/>
        <v>0</v>
      </c>
      <c r="AA5" s="23">
        <f t="shared" si="4"/>
        <v>38150</v>
      </c>
      <c r="AB5" s="24">
        <f t="shared" si="5"/>
        <v>0.5438583028435906</v>
      </c>
    </row>
    <row r="6" spans="1:34" ht="0.75" customHeight="1" x14ac:dyDescent="0.3">
      <c r="A6" s="25"/>
      <c r="B6" s="29"/>
      <c r="C6" s="29"/>
      <c r="D6" s="30"/>
      <c r="E6" s="29"/>
      <c r="F6" s="29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21">
        <f t="shared" si="0"/>
        <v>0</v>
      </c>
      <c r="V6" s="22"/>
      <c r="W6" s="23"/>
      <c r="X6" s="23"/>
      <c r="Y6" s="23"/>
      <c r="Z6" s="23"/>
      <c r="AA6" s="23">
        <f t="shared" si="4"/>
        <v>0</v>
      </c>
      <c r="AB6" s="24">
        <f t="shared" si="5"/>
        <v>0</v>
      </c>
    </row>
    <row r="7" spans="1:34" hidden="1" x14ac:dyDescent="0.3">
      <c r="A7" s="25"/>
      <c r="B7" s="29"/>
      <c r="C7" s="29"/>
      <c r="D7" s="29"/>
      <c r="E7" s="29"/>
      <c r="F7" s="29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21">
        <f t="shared" si="0"/>
        <v>0</v>
      </c>
      <c r="V7" s="22"/>
      <c r="W7" s="23"/>
      <c r="X7" s="23"/>
      <c r="Y7" s="23"/>
      <c r="Z7" s="23"/>
      <c r="AA7" s="23">
        <f t="shared" si="4"/>
        <v>0</v>
      </c>
      <c r="AB7" s="24">
        <f t="shared" si="5"/>
        <v>0</v>
      </c>
    </row>
    <row r="8" spans="1:34" hidden="1" x14ac:dyDescent="0.3">
      <c r="A8" s="25"/>
      <c r="B8" s="29"/>
      <c r="C8" s="29"/>
      <c r="D8" s="29"/>
      <c r="E8" s="29"/>
      <c r="F8" s="29"/>
      <c r="G8" s="31"/>
      <c r="H8" s="31"/>
      <c r="I8" s="31"/>
      <c r="J8" s="31"/>
      <c r="K8" s="31"/>
      <c r="L8" s="31"/>
      <c r="M8" s="31"/>
      <c r="N8" s="31"/>
      <c r="O8" s="31"/>
      <c r="P8" s="31"/>
      <c r="Q8" s="32"/>
      <c r="R8" s="21">
        <f t="shared" si="0"/>
        <v>0</v>
      </c>
      <c r="V8" s="22"/>
      <c r="W8" s="23"/>
      <c r="X8" s="23"/>
      <c r="Y8" s="23"/>
      <c r="Z8" s="23"/>
      <c r="AA8" s="23">
        <f t="shared" si="4"/>
        <v>0</v>
      </c>
      <c r="AB8" s="24">
        <f t="shared" si="5"/>
        <v>0</v>
      </c>
    </row>
    <row r="9" spans="1:34" hidden="1" x14ac:dyDescent="0.3">
      <c r="A9" s="25"/>
      <c r="B9" s="29"/>
      <c r="C9" s="29"/>
      <c r="D9" s="29"/>
      <c r="E9" s="29"/>
      <c r="F9" s="29"/>
      <c r="G9" s="31"/>
      <c r="H9" s="31"/>
      <c r="I9" s="31"/>
      <c r="J9" s="31"/>
      <c r="K9" s="31"/>
      <c r="L9" s="31"/>
      <c r="M9" s="31"/>
      <c r="N9" s="31"/>
      <c r="O9" s="31"/>
      <c r="P9" s="31"/>
      <c r="Q9" s="32"/>
      <c r="R9" s="21">
        <f t="shared" si="0"/>
        <v>0</v>
      </c>
      <c r="V9" s="22"/>
      <c r="W9" s="23"/>
      <c r="X9" s="23"/>
      <c r="Y9" s="23"/>
      <c r="Z9" s="23"/>
      <c r="AA9" s="23">
        <f t="shared" si="4"/>
        <v>0</v>
      </c>
      <c r="AB9" s="24">
        <f t="shared" si="5"/>
        <v>0</v>
      </c>
      <c r="AD9" s="33"/>
    </row>
    <row r="10" spans="1:34" hidden="1" x14ac:dyDescent="0.3">
      <c r="A10" s="25"/>
      <c r="B10" s="32"/>
      <c r="C10" s="31"/>
      <c r="D10" s="31"/>
      <c r="E10" s="31"/>
      <c r="F10" s="31"/>
      <c r="G10" s="31"/>
      <c r="H10" s="31"/>
      <c r="I10" s="31"/>
      <c r="J10" s="31"/>
      <c r="L10" s="34"/>
      <c r="M10" s="31"/>
      <c r="O10" s="31"/>
      <c r="P10" s="31"/>
      <c r="Q10" s="32"/>
      <c r="R10" s="21">
        <f t="shared" si="0"/>
        <v>0</v>
      </c>
      <c r="U10" s="35"/>
      <c r="V10" s="22"/>
      <c r="W10" s="23"/>
      <c r="X10" s="23"/>
      <c r="Y10" s="23"/>
      <c r="Z10" s="23"/>
      <c r="AA10" s="23">
        <f t="shared" si="4"/>
        <v>0</v>
      </c>
      <c r="AB10" s="24">
        <f t="shared" si="5"/>
        <v>0</v>
      </c>
      <c r="AC10" s="36"/>
      <c r="AD10" s="36"/>
    </row>
    <row r="11" spans="1:34" hidden="1" x14ac:dyDescent="0.3">
      <c r="A11" s="25"/>
      <c r="B11" s="32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21">
        <f t="shared" si="0"/>
        <v>0</v>
      </c>
      <c r="V11" s="22"/>
      <c r="W11" s="23"/>
      <c r="X11" s="23"/>
      <c r="Y11" s="23"/>
      <c r="Z11" s="23"/>
      <c r="AA11" s="23">
        <f t="shared" si="4"/>
        <v>0</v>
      </c>
      <c r="AB11" s="24">
        <f t="shared" si="5"/>
        <v>0</v>
      </c>
      <c r="AC11" s="35"/>
    </row>
    <row r="12" spans="1:34" x14ac:dyDescent="0.3">
      <c r="A12" s="15" t="s">
        <v>25</v>
      </c>
      <c r="B12" s="21"/>
      <c r="C12" s="21"/>
      <c r="D12" s="21">
        <f>SUM(D2:D11)</f>
        <v>16074.17</v>
      </c>
      <c r="E12" s="21">
        <f t="shared" ref="E12:P12" si="7">SUM(E2:E11)</f>
        <v>48350</v>
      </c>
      <c r="F12" s="21">
        <f>SUM(F2:F11)</f>
        <v>0</v>
      </c>
      <c r="G12" s="21">
        <f t="shared" si="7"/>
        <v>0</v>
      </c>
      <c r="H12" s="21">
        <f t="shared" si="7"/>
        <v>0</v>
      </c>
      <c r="I12" s="21">
        <f t="shared" si="7"/>
        <v>0</v>
      </c>
      <c r="J12" s="21">
        <f t="shared" si="7"/>
        <v>0</v>
      </c>
      <c r="K12" s="21">
        <f t="shared" si="7"/>
        <v>0</v>
      </c>
      <c r="L12" s="21">
        <f t="shared" si="7"/>
        <v>0</v>
      </c>
      <c r="M12" s="21">
        <f t="shared" si="7"/>
        <v>0</v>
      </c>
      <c r="N12" s="21">
        <f t="shared" si="7"/>
        <v>0</v>
      </c>
      <c r="O12" s="21">
        <f t="shared" si="7"/>
        <v>0</v>
      </c>
      <c r="P12" s="21">
        <f t="shared" si="7"/>
        <v>0</v>
      </c>
      <c r="Q12" s="21">
        <f>SUM(Q2:Q11)</f>
        <v>0</v>
      </c>
      <c r="R12" s="21">
        <f>SUM(R2:R11)</f>
        <v>64424.17</v>
      </c>
      <c r="U12" s="35"/>
      <c r="V12" s="15" t="s">
        <v>26</v>
      </c>
      <c r="W12" s="37">
        <f>SUM(W2:W10)</f>
        <v>64424.17</v>
      </c>
      <c r="X12" s="37">
        <f t="shared" ref="X12:Z12" si="8">SUM(X2:X10)</f>
        <v>0</v>
      </c>
      <c r="Y12" s="37">
        <f t="shared" si="8"/>
        <v>0</v>
      </c>
      <c r="Z12" s="37">
        <f t="shared" si="8"/>
        <v>0</v>
      </c>
      <c r="AA12" s="37">
        <f>SUM(AA2:AA11)</f>
        <v>64424.17</v>
      </c>
      <c r="AB12" s="24"/>
      <c r="AC12" s="35"/>
      <c r="AD12" s="35"/>
    </row>
    <row r="13" spans="1:34" x14ac:dyDescent="0.3">
      <c r="A13" s="38"/>
      <c r="B13" s="39" t="s">
        <v>19</v>
      </c>
      <c r="C13" s="38"/>
      <c r="D13" s="40"/>
      <c r="E13" s="40"/>
      <c r="F13" s="40"/>
      <c r="G13" s="40"/>
      <c r="K13" s="35"/>
      <c r="V13" s="22" t="s">
        <v>27</v>
      </c>
      <c r="W13" s="23">
        <f>'Расходы по займу'!D6+'Расходы по займу'!E6+'Расходы ТОР'!E19</f>
        <v>5722.7778364691594</v>
      </c>
      <c r="X13" s="23"/>
      <c r="Y13" s="23"/>
      <c r="Z13" s="41"/>
      <c r="AA13" s="41">
        <f t="shared" ref="AA13:AA14" si="9">SUM(W13:Z13)</f>
        <v>5722.7778364691594</v>
      </c>
      <c r="AB13" s="24">
        <f>AA13/$AA$14</f>
        <v>8.1582706204273464E-2</v>
      </c>
    </row>
    <row r="14" spans="1:34" x14ac:dyDescent="0.3">
      <c r="A14" s="32" t="s">
        <v>28</v>
      </c>
      <c r="B14" s="21">
        <f>SUM(R3:R11)</f>
        <v>62444.17</v>
      </c>
      <c r="C14" s="12"/>
      <c r="D14" s="12"/>
      <c r="E14" s="12"/>
      <c r="V14" s="22" t="s">
        <v>29</v>
      </c>
      <c r="W14" s="23">
        <f>W12+W13</f>
        <v>70146.94783646916</v>
      </c>
      <c r="X14" s="23">
        <f>X12+X13</f>
        <v>0</v>
      </c>
      <c r="Y14" s="23">
        <f>Y12+Y13</f>
        <v>0</v>
      </c>
      <c r="Z14" s="41"/>
      <c r="AA14" s="37">
        <f t="shared" si="9"/>
        <v>70146.94783646916</v>
      </c>
      <c r="AB14" s="42"/>
      <c r="AH14" s="35"/>
    </row>
    <row r="15" spans="1:34" x14ac:dyDescent="0.3">
      <c r="A15" s="22" t="s">
        <v>30</v>
      </c>
      <c r="B15" s="21">
        <f>B14/1.2*0.2</f>
        <v>10407.361666666668</v>
      </c>
      <c r="C15" s="38"/>
      <c r="D15" s="40"/>
      <c r="E15" s="40"/>
      <c r="F15" s="40"/>
      <c r="G15" s="40"/>
      <c r="K15" s="35"/>
      <c r="L15" s="35"/>
      <c r="M15" s="35"/>
      <c r="Z15" s="12"/>
    </row>
    <row r="16" spans="1:34" ht="31.5" customHeight="1" x14ac:dyDescent="0.3">
      <c r="A16" s="22" t="s">
        <v>31</v>
      </c>
      <c r="B16" s="21">
        <f>B14-B15</f>
        <v>52036.808333333334</v>
      </c>
      <c r="C16" s="38"/>
      <c r="D16" s="38"/>
      <c r="E16" s="40"/>
      <c r="F16" s="40"/>
      <c r="G16" s="40"/>
      <c r="S16" s="35"/>
      <c r="V16" s="22" t="s">
        <v>32</v>
      </c>
      <c r="W16" s="23">
        <f>W14-W17</f>
        <v>20146.94783646916</v>
      </c>
      <c r="X16" s="23"/>
      <c r="Y16" s="23"/>
      <c r="Z16" s="23"/>
      <c r="AA16" s="23"/>
      <c r="AB16" s="24">
        <f t="shared" ref="AB16:AB17" si="10">W16/$AA$14</f>
        <v>0.2872106122626597</v>
      </c>
      <c r="AC16" s="35"/>
      <c r="AF16" s="35"/>
    </row>
    <row r="17" spans="1:45" x14ac:dyDescent="0.3">
      <c r="A17" s="38"/>
      <c r="B17" s="38"/>
      <c r="C17" s="38"/>
      <c r="D17" s="40"/>
      <c r="E17" s="40"/>
      <c r="F17" s="40"/>
      <c r="G17" s="40"/>
      <c r="U17" s="649">
        <f>W17/W14</f>
        <v>0.71278938773734024</v>
      </c>
      <c r="V17" s="22" t="s">
        <v>33</v>
      </c>
      <c r="W17" s="27">
        <v>50000</v>
      </c>
      <c r="X17" s="23"/>
      <c r="Y17" s="23"/>
      <c r="Z17" s="23"/>
      <c r="AA17" s="23"/>
      <c r="AB17" s="24">
        <f t="shared" si="10"/>
        <v>0.71278938773734024</v>
      </c>
      <c r="AD17" s="35"/>
      <c r="AG17" s="35"/>
    </row>
    <row r="18" spans="1:45" ht="18.75" customHeight="1" x14ac:dyDescent="0.3">
      <c r="A18" s="38"/>
      <c r="B18" s="38"/>
      <c r="C18" s="38"/>
      <c r="D18" s="40"/>
      <c r="E18" s="40"/>
      <c r="F18" s="40"/>
      <c r="G18" s="40"/>
      <c r="V18" s="16" t="s">
        <v>34</v>
      </c>
      <c r="W18" s="27">
        <v>0</v>
      </c>
      <c r="X18" s="23"/>
      <c r="Y18" s="23"/>
      <c r="Z18" s="23"/>
      <c r="AA18" s="23"/>
      <c r="AB18" s="35"/>
      <c r="AC18" s="35"/>
      <c r="AD18" s="35"/>
      <c r="AE18" s="35"/>
      <c r="AF18" s="35"/>
      <c r="AG18" s="35"/>
      <c r="AI18" s="42"/>
      <c r="AJ18" s="43"/>
    </row>
    <row r="19" spans="1:45" ht="54" customHeight="1" x14ac:dyDescent="0.3">
      <c r="A19" s="40"/>
      <c r="B19" s="40"/>
      <c r="C19" s="40"/>
      <c r="D19" s="40"/>
      <c r="E19" s="40"/>
      <c r="F19" s="40"/>
      <c r="G19" s="40"/>
      <c r="X19" s="35"/>
      <c r="AA19" s="35"/>
      <c r="AB19" s="35"/>
      <c r="AC19" s="35"/>
      <c r="AD19" s="35"/>
      <c r="AE19" s="35"/>
      <c r="AF19" s="35"/>
      <c r="AG19" s="35"/>
      <c r="AI19" s="42"/>
      <c r="AJ19" s="43"/>
    </row>
    <row r="20" spans="1:45" ht="36" customHeight="1" x14ac:dyDescent="0.3">
      <c r="V20" s="16" t="s">
        <v>35</v>
      </c>
      <c r="W20" s="44">
        <f>W14/-1000</f>
        <v>-70.146947836469167</v>
      </c>
      <c r="X20" s="44">
        <f>X14/-1000</f>
        <v>0</v>
      </c>
      <c r="Y20" s="44">
        <f>Y14/-1000</f>
        <v>0</v>
      </c>
      <c r="Z20" s="44">
        <f>Z14/-1000</f>
        <v>0</v>
      </c>
      <c r="AA20" s="35"/>
      <c r="AI20" s="42"/>
    </row>
    <row r="21" spans="1:45" x14ac:dyDescent="0.3">
      <c r="A21" s="40"/>
      <c r="B21" s="40"/>
      <c r="C21" s="40"/>
      <c r="D21" s="40"/>
      <c r="E21" s="40"/>
      <c r="F21" s="45"/>
      <c r="X21" s="35"/>
      <c r="Z21" s="12"/>
      <c r="AH21" s="42"/>
    </row>
    <row r="22" spans="1:45" x14ac:dyDescent="0.3">
      <c r="Z22" s="12"/>
      <c r="AH22" s="42"/>
    </row>
    <row r="23" spans="1:45" x14ac:dyDescent="0.3">
      <c r="B23" s="369" t="str">
        <f>B1</f>
        <v>I кв. 1 г.</v>
      </c>
      <c r="C23" s="369" t="str">
        <f t="shared" ref="C23:Q23" si="11">C1</f>
        <v>II кв. 1 г.</v>
      </c>
      <c r="D23" s="369" t="str">
        <f t="shared" si="11"/>
        <v>III кв. 1 г.</v>
      </c>
      <c r="E23" s="369" t="str">
        <f t="shared" si="11"/>
        <v>IV кв. 1 г.</v>
      </c>
      <c r="F23" s="369" t="str">
        <f t="shared" si="11"/>
        <v>I кв. 2 г.</v>
      </c>
      <c r="G23" s="369" t="str">
        <f t="shared" si="11"/>
        <v>II кв. 2 г.</v>
      </c>
      <c r="H23" s="369" t="str">
        <f t="shared" si="11"/>
        <v>III кв. 2 г.</v>
      </c>
      <c r="I23" s="369" t="str">
        <f t="shared" si="11"/>
        <v>IV кв. 2 г.</v>
      </c>
      <c r="J23" s="369" t="str">
        <f t="shared" si="11"/>
        <v>I кв. 3 г.</v>
      </c>
      <c r="K23" s="369" t="str">
        <f t="shared" si="11"/>
        <v>II кв. 3 г.</v>
      </c>
      <c r="L23" s="369" t="str">
        <f t="shared" si="11"/>
        <v>III кв. 3 г.</v>
      </c>
      <c r="M23" s="369" t="str">
        <f t="shared" si="11"/>
        <v>IV кв. 3 г.</v>
      </c>
      <c r="N23" s="369" t="str">
        <f t="shared" si="11"/>
        <v>I кв. 4 г.</v>
      </c>
      <c r="O23" s="369" t="str">
        <f t="shared" si="11"/>
        <v>II кв. 4 г.</v>
      </c>
      <c r="P23" s="369" t="str">
        <f t="shared" si="11"/>
        <v>III кв. 4 г.</v>
      </c>
      <c r="Q23" s="369" t="str">
        <f t="shared" si="11"/>
        <v>IV кв. 4 г.</v>
      </c>
      <c r="V23" s="14"/>
      <c r="Z23" s="12"/>
      <c r="AD23" s="42"/>
    </row>
    <row r="24" spans="1:45" x14ac:dyDescent="0.3">
      <c r="A24" s="15" t="s">
        <v>36</v>
      </c>
      <c r="B24" s="31">
        <f>SUM(B4:B11)</f>
        <v>0</v>
      </c>
      <c r="C24" s="31">
        <f>SUM(C4:C11)</f>
        <v>0</v>
      </c>
      <c r="D24" s="31">
        <f>SUM(D3:D11)</f>
        <v>14094.17</v>
      </c>
      <c r="E24" s="31">
        <f>SUM(E4:E6)</f>
        <v>48350</v>
      </c>
      <c r="F24" s="31">
        <f t="shared" ref="F24:Q24" si="12">SUM(F9:F11)</f>
        <v>0</v>
      </c>
      <c r="G24" s="31">
        <f t="shared" si="12"/>
        <v>0</v>
      </c>
      <c r="H24" s="31">
        <f t="shared" si="12"/>
        <v>0</v>
      </c>
      <c r="I24" s="31">
        <f t="shared" si="12"/>
        <v>0</v>
      </c>
      <c r="J24" s="31">
        <f t="shared" si="12"/>
        <v>0</v>
      </c>
      <c r="K24" s="31">
        <f t="shared" si="12"/>
        <v>0</v>
      </c>
      <c r="L24" s="31">
        <f t="shared" si="12"/>
        <v>0</v>
      </c>
      <c r="M24" s="31">
        <f t="shared" si="12"/>
        <v>0</v>
      </c>
      <c r="N24" s="31">
        <f t="shared" si="12"/>
        <v>0</v>
      </c>
      <c r="O24" s="31">
        <f t="shared" si="12"/>
        <v>0</v>
      </c>
      <c r="P24" s="31">
        <f t="shared" si="12"/>
        <v>0</v>
      </c>
      <c r="Q24" s="31">
        <f t="shared" si="12"/>
        <v>0</v>
      </c>
      <c r="X24" s="35"/>
      <c r="Y24" s="35"/>
      <c r="Z24" s="35"/>
      <c r="AA24" s="35"/>
      <c r="AB24" s="35"/>
    </row>
    <row r="25" spans="1:45" x14ac:dyDescent="0.3">
      <c r="A25" s="15"/>
      <c r="B25" s="300" t="str">
        <f t="shared" ref="B25:Q25" si="13">B1</f>
        <v>I кв. 1 г.</v>
      </c>
      <c r="C25" s="300" t="str">
        <f t="shared" si="13"/>
        <v>II кв. 1 г.</v>
      </c>
      <c r="D25" s="300" t="str">
        <f t="shared" si="13"/>
        <v>III кв. 1 г.</v>
      </c>
      <c r="E25" s="300" t="str">
        <f t="shared" si="13"/>
        <v>IV кв. 1 г.</v>
      </c>
      <c r="F25" s="300" t="str">
        <f t="shared" si="13"/>
        <v>I кв. 2 г.</v>
      </c>
      <c r="G25" s="300" t="str">
        <f t="shared" si="13"/>
        <v>II кв. 2 г.</v>
      </c>
      <c r="H25" s="300" t="str">
        <f t="shared" si="13"/>
        <v>III кв. 2 г.</v>
      </c>
      <c r="I25" s="300" t="str">
        <f t="shared" si="13"/>
        <v>IV кв. 2 г.</v>
      </c>
      <c r="J25" s="300" t="str">
        <f t="shared" si="13"/>
        <v>I кв. 3 г.</v>
      </c>
      <c r="K25" s="300" t="str">
        <f t="shared" si="13"/>
        <v>II кв. 3 г.</v>
      </c>
      <c r="L25" s="300" t="str">
        <f t="shared" si="13"/>
        <v>III кв. 3 г.</v>
      </c>
      <c r="M25" s="300" t="str">
        <f t="shared" si="13"/>
        <v>IV кв. 3 г.</v>
      </c>
      <c r="N25" s="300" t="str">
        <f t="shared" si="13"/>
        <v>I кв. 4 г.</v>
      </c>
      <c r="O25" s="300" t="str">
        <f t="shared" si="13"/>
        <v>II кв. 4 г.</v>
      </c>
      <c r="P25" s="300" t="str">
        <f t="shared" si="13"/>
        <v>III кв. 4 г.</v>
      </c>
      <c r="Q25" s="300" t="str">
        <f t="shared" si="13"/>
        <v>IV кв. 4 г.</v>
      </c>
      <c r="R25" s="300" t="str">
        <f>'выручка по кв и годам'!T1</f>
        <v>I кв. 5 г.</v>
      </c>
      <c r="S25" s="300" t="str">
        <f>'выручка по кв и годам'!U1</f>
        <v>II кв. 5 г.</v>
      </c>
      <c r="T25" s="300" t="str">
        <f>'выручка по кв и годам'!V1</f>
        <v>III кв. 5 г.</v>
      </c>
      <c r="U25" s="300" t="str">
        <f>'выручка по кв и годам'!W1</f>
        <v>IV кв. 5 г.</v>
      </c>
      <c r="V25" s="300" t="str">
        <f>'выручка по кв и годам'!X1</f>
        <v>I кв. 6 г.</v>
      </c>
      <c r="W25" s="300" t="str">
        <f>'выручка по кв и годам'!Y1</f>
        <v>II кв. 6 г.</v>
      </c>
      <c r="X25" s="300" t="str">
        <f>'выручка по кв и годам'!Z1</f>
        <v>III кв. 6 г.</v>
      </c>
      <c r="Y25" s="300" t="str">
        <f>'выручка по кв и годам'!AA1</f>
        <v>IV кв. 6 г.</v>
      </c>
      <c r="Z25" s="370" t="str">
        <f>'выручка по кв и годам'!AB1</f>
        <v>I кв. 7 г.</v>
      </c>
      <c r="AA25" s="370" t="str">
        <f>'выручка по кв и годам'!AC1</f>
        <v>II кв. 7 г.</v>
      </c>
      <c r="AB25" s="370" t="str">
        <f>'выручка по кв и годам'!AD1</f>
        <v>III кв. 7 г.</v>
      </c>
      <c r="AC25" s="370" t="str">
        <f>'выручка по кв и годам'!AE1</f>
        <v>IV кв. 7 г.</v>
      </c>
      <c r="AD25" s="370" t="str">
        <f>'выручка по кв и годам'!AF1</f>
        <v>I кв. 8 г.</v>
      </c>
      <c r="AE25" s="370" t="str">
        <f>'выручка по кв и годам'!AG1</f>
        <v>II кв. 8 г.</v>
      </c>
      <c r="AF25" s="370" t="str">
        <f>'выручка по кв и годам'!AH1</f>
        <v>III кв. 8 г.</v>
      </c>
      <c r="AG25" s="370" t="str">
        <f>'выручка по кв и годам'!AI1</f>
        <v>IV кв. 8 г.</v>
      </c>
      <c r="AH25" s="370" t="str">
        <f>'выручка по кв и годам'!AJ1</f>
        <v>I кв. 9 г.</v>
      </c>
      <c r="AI25" s="370" t="str">
        <f>'выручка по кв и годам'!AK1</f>
        <v>II кв. 9 г.</v>
      </c>
      <c r="AJ25" s="370" t="str">
        <f>'выручка по кв и годам'!AL1</f>
        <v>III кв. 9 г.</v>
      </c>
      <c r="AK25" s="370" t="str">
        <f>'выручка по кв и годам'!AM1</f>
        <v>IV кв. 9 г.</v>
      </c>
      <c r="AL25" s="370" t="str">
        <f>'выручка по кв и годам'!AN1</f>
        <v>I кв. 10 г.</v>
      </c>
      <c r="AM25" s="370" t="str">
        <f>'выручка по кв и годам'!AO1</f>
        <v>II кв. 10 г.</v>
      </c>
      <c r="AN25" s="370" t="str">
        <f>'выручка по кв и годам'!AP1</f>
        <v>III кв. 10 г.</v>
      </c>
      <c r="AO25" s="370" t="str">
        <f>'выручка по кв и годам'!AQ1</f>
        <v>IV кв. 10 г.</v>
      </c>
      <c r="AP25" s="371" t="str">
        <f>'выручка по кв и годам'!AR1</f>
        <v>I кв. 11 г.</v>
      </c>
      <c r="AQ25" s="371" t="str">
        <f>'выручка по кв и годам'!AS1</f>
        <v>II кв. 11 г.</v>
      </c>
      <c r="AR25" s="371" t="str">
        <f>'выручка по кв и годам'!AT1</f>
        <v>III кв. 11 г.</v>
      </c>
      <c r="AS25" s="371" t="str">
        <f>'выручка по кв и годам'!AU1</f>
        <v>IV кв. 11 г.</v>
      </c>
    </row>
    <row r="26" spans="1:45" s="514" customFormat="1" ht="47.25" customHeight="1" x14ac:dyDescent="0.3">
      <c r="A26" s="515" t="s">
        <v>37</v>
      </c>
      <c r="B26" s="516">
        <f>SUM(B27:B29)</f>
        <v>0</v>
      </c>
      <c r="C26" s="516">
        <f t="shared" ref="C26:AS26" si="14">SUM(C27:C29)</f>
        <v>0</v>
      </c>
      <c r="D26" s="516">
        <f t="shared" si="14"/>
        <v>0</v>
      </c>
      <c r="E26" s="516">
        <f t="shared" si="14"/>
        <v>858.33333333333337</v>
      </c>
      <c r="F26" s="516">
        <f t="shared" si="14"/>
        <v>858.33333333333337</v>
      </c>
      <c r="G26" s="516">
        <f t="shared" si="14"/>
        <v>858.33333333333337</v>
      </c>
      <c r="H26" s="516">
        <f t="shared" si="14"/>
        <v>858.33333333333337</v>
      </c>
      <c r="I26" s="516">
        <f t="shared" si="14"/>
        <v>858.33333333333337</v>
      </c>
      <c r="J26" s="516">
        <f t="shared" si="14"/>
        <v>858.33333333333337</v>
      </c>
      <c r="K26" s="516">
        <f t="shared" si="14"/>
        <v>858.33333333333337</v>
      </c>
      <c r="L26" s="516">
        <f t="shared" si="14"/>
        <v>858.33333333333337</v>
      </c>
      <c r="M26" s="516">
        <f t="shared" si="14"/>
        <v>858.33333333333337</v>
      </c>
      <c r="N26" s="516">
        <f t="shared" si="14"/>
        <v>858.33333333333337</v>
      </c>
      <c r="O26" s="516">
        <f t="shared" si="14"/>
        <v>858.33333333333337</v>
      </c>
      <c r="P26" s="516">
        <f t="shared" si="14"/>
        <v>858.33333333333337</v>
      </c>
      <c r="Q26" s="516">
        <f t="shared" si="14"/>
        <v>858.33333333333337</v>
      </c>
      <c r="R26" s="516">
        <f t="shared" si="14"/>
        <v>858.33333333333337</v>
      </c>
      <c r="S26" s="516">
        <f t="shared" si="14"/>
        <v>858.33333333333337</v>
      </c>
      <c r="T26" s="516">
        <f t="shared" si="14"/>
        <v>858.33333333333337</v>
      </c>
      <c r="U26" s="516">
        <f t="shared" si="14"/>
        <v>858.33333333333337</v>
      </c>
      <c r="V26" s="516">
        <f t="shared" si="14"/>
        <v>858.33333333333337</v>
      </c>
      <c r="W26" s="516">
        <f t="shared" si="14"/>
        <v>858.33333333333337</v>
      </c>
      <c r="X26" s="516">
        <f t="shared" si="14"/>
        <v>858.33333333333337</v>
      </c>
      <c r="Y26" s="516">
        <f t="shared" si="14"/>
        <v>858.33333333333337</v>
      </c>
      <c r="Z26" s="516">
        <f t="shared" si="14"/>
        <v>858.33333333333337</v>
      </c>
      <c r="AA26" s="516">
        <f t="shared" si="14"/>
        <v>858.33333333333337</v>
      </c>
      <c r="AB26" s="516">
        <f t="shared" si="14"/>
        <v>858.33333333333337</v>
      </c>
      <c r="AC26" s="516">
        <f t="shared" si="14"/>
        <v>858.33333333333337</v>
      </c>
      <c r="AD26" s="516">
        <f t="shared" si="14"/>
        <v>858.33333333333337</v>
      </c>
      <c r="AE26" s="516">
        <f t="shared" si="14"/>
        <v>858.33333333333337</v>
      </c>
      <c r="AF26" s="516">
        <f t="shared" si="14"/>
        <v>858.33333333333337</v>
      </c>
      <c r="AG26" s="516">
        <f t="shared" si="14"/>
        <v>858.33333333333337</v>
      </c>
      <c r="AH26" s="516">
        <f t="shared" si="14"/>
        <v>858.33333333333337</v>
      </c>
      <c r="AI26" s="516">
        <f t="shared" si="14"/>
        <v>858.33333333333337</v>
      </c>
      <c r="AJ26" s="516">
        <f t="shared" si="14"/>
        <v>858.33333333333337</v>
      </c>
      <c r="AK26" s="516">
        <f t="shared" si="14"/>
        <v>858.33333333333337</v>
      </c>
      <c r="AL26" s="516">
        <f t="shared" si="14"/>
        <v>858.33333333333337</v>
      </c>
      <c r="AM26" s="516">
        <f t="shared" si="14"/>
        <v>858.33333333333337</v>
      </c>
      <c r="AN26" s="516">
        <f t="shared" si="14"/>
        <v>858.33333333333337</v>
      </c>
      <c r="AO26" s="516">
        <f t="shared" si="14"/>
        <v>858.33333333333337</v>
      </c>
      <c r="AP26" s="516">
        <f t="shared" si="14"/>
        <v>858.33333333333337</v>
      </c>
      <c r="AQ26" s="516">
        <f t="shared" si="14"/>
        <v>858.33333333333337</v>
      </c>
      <c r="AR26" s="516">
        <f t="shared" si="14"/>
        <v>858.33333333333337</v>
      </c>
      <c r="AS26" s="516">
        <f t="shared" si="14"/>
        <v>858.33333333333337</v>
      </c>
    </row>
    <row r="27" spans="1:45" s="514" customFormat="1" ht="31.2" x14ac:dyDescent="0.3">
      <c r="A27" s="512" t="s">
        <v>38</v>
      </c>
      <c r="B27" s="511"/>
      <c r="C27" s="511"/>
      <c r="D27" s="517"/>
      <c r="E27" s="20">
        <f>допущения!C15*допущения!C18/(допущения!C17*4)</f>
        <v>52.5</v>
      </c>
      <c r="F27" s="513">
        <f t="shared" ref="F27:F29" si="15">E27</f>
        <v>52.5</v>
      </c>
      <c r="G27" s="513">
        <f t="shared" ref="G27:AS30" si="16">F27</f>
        <v>52.5</v>
      </c>
      <c r="H27" s="513">
        <f t="shared" si="16"/>
        <v>52.5</v>
      </c>
      <c r="I27" s="513">
        <f t="shared" si="16"/>
        <v>52.5</v>
      </c>
      <c r="J27" s="513">
        <f t="shared" si="16"/>
        <v>52.5</v>
      </c>
      <c r="K27" s="513">
        <f t="shared" si="16"/>
        <v>52.5</v>
      </c>
      <c r="L27" s="513">
        <f t="shared" si="16"/>
        <v>52.5</v>
      </c>
      <c r="M27" s="513">
        <f t="shared" si="16"/>
        <v>52.5</v>
      </c>
      <c r="N27" s="513">
        <f t="shared" si="16"/>
        <v>52.5</v>
      </c>
      <c r="O27" s="513">
        <f t="shared" si="16"/>
        <v>52.5</v>
      </c>
      <c r="P27" s="513">
        <f t="shared" si="16"/>
        <v>52.5</v>
      </c>
      <c r="Q27" s="513">
        <f t="shared" si="16"/>
        <v>52.5</v>
      </c>
      <c r="R27" s="513">
        <f t="shared" si="16"/>
        <v>52.5</v>
      </c>
      <c r="S27" s="513">
        <f t="shared" si="16"/>
        <v>52.5</v>
      </c>
      <c r="T27" s="513">
        <f t="shared" si="16"/>
        <v>52.5</v>
      </c>
      <c r="U27" s="513">
        <f t="shared" si="16"/>
        <v>52.5</v>
      </c>
      <c r="V27" s="513">
        <f t="shared" si="16"/>
        <v>52.5</v>
      </c>
      <c r="W27" s="513">
        <f t="shared" si="16"/>
        <v>52.5</v>
      </c>
      <c r="X27" s="513">
        <f t="shared" si="16"/>
        <v>52.5</v>
      </c>
      <c r="Y27" s="513">
        <f t="shared" si="16"/>
        <v>52.5</v>
      </c>
      <c r="Z27" s="513">
        <f t="shared" si="16"/>
        <v>52.5</v>
      </c>
      <c r="AA27" s="513">
        <f t="shared" si="16"/>
        <v>52.5</v>
      </c>
      <c r="AB27" s="513">
        <f t="shared" si="16"/>
        <v>52.5</v>
      </c>
      <c r="AC27" s="513">
        <f t="shared" si="16"/>
        <v>52.5</v>
      </c>
      <c r="AD27" s="513">
        <f t="shared" si="16"/>
        <v>52.5</v>
      </c>
      <c r="AE27" s="513">
        <f t="shared" si="16"/>
        <v>52.5</v>
      </c>
      <c r="AF27" s="513">
        <f t="shared" si="16"/>
        <v>52.5</v>
      </c>
      <c r="AG27" s="513">
        <f t="shared" si="16"/>
        <v>52.5</v>
      </c>
      <c r="AH27" s="513">
        <f t="shared" si="16"/>
        <v>52.5</v>
      </c>
      <c r="AI27" s="513">
        <f t="shared" si="16"/>
        <v>52.5</v>
      </c>
      <c r="AJ27" s="513">
        <f t="shared" si="16"/>
        <v>52.5</v>
      </c>
      <c r="AK27" s="513">
        <f t="shared" si="16"/>
        <v>52.5</v>
      </c>
      <c r="AL27" s="513">
        <f t="shared" si="16"/>
        <v>52.5</v>
      </c>
      <c r="AM27" s="513">
        <f t="shared" si="16"/>
        <v>52.5</v>
      </c>
      <c r="AN27" s="513">
        <f t="shared" si="16"/>
        <v>52.5</v>
      </c>
      <c r="AO27" s="513">
        <f t="shared" si="16"/>
        <v>52.5</v>
      </c>
      <c r="AP27" s="513">
        <f t="shared" si="16"/>
        <v>52.5</v>
      </c>
      <c r="AQ27" s="513">
        <f t="shared" si="16"/>
        <v>52.5</v>
      </c>
      <c r="AR27" s="513">
        <f t="shared" si="16"/>
        <v>52.5</v>
      </c>
      <c r="AS27" s="513">
        <f t="shared" si="16"/>
        <v>52.5</v>
      </c>
    </row>
    <row r="28" spans="1:45" s="514" customFormat="1" ht="54.75" customHeight="1" x14ac:dyDescent="0.3">
      <c r="A28" s="512" t="s">
        <v>39</v>
      </c>
      <c r="B28" s="511"/>
      <c r="C28" s="511"/>
      <c r="D28" s="511"/>
      <c r="E28" s="20">
        <f>E4/(допущения!$C$16*4)</f>
        <v>170</v>
      </c>
      <c r="F28" s="513">
        <f t="shared" si="15"/>
        <v>170</v>
      </c>
      <c r="G28" s="513">
        <f t="shared" si="16"/>
        <v>170</v>
      </c>
      <c r="H28" s="513">
        <f t="shared" si="16"/>
        <v>170</v>
      </c>
      <c r="I28" s="513">
        <f t="shared" si="16"/>
        <v>170</v>
      </c>
      <c r="J28" s="513">
        <f t="shared" si="16"/>
        <v>170</v>
      </c>
      <c r="K28" s="513">
        <f t="shared" si="16"/>
        <v>170</v>
      </c>
      <c r="L28" s="513">
        <f t="shared" si="16"/>
        <v>170</v>
      </c>
      <c r="M28" s="513">
        <f t="shared" si="16"/>
        <v>170</v>
      </c>
      <c r="N28" s="513">
        <f t="shared" si="16"/>
        <v>170</v>
      </c>
      <c r="O28" s="513">
        <f t="shared" si="16"/>
        <v>170</v>
      </c>
      <c r="P28" s="513">
        <f t="shared" si="16"/>
        <v>170</v>
      </c>
      <c r="Q28" s="513">
        <f t="shared" si="16"/>
        <v>170</v>
      </c>
      <c r="R28" s="513">
        <f t="shared" si="16"/>
        <v>170</v>
      </c>
      <c r="S28" s="513">
        <f t="shared" si="16"/>
        <v>170</v>
      </c>
      <c r="T28" s="513">
        <f t="shared" si="16"/>
        <v>170</v>
      </c>
      <c r="U28" s="513">
        <f t="shared" si="16"/>
        <v>170</v>
      </c>
      <c r="V28" s="513">
        <f t="shared" si="16"/>
        <v>170</v>
      </c>
      <c r="W28" s="513">
        <f t="shared" si="16"/>
        <v>170</v>
      </c>
      <c r="X28" s="513">
        <f t="shared" si="16"/>
        <v>170</v>
      </c>
      <c r="Y28" s="513">
        <f t="shared" si="16"/>
        <v>170</v>
      </c>
      <c r="Z28" s="513">
        <f t="shared" si="16"/>
        <v>170</v>
      </c>
      <c r="AA28" s="513">
        <f t="shared" si="16"/>
        <v>170</v>
      </c>
      <c r="AB28" s="513">
        <f t="shared" si="16"/>
        <v>170</v>
      </c>
      <c r="AC28" s="513">
        <f t="shared" si="16"/>
        <v>170</v>
      </c>
      <c r="AD28" s="513">
        <f t="shared" si="16"/>
        <v>170</v>
      </c>
      <c r="AE28" s="513">
        <f t="shared" si="16"/>
        <v>170</v>
      </c>
      <c r="AF28" s="513">
        <f t="shared" si="16"/>
        <v>170</v>
      </c>
      <c r="AG28" s="513">
        <f t="shared" si="16"/>
        <v>170</v>
      </c>
      <c r="AH28" s="513">
        <f t="shared" si="16"/>
        <v>170</v>
      </c>
      <c r="AI28" s="513">
        <f t="shared" si="16"/>
        <v>170</v>
      </c>
      <c r="AJ28" s="513">
        <f t="shared" si="16"/>
        <v>170</v>
      </c>
      <c r="AK28" s="513">
        <f t="shared" si="16"/>
        <v>170</v>
      </c>
      <c r="AL28" s="513">
        <f t="shared" si="16"/>
        <v>170</v>
      </c>
      <c r="AM28" s="513">
        <f t="shared" si="16"/>
        <v>170</v>
      </c>
      <c r="AN28" s="513">
        <f t="shared" si="16"/>
        <v>170</v>
      </c>
      <c r="AO28" s="513">
        <f t="shared" si="16"/>
        <v>170</v>
      </c>
      <c r="AP28" s="513">
        <f t="shared" si="16"/>
        <v>170</v>
      </c>
      <c r="AQ28" s="513">
        <f t="shared" si="16"/>
        <v>170</v>
      </c>
      <c r="AR28" s="513">
        <f t="shared" si="16"/>
        <v>170</v>
      </c>
      <c r="AS28" s="513">
        <f t="shared" si="16"/>
        <v>170</v>
      </c>
    </row>
    <row r="29" spans="1:45" s="514" customFormat="1" ht="31.2" x14ac:dyDescent="0.3">
      <c r="A29" s="512" t="s">
        <v>24</v>
      </c>
      <c r="B29" s="511"/>
      <c r="C29" s="511"/>
      <c r="D29" s="511"/>
      <c r="E29" s="20">
        <f>E5/(допущения!$C$16*4)</f>
        <v>635.83333333333337</v>
      </c>
      <c r="F29" s="513">
        <f t="shared" si="15"/>
        <v>635.83333333333337</v>
      </c>
      <c r="G29" s="513">
        <f t="shared" si="16"/>
        <v>635.83333333333337</v>
      </c>
      <c r="H29" s="513">
        <f t="shared" si="16"/>
        <v>635.83333333333337</v>
      </c>
      <c r="I29" s="513">
        <f t="shared" si="16"/>
        <v>635.83333333333337</v>
      </c>
      <c r="J29" s="513">
        <f t="shared" si="16"/>
        <v>635.83333333333337</v>
      </c>
      <c r="K29" s="513">
        <f t="shared" si="16"/>
        <v>635.83333333333337</v>
      </c>
      <c r="L29" s="513">
        <f t="shared" si="16"/>
        <v>635.83333333333337</v>
      </c>
      <c r="M29" s="513">
        <f t="shared" si="16"/>
        <v>635.83333333333337</v>
      </c>
      <c r="N29" s="513">
        <f t="shared" si="16"/>
        <v>635.83333333333337</v>
      </c>
      <c r="O29" s="513">
        <f t="shared" si="16"/>
        <v>635.83333333333337</v>
      </c>
      <c r="P29" s="513">
        <f t="shared" si="16"/>
        <v>635.83333333333337</v>
      </c>
      <c r="Q29" s="513">
        <f t="shared" si="16"/>
        <v>635.83333333333337</v>
      </c>
      <c r="R29" s="513">
        <f t="shared" si="16"/>
        <v>635.83333333333337</v>
      </c>
      <c r="S29" s="513">
        <f t="shared" si="16"/>
        <v>635.83333333333337</v>
      </c>
      <c r="T29" s="513">
        <f t="shared" si="16"/>
        <v>635.83333333333337</v>
      </c>
      <c r="U29" s="513">
        <f t="shared" si="16"/>
        <v>635.83333333333337</v>
      </c>
      <c r="V29" s="513">
        <f t="shared" si="16"/>
        <v>635.83333333333337</v>
      </c>
      <c r="W29" s="513">
        <f t="shared" si="16"/>
        <v>635.83333333333337</v>
      </c>
      <c r="X29" s="513">
        <f t="shared" si="16"/>
        <v>635.83333333333337</v>
      </c>
      <c r="Y29" s="513">
        <f t="shared" si="16"/>
        <v>635.83333333333337</v>
      </c>
      <c r="Z29" s="513">
        <f t="shared" si="16"/>
        <v>635.83333333333337</v>
      </c>
      <c r="AA29" s="513">
        <f t="shared" si="16"/>
        <v>635.83333333333337</v>
      </c>
      <c r="AB29" s="513">
        <f t="shared" si="16"/>
        <v>635.83333333333337</v>
      </c>
      <c r="AC29" s="513">
        <f t="shared" si="16"/>
        <v>635.83333333333337</v>
      </c>
      <c r="AD29" s="513">
        <f t="shared" si="16"/>
        <v>635.83333333333337</v>
      </c>
      <c r="AE29" s="513">
        <f t="shared" si="16"/>
        <v>635.83333333333337</v>
      </c>
      <c r="AF29" s="513">
        <f t="shared" si="16"/>
        <v>635.83333333333337</v>
      </c>
      <c r="AG29" s="513">
        <f t="shared" si="16"/>
        <v>635.83333333333337</v>
      </c>
      <c r="AH29" s="513">
        <f t="shared" si="16"/>
        <v>635.83333333333337</v>
      </c>
      <c r="AI29" s="513">
        <f t="shared" si="16"/>
        <v>635.83333333333337</v>
      </c>
      <c r="AJ29" s="513">
        <f t="shared" si="16"/>
        <v>635.83333333333337</v>
      </c>
      <c r="AK29" s="513">
        <f t="shared" si="16"/>
        <v>635.83333333333337</v>
      </c>
      <c r="AL29" s="513">
        <f t="shared" si="16"/>
        <v>635.83333333333337</v>
      </c>
      <c r="AM29" s="513">
        <f t="shared" si="16"/>
        <v>635.83333333333337</v>
      </c>
      <c r="AN29" s="513">
        <f t="shared" si="16"/>
        <v>635.83333333333337</v>
      </c>
      <c r="AO29" s="513">
        <f t="shared" si="16"/>
        <v>635.83333333333337</v>
      </c>
      <c r="AP29" s="513">
        <f t="shared" si="16"/>
        <v>635.83333333333337</v>
      </c>
      <c r="AQ29" s="513">
        <f t="shared" si="16"/>
        <v>635.83333333333337</v>
      </c>
      <c r="AR29" s="513">
        <f t="shared" si="16"/>
        <v>635.83333333333337</v>
      </c>
      <c r="AS29" s="513">
        <f t="shared" si="16"/>
        <v>635.83333333333337</v>
      </c>
    </row>
    <row r="30" spans="1:45" ht="46.8" x14ac:dyDescent="0.3">
      <c r="A30" s="47" t="s">
        <v>560</v>
      </c>
      <c r="B30" s="513"/>
      <c r="C30" s="513"/>
      <c r="D30" s="513"/>
      <c r="E30" s="513">
        <f>E27</f>
        <v>52.5</v>
      </c>
      <c r="F30" s="513">
        <f>E30</f>
        <v>52.5</v>
      </c>
      <c r="G30" s="513">
        <f t="shared" si="16"/>
        <v>52.5</v>
      </c>
      <c r="H30" s="513">
        <f t="shared" si="16"/>
        <v>52.5</v>
      </c>
      <c r="I30" s="513">
        <f t="shared" si="16"/>
        <v>52.5</v>
      </c>
      <c r="J30" s="513">
        <f t="shared" si="16"/>
        <v>52.5</v>
      </c>
      <c r="K30" s="513">
        <f t="shared" si="16"/>
        <v>52.5</v>
      </c>
      <c r="L30" s="513">
        <f t="shared" si="16"/>
        <v>52.5</v>
      </c>
      <c r="M30" s="513">
        <f t="shared" si="16"/>
        <v>52.5</v>
      </c>
      <c r="N30" s="513">
        <f t="shared" si="16"/>
        <v>52.5</v>
      </c>
      <c r="O30" s="513">
        <f t="shared" si="16"/>
        <v>52.5</v>
      </c>
      <c r="P30" s="513">
        <f t="shared" si="16"/>
        <v>52.5</v>
      </c>
      <c r="Q30" s="513">
        <f t="shared" si="16"/>
        <v>52.5</v>
      </c>
      <c r="R30" s="513">
        <f t="shared" si="16"/>
        <v>52.5</v>
      </c>
      <c r="S30" s="513">
        <f t="shared" si="16"/>
        <v>52.5</v>
      </c>
      <c r="T30" s="513">
        <f t="shared" si="16"/>
        <v>52.5</v>
      </c>
      <c r="U30" s="513">
        <f t="shared" si="16"/>
        <v>52.5</v>
      </c>
      <c r="V30" s="513">
        <f t="shared" si="16"/>
        <v>52.5</v>
      </c>
      <c r="W30" s="513">
        <f t="shared" si="16"/>
        <v>52.5</v>
      </c>
      <c r="X30" s="513">
        <f t="shared" si="16"/>
        <v>52.5</v>
      </c>
      <c r="Y30" s="513">
        <f t="shared" si="16"/>
        <v>52.5</v>
      </c>
      <c r="Z30" s="513">
        <f t="shared" si="16"/>
        <v>52.5</v>
      </c>
      <c r="AA30" s="513">
        <f t="shared" si="16"/>
        <v>52.5</v>
      </c>
      <c r="AB30" s="513">
        <f t="shared" si="16"/>
        <v>52.5</v>
      </c>
      <c r="AC30" s="513">
        <f t="shared" si="16"/>
        <v>52.5</v>
      </c>
      <c r="AD30" s="513">
        <f t="shared" si="16"/>
        <v>52.5</v>
      </c>
      <c r="AE30" s="513">
        <f t="shared" si="16"/>
        <v>52.5</v>
      </c>
      <c r="AF30" s="513">
        <f t="shared" si="16"/>
        <v>52.5</v>
      </c>
      <c r="AG30" s="513">
        <f t="shared" si="16"/>
        <v>52.5</v>
      </c>
      <c r="AH30" s="513">
        <f t="shared" si="16"/>
        <v>52.5</v>
      </c>
      <c r="AI30" s="513">
        <f t="shared" si="16"/>
        <v>52.5</v>
      </c>
      <c r="AJ30" s="513">
        <f t="shared" si="16"/>
        <v>52.5</v>
      </c>
      <c r="AK30" s="513">
        <f t="shared" si="16"/>
        <v>52.5</v>
      </c>
      <c r="AL30" s="513">
        <f t="shared" si="16"/>
        <v>52.5</v>
      </c>
      <c r="AM30" s="513">
        <f t="shared" si="16"/>
        <v>52.5</v>
      </c>
      <c r="AN30" s="513">
        <f t="shared" si="16"/>
        <v>52.5</v>
      </c>
      <c r="AO30" s="513">
        <f t="shared" si="16"/>
        <v>52.5</v>
      </c>
      <c r="AP30" s="513">
        <f t="shared" si="16"/>
        <v>52.5</v>
      </c>
      <c r="AQ30" s="513">
        <f t="shared" si="16"/>
        <v>52.5</v>
      </c>
      <c r="AR30" s="513">
        <f t="shared" si="16"/>
        <v>52.5</v>
      </c>
      <c r="AS30" s="513">
        <f t="shared" si="16"/>
        <v>52.5</v>
      </c>
    </row>
    <row r="31" spans="1:45" x14ac:dyDescent="0.3">
      <c r="B31" s="372" t="str">
        <f t="shared" ref="B31:AS31" si="17">B25</f>
        <v>I кв. 1 г.</v>
      </c>
      <c r="C31" s="372" t="str">
        <f t="shared" si="17"/>
        <v>II кв. 1 г.</v>
      </c>
      <c r="D31" s="372" t="str">
        <f t="shared" si="17"/>
        <v>III кв. 1 г.</v>
      </c>
      <c r="E31" s="372" t="str">
        <f t="shared" si="17"/>
        <v>IV кв. 1 г.</v>
      </c>
      <c r="F31" s="372" t="str">
        <f t="shared" si="17"/>
        <v>I кв. 2 г.</v>
      </c>
      <c r="G31" s="372" t="str">
        <f t="shared" si="17"/>
        <v>II кв. 2 г.</v>
      </c>
      <c r="H31" s="372" t="str">
        <f t="shared" si="17"/>
        <v>III кв. 2 г.</v>
      </c>
      <c r="I31" s="372" t="str">
        <f t="shared" si="17"/>
        <v>IV кв. 2 г.</v>
      </c>
      <c r="J31" s="372" t="str">
        <f t="shared" si="17"/>
        <v>I кв. 3 г.</v>
      </c>
      <c r="K31" s="372" t="str">
        <f t="shared" si="17"/>
        <v>II кв. 3 г.</v>
      </c>
      <c r="L31" s="372" t="str">
        <f t="shared" si="17"/>
        <v>III кв. 3 г.</v>
      </c>
      <c r="M31" s="372" t="str">
        <f t="shared" si="17"/>
        <v>IV кв. 3 г.</v>
      </c>
      <c r="N31" s="372" t="str">
        <f t="shared" si="17"/>
        <v>I кв. 4 г.</v>
      </c>
      <c r="O31" s="372" t="str">
        <f t="shared" si="17"/>
        <v>II кв. 4 г.</v>
      </c>
      <c r="P31" s="372" t="str">
        <f t="shared" si="17"/>
        <v>III кв. 4 г.</v>
      </c>
      <c r="Q31" s="372" t="str">
        <f t="shared" si="17"/>
        <v>IV кв. 4 г.</v>
      </c>
      <c r="R31" s="300" t="str">
        <f t="shared" si="17"/>
        <v>I кв. 5 г.</v>
      </c>
      <c r="S31" s="372" t="str">
        <f t="shared" si="17"/>
        <v>II кв. 5 г.</v>
      </c>
      <c r="T31" s="372" t="str">
        <f t="shared" si="17"/>
        <v>III кв. 5 г.</v>
      </c>
      <c r="U31" s="372" t="str">
        <f t="shared" si="17"/>
        <v>IV кв. 5 г.</v>
      </c>
      <c r="V31" s="372" t="str">
        <f t="shared" si="17"/>
        <v>I кв. 6 г.</v>
      </c>
      <c r="W31" s="372" t="str">
        <f t="shared" si="17"/>
        <v>II кв. 6 г.</v>
      </c>
      <c r="X31" s="372" t="str">
        <f t="shared" si="17"/>
        <v>III кв. 6 г.</v>
      </c>
      <c r="Y31" s="372" t="str">
        <f t="shared" si="17"/>
        <v>IV кв. 6 г.</v>
      </c>
      <c r="Z31" s="372" t="str">
        <f t="shared" si="17"/>
        <v>I кв. 7 г.</v>
      </c>
      <c r="AA31" s="372" t="str">
        <f t="shared" si="17"/>
        <v>II кв. 7 г.</v>
      </c>
      <c r="AB31" s="372" t="str">
        <f t="shared" si="17"/>
        <v>III кв. 7 г.</v>
      </c>
      <c r="AC31" s="372" t="str">
        <f t="shared" si="17"/>
        <v>IV кв. 7 г.</v>
      </c>
      <c r="AD31" s="372" t="str">
        <f t="shared" si="17"/>
        <v>I кв. 8 г.</v>
      </c>
      <c r="AE31" s="372" t="str">
        <f t="shared" si="17"/>
        <v>II кв. 8 г.</v>
      </c>
      <c r="AF31" s="372" t="str">
        <f t="shared" si="17"/>
        <v>III кв. 8 г.</v>
      </c>
      <c r="AG31" s="372" t="str">
        <f t="shared" si="17"/>
        <v>IV кв. 8 г.</v>
      </c>
      <c r="AH31" s="372" t="str">
        <f t="shared" si="17"/>
        <v>I кв. 9 г.</v>
      </c>
      <c r="AI31" s="372" t="str">
        <f t="shared" si="17"/>
        <v>II кв. 9 г.</v>
      </c>
      <c r="AJ31" s="372" t="str">
        <f t="shared" si="17"/>
        <v>III кв. 9 г.</v>
      </c>
      <c r="AK31" s="372" t="str">
        <f t="shared" si="17"/>
        <v>IV кв. 9 г.</v>
      </c>
      <c r="AL31" s="372" t="str">
        <f t="shared" si="17"/>
        <v>I кв. 10 г.</v>
      </c>
      <c r="AM31" s="372" t="str">
        <f t="shared" si="17"/>
        <v>II кв. 10 г.</v>
      </c>
      <c r="AN31" s="372" t="str">
        <f t="shared" si="17"/>
        <v>III кв. 10 г.</v>
      </c>
      <c r="AO31" s="372" t="str">
        <f t="shared" si="17"/>
        <v>IV кв. 10 г.</v>
      </c>
      <c r="AP31" s="371" t="str">
        <f t="shared" si="17"/>
        <v>I кв. 11 г.</v>
      </c>
      <c r="AQ31" s="371" t="str">
        <f t="shared" si="17"/>
        <v>II кв. 11 г.</v>
      </c>
      <c r="AR31" s="371" t="str">
        <f t="shared" si="17"/>
        <v>III кв. 11 г.</v>
      </c>
      <c r="AS31" s="373" t="str">
        <f t="shared" si="17"/>
        <v>IV кв. 11 г.</v>
      </c>
    </row>
    <row r="32" spans="1:45" x14ac:dyDescent="0.3">
      <c r="A32" s="31" t="s">
        <v>40</v>
      </c>
      <c r="B32" s="31"/>
      <c r="C32" s="31"/>
      <c r="D32" s="299">
        <f>допущения!C15*допущения!C18</f>
        <v>6300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49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46"/>
      <c r="AQ32" s="46"/>
      <c r="AR32" s="46"/>
      <c r="AS32" s="48"/>
    </row>
    <row r="33" spans="1:45" s="514" customFormat="1" ht="31.2" x14ac:dyDescent="0.3">
      <c r="A33" s="512" t="s">
        <v>41</v>
      </c>
      <c r="B33" s="511"/>
      <c r="C33" s="511">
        <f>B33+C32</f>
        <v>0</v>
      </c>
      <c r="D33" s="511">
        <f>C33+D32</f>
        <v>6300</v>
      </c>
      <c r="E33" s="511">
        <f>D33+E32</f>
        <v>6300</v>
      </c>
      <c r="F33" s="511">
        <f>E34</f>
        <v>6247.5</v>
      </c>
      <c r="G33" s="511">
        <f t="shared" ref="G33:AS33" si="18">F34</f>
        <v>6195</v>
      </c>
      <c r="H33" s="511">
        <f t="shared" si="18"/>
        <v>6142.5</v>
      </c>
      <c r="I33" s="511">
        <f t="shared" si="18"/>
        <v>6090</v>
      </c>
      <c r="J33" s="511">
        <f t="shared" si="18"/>
        <v>6037.5</v>
      </c>
      <c r="K33" s="513">
        <f t="shared" si="18"/>
        <v>5985</v>
      </c>
      <c r="L33" s="513">
        <f t="shared" si="18"/>
        <v>5932.5</v>
      </c>
      <c r="M33" s="513">
        <f t="shared" si="18"/>
        <v>5880</v>
      </c>
      <c r="N33" s="513">
        <f t="shared" si="18"/>
        <v>5827.5</v>
      </c>
      <c r="O33" s="513">
        <f t="shared" si="18"/>
        <v>5775</v>
      </c>
      <c r="P33" s="513">
        <f t="shared" si="18"/>
        <v>5722.5</v>
      </c>
      <c r="Q33" s="513">
        <f t="shared" si="18"/>
        <v>5670</v>
      </c>
      <c r="R33" s="513">
        <f t="shared" si="18"/>
        <v>5617.5</v>
      </c>
      <c r="S33" s="513">
        <f t="shared" si="18"/>
        <v>5565</v>
      </c>
      <c r="T33" s="513">
        <f t="shared" si="18"/>
        <v>5512.5</v>
      </c>
      <c r="U33" s="513">
        <f t="shared" si="18"/>
        <v>5460</v>
      </c>
      <c r="V33" s="513">
        <f t="shared" si="18"/>
        <v>5407.5</v>
      </c>
      <c r="W33" s="513">
        <f t="shared" si="18"/>
        <v>5355</v>
      </c>
      <c r="X33" s="513">
        <f t="shared" si="18"/>
        <v>5302.5</v>
      </c>
      <c r="Y33" s="513">
        <f t="shared" si="18"/>
        <v>5250</v>
      </c>
      <c r="Z33" s="513">
        <f t="shared" si="18"/>
        <v>5197.5</v>
      </c>
      <c r="AA33" s="513">
        <f t="shared" si="18"/>
        <v>5145</v>
      </c>
      <c r="AB33" s="513">
        <f t="shared" si="18"/>
        <v>5092.5</v>
      </c>
      <c r="AC33" s="513">
        <f t="shared" si="18"/>
        <v>5040</v>
      </c>
      <c r="AD33" s="513">
        <f t="shared" si="18"/>
        <v>4987.5</v>
      </c>
      <c r="AE33" s="513">
        <f t="shared" si="18"/>
        <v>4935</v>
      </c>
      <c r="AF33" s="513">
        <f t="shared" si="18"/>
        <v>4882.5</v>
      </c>
      <c r="AG33" s="513">
        <f t="shared" si="18"/>
        <v>4830</v>
      </c>
      <c r="AH33" s="513">
        <f t="shared" si="18"/>
        <v>4777.5</v>
      </c>
      <c r="AI33" s="513">
        <f t="shared" si="18"/>
        <v>4725</v>
      </c>
      <c r="AJ33" s="513">
        <f t="shared" si="18"/>
        <v>4672.5</v>
      </c>
      <c r="AK33" s="513">
        <f t="shared" si="18"/>
        <v>4620</v>
      </c>
      <c r="AL33" s="513">
        <f t="shared" si="18"/>
        <v>4567.5</v>
      </c>
      <c r="AM33" s="513">
        <f t="shared" si="18"/>
        <v>4515</v>
      </c>
      <c r="AN33" s="513">
        <f t="shared" si="18"/>
        <v>4462.5</v>
      </c>
      <c r="AO33" s="513">
        <f t="shared" si="18"/>
        <v>4410</v>
      </c>
      <c r="AP33" s="513">
        <f t="shared" si="18"/>
        <v>4357.5</v>
      </c>
      <c r="AQ33" s="513">
        <f t="shared" si="18"/>
        <v>4305</v>
      </c>
      <c r="AR33" s="513">
        <f t="shared" si="18"/>
        <v>4252.5</v>
      </c>
      <c r="AS33" s="513">
        <f t="shared" si="18"/>
        <v>4200</v>
      </c>
    </row>
    <row r="34" spans="1:45" s="514" customFormat="1" ht="32.25" customHeight="1" x14ac:dyDescent="0.3">
      <c r="A34" s="512" t="s">
        <v>42</v>
      </c>
      <c r="B34" s="511"/>
      <c r="C34" s="511"/>
      <c r="D34" s="511">
        <f>D33</f>
        <v>6300</v>
      </c>
      <c r="E34" s="511">
        <f>E33-E30</f>
        <v>6247.5</v>
      </c>
      <c r="F34" s="511">
        <f t="shared" ref="F34:AS34" si="19">F33-F30</f>
        <v>6195</v>
      </c>
      <c r="G34" s="511">
        <f t="shared" si="19"/>
        <v>6142.5</v>
      </c>
      <c r="H34" s="511">
        <f t="shared" si="19"/>
        <v>6090</v>
      </c>
      <c r="I34" s="511">
        <f t="shared" si="19"/>
        <v>6037.5</v>
      </c>
      <c r="J34" s="511">
        <f t="shared" si="19"/>
        <v>5985</v>
      </c>
      <c r="K34" s="511">
        <f t="shared" si="19"/>
        <v>5932.5</v>
      </c>
      <c r="L34" s="511">
        <f t="shared" si="19"/>
        <v>5880</v>
      </c>
      <c r="M34" s="511">
        <f t="shared" si="19"/>
        <v>5827.5</v>
      </c>
      <c r="N34" s="511">
        <f t="shared" si="19"/>
        <v>5775</v>
      </c>
      <c r="O34" s="511">
        <f t="shared" si="19"/>
        <v>5722.5</v>
      </c>
      <c r="P34" s="511">
        <f t="shared" si="19"/>
        <v>5670</v>
      </c>
      <c r="Q34" s="511">
        <f t="shared" si="19"/>
        <v>5617.5</v>
      </c>
      <c r="R34" s="511">
        <f t="shared" si="19"/>
        <v>5565</v>
      </c>
      <c r="S34" s="511">
        <f t="shared" si="19"/>
        <v>5512.5</v>
      </c>
      <c r="T34" s="511">
        <f t="shared" si="19"/>
        <v>5460</v>
      </c>
      <c r="U34" s="511">
        <f t="shared" si="19"/>
        <v>5407.5</v>
      </c>
      <c r="V34" s="511">
        <f t="shared" si="19"/>
        <v>5355</v>
      </c>
      <c r="W34" s="511">
        <f t="shared" si="19"/>
        <v>5302.5</v>
      </c>
      <c r="X34" s="511">
        <f t="shared" si="19"/>
        <v>5250</v>
      </c>
      <c r="Y34" s="511">
        <f t="shared" si="19"/>
        <v>5197.5</v>
      </c>
      <c r="Z34" s="511">
        <f t="shared" si="19"/>
        <v>5145</v>
      </c>
      <c r="AA34" s="511">
        <f t="shared" si="19"/>
        <v>5092.5</v>
      </c>
      <c r="AB34" s="511">
        <f t="shared" si="19"/>
        <v>5040</v>
      </c>
      <c r="AC34" s="511">
        <f t="shared" si="19"/>
        <v>4987.5</v>
      </c>
      <c r="AD34" s="511">
        <f t="shared" si="19"/>
        <v>4935</v>
      </c>
      <c r="AE34" s="511">
        <f t="shared" si="19"/>
        <v>4882.5</v>
      </c>
      <c r="AF34" s="511">
        <f t="shared" si="19"/>
        <v>4830</v>
      </c>
      <c r="AG34" s="511">
        <f t="shared" si="19"/>
        <v>4777.5</v>
      </c>
      <c r="AH34" s="511">
        <f t="shared" si="19"/>
        <v>4725</v>
      </c>
      <c r="AI34" s="511">
        <f t="shared" si="19"/>
        <v>4672.5</v>
      </c>
      <c r="AJ34" s="511">
        <f t="shared" si="19"/>
        <v>4620</v>
      </c>
      <c r="AK34" s="511">
        <f t="shared" si="19"/>
        <v>4567.5</v>
      </c>
      <c r="AL34" s="511">
        <f t="shared" si="19"/>
        <v>4515</v>
      </c>
      <c r="AM34" s="511">
        <f t="shared" si="19"/>
        <v>4462.5</v>
      </c>
      <c r="AN34" s="511">
        <f t="shared" si="19"/>
        <v>4410</v>
      </c>
      <c r="AO34" s="511">
        <f t="shared" si="19"/>
        <v>4357.5</v>
      </c>
      <c r="AP34" s="511">
        <f t="shared" si="19"/>
        <v>4305</v>
      </c>
      <c r="AQ34" s="511">
        <f t="shared" si="19"/>
        <v>4252.5</v>
      </c>
      <c r="AR34" s="511">
        <f t="shared" si="19"/>
        <v>4200</v>
      </c>
      <c r="AS34" s="511">
        <f t="shared" si="19"/>
        <v>4147.5</v>
      </c>
    </row>
    <row r="35" spans="1:45" s="514" customFormat="1" ht="31.2" x14ac:dyDescent="0.3">
      <c r="A35" s="512" t="s">
        <v>43</v>
      </c>
      <c r="B35" s="511"/>
      <c r="C35" s="511"/>
      <c r="D35" s="511"/>
      <c r="E35" s="645">
        <f>D34*0</f>
        <v>0</v>
      </c>
      <c r="F35" s="645">
        <f t="shared" ref="F35:X35" si="20">E34*0</f>
        <v>0</v>
      </c>
      <c r="G35" s="645">
        <f t="shared" si="20"/>
        <v>0</v>
      </c>
      <c r="H35" s="645">
        <f t="shared" si="20"/>
        <v>0</v>
      </c>
      <c r="I35" s="645">
        <f t="shared" si="20"/>
        <v>0</v>
      </c>
      <c r="J35" s="645">
        <f t="shared" si="20"/>
        <v>0</v>
      </c>
      <c r="K35" s="646">
        <f t="shared" si="20"/>
        <v>0</v>
      </c>
      <c r="L35" s="646">
        <f t="shared" si="20"/>
        <v>0</v>
      </c>
      <c r="M35" s="646">
        <f t="shared" si="20"/>
        <v>0</v>
      </c>
      <c r="N35" s="646">
        <f t="shared" si="20"/>
        <v>0</v>
      </c>
      <c r="O35" s="646">
        <f t="shared" si="20"/>
        <v>0</v>
      </c>
      <c r="P35" s="646">
        <f t="shared" si="20"/>
        <v>0</v>
      </c>
      <c r="Q35" s="646">
        <f t="shared" si="20"/>
        <v>0</v>
      </c>
      <c r="R35" s="646">
        <f t="shared" si="20"/>
        <v>0</v>
      </c>
      <c r="S35" s="646">
        <f t="shared" si="20"/>
        <v>0</v>
      </c>
      <c r="T35" s="646">
        <f t="shared" si="20"/>
        <v>0</v>
      </c>
      <c r="U35" s="646">
        <f t="shared" si="20"/>
        <v>0</v>
      </c>
      <c r="V35" s="646">
        <f t="shared" si="20"/>
        <v>0</v>
      </c>
      <c r="W35" s="646">
        <f t="shared" si="20"/>
        <v>0</v>
      </c>
      <c r="X35" s="646">
        <f t="shared" si="20"/>
        <v>0</v>
      </c>
      <c r="Y35" s="544">
        <f>Y36</f>
        <v>28.875</v>
      </c>
      <c r="Z35" s="521">
        <f>Z36</f>
        <v>28.58625</v>
      </c>
      <c r="AA35" s="521">
        <f t="shared" ref="AA35:AS35" si="21">AA36</f>
        <v>28.297499999999999</v>
      </c>
      <c r="AB35" s="521">
        <f t="shared" si="21"/>
        <v>28.008749999999999</v>
      </c>
      <c r="AC35" s="521">
        <f t="shared" si="21"/>
        <v>27.72</v>
      </c>
      <c r="AD35" s="521">
        <f t="shared" si="21"/>
        <v>27.431249999999999</v>
      </c>
      <c r="AE35" s="521">
        <f t="shared" si="21"/>
        <v>27.142499999999998</v>
      </c>
      <c r="AF35" s="521">
        <f t="shared" si="21"/>
        <v>26.853749999999998</v>
      </c>
      <c r="AG35" s="521">
        <f t="shared" si="21"/>
        <v>26.564999999999998</v>
      </c>
      <c r="AH35" s="521">
        <f t="shared" si="21"/>
        <v>26.276249999999997</v>
      </c>
      <c r="AI35" s="521">
        <f t="shared" si="21"/>
        <v>25.987499999999997</v>
      </c>
      <c r="AJ35" s="521">
        <f t="shared" si="21"/>
        <v>25.698749999999997</v>
      </c>
      <c r="AK35" s="521">
        <f t="shared" si="21"/>
        <v>25.41</v>
      </c>
      <c r="AL35" s="521">
        <f t="shared" si="21"/>
        <v>25.12125</v>
      </c>
      <c r="AM35" s="521">
        <f t="shared" si="21"/>
        <v>24.8325</v>
      </c>
      <c r="AN35" s="521">
        <f t="shared" si="21"/>
        <v>24.543749999999999</v>
      </c>
      <c r="AO35" s="521">
        <f t="shared" si="21"/>
        <v>24.254999999999999</v>
      </c>
      <c r="AP35" s="521">
        <f t="shared" si="21"/>
        <v>23.966249999999999</v>
      </c>
      <c r="AQ35" s="521">
        <f t="shared" si="21"/>
        <v>23.677499999999998</v>
      </c>
      <c r="AR35" s="521">
        <f t="shared" si="21"/>
        <v>23.388749999999998</v>
      </c>
      <c r="AS35" s="521">
        <f t="shared" si="21"/>
        <v>23.099999999999998</v>
      </c>
    </row>
    <row r="36" spans="1:45" ht="31.2" x14ac:dyDescent="0.3">
      <c r="A36" s="15" t="s">
        <v>44</v>
      </c>
      <c r="B36" s="31"/>
      <c r="C36" s="31"/>
      <c r="D36" s="31"/>
      <c r="E36" s="511">
        <f>D34*допущения!$C$21/4</f>
        <v>34.65</v>
      </c>
      <c r="F36" s="511">
        <f>E34*допущения!$C$21/4</f>
        <v>34.361249999999998</v>
      </c>
      <c r="G36" s="511">
        <f>F34*допущения!$C$21/4</f>
        <v>34.072499999999998</v>
      </c>
      <c r="H36" s="511">
        <f>G34*допущения!$C$21/4</f>
        <v>33.783749999999998</v>
      </c>
      <c r="I36" s="511">
        <f>H34*допущения!$C$21/4</f>
        <v>33.494999999999997</v>
      </c>
      <c r="J36" s="511">
        <f>I34*допущения!$C$21/4</f>
        <v>33.206249999999997</v>
      </c>
      <c r="K36" s="511">
        <f>J34*допущения!$C$21/4</f>
        <v>32.917499999999997</v>
      </c>
      <c r="L36" s="511">
        <f>K34*допущения!$C$21/4</f>
        <v>32.628749999999997</v>
      </c>
      <c r="M36" s="511">
        <f>L34*допущения!$C$21/4</f>
        <v>32.339999999999996</v>
      </c>
      <c r="N36" s="511">
        <f>M34*допущения!$C$21/4</f>
        <v>32.051249999999996</v>
      </c>
      <c r="O36" s="511">
        <f>N34*допущения!$C$21/4</f>
        <v>31.762499999999999</v>
      </c>
      <c r="P36" s="511">
        <f>O34*допущения!$C$21/4</f>
        <v>31.473749999999999</v>
      </c>
      <c r="Q36" s="511">
        <f>P34*допущения!$C$21/4</f>
        <v>31.184999999999999</v>
      </c>
      <c r="R36" s="511">
        <f>Q34*допущения!$C$21/4</f>
        <v>30.896249999999998</v>
      </c>
      <c r="S36" s="511">
        <f>R34*допущения!$C$21/4</f>
        <v>30.607499999999998</v>
      </c>
      <c r="T36" s="511">
        <f>S34*допущения!$C$21/4</f>
        <v>30.318749999999998</v>
      </c>
      <c r="U36" s="511">
        <f>T34*допущения!$C$21/4</f>
        <v>30.029999999999998</v>
      </c>
      <c r="V36" s="511">
        <f>U34*допущения!$C$21/4</f>
        <v>29.741249999999997</v>
      </c>
      <c r="W36" s="511">
        <f>V34*допущения!$C$21/4</f>
        <v>29.452499999999997</v>
      </c>
      <c r="X36" s="511">
        <f>W34*допущения!$C$21/4</f>
        <v>29.163749999999997</v>
      </c>
      <c r="Y36" s="511">
        <f>X34*допущения!$C$21/4</f>
        <v>28.875</v>
      </c>
      <c r="Z36" s="511">
        <f>Y34*допущения!$C$21/4</f>
        <v>28.58625</v>
      </c>
      <c r="AA36" s="511">
        <f>Z34*допущения!$C$21/4</f>
        <v>28.297499999999999</v>
      </c>
      <c r="AB36" s="511">
        <f>AA34*допущения!$C$21/4</f>
        <v>28.008749999999999</v>
      </c>
      <c r="AC36" s="511">
        <f>AB34*допущения!$C$21/4</f>
        <v>27.72</v>
      </c>
      <c r="AD36" s="511">
        <f>AC34*допущения!$C$21/4</f>
        <v>27.431249999999999</v>
      </c>
      <c r="AE36" s="511">
        <f>AD34*допущения!$C$21/4</f>
        <v>27.142499999999998</v>
      </c>
      <c r="AF36" s="511">
        <f>AE34*допущения!$C$21/4</f>
        <v>26.853749999999998</v>
      </c>
      <c r="AG36" s="511">
        <f>AF34*допущения!$C$21/4</f>
        <v>26.564999999999998</v>
      </c>
      <c r="AH36" s="511">
        <f>AG34*допущения!$C$21/4</f>
        <v>26.276249999999997</v>
      </c>
      <c r="AI36" s="511">
        <f>AH34*допущения!$C$21/4</f>
        <v>25.987499999999997</v>
      </c>
      <c r="AJ36" s="511">
        <f>AI34*допущения!$C$21/4</f>
        <v>25.698749999999997</v>
      </c>
      <c r="AK36" s="511">
        <f>AJ34*допущения!$C$21/4</f>
        <v>25.41</v>
      </c>
      <c r="AL36" s="511">
        <f>AK34*допущения!$C$21/4</f>
        <v>25.12125</v>
      </c>
      <c r="AM36" s="511">
        <f>AL34*допущения!$C$21/4</f>
        <v>24.8325</v>
      </c>
      <c r="AN36" s="511">
        <f>AM34*допущения!$C$21/4</f>
        <v>24.543749999999999</v>
      </c>
      <c r="AO36" s="511">
        <f>AN34*допущения!$C$21/4</f>
        <v>24.254999999999999</v>
      </c>
      <c r="AP36" s="511">
        <f>AO34*допущения!$C$21/4</f>
        <v>23.966249999999999</v>
      </c>
      <c r="AQ36" s="511">
        <f>AP34*допущения!$C$21/4</f>
        <v>23.677499999999998</v>
      </c>
      <c r="AR36" s="511">
        <f>AQ34*допущения!$C$21/4</f>
        <v>23.388749999999998</v>
      </c>
      <c r="AS36" s="511">
        <f>AR34*допущения!$C$21/4</f>
        <v>23.099999999999998</v>
      </c>
    </row>
    <row r="37" spans="1:45" x14ac:dyDescent="0.3">
      <c r="A37" s="12"/>
      <c r="B37" s="12"/>
      <c r="C37" s="12"/>
      <c r="D37" s="12"/>
      <c r="E37" s="12"/>
      <c r="Z37" s="12"/>
    </row>
    <row r="38" spans="1:45" ht="46.5" customHeight="1" x14ac:dyDescent="0.3">
      <c r="A38" s="366"/>
      <c r="B38" s="374" t="str">
        <f>W1</f>
        <v>1 год</v>
      </c>
      <c r="C38" s="374" t="str">
        <f>X1</f>
        <v>2 год</v>
      </c>
      <c r="D38" s="374" t="str">
        <f>Y1</f>
        <v>3 год</v>
      </c>
      <c r="E38" s="374" t="str">
        <f>Z1</f>
        <v>4 год</v>
      </c>
      <c r="F38" s="374" t="str">
        <f>'выручка по кв и годам'!H15</f>
        <v>5 год</v>
      </c>
      <c r="G38" s="374" t="str">
        <f>'выручка по кв и годам'!I15</f>
        <v>6 год</v>
      </c>
      <c r="H38" s="374" t="str">
        <f>'выручка по кв и годам'!J15</f>
        <v>7 год</v>
      </c>
      <c r="I38" s="374" t="str">
        <f>'выручка по кв и годам'!K15</f>
        <v>8 год</v>
      </c>
      <c r="J38" s="374" t="str">
        <f>'выручка по кв и годам'!L15</f>
        <v>9 год</v>
      </c>
      <c r="K38" s="374" t="str">
        <f>'выручка по кв и годам'!M15</f>
        <v>10 год</v>
      </c>
      <c r="L38" s="374" t="str">
        <f>'выручка по кв и годам'!N15</f>
        <v>11 год</v>
      </c>
      <c r="W38" s="14"/>
      <c r="Z38" s="12"/>
    </row>
    <row r="39" spans="1:45" ht="38.25" customHeight="1" x14ac:dyDescent="0.3">
      <c r="A39" s="15" t="str">
        <f t="shared" ref="A39:A40" si="22">A35</f>
        <v>Налог на имущество ТОР</v>
      </c>
      <c r="B39" s="513">
        <f t="shared" ref="B39:B40" si="23">SUM(B35:E35)</f>
        <v>0</v>
      </c>
      <c r="C39" s="513">
        <f t="shared" ref="C39:C40" si="24">SUM(F35:I35)</f>
        <v>0</v>
      </c>
      <c r="D39" s="513">
        <f t="shared" ref="D39:D40" si="25">SUM(J35:M35)</f>
        <v>0</v>
      </c>
      <c r="E39" s="513">
        <f t="shared" ref="E39:E40" si="26">SUM(N35:Q35)</f>
        <v>0</v>
      </c>
      <c r="F39" s="513">
        <f t="shared" ref="F39:F40" si="27">SUM(R35:U35)</f>
        <v>0</v>
      </c>
      <c r="G39" s="513">
        <f t="shared" ref="G39:G40" si="28">SUM(V35:Y35)</f>
        <v>28.875</v>
      </c>
      <c r="H39" s="513">
        <f t="shared" ref="H39:H40" si="29">SUM(Z35:AC35)</f>
        <v>112.6125</v>
      </c>
      <c r="I39" s="513">
        <f t="shared" ref="I39:I40" si="30">SUM(AD35:AG35)</f>
        <v>107.99249999999999</v>
      </c>
      <c r="J39" s="513">
        <f t="shared" ref="J39:J40" si="31">SUM(AH35:AK35)</f>
        <v>103.37249999999999</v>
      </c>
      <c r="K39" s="513">
        <f t="shared" ref="K39:K40" si="32">SUM(AL35:AO35)</f>
        <v>98.752499999999998</v>
      </c>
      <c r="L39" s="513">
        <f t="shared" ref="L39:L40" si="33">SUM(AP35:AS35)</f>
        <v>94.132499999999993</v>
      </c>
      <c r="V39" s="14"/>
      <c r="Z39" s="12"/>
    </row>
    <row r="40" spans="1:45" ht="31.2" x14ac:dyDescent="0.3">
      <c r="A40" s="15" t="str">
        <f t="shared" si="22"/>
        <v>Налог на имущество без ТОР</v>
      </c>
      <c r="B40" s="21">
        <f t="shared" si="23"/>
        <v>34.65</v>
      </c>
      <c r="C40" s="21">
        <f t="shared" si="24"/>
        <v>135.71250000000001</v>
      </c>
      <c r="D40" s="21">
        <f t="shared" si="25"/>
        <v>131.0925</v>
      </c>
      <c r="E40" s="21">
        <f t="shared" si="26"/>
        <v>126.4725</v>
      </c>
      <c r="F40" s="21">
        <f t="shared" si="27"/>
        <v>121.85249999999999</v>
      </c>
      <c r="G40" s="21">
        <f t="shared" si="28"/>
        <v>117.23249999999999</v>
      </c>
      <c r="H40" s="21">
        <f t="shared" si="29"/>
        <v>112.6125</v>
      </c>
      <c r="I40" s="21">
        <f t="shared" si="30"/>
        <v>107.99249999999999</v>
      </c>
      <c r="J40" s="21">
        <f t="shared" si="31"/>
        <v>103.37249999999999</v>
      </c>
      <c r="K40" s="21">
        <f t="shared" si="32"/>
        <v>98.752499999999998</v>
      </c>
      <c r="L40" s="21">
        <f t="shared" si="33"/>
        <v>94.132499999999993</v>
      </c>
      <c r="V40" s="14"/>
      <c r="Z40" s="12"/>
    </row>
    <row r="41" spans="1:45" x14ac:dyDescent="0.3">
      <c r="B41" s="12"/>
      <c r="C41" s="12"/>
      <c r="D41" s="12"/>
      <c r="E41" s="12"/>
      <c r="V41" s="14"/>
      <c r="Z41" s="12"/>
    </row>
    <row r="42" spans="1:45" x14ac:dyDescent="0.3">
      <c r="B42" s="12"/>
      <c r="C42" s="12"/>
      <c r="D42" s="12"/>
      <c r="E42" s="12"/>
    </row>
    <row r="43" spans="1:45" x14ac:dyDescent="0.3">
      <c r="B43" s="12"/>
      <c r="C43" s="12"/>
      <c r="D43" s="12"/>
      <c r="E43" s="12"/>
    </row>
    <row r="44" spans="1:45" x14ac:dyDescent="0.3">
      <c r="A44" s="12"/>
      <c r="B44" s="12"/>
      <c r="C44" s="12"/>
      <c r="D44" s="12"/>
      <c r="E44" s="12"/>
    </row>
    <row r="45" spans="1:45" x14ac:dyDescent="0.3">
      <c r="A45" s="12"/>
      <c r="B45" s="12"/>
      <c r="C45" s="12"/>
      <c r="D45" s="12"/>
      <c r="E45" s="12"/>
    </row>
    <row r="46" spans="1:45" x14ac:dyDescent="0.3">
      <c r="A46" s="370"/>
      <c r="B46" s="375" t="str">
        <f>B38</f>
        <v>1 год</v>
      </c>
      <c r="C46" s="375" t="str">
        <f t="shared" ref="C46:L46" si="34">C38</f>
        <v>2 год</v>
      </c>
      <c r="D46" s="375" t="str">
        <f t="shared" si="34"/>
        <v>3 год</v>
      </c>
      <c r="E46" s="375" t="str">
        <f t="shared" si="34"/>
        <v>4 год</v>
      </c>
      <c r="F46" s="375" t="str">
        <f t="shared" si="34"/>
        <v>5 год</v>
      </c>
      <c r="G46" s="375" t="str">
        <f t="shared" si="34"/>
        <v>6 год</v>
      </c>
      <c r="H46" s="375" t="str">
        <f t="shared" si="34"/>
        <v>7 год</v>
      </c>
      <c r="I46" s="375" t="str">
        <f t="shared" si="34"/>
        <v>8 год</v>
      </c>
      <c r="J46" s="375" t="str">
        <f t="shared" si="34"/>
        <v>9 год</v>
      </c>
      <c r="K46" s="375" t="str">
        <f t="shared" si="34"/>
        <v>10 год</v>
      </c>
      <c r="L46" s="375" t="str">
        <f t="shared" si="34"/>
        <v>11 год</v>
      </c>
      <c r="V46" s="14"/>
      <c r="Z46" s="12"/>
    </row>
    <row r="47" spans="1:45" x14ac:dyDescent="0.3">
      <c r="A47" s="15" t="s">
        <v>45</v>
      </c>
      <c r="B47" s="32">
        <f>0*$F$42</f>
        <v>0</v>
      </c>
      <c r="C47" s="32">
        <f>0*$F$42</f>
        <v>0</v>
      </c>
      <c r="D47" s="32">
        <f>0*$F$42</f>
        <v>0</v>
      </c>
      <c r="E47" s="32">
        <f>0*$F$42</f>
        <v>0</v>
      </c>
      <c r="F47" s="32">
        <f>0*$F$42</f>
        <v>0</v>
      </c>
      <c r="G47" s="31">
        <f>SUM(V49:Y49)</f>
        <v>0</v>
      </c>
      <c r="H47" s="31">
        <f>G47</f>
        <v>0</v>
      </c>
      <c r="I47" s="31">
        <f>H47</f>
        <v>0</v>
      </c>
      <c r="J47" s="31">
        <f>I47</f>
        <v>0</v>
      </c>
      <c r="K47" s="31">
        <f>J47</f>
        <v>0</v>
      </c>
      <c r="L47" s="31">
        <f>K47</f>
        <v>0</v>
      </c>
      <c r="V47" s="14"/>
      <c r="Z47" s="12"/>
    </row>
    <row r="48" spans="1:45" x14ac:dyDescent="0.3">
      <c r="A48" s="366"/>
      <c r="B48" s="300" t="str">
        <f t="shared" ref="B48:AO48" si="35">B25</f>
        <v>I кв. 1 г.</v>
      </c>
      <c r="C48" s="300" t="str">
        <f t="shared" si="35"/>
        <v>II кв. 1 г.</v>
      </c>
      <c r="D48" s="300" t="str">
        <f t="shared" si="35"/>
        <v>III кв. 1 г.</v>
      </c>
      <c r="E48" s="300" t="str">
        <f t="shared" si="35"/>
        <v>IV кв. 1 г.</v>
      </c>
      <c r="F48" s="300" t="str">
        <f t="shared" si="35"/>
        <v>I кв. 2 г.</v>
      </c>
      <c r="G48" s="300" t="str">
        <f t="shared" si="35"/>
        <v>II кв. 2 г.</v>
      </c>
      <c r="H48" s="300" t="str">
        <f t="shared" si="35"/>
        <v>III кв. 2 г.</v>
      </c>
      <c r="I48" s="300" t="str">
        <f t="shared" si="35"/>
        <v>IV кв. 2 г.</v>
      </c>
      <c r="J48" s="300" t="str">
        <f t="shared" si="35"/>
        <v>I кв. 3 г.</v>
      </c>
      <c r="K48" s="300" t="str">
        <f t="shared" si="35"/>
        <v>II кв. 3 г.</v>
      </c>
      <c r="L48" s="300" t="str">
        <f t="shared" si="35"/>
        <v>III кв. 3 г.</v>
      </c>
      <c r="M48" s="300" t="str">
        <f t="shared" si="35"/>
        <v>IV кв. 3 г.</v>
      </c>
      <c r="N48" s="300" t="str">
        <f t="shared" si="35"/>
        <v>I кв. 4 г.</v>
      </c>
      <c r="O48" s="300" t="str">
        <f t="shared" si="35"/>
        <v>II кв. 4 г.</v>
      </c>
      <c r="P48" s="300" t="str">
        <f t="shared" si="35"/>
        <v>III кв. 4 г.</v>
      </c>
      <c r="Q48" s="300" t="str">
        <f t="shared" si="35"/>
        <v>IV кв. 4 г.</v>
      </c>
      <c r="R48" s="300" t="str">
        <f t="shared" si="35"/>
        <v>I кв. 5 г.</v>
      </c>
      <c r="S48" s="300" t="str">
        <f t="shared" si="35"/>
        <v>II кв. 5 г.</v>
      </c>
      <c r="T48" s="300" t="str">
        <f t="shared" si="35"/>
        <v>III кв. 5 г.</v>
      </c>
      <c r="U48" s="300" t="str">
        <f t="shared" si="35"/>
        <v>IV кв. 5 г.</v>
      </c>
      <c r="V48" s="300" t="str">
        <f t="shared" si="35"/>
        <v>I кв. 6 г.</v>
      </c>
      <c r="W48" s="300" t="str">
        <f t="shared" si="35"/>
        <v>II кв. 6 г.</v>
      </c>
      <c r="X48" s="300" t="str">
        <f t="shared" si="35"/>
        <v>III кв. 6 г.</v>
      </c>
      <c r="Y48" s="300" t="str">
        <f t="shared" si="35"/>
        <v>IV кв. 6 г.</v>
      </c>
      <c r="Z48" s="300" t="str">
        <f t="shared" si="35"/>
        <v>I кв. 7 г.</v>
      </c>
      <c r="AA48" s="300" t="str">
        <f t="shared" si="35"/>
        <v>II кв. 7 г.</v>
      </c>
      <c r="AB48" s="300" t="str">
        <f t="shared" si="35"/>
        <v>III кв. 7 г.</v>
      </c>
      <c r="AC48" s="300" t="str">
        <f t="shared" si="35"/>
        <v>IV кв. 7 г.</v>
      </c>
      <c r="AD48" s="300" t="str">
        <f t="shared" si="35"/>
        <v>I кв. 8 г.</v>
      </c>
      <c r="AE48" s="300" t="str">
        <f t="shared" si="35"/>
        <v>II кв. 8 г.</v>
      </c>
      <c r="AF48" s="300" t="str">
        <f t="shared" si="35"/>
        <v>III кв. 8 г.</v>
      </c>
      <c r="AG48" s="300" t="str">
        <f t="shared" si="35"/>
        <v>IV кв. 8 г.</v>
      </c>
      <c r="AH48" s="300" t="str">
        <f t="shared" si="35"/>
        <v>I кв. 9 г.</v>
      </c>
      <c r="AI48" s="300" t="str">
        <f t="shared" si="35"/>
        <v>II кв. 9 г.</v>
      </c>
      <c r="AJ48" s="300" t="str">
        <f t="shared" si="35"/>
        <v>III кв. 9 г.</v>
      </c>
      <c r="AK48" s="300" t="str">
        <f t="shared" si="35"/>
        <v>IV кв. 9 г.</v>
      </c>
      <c r="AL48" s="300" t="str">
        <f t="shared" si="35"/>
        <v>I кв. 10 г.</v>
      </c>
      <c r="AM48" s="300" t="str">
        <f t="shared" si="35"/>
        <v>II кв. 10 г.</v>
      </c>
      <c r="AN48" s="300" t="str">
        <f t="shared" si="35"/>
        <v>III кв. 10 г.</v>
      </c>
      <c r="AO48" s="376" t="str">
        <f t="shared" si="35"/>
        <v>IV кв. 10 г.</v>
      </c>
      <c r="AP48" s="376" t="str">
        <f t="shared" ref="AP48:AS48" si="36">AP25</f>
        <v>I кв. 11 г.</v>
      </c>
      <c r="AQ48" s="376" t="str">
        <f t="shared" si="36"/>
        <v>II кв. 11 г.</v>
      </c>
      <c r="AR48" s="376" t="str">
        <f t="shared" si="36"/>
        <v>III кв. 11 г.</v>
      </c>
      <c r="AS48" s="300" t="str">
        <f t="shared" si="36"/>
        <v>IV кв. 11 г.</v>
      </c>
    </row>
    <row r="49" spans="1:45" x14ac:dyDescent="0.3">
      <c r="A49" s="15" t="str">
        <f>A47</f>
        <v>Земельный налог ТОР</v>
      </c>
      <c r="B49" s="298">
        <f>допущения!$F$27*0</f>
        <v>0</v>
      </c>
      <c r="C49" s="298">
        <f>допущения!$F$27*0</f>
        <v>0</v>
      </c>
      <c r="D49" s="298">
        <f>допущения!$F$27*0</f>
        <v>0</v>
      </c>
      <c r="E49" s="298">
        <f>допущения!$F$27*0</f>
        <v>0</v>
      </c>
      <c r="F49" s="298">
        <f>допущения!$F$27*0</f>
        <v>0</v>
      </c>
      <c r="G49" s="298">
        <f>допущения!$F$27*0</f>
        <v>0</v>
      </c>
      <c r="H49" s="298">
        <f>допущения!$F$27*0</f>
        <v>0</v>
      </c>
      <c r="I49" s="298">
        <f>допущения!$F$27*0</f>
        <v>0</v>
      </c>
      <c r="J49" s="298">
        <f>допущения!$F$27*0</f>
        <v>0</v>
      </c>
      <c r="K49" s="298">
        <f>допущения!$F$27*0</f>
        <v>0</v>
      </c>
      <c r="L49" s="298">
        <f>допущения!$F$27*0</f>
        <v>0</v>
      </c>
      <c r="M49" s="298">
        <f>допущения!$F$27*0</f>
        <v>0</v>
      </c>
      <c r="N49" s="298">
        <f>допущения!$F$27*0</f>
        <v>0</v>
      </c>
      <c r="O49" s="298">
        <f>допущения!$F$27*0</f>
        <v>0</v>
      </c>
      <c r="P49" s="298">
        <f>допущения!$F$27*0</f>
        <v>0</v>
      </c>
      <c r="Q49" s="298">
        <f>допущения!$F$27*0</f>
        <v>0</v>
      </c>
      <c r="R49" s="298">
        <f>допущения!$F$27*0</f>
        <v>0</v>
      </c>
      <c r="S49" s="298">
        <f>допущения!$F$27*0</f>
        <v>0</v>
      </c>
      <c r="T49" s="298">
        <f>допущения!$F$27*0</f>
        <v>0</v>
      </c>
      <c r="U49" s="298">
        <f>допущения!$F$27*0</f>
        <v>0</v>
      </c>
      <c r="V49" s="50">
        <f>допущения!$C$21/4*допущения!C32</f>
        <v>0</v>
      </c>
      <c r="W49" s="51">
        <f>допущения!$F$27*0.015/4</f>
        <v>0</v>
      </c>
      <c r="X49" s="51">
        <f>допущения!$F$27*0.015/4</f>
        <v>0</v>
      </c>
      <c r="Y49" s="51">
        <f>допущения!$F$27*0.015/4</f>
        <v>0</v>
      </c>
      <c r="Z49" s="51">
        <f>допущения!$F$27*0.015/4</f>
        <v>0</v>
      </c>
      <c r="AA49" s="51">
        <f>допущения!$F$27*0.015/4</f>
        <v>0</v>
      </c>
      <c r="AB49" s="51">
        <f>допущения!$F$27*0.015/4</f>
        <v>0</v>
      </c>
      <c r="AC49" s="51">
        <f>допущения!$F$27*0.015/4</f>
        <v>0</v>
      </c>
      <c r="AD49" s="51">
        <f>допущения!$F$27*0.015/4</f>
        <v>0</v>
      </c>
      <c r="AE49" s="51">
        <f>допущения!$F$27*0.015/4</f>
        <v>0</v>
      </c>
      <c r="AF49" s="51">
        <f>допущения!$F$27*0.015/4</f>
        <v>0</v>
      </c>
      <c r="AG49" s="51">
        <f>допущения!$F$27*0.015/4</f>
        <v>0</v>
      </c>
      <c r="AH49" s="51">
        <f>допущения!$F$27*0.015/4</f>
        <v>0</v>
      </c>
      <c r="AI49" s="51">
        <f>допущения!$F$27*0.015/4</f>
        <v>0</v>
      </c>
      <c r="AJ49" s="51">
        <f>допущения!$F$27*0.015/4</f>
        <v>0</v>
      </c>
      <c r="AK49" s="51">
        <f>допущения!$F$27*0.015/4</f>
        <v>0</v>
      </c>
      <c r="AL49" s="51">
        <f>допущения!$F$27*0.015/4</f>
        <v>0</v>
      </c>
      <c r="AM49" s="51">
        <f>допущения!$F$27*0.015/4</f>
        <v>0</v>
      </c>
      <c r="AN49" s="51">
        <f>допущения!$F$27*0.015/4</f>
        <v>0</v>
      </c>
      <c r="AO49" s="51">
        <f>допущения!$F$27*0.015/4</f>
        <v>0</v>
      </c>
      <c r="AP49" s="51">
        <f>допущения!$F$27*0.015/4</f>
        <v>0</v>
      </c>
      <c r="AQ49" s="51">
        <f>допущения!$F$27*0.015/4</f>
        <v>0</v>
      </c>
      <c r="AR49" s="52">
        <f>допущения!$F$27*0.015/4</f>
        <v>0</v>
      </c>
      <c r="AS49" s="51">
        <f>допущения!$F$27*0.015/4</f>
        <v>0</v>
      </c>
    </row>
    <row r="50" spans="1:45" x14ac:dyDescent="0.3">
      <c r="A50" s="372"/>
      <c r="B50" s="377" t="str">
        <f t="shared" ref="B50:AQ50" si="37">B48</f>
        <v>I кв. 1 г.</v>
      </c>
      <c r="C50" s="377" t="str">
        <f t="shared" si="37"/>
        <v>II кв. 1 г.</v>
      </c>
      <c r="D50" s="377" t="str">
        <f t="shared" si="37"/>
        <v>III кв. 1 г.</v>
      </c>
      <c r="E50" s="377" t="str">
        <f t="shared" si="37"/>
        <v>IV кв. 1 г.</v>
      </c>
      <c r="F50" s="377" t="str">
        <f t="shared" si="37"/>
        <v>I кв. 2 г.</v>
      </c>
      <c r="G50" s="377" t="str">
        <f t="shared" si="37"/>
        <v>II кв. 2 г.</v>
      </c>
      <c r="H50" s="377" t="str">
        <f t="shared" si="37"/>
        <v>III кв. 2 г.</v>
      </c>
      <c r="I50" s="377" t="str">
        <f t="shared" si="37"/>
        <v>IV кв. 2 г.</v>
      </c>
      <c r="J50" s="377" t="str">
        <f t="shared" si="37"/>
        <v>I кв. 3 г.</v>
      </c>
      <c r="K50" s="377" t="str">
        <f t="shared" si="37"/>
        <v>II кв. 3 г.</v>
      </c>
      <c r="L50" s="377" t="str">
        <f t="shared" si="37"/>
        <v>III кв. 3 г.</v>
      </c>
      <c r="M50" s="377" t="str">
        <f t="shared" si="37"/>
        <v>IV кв. 3 г.</v>
      </c>
      <c r="N50" s="377" t="str">
        <f t="shared" si="37"/>
        <v>I кв. 4 г.</v>
      </c>
      <c r="O50" s="377" t="str">
        <f t="shared" si="37"/>
        <v>II кв. 4 г.</v>
      </c>
      <c r="P50" s="377" t="str">
        <f t="shared" si="37"/>
        <v>III кв. 4 г.</v>
      </c>
      <c r="Q50" s="377" t="str">
        <f t="shared" si="37"/>
        <v>IV кв. 4 г.</v>
      </c>
      <c r="R50" s="377" t="str">
        <f t="shared" si="37"/>
        <v>I кв. 5 г.</v>
      </c>
      <c r="S50" s="377" t="str">
        <f t="shared" si="37"/>
        <v>II кв. 5 г.</v>
      </c>
      <c r="T50" s="377" t="str">
        <f t="shared" si="37"/>
        <v>III кв. 5 г.</v>
      </c>
      <c r="U50" s="377" t="str">
        <f t="shared" si="37"/>
        <v>IV кв. 5 г.</v>
      </c>
      <c r="V50" s="377" t="str">
        <f t="shared" si="37"/>
        <v>I кв. 6 г.</v>
      </c>
      <c r="W50" s="377" t="str">
        <f t="shared" si="37"/>
        <v>II кв. 6 г.</v>
      </c>
      <c r="X50" s="377" t="str">
        <f t="shared" si="37"/>
        <v>III кв. 6 г.</v>
      </c>
      <c r="Y50" s="377" t="str">
        <f t="shared" si="37"/>
        <v>IV кв. 6 г.</v>
      </c>
      <c r="Z50" s="377" t="str">
        <f t="shared" si="37"/>
        <v>I кв. 7 г.</v>
      </c>
      <c r="AA50" s="377" t="str">
        <f t="shared" si="37"/>
        <v>II кв. 7 г.</v>
      </c>
      <c r="AB50" s="377" t="str">
        <f t="shared" si="37"/>
        <v>III кв. 7 г.</v>
      </c>
      <c r="AC50" s="377" t="str">
        <f t="shared" si="37"/>
        <v>IV кв. 7 г.</v>
      </c>
      <c r="AD50" s="377" t="str">
        <f t="shared" si="37"/>
        <v>I кв. 8 г.</v>
      </c>
      <c r="AE50" s="377" t="str">
        <f t="shared" si="37"/>
        <v>II кв. 8 г.</v>
      </c>
      <c r="AF50" s="377" t="str">
        <f t="shared" si="37"/>
        <v>III кв. 8 г.</v>
      </c>
      <c r="AG50" s="377" t="str">
        <f t="shared" si="37"/>
        <v>IV кв. 8 г.</v>
      </c>
      <c r="AH50" s="377" t="str">
        <f t="shared" si="37"/>
        <v>I кв. 9 г.</v>
      </c>
      <c r="AI50" s="377" t="str">
        <f t="shared" si="37"/>
        <v>II кв. 9 г.</v>
      </c>
      <c r="AJ50" s="377" t="str">
        <f t="shared" si="37"/>
        <v>III кв. 9 г.</v>
      </c>
      <c r="AK50" s="377" t="str">
        <f t="shared" si="37"/>
        <v>IV кв. 9 г.</v>
      </c>
      <c r="AL50" s="377" t="str">
        <f t="shared" si="37"/>
        <v>I кв. 10 г.</v>
      </c>
      <c r="AM50" s="377" t="str">
        <f t="shared" si="37"/>
        <v>II кв. 10 г.</v>
      </c>
      <c r="AN50" s="377" t="str">
        <f t="shared" si="37"/>
        <v>III кв. 10 г.</v>
      </c>
      <c r="AO50" s="377" t="str">
        <f t="shared" si="37"/>
        <v>IV кв. 10 г.</v>
      </c>
      <c r="AP50" s="377" t="str">
        <f t="shared" si="37"/>
        <v>I кв. 11 г.</v>
      </c>
      <c r="AQ50" s="377" t="str">
        <f t="shared" si="37"/>
        <v>II кв. 11 г.</v>
      </c>
      <c r="AR50" s="377" t="str">
        <f t="shared" ref="AR50:AS50" si="38">AR48</f>
        <v>III кв. 11 г.</v>
      </c>
      <c r="AS50" s="300" t="str">
        <f t="shared" si="38"/>
        <v>IV кв. 11 г.</v>
      </c>
    </row>
    <row r="51" spans="1:45" ht="31.2" x14ac:dyDescent="0.3">
      <c r="A51" s="15" t="s">
        <v>46</v>
      </c>
      <c r="B51" s="53">
        <f>допущения!$F$27*0.015/4</f>
        <v>0</v>
      </c>
      <c r="C51" s="53">
        <f>B51</f>
        <v>0</v>
      </c>
      <c r="D51" s="53">
        <f t="shared" ref="D51:E51" si="39">C51</f>
        <v>0</v>
      </c>
      <c r="E51" s="53">
        <f t="shared" si="39"/>
        <v>0</v>
      </c>
      <c r="F51" s="53">
        <f t="shared" ref="F51:AQ51" si="40">$F$42*0.015/4</f>
        <v>0</v>
      </c>
      <c r="G51" s="53">
        <f t="shared" si="40"/>
        <v>0</v>
      </c>
      <c r="H51" s="53">
        <f t="shared" si="40"/>
        <v>0</v>
      </c>
      <c r="I51" s="53">
        <f t="shared" si="40"/>
        <v>0</v>
      </c>
      <c r="J51" s="53">
        <f t="shared" si="40"/>
        <v>0</v>
      </c>
      <c r="K51" s="53">
        <f t="shared" si="40"/>
        <v>0</v>
      </c>
      <c r="L51" s="53">
        <f t="shared" si="40"/>
        <v>0</v>
      </c>
      <c r="M51" s="51">
        <f t="shared" si="40"/>
        <v>0</v>
      </c>
      <c r="N51" s="51">
        <f t="shared" si="40"/>
        <v>0</v>
      </c>
      <c r="O51" s="51">
        <f t="shared" si="40"/>
        <v>0</v>
      </c>
      <c r="P51" s="51">
        <f t="shared" si="40"/>
        <v>0</v>
      </c>
      <c r="Q51" s="51">
        <f t="shared" si="40"/>
        <v>0</v>
      </c>
      <c r="R51" s="51">
        <f t="shared" si="40"/>
        <v>0</v>
      </c>
      <c r="S51" s="51">
        <f t="shared" si="40"/>
        <v>0</v>
      </c>
      <c r="T51" s="51">
        <f t="shared" si="40"/>
        <v>0</v>
      </c>
      <c r="U51" s="51">
        <f t="shared" si="40"/>
        <v>0</v>
      </c>
      <c r="V51" s="51">
        <f t="shared" si="40"/>
        <v>0</v>
      </c>
      <c r="W51" s="51">
        <f t="shared" si="40"/>
        <v>0</v>
      </c>
      <c r="X51" s="51">
        <f t="shared" si="40"/>
        <v>0</v>
      </c>
      <c r="Y51" s="51">
        <f t="shared" si="40"/>
        <v>0</v>
      </c>
      <c r="Z51" s="51">
        <f t="shared" si="40"/>
        <v>0</v>
      </c>
      <c r="AA51" s="51">
        <f t="shared" si="40"/>
        <v>0</v>
      </c>
      <c r="AB51" s="51">
        <f t="shared" si="40"/>
        <v>0</v>
      </c>
      <c r="AC51" s="51">
        <f t="shared" si="40"/>
        <v>0</v>
      </c>
      <c r="AD51" s="51">
        <f t="shared" si="40"/>
        <v>0</v>
      </c>
      <c r="AE51" s="51">
        <f t="shared" si="40"/>
        <v>0</v>
      </c>
      <c r="AF51" s="51">
        <f t="shared" si="40"/>
        <v>0</v>
      </c>
      <c r="AG51" s="51">
        <f t="shared" si="40"/>
        <v>0</v>
      </c>
      <c r="AH51" s="51">
        <f t="shared" si="40"/>
        <v>0</v>
      </c>
      <c r="AI51" s="51">
        <f t="shared" si="40"/>
        <v>0</v>
      </c>
      <c r="AJ51" s="51">
        <f t="shared" si="40"/>
        <v>0</v>
      </c>
      <c r="AK51" s="51">
        <f t="shared" si="40"/>
        <v>0</v>
      </c>
      <c r="AL51" s="51">
        <f t="shared" si="40"/>
        <v>0</v>
      </c>
      <c r="AM51" s="51">
        <f t="shared" si="40"/>
        <v>0</v>
      </c>
      <c r="AN51" s="51">
        <f t="shared" si="40"/>
        <v>0</v>
      </c>
      <c r="AO51" s="51">
        <f t="shared" si="40"/>
        <v>0</v>
      </c>
      <c r="AP51" s="51">
        <f t="shared" si="40"/>
        <v>0</v>
      </c>
      <c r="AQ51" s="52">
        <f t="shared" si="40"/>
        <v>0</v>
      </c>
      <c r="AR51" s="52">
        <f t="shared" ref="AR51:AS51" si="41">$F$42*0.015/4</f>
        <v>0</v>
      </c>
      <c r="AS51" s="51">
        <f t="shared" si="41"/>
        <v>0</v>
      </c>
    </row>
    <row r="52" spans="1:45" x14ac:dyDescent="0.3">
      <c r="A52" s="372"/>
      <c r="B52" s="375" t="str">
        <f t="shared" ref="B52:L52" si="42">B38</f>
        <v>1 год</v>
      </c>
      <c r="C52" s="375" t="str">
        <f t="shared" si="42"/>
        <v>2 год</v>
      </c>
      <c r="D52" s="375" t="str">
        <f t="shared" si="42"/>
        <v>3 год</v>
      </c>
      <c r="E52" s="375" t="str">
        <f t="shared" si="42"/>
        <v>4 год</v>
      </c>
      <c r="F52" s="375" t="str">
        <f t="shared" si="42"/>
        <v>5 год</v>
      </c>
      <c r="G52" s="375" t="str">
        <f t="shared" si="42"/>
        <v>6 год</v>
      </c>
      <c r="H52" s="375" t="str">
        <f t="shared" si="42"/>
        <v>7 год</v>
      </c>
      <c r="I52" s="375" t="str">
        <f t="shared" si="42"/>
        <v>8 год</v>
      </c>
      <c r="J52" s="375" t="str">
        <f t="shared" si="42"/>
        <v>9 год</v>
      </c>
      <c r="K52" s="375" t="str">
        <f t="shared" si="42"/>
        <v>10 год</v>
      </c>
      <c r="L52" s="375" t="str">
        <f t="shared" si="42"/>
        <v>11 год</v>
      </c>
      <c r="V52" s="14"/>
      <c r="Z52" s="12"/>
    </row>
    <row r="53" spans="1:45" ht="33.75" customHeight="1" x14ac:dyDescent="0.3">
      <c r="A53" s="15" t="str">
        <f>A51</f>
        <v>Земельный налог без ТОР</v>
      </c>
      <c r="B53" s="51">
        <f>SUM(B51:E51)</f>
        <v>0</v>
      </c>
      <c r="C53" s="51">
        <f>B53</f>
        <v>0</v>
      </c>
      <c r="D53" s="51">
        <f t="shared" ref="D53:L53" si="43">C53</f>
        <v>0</v>
      </c>
      <c r="E53" s="51">
        <f t="shared" si="43"/>
        <v>0</v>
      </c>
      <c r="F53" s="51">
        <f t="shared" si="43"/>
        <v>0</v>
      </c>
      <c r="G53" s="51">
        <f t="shared" si="43"/>
        <v>0</v>
      </c>
      <c r="H53" s="51">
        <f t="shared" si="43"/>
        <v>0</v>
      </c>
      <c r="I53" s="51">
        <f t="shared" si="43"/>
        <v>0</v>
      </c>
      <c r="J53" s="51">
        <f t="shared" si="43"/>
        <v>0</v>
      </c>
      <c r="K53" s="51">
        <f t="shared" si="43"/>
        <v>0</v>
      </c>
      <c r="L53" s="51">
        <f t="shared" si="43"/>
        <v>0</v>
      </c>
      <c r="V53" s="14"/>
      <c r="Z53" s="12"/>
    </row>
  </sheetData>
  <pageMargins left="0.7" right="0.7" top="0.75" bottom="0.75" header="0.3" footer="0.3"/>
  <pageSetup paperSize="9" scale="77" firstPageNumber="2147483648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8">
    <tabColor rgb="FF7030A0"/>
    <pageSetUpPr fitToPage="1"/>
  </sheetPr>
  <dimension ref="A1:BG91"/>
  <sheetViews>
    <sheetView zoomScale="61" zoomScaleNormal="70" workbookViewId="0">
      <pane xSplit="1" topLeftCell="AG1" activePane="topRight" state="frozen"/>
      <selection activeCell="AX65" sqref="AX65"/>
      <selection pane="topRight" activeCell="AZ7" sqref="AZ7"/>
    </sheetView>
  </sheetViews>
  <sheetFormatPr defaultColWidth="9.109375" defaultRowHeight="14.4" x14ac:dyDescent="0.3"/>
  <cols>
    <col min="1" max="1" width="22.33203125" style="5" customWidth="1"/>
    <col min="2" max="2" width="13.109375" style="94" customWidth="1"/>
    <col min="3" max="3" width="12.109375" style="107" customWidth="1"/>
    <col min="4" max="5" width="12.109375" style="94" customWidth="1"/>
    <col min="6" max="6" width="13.6640625" style="94" customWidth="1"/>
    <col min="7" max="7" width="14.33203125" style="94" customWidth="1"/>
    <col min="8" max="9" width="12.109375" style="94" customWidth="1"/>
    <col min="10" max="10" width="13.88671875" style="94" customWidth="1"/>
    <col min="11" max="11" width="14.33203125" style="94" customWidth="1"/>
    <col min="12" max="12" width="14" style="94" customWidth="1"/>
    <col min="13" max="13" width="16.33203125" style="94" customWidth="1"/>
    <col min="14" max="14" width="14" style="94" customWidth="1"/>
    <col min="15" max="15" width="11.33203125" style="94" customWidth="1"/>
    <col min="16" max="17" width="9.33203125" style="94" bestFit="1" customWidth="1"/>
    <col min="18" max="18" width="11.33203125" style="94" bestFit="1" customWidth="1"/>
    <col min="19" max="19" width="11.6640625" style="94" bestFit="1" customWidth="1"/>
    <col min="20" max="20" width="9.33203125" style="94" bestFit="1" customWidth="1"/>
    <col min="21" max="22" width="11.33203125" style="94" bestFit="1" customWidth="1"/>
    <col min="23" max="26" width="11.109375" style="94" customWidth="1"/>
    <col min="27" max="27" width="10.33203125" style="94" bestFit="1" customWidth="1"/>
    <col min="28" max="28" width="11.6640625" style="94" customWidth="1"/>
    <col min="29" max="30" width="9.33203125" style="94" bestFit="1" customWidth="1"/>
    <col min="31" max="31" width="10.33203125" style="94" bestFit="1" customWidth="1"/>
    <col min="32" max="34" width="9.33203125" style="94" bestFit="1" customWidth="1"/>
    <col min="35" max="35" width="10.33203125" style="94" bestFit="1" customWidth="1"/>
    <col min="36" max="38" width="9.33203125" style="94" bestFit="1" customWidth="1"/>
    <col min="39" max="39" width="10.33203125" style="94" bestFit="1" customWidth="1"/>
    <col min="40" max="42" width="9.33203125" style="94" bestFit="1" customWidth="1"/>
    <col min="43" max="43" width="10.33203125" style="94" bestFit="1" customWidth="1"/>
    <col min="44" max="47" width="10.33203125" style="94" customWidth="1"/>
    <col min="48" max="48" width="9.109375" style="94"/>
    <col min="49" max="49" width="9.44140625" style="94" bestFit="1" customWidth="1"/>
    <col min="50" max="51" width="9.33203125" style="94" bestFit="1" customWidth="1"/>
    <col min="52" max="58" width="10.33203125" style="94" bestFit="1" customWidth="1"/>
    <col min="59" max="16384" width="9.109375" style="94"/>
  </cols>
  <sheetData>
    <row r="1" spans="1:59" s="399" customFormat="1" ht="59.25" customHeight="1" x14ac:dyDescent="0.3">
      <c r="A1" s="567" t="s">
        <v>127</v>
      </c>
      <c r="B1" s="568" t="s">
        <v>128</v>
      </c>
      <c r="C1" s="569" t="s">
        <v>129</v>
      </c>
      <c r="D1" s="568" t="str">
        <f>'выручка по кв и годам'!D1</f>
        <v>I кв. 1 г.</v>
      </c>
      <c r="E1" s="568" t="str">
        <f>'выручка по кв и годам'!E1</f>
        <v>II кв. 1 г.</v>
      </c>
      <c r="F1" s="568" t="str">
        <f>'выручка по кв и годам'!F1</f>
        <v>III кв. 1 г.</v>
      </c>
      <c r="G1" s="568" t="str">
        <f>'выручка по кв и годам'!G1</f>
        <v>IV кв. 1 г.</v>
      </c>
      <c r="H1" s="568" t="str">
        <f>'выручка по кв и годам'!H1</f>
        <v>I кв. 2 г.</v>
      </c>
      <c r="I1" s="568" t="str">
        <f>'выручка по кв и годам'!I1</f>
        <v>II кв. 2 г.</v>
      </c>
      <c r="J1" s="568" t="str">
        <f>'выручка по кв и годам'!J1</f>
        <v>III кв. 2 г.</v>
      </c>
      <c r="K1" s="568" t="str">
        <f>'выручка по кв и годам'!K1</f>
        <v>IV кв. 2 г.</v>
      </c>
      <c r="L1" s="568" t="str">
        <f>'выручка по кв и годам'!L1</f>
        <v>I кв. 3 г.</v>
      </c>
      <c r="M1" s="568" t="str">
        <f>'выручка по кв и годам'!M1</f>
        <v>II кв. 3 г.</v>
      </c>
      <c r="N1" s="568" t="str">
        <f>'выручка по кв и годам'!N1</f>
        <v>III кв. 3 г.</v>
      </c>
      <c r="O1" s="568" t="str">
        <f>'выручка по кв и годам'!O1</f>
        <v>IV кв. 3 г.</v>
      </c>
      <c r="P1" s="568" t="str">
        <f>'выручка по кв и годам'!P1</f>
        <v>I кв. 4 г.</v>
      </c>
      <c r="Q1" s="568" t="str">
        <f>'выручка по кв и годам'!Q1</f>
        <v>II кв. 4 г.</v>
      </c>
      <c r="R1" s="568" t="str">
        <f>'выручка по кв и годам'!R1</f>
        <v>III кв. 4 г.</v>
      </c>
      <c r="S1" s="568" t="str">
        <f>'выручка по кв и годам'!S1</f>
        <v>IV кв. 4 г.</v>
      </c>
      <c r="T1" s="568" t="str">
        <f>'выручка по кв и годам'!T1</f>
        <v>I кв. 5 г.</v>
      </c>
      <c r="U1" s="568" t="str">
        <f>'выручка по кв и годам'!U1</f>
        <v>II кв. 5 г.</v>
      </c>
      <c r="V1" s="568" t="str">
        <f>'выручка по кв и годам'!V1</f>
        <v>III кв. 5 г.</v>
      </c>
      <c r="W1" s="568" t="str">
        <f>'выручка по кв и годам'!W1</f>
        <v>IV кв. 5 г.</v>
      </c>
      <c r="X1" s="568" t="str">
        <f>'выручка по кв и годам'!X1</f>
        <v>I кв. 6 г.</v>
      </c>
      <c r="Y1" s="568" t="str">
        <f>'выручка по кв и годам'!Y1</f>
        <v>II кв. 6 г.</v>
      </c>
      <c r="Z1" s="568" t="str">
        <f>'выручка по кв и годам'!Z1</f>
        <v>III кв. 6 г.</v>
      </c>
      <c r="AA1" s="568" t="str">
        <f>'выручка по кв и годам'!AA1</f>
        <v>IV кв. 6 г.</v>
      </c>
      <c r="AB1" s="568" t="str">
        <f>'выручка по кв и годам'!AB1</f>
        <v>I кв. 7 г.</v>
      </c>
      <c r="AC1" s="568" t="str">
        <f>'выручка по кв и годам'!AC1</f>
        <v>II кв. 7 г.</v>
      </c>
      <c r="AD1" s="568" t="str">
        <f>'выручка по кв и годам'!AD1</f>
        <v>III кв. 7 г.</v>
      </c>
      <c r="AE1" s="568" t="str">
        <f>'выручка по кв и годам'!AE1</f>
        <v>IV кв. 7 г.</v>
      </c>
      <c r="AF1" s="568" t="str">
        <f>'выручка по кв и годам'!AF1</f>
        <v>I кв. 8 г.</v>
      </c>
      <c r="AG1" s="568" t="str">
        <f>'выручка по кв и годам'!AG1</f>
        <v>II кв. 8 г.</v>
      </c>
      <c r="AH1" s="568" t="str">
        <f>'выручка по кв и годам'!AH1</f>
        <v>III кв. 8 г.</v>
      </c>
      <c r="AI1" s="568" t="str">
        <f>'выручка по кв и годам'!AI1</f>
        <v>IV кв. 8 г.</v>
      </c>
      <c r="AJ1" s="568" t="str">
        <f>'выручка по кв и годам'!AJ1</f>
        <v>I кв. 9 г.</v>
      </c>
      <c r="AK1" s="568" t="str">
        <f>'выручка по кв и годам'!AK1</f>
        <v>II кв. 9 г.</v>
      </c>
      <c r="AL1" s="568" t="str">
        <f>'выручка по кв и годам'!AL1</f>
        <v>III кв. 9 г.</v>
      </c>
      <c r="AM1" s="568" t="str">
        <f>'выручка по кв и годам'!AM1</f>
        <v>IV кв. 9 г.</v>
      </c>
      <c r="AN1" s="568" t="str">
        <f>'выручка по кв и годам'!AN1</f>
        <v>I кв. 10 г.</v>
      </c>
      <c r="AO1" s="568" t="str">
        <f>'выручка по кв и годам'!AO1</f>
        <v>II кв. 10 г.</v>
      </c>
      <c r="AP1" s="568" t="str">
        <f>'выручка по кв и годам'!AP1</f>
        <v>III кв. 10 г.</v>
      </c>
      <c r="AQ1" s="568" t="str">
        <f>'выручка по кв и годам'!AQ1</f>
        <v>IV кв. 10 г.</v>
      </c>
      <c r="AR1" s="568" t="str">
        <f>'выручка по кв и годам'!AR1</f>
        <v>I кв. 11 г.</v>
      </c>
      <c r="AS1" s="568" t="str">
        <f>'выручка по кв и годам'!AS1</f>
        <v>II кв. 11 г.</v>
      </c>
      <c r="AT1" s="568" t="str">
        <f>'выручка по кв и годам'!AT1</f>
        <v>III кв. 11 г.</v>
      </c>
      <c r="AU1" s="568" t="str">
        <f>'выручка по кв и годам'!AU1</f>
        <v>IV кв. 11 г.</v>
      </c>
      <c r="AV1" s="389"/>
      <c r="AW1" s="389" t="str">
        <f>'объем работ 100% загр'!C3</f>
        <v>1 год</v>
      </c>
      <c r="AX1" s="389" t="str">
        <f>'объем работ 100% загр'!D3</f>
        <v>2 год</v>
      </c>
      <c r="AY1" s="389" t="str">
        <f>'объем работ 100% загр'!E3</f>
        <v>3 год</v>
      </c>
      <c r="AZ1" s="389" t="str">
        <f>'объем работ 100% загр'!F3</f>
        <v>4 год</v>
      </c>
      <c r="BA1" s="389" t="str">
        <f>'объем работ 100% загр'!G3</f>
        <v>5 год</v>
      </c>
      <c r="BB1" s="389" t="str">
        <f>'объем работ 100% загр'!H3</f>
        <v>6 год</v>
      </c>
      <c r="BC1" s="389" t="str">
        <f>'объем работ 100% загр'!I3</f>
        <v>7 год</v>
      </c>
      <c r="BD1" s="389" t="str">
        <f>'объем работ 100% загр'!J3</f>
        <v>8 год</v>
      </c>
      <c r="BE1" s="389" t="str">
        <f>'объем работ 100% загр'!K3</f>
        <v>9 год</v>
      </c>
      <c r="BF1" s="389" t="str">
        <f>'объем работ 100% загр'!L3</f>
        <v>10 год</v>
      </c>
      <c r="BG1" s="389" t="str">
        <f>'объем работ 100% загр'!M3</f>
        <v>11 год</v>
      </c>
    </row>
    <row r="2" spans="1:59" s="398" customFormat="1" ht="46.5" customHeight="1" x14ac:dyDescent="0.3">
      <c r="A2" s="570" t="s">
        <v>130</v>
      </c>
      <c r="B2" s="571">
        <v>1</v>
      </c>
      <c r="C2" s="572">
        <v>95</v>
      </c>
      <c r="D2" s="573">
        <v>0</v>
      </c>
      <c r="E2" s="573">
        <v>0</v>
      </c>
      <c r="F2" s="573">
        <v>0</v>
      </c>
      <c r="G2" s="573">
        <v>0</v>
      </c>
      <c r="H2" s="573">
        <f>$C$2*3*$B$2</f>
        <v>285</v>
      </c>
      <c r="I2" s="573">
        <f t="shared" ref="I2:I5" si="0">H2</f>
        <v>285</v>
      </c>
      <c r="J2" s="573">
        <f t="shared" ref="J2:S5" si="1">I2</f>
        <v>285</v>
      </c>
      <c r="K2" s="573">
        <f t="shared" si="1"/>
        <v>285</v>
      </c>
      <c r="L2" s="573">
        <f>K2*(1+допущения!$C$37)</f>
        <v>304.95000000000005</v>
      </c>
      <c r="M2" s="573">
        <f>L2</f>
        <v>304.95000000000005</v>
      </c>
      <c r="N2" s="573">
        <f t="shared" ref="N2:O2" si="2">M2</f>
        <v>304.95000000000005</v>
      </c>
      <c r="O2" s="573">
        <f t="shared" si="2"/>
        <v>304.95000000000005</v>
      </c>
      <c r="P2" s="573">
        <f>O2*(1+допущения!$C$37)</f>
        <v>326.29650000000009</v>
      </c>
      <c r="Q2" s="573">
        <f t="shared" si="1"/>
        <v>326.29650000000009</v>
      </c>
      <c r="R2" s="573">
        <f t="shared" si="1"/>
        <v>326.29650000000009</v>
      </c>
      <c r="S2" s="573">
        <f t="shared" si="1"/>
        <v>326.29650000000009</v>
      </c>
      <c r="T2" s="573">
        <f>S2*(1+допущения!$C$37)</f>
        <v>349.1372550000001</v>
      </c>
      <c r="U2" s="573">
        <f t="shared" ref="U2:AE5" si="3">T2</f>
        <v>349.1372550000001</v>
      </c>
      <c r="V2" s="573">
        <f>U2</f>
        <v>349.1372550000001</v>
      </c>
      <c r="W2" s="573">
        <f>V2</f>
        <v>349.1372550000001</v>
      </c>
      <c r="X2" s="573">
        <f>W2*(1+допущения!$C$37)</f>
        <v>373.57686285000011</v>
      </c>
      <c r="Y2" s="573">
        <f t="shared" ref="Y2:AE2" si="4">X2</f>
        <v>373.57686285000011</v>
      </c>
      <c r="Z2" s="573">
        <f t="shared" si="4"/>
        <v>373.57686285000011</v>
      </c>
      <c r="AA2" s="573">
        <f t="shared" si="4"/>
        <v>373.57686285000011</v>
      </c>
      <c r="AB2" s="573">
        <f>AA2*(1+допущения!$C$37)</f>
        <v>399.72724324950013</v>
      </c>
      <c r="AC2" s="573">
        <f t="shared" si="4"/>
        <v>399.72724324950013</v>
      </c>
      <c r="AD2" s="573">
        <f t="shared" si="4"/>
        <v>399.72724324950013</v>
      </c>
      <c r="AE2" s="573">
        <f t="shared" si="4"/>
        <v>399.72724324950013</v>
      </c>
      <c r="AF2" s="573">
        <f>AE2*(1+допущения!C37)</f>
        <v>427.70815027696517</v>
      </c>
      <c r="AG2" s="573">
        <f t="shared" ref="AG2:AQ5" si="5">AF2</f>
        <v>427.70815027696517</v>
      </c>
      <c r="AH2" s="573">
        <f t="shared" ref="AH2:AQ2" si="6">AG2</f>
        <v>427.70815027696517</v>
      </c>
      <c r="AI2" s="573">
        <f t="shared" si="6"/>
        <v>427.70815027696517</v>
      </c>
      <c r="AJ2" s="573">
        <f>AI2*(1+допущения!$C$37)</f>
        <v>457.64772079635276</v>
      </c>
      <c r="AK2" s="573">
        <f t="shared" si="6"/>
        <v>457.64772079635276</v>
      </c>
      <c r="AL2" s="573">
        <f t="shared" si="6"/>
        <v>457.64772079635276</v>
      </c>
      <c r="AM2" s="573">
        <f t="shared" si="6"/>
        <v>457.64772079635276</v>
      </c>
      <c r="AN2" s="573">
        <f>AM2*(1+допущения!$C$37)</f>
        <v>489.6830612520975</v>
      </c>
      <c r="AO2" s="573">
        <f t="shared" si="6"/>
        <v>489.6830612520975</v>
      </c>
      <c r="AP2" s="573">
        <f t="shared" si="6"/>
        <v>489.6830612520975</v>
      </c>
      <c r="AQ2" s="573">
        <f t="shared" si="6"/>
        <v>489.6830612520975</v>
      </c>
      <c r="AR2" s="573">
        <f>AQ2*(1+допущения!$C$37)</f>
        <v>523.96087553974439</v>
      </c>
      <c r="AS2" s="573">
        <f>AR2</f>
        <v>523.96087553974439</v>
      </c>
      <c r="AT2" s="573">
        <f t="shared" ref="AT2:AU2" si="7">AS2</f>
        <v>523.96087553974439</v>
      </c>
      <c r="AU2" s="573">
        <f t="shared" si="7"/>
        <v>523.96087553974439</v>
      </c>
      <c r="AV2" s="396"/>
      <c r="AW2" s="397">
        <f>SUM(D2:G2)</f>
        <v>0</v>
      </c>
      <c r="AX2" s="397">
        <f>SUM(H2:K2)</f>
        <v>1140</v>
      </c>
      <c r="AY2" s="397">
        <f>SUM(L2:O2)</f>
        <v>1219.8000000000002</v>
      </c>
      <c r="AZ2" s="397">
        <f>SUM(P2:S2)</f>
        <v>1305.1860000000004</v>
      </c>
      <c r="BA2" s="397">
        <f>SUM(T2:W2)</f>
        <v>1396.5490200000004</v>
      </c>
      <c r="BB2" s="397">
        <f>SUM(X2:AA2)</f>
        <v>1494.3074514000004</v>
      </c>
      <c r="BC2" s="397">
        <f>SUM(AB2:AE2)</f>
        <v>1598.9089729980005</v>
      </c>
      <c r="BD2" s="397">
        <f>SUM(AF2:AI2)</f>
        <v>1710.8326011078607</v>
      </c>
      <c r="BE2" s="397">
        <f>SUM(AJ2:AM2)</f>
        <v>1830.590883185411</v>
      </c>
      <c r="BF2" s="397">
        <f>SUM(AN2:AQ2)</f>
        <v>1958.73224500839</v>
      </c>
      <c r="BG2" s="397">
        <f>SUM(AR2:AU2)</f>
        <v>2095.8435021589776</v>
      </c>
    </row>
    <row r="3" spans="1:59" s="398" customFormat="1" x14ac:dyDescent="0.3">
      <c r="A3" s="570" t="s">
        <v>131</v>
      </c>
      <c r="B3" s="571">
        <v>1</v>
      </c>
      <c r="C3" s="572">
        <v>75</v>
      </c>
      <c r="D3" s="573">
        <v>0</v>
      </c>
      <c r="E3" s="573">
        <v>0</v>
      </c>
      <c r="F3" s="573">
        <v>0</v>
      </c>
      <c r="G3" s="573">
        <v>0</v>
      </c>
      <c r="H3" s="573">
        <f>$C$3*3*$B$3</f>
        <v>225</v>
      </c>
      <c r="I3" s="573">
        <f t="shared" si="0"/>
        <v>225</v>
      </c>
      <c r="J3" s="573">
        <f t="shared" si="1"/>
        <v>225</v>
      </c>
      <c r="K3" s="573">
        <f>J3</f>
        <v>225</v>
      </c>
      <c r="L3" s="573">
        <f>K3*(1+допущения!$C$37)</f>
        <v>240.75</v>
      </c>
      <c r="M3" s="573">
        <f t="shared" si="1"/>
        <v>240.75</v>
      </c>
      <c r="N3" s="573">
        <f t="shared" si="1"/>
        <v>240.75</v>
      </c>
      <c r="O3" s="573">
        <f t="shared" si="1"/>
        <v>240.75</v>
      </c>
      <c r="P3" s="573">
        <f>O3*(1+допущения!$C$37)</f>
        <v>257.60250000000002</v>
      </c>
      <c r="Q3" s="573">
        <f t="shared" si="1"/>
        <v>257.60250000000002</v>
      </c>
      <c r="R3" s="573">
        <f t="shared" si="1"/>
        <v>257.60250000000002</v>
      </c>
      <c r="S3" s="573">
        <f t="shared" si="1"/>
        <v>257.60250000000002</v>
      </c>
      <c r="T3" s="573">
        <f>S3*(1+допущения!$C$37)</f>
        <v>275.63467500000002</v>
      </c>
      <c r="U3" s="573">
        <f t="shared" si="3"/>
        <v>275.63467500000002</v>
      </c>
      <c r="V3" s="573">
        <f t="shared" si="3"/>
        <v>275.63467500000002</v>
      </c>
      <c r="W3" s="573">
        <f t="shared" si="3"/>
        <v>275.63467500000002</v>
      </c>
      <c r="X3" s="573">
        <f>W3*(1+допущения!$C$37)</f>
        <v>294.92910225000003</v>
      </c>
      <c r="Y3" s="573">
        <f t="shared" si="3"/>
        <v>294.92910225000003</v>
      </c>
      <c r="Z3" s="573">
        <f t="shared" si="3"/>
        <v>294.92910225000003</v>
      </c>
      <c r="AA3" s="573">
        <f t="shared" si="3"/>
        <v>294.92910225000003</v>
      </c>
      <c r="AB3" s="573">
        <f>AA3*(1+допущения!$C$37)</f>
        <v>315.57413940750007</v>
      </c>
      <c r="AC3" s="573">
        <f t="shared" si="3"/>
        <v>315.57413940750007</v>
      </c>
      <c r="AD3" s="573">
        <f t="shared" si="3"/>
        <v>315.57413940750007</v>
      </c>
      <c r="AE3" s="573">
        <f t="shared" si="3"/>
        <v>315.57413940750007</v>
      </c>
      <c r="AF3" s="573">
        <f>AE3*(1+допущения!C38)</f>
        <v>334.50858777195009</v>
      </c>
      <c r="AG3" s="573">
        <f t="shared" si="5"/>
        <v>334.50858777195009</v>
      </c>
      <c r="AH3" s="573">
        <f t="shared" si="5"/>
        <v>334.50858777195009</v>
      </c>
      <c r="AI3" s="573">
        <f t="shared" si="5"/>
        <v>334.50858777195009</v>
      </c>
      <c r="AJ3" s="573">
        <f>AI3*(1+допущения!$C$37)</f>
        <v>357.92418891598663</v>
      </c>
      <c r="AK3" s="573">
        <f t="shared" si="5"/>
        <v>357.92418891598663</v>
      </c>
      <c r="AL3" s="573">
        <f t="shared" si="5"/>
        <v>357.92418891598663</v>
      </c>
      <c r="AM3" s="573">
        <f t="shared" si="5"/>
        <v>357.92418891598663</v>
      </c>
      <c r="AN3" s="573">
        <f>AM3*(1+допущения!$C$37)</f>
        <v>382.97888214010572</v>
      </c>
      <c r="AO3" s="573">
        <f t="shared" si="5"/>
        <v>382.97888214010572</v>
      </c>
      <c r="AP3" s="573">
        <f t="shared" si="5"/>
        <v>382.97888214010572</v>
      </c>
      <c r="AQ3" s="573">
        <f t="shared" si="5"/>
        <v>382.97888214010572</v>
      </c>
      <c r="AR3" s="573">
        <f>AQ3*(1+допущения!$C$37)</f>
        <v>409.78740388991315</v>
      </c>
      <c r="AS3" s="573">
        <f t="shared" ref="AS3:AU54" si="8">AR3</f>
        <v>409.78740388991315</v>
      </c>
      <c r="AT3" s="573">
        <f t="shared" si="8"/>
        <v>409.78740388991315</v>
      </c>
      <c r="AU3" s="573">
        <f t="shared" si="8"/>
        <v>409.78740388991315</v>
      </c>
      <c r="AV3" s="396"/>
      <c r="AW3" s="396">
        <f t="shared" ref="AW3:AW48" si="9">SUM(D3:G3)</f>
        <v>0</v>
      </c>
      <c r="AX3" s="397">
        <f t="shared" ref="AX3:AX58" si="10">SUM(H3:K3)</f>
        <v>900</v>
      </c>
      <c r="AY3" s="397">
        <f t="shared" ref="AY3:AY58" si="11">SUM(L3:O3)</f>
        <v>963</v>
      </c>
      <c r="AZ3" s="397">
        <f t="shared" ref="AZ3:AZ58" si="12">SUM(P3:S3)</f>
        <v>1030.4100000000001</v>
      </c>
      <c r="BA3" s="397">
        <f t="shared" ref="BA3:BA58" si="13">SUM(T3:W3)</f>
        <v>1102.5387000000001</v>
      </c>
      <c r="BB3" s="397">
        <f t="shared" ref="BB3:BB58" si="14">SUM(X3:AA3)</f>
        <v>1179.7164090000001</v>
      </c>
      <c r="BC3" s="397">
        <f t="shared" ref="BC3:BC58" si="15">SUM(AB3:AE3)</f>
        <v>1262.2965576300003</v>
      </c>
      <c r="BD3" s="397">
        <f t="shared" ref="BD3:BD58" si="16">SUM(AF3:AI3)</f>
        <v>1338.0343510878004</v>
      </c>
      <c r="BE3" s="397">
        <f t="shared" ref="BE3:BE58" si="17">SUM(AJ3:AM3)</f>
        <v>1431.6967556639465</v>
      </c>
      <c r="BF3" s="397">
        <f t="shared" ref="BF3:BF58" si="18">SUM(AN3:AQ3)</f>
        <v>1531.9155285604229</v>
      </c>
      <c r="BG3" s="397">
        <f t="shared" ref="BG3:BG58" si="19">SUM(AR3:AU3)</f>
        <v>1639.1496155596526</v>
      </c>
    </row>
    <row r="4" spans="1:59" s="398" customFormat="1" ht="30" customHeight="1" x14ac:dyDescent="0.3">
      <c r="A4" s="570" t="s">
        <v>132</v>
      </c>
      <c r="B4" s="571">
        <v>1</v>
      </c>
      <c r="C4" s="572">
        <v>50</v>
      </c>
      <c r="D4" s="573">
        <v>0</v>
      </c>
      <c r="E4" s="573">
        <v>0</v>
      </c>
      <c r="F4" s="573">
        <v>0</v>
      </c>
      <c r="G4" s="573">
        <v>0</v>
      </c>
      <c r="H4" s="573">
        <f>$C$4*3*$B$4</f>
        <v>150</v>
      </c>
      <c r="I4" s="573">
        <f t="shared" si="0"/>
        <v>150</v>
      </c>
      <c r="J4" s="573">
        <f t="shared" si="1"/>
        <v>150</v>
      </c>
      <c r="K4" s="573">
        <f t="shared" si="1"/>
        <v>150</v>
      </c>
      <c r="L4" s="573">
        <f>K4*(1+допущения!$C$37)</f>
        <v>160.5</v>
      </c>
      <c r="M4" s="573">
        <f t="shared" si="1"/>
        <v>160.5</v>
      </c>
      <c r="N4" s="573">
        <f t="shared" si="1"/>
        <v>160.5</v>
      </c>
      <c r="O4" s="573">
        <f t="shared" si="1"/>
        <v>160.5</v>
      </c>
      <c r="P4" s="573">
        <f>O4*(1+допущения!$C$37)</f>
        <v>171.73500000000001</v>
      </c>
      <c r="Q4" s="573">
        <f t="shared" si="1"/>
        <v>171.73500000000001</v>
      </c>
      <c r="R4" s="573">
        <f t="shared" si="1"/>
        <v>171.73500000000001</v>
      </c>
      <c r="S4" s="573">
        <f t="shared" si="1"/>
        <v>171.73500000000001</v>
      </c>
      <c r="T4" s="573">
        <f>S4*(1+допущения!$C$37)</f>
        <v>183.75645000000003</v>
      </c>
      <c r="U4" s="573">
        <f t="shared" si="3"/>
        <v>183.75645000000003</v>
      </c>
      <c r="V4" s="573">
        <f t="shared" si="3"/>
        <v>183.75645000000003</v>
      </c>
      <c r="W4" s="573">
        <f t="shared" si="3"/>
        <v>183.75645000000003</v>
      </c>
      <c r="X4" s="573">
        <f>W4*(1+допущения!$C$37)</f>
        <v>196.61940150000004</v>
      </c>
      <c r="Y4" s="573">
        <f t="shared" si="3"/>
        <v>196.61940150000004</v>
      </c>
      <c r="Z4" s="573">
        <f t="shared" si="3"/>
        <v>196.61940150000004</v>
      </c>
      <c r="AA4" s="573">
        <f t="shared" si="3"/>
        <v>196.61940150000004</v>
      </c>
      <c r="AB4" s="573">
        <f>AA4*(1+допущения!$C$37)</f>
        <v>210.38275960500005</v>
      </c>
      <c r="AC4" s="573">
        <f t="shared" si="3"/>
        <v>210.38275960500005</v>
      </c>
      <c r="AD4" s="573">
        <f t="shared" si="3"/>
        <v>210.38275960500005</v>
      </c>
      <c r="AE4" s="573">
        <f t="shared" si="3"/>
        <v>210.38275960500005</v>
      </c>
      <c r="AF4" s="573">
        <f>AE4*(1+допущения!C39)</f>
        <v>210.38275960500005</v>
      </c>
      <c r="AG4" s="573">
        <f t="shared" si="5"/>
        <v>210.38275960500005</v>
      </c>
      <c r="AH4" s="573">
        <f t="shared" si="5"/>
        <v>210.38275960500005</v>
      </c>
      <c r="AI4" s="573">
        <f t="shared" si="5"/>
        <v>210.38275960500005</v>
      </c>
      <c r="AJ4" s="573">
        <f>AI4*(1+допущения!$C$37)</f>
        <v>225.10955277735007</v>
      </c>
      <c r="AK4" s="573">
        <f t="shared" si="5"/>
        <v>225.10955277735007</v>
      </c>
      <c r="AL4" s="573">
        <f t="shared" si="5"/>
        <v>225.10955277735007</v>
      </c>
      <c r="AM4" s="573">
        <f t="shared" si="5"/>
        <v>225.10955277735007</v>
      </c>
      <c r="AN4" s="573">
        <f>AM4*(1+допущения!$C$37)</f>
        <v>240.86722147176459</v>
      </c>
      <c r="AO4" s="573">
        <f t="shared" si="5"/>
        <v>240.86722147176459</v>
      </c>
      <c r="AP4" s="573">
        <f t="shared" si="5"/>
        <v>240.86722147176459</v>
      </c>
      <c r="AQ4" s="573">
        <f t="shared" si="5"/>
        <v>240.86722147176459</v>
      </c>
      <c r="AR4" s="573">
        <f>AQ4*(1+допущения!$C$37)</f>
        <v>257.72792697478815</v>
      </c>
      <c r="AS4" s="573">
        <f t="shared" si="8"/>
        <v>257.72792697478815</v>
      </c>
      <c r="AT4" s="573">
        <f t="shared" si="8"/>
        <v>257.72792697478815</v>
      </c>
      <c r="AU4" s="573">
        <f t="shared" si="8"/>
        <v>257.72792697478815</v>
      </c>
      <c r="AV4" s="396"/>
      <c r="AW4" s="396">
        <f t="shared" si="9"/>
        <v>0</v>
      </c>
      <c r="AX4" s="397">
        <f t="shared" si="10"/>
        <v>600</v>
      </c>
      <c r="AY4" s="397">
        <f t="shared" si="11"/>
        <v>642</v>
      </c>
      <c r="AZ4" s="397">
        <f t="shared" si="12"/>
        <v>686.94</v>
      </c>
      <c r="BA4" s="397">
        <f t="shared" si="13"/>
        <v>735.02580000000012</v>
      </c>
      <c r="BB4" s="397">
        <f t="shared" si="14"/>
        <v>786.47760600000015</v>
      </c>
      <c r="BC4" s="397">
        <f t="shared" si="15"/>
        <v>841.53103842000019</v>
      </c>
      <c r="BD4" s="397">
        <f t="shared" si="16"/>
        <v>841.53103842000019</v>
      </c>
      <c r="BE4" s="397">
        <f t="shared" si="17"/>
        <v>900.4382111094003</v>
      </c>
      <c r="BF4" s="397">
        <f t="shared" si="18"/>
        <v>963.46888588705838</v>
      </c>
      <c r="BG4" s="397">
        <f t="shared" si="19"/>
        <v>1030.9117078991526</v>
      </c>
    </row>
    <row r="5" spans="1:59" s="398" customFormat="1" ht="45.75" customHeight="1" x14ac:dyDescent="0.3">
      <c r="A5" s="570" t="s">
        <v>133</v>
      </c>
      <c r="B5" s="571">
        <v>1</v>
      </c>
      <c r="C5" s="572">
        <v>55</v>
      </c>
      <c r="D5" s="573">
        <v>0</v>
      </c>
      <c r="E5" s="573">
        <v>0</v>
      </c>
      <c r="F5" s="573">
        <v>0</v>
      </c>
      <c r="G5" s="573">
        <v>0</v>
      </c>
      <c r="H5" s="573">
        <f>$C$5*3*$B$5</f>
        <v>165</v>
      </c>
      <c r="I5" s="573">
        <f t="shared" si="0"/>
        <v>165</v>
      </c>
      <c r="J5" s="573">
        <f t="shared" si="1"/>
        <v>165</v>
      </c>
      <c r="K5" s="573">
        <f t="shared" si="1"/>
        <v>165</v>
      </c>
      <c r="L5" s="573">
        <f>K5*(1+допущения!$C$37)</f>
        <v>176.55</v>
      </c>
      <c r="M5" s="573">
        <f t="shared" si="1"/>
        <v>176.55</v>
      </c>
      <c r="N5" s="573">
        <f t="shared" si="1"/>
        <v>176.55</v>
      </c>
      <c r="O5" s="573">
        <f t="shared" si="1"/>
        <v>176.55</v>
      </c>
      <c r="P5" s="573">
        <f>O5*(1+допущения!$C$37)</f>
        <v>188.90850000000003</v>
      </c>
      <c r="Q5" s="573">
        <f t="shared" si="1"/>
        <v>188.90850000000003</v>
      </c>
      <c r="R5" s="573">
        <f t="shared" si="1"/>
        <v>188.90850000000003</v>
      </c>
      <c r="S5" s="573">
        <f t="shared" si="1"/>
        <v>188.90850000000003</v>
      </c>
      <c r="T5" s="573">
        <f>S5*(1+допущения!$C$37)</f>
        <v>202.13209500000005</v>
      </c>
      <c r="U5" s="573">
        <f t="shared" si="3"/>
        <v>202.13209500000005</v>
      </c>
      <c r="V5" s="573">
        <f t="shared" si="3"/>
        <v>202.13209500000005</v>
      </c>
      <c r="W5" s="573">
        <f t="shared" si="3"/>
        <v>202.13209500000005</v>
      </c>
      <c r="X5" s="573">
        <f>W5*(1+допущения!$C$37)</f>
        <v>216.28134165000006</v>
      </c>
      <c r="Y5" s="573">
        <f t="shared" si="3"/>
        <v>216.28134165000006</v>
      </c>
      <c r="Z5" s="573">
        <f t="shared" si="3"/>
        <v>216.28134165000006</v>
      </c>
      <c r="AA5" s="573">
        <f t="shared" si="3"/>
        <v>216.28134165000006</v>
      </c>
      <c r="AB5" s="573">
        <f>AA5*(1+допущения!$C$37)</f>
        <v>231.42103556550006</v>
      </c>
      <c r="AC5" s="573">
        <f t="shared" si="3"/>
        <v>231.42103556550006</v>
      </c>
      <c r="AD5" s="573">
        <f t="shared" si="3"/>
        <v>231.42103556550006</v>
      </c>
      <c r="AE5" s="573">
        <f t="shared" si="3"/>
        <v>231.42103556550006</v>
      </c>
      <c r="AF5" s="573">
        <f>AE5*(1+допущения!C40)</f>
        <v>245.30629769943008</v>
      </c>
      <c r="AG5" s="573">
        <f t="shared" si="5"/>
        <v>245.30629769943008</v>
      </c>
      <c r="AH5" s="573">
        <f t="shared" si="5"/>
        <v>245.30629769943008</v>
      </c>
      <c r="AI5" s="573">
        <f t="shared" si="5"/>
        <v>245.30629769943008</v>
      </c>
      <c r="AJ5" s="573">
        <f>AI5*(1+допущения!$C$37)</f>
        <v>262.47773853839021</v>
      </c>
      <c r="AK5" s="573">
        <f t="shared" si="5"/>
        <v>262.47773853839021</v>
      </c>
      <c r="AL5" s="573">
        <f t="shared" si="5"/>
        <v>262.47773853839021</v>
      </c>
      <c r="AM5" s="573">
        <f t="shared" si="5"/>
        <v>262.47773853839021</v>
      </c>
      <c r="AN5" s="573">
        <f>AM5*(1+допущения!$C$37)</f>
        <v>280.85118023607754</v>
      </c>
      <c r="AO5" s="573">
        <f t="shared" si="5"/>
        <v>280.85118023607754</v>
      </c>
      <c r="AP5" s="573">
        <f t="shared" si="5"/>
        <v>280.85118023607754</v>
      </c>
      <c r="AQ5" s="573">
        <f t="shared" si="5"/>
        <v>280.85118023607754</v>
      </c>
      <c r="AR5" s="573">
        <f>AQ5*(1+допущения!$C$37)</f>
        <v>300.51076285260297</v>
      </c>
      <c r="AS5" s="573">
        <f t="shared" si="8"/>
        <v>300.51076285260297</v>
      </c>
      <c r="AT5" s="573">
        <f t="shared" si="8"/>
        <v>300.51076285260297</v>
      </c>
      <c r="AU5" s="573">
        <f t="shared" si="8"/>
        <v>300.51076285260297</v>
      </c>
      <c r="AV5" s="396"/>
      <c r="AW5" s="396">
        <f t="shared" si="9"/>
        <v>0</v>
      </c>
      <c r="AX5" s="397">
        <f t="shared" si="10"/>
        <v>660</v>
      </c>
      <c r="AY5" s="397">
        <f t="shared" si="11"/>
        <v>706.2</v>
      </c>
      <c r="AZ5" s="397">
        <f t="shared" si="12"/>
        <v>755.63400000000013</v>
      </c>
      <c r="BA5" s="397">
        <f t="shared" si="13"/>
        <v>808.5283800000002</v>
      </c>
      <c r="BB5" s="397">
        <f t="shared" si="14"/>
        <v>865.12536660000023</v>
      </c>
      <c r="BC5" s="397">
        <f t="shared" si="15"/>
        <v>925.68414226200025</v>
      </c>
      <c r="BD5" s="397">
        <f t="shared" si="16"/>
        <v>981.2251907977203</v>
      </c>
      <c r="BE5" s="397">
        <f t="shared" si="17"/>
        <v>1049.9109541535609</v>
      </c>
      <c r="BF5" s="397">
        <f t="shared" si="18"/>
        <v>1123.4047209443102</v>
      </c>
      <c r="BG5" s="397">
        <f t="shared" si="19"/>
        <v>1202.0430514104119</v>
      </c>
    </row>
    <row r="6" spans="1:59" s="110" customFormat="1" ht="28.8" x14ac:dyDescent="0.3">
      <c r="A6" s="574" t="s">
        <v>134</v>
      </c>
      <c r="B6" s="575">
        <f>SUM(B2:B5)</f>
        <v>4</v>
      </c>
      <c r="C6" s="576"/>
      <c r="D6" s="575">
        <f>SUM(D2:D5)</f>
        <v>0</v>
      </c>
      <c r="E6" s="575">
        <f t="shared" ref="E6:AQ6" si="20">SUM(E2:E5)</f>
        <v>0</v>
      </c>
      <c r="F6" s="575">
        <f t="shared" si="20"/>
        <v>0</v>
      </c>
      <c r="G6" s="575">
        <f t="shared" si="20"/>
        <v>0</v>
      </c>
      <c r="H6" s="575">
        <f t="shared" si="20"/>
        <v>825</v>
      </c>
      <c r="I6" s="575">
        <f t="shared" si="20"/>
        <v>825</v>
      </c>
      <c r="J6" s="575">
        <f t="shared" si="20"/>
        <v>825</v>
      </c>
      <c r="K6" s="575">
        <f t="shared" si="20"/>
        <v>825</v>
      </c>
      <c r="L6" s="575">
        <f t="shared" si="20"/>
        <v>882.75</v>
      </c>
      <c r="M6" s="575">
        <f t="shared" si="20"/>
        <v>882.75</v>
      </c>
      <c r="N6" s="575">
        <f t="shared" si="20"/>
        <v>882.75</v>
      </c>
      <c r="O6" s="575">
        <f t="shared" si="20"/>
        <v>882.75</v>
      </c>
      <c r="P6" s="575">
        <f t="shared" si="20"/>
        <v>944.54250000000013</v>
      </c>
      <c r="Q6" s="575">
        <f t="shared" si="20"/>
        <v>944.54250000000013</v>
      </c>
      <c r="R6" s="575">
        <f t="shared" si="20"/>
        <v>944.54250000000013</v>
      </c>
      <c r="S6" s="575">
        <f t="shared" si="20"/>
        <v>944.54250000000013</v>
      </c>
      <c r="T6" s="575">
        <f t="shared" si="20"/>
        <v>1010.6604750000002</v>
      </c>
      <c r="U6" s="575">
        <f t="shared" si="20"/>
        <v>1010.6604750000002</v>
      </c>
      <c r="V6" s="575">
        <f t="shared" si="20"/>
        <v>1010.6604750000002</v>
      </c>
      <c r="W6" s="575">
        <f t="shared" si="20"/>
        <v>1010.6604750000002</v>
      </c>
      <c r="X6" s="575">
        <f t="shared" si="20"/>
        <v>1081.4067082500003</v>
      </c>
      <c r="Y6" s="575">
        <f t="shared" si="20"/>
        <v>1081.4067082500003</v>
      </c>
      <c r="Z6" s="575">
        <f t="shared" si="20"/>
        <v>1081.4067082500003</v>
      </c>
      <c r="AA6" s="575">
        <f t="shared" si="20"/>
        <v>1081.4067082500003</v>
      </c>
      <c r="AB6" s="575">
        <f t="shared" si="20"/>
        <v>1157.1051778275003</v>
      </c>
      <c r="AC6" s="575">
        <f t="shared" si="20"/>
        <v>1157.1051778275003</v>
      </c>
      <c r="AD6" s="575">
        <f t="shared" si="20"/>
        <v>1157.1051778275003</v>
      </c>
      <c r="AE6" s="575">
        <f t="shared" si="20"/>
        <v>1157.1051778275003</v>
      </c>
      <c r="AF6" s="575">
        <f t="shared" si="20"/>
        <v>1217.9057953533454</v>
      </c>
      <c r="AG6" s="575">
        <f t="shared" si="20"/>
        <v>1217.9057953533454</v>
      </c>
      <c r="AH6" s="575">
        <f t="shared" si="20"/>
        <v>1217.9057953533454</v>
      </c>
      <c r="AI6" s="575">
        <f t="shared" si="20"/>
        <v>1217.9057953533454</v>
      </c>
      <c r="AJ6" s="575">
        <f t="shared" si="20"/>
        <v>1303.1592010280797</v>
      </c>
      <c r="AK6" s="575">
        <f t="shared" si="20"/>
        <v>1303.1592010280797</v>
      </c>
      <c r="AL6" s="575">
        <f t="shared" si="20"/>
        <v>1303.1592010280797</v>
      </c>
      <c r="AM6" s="575">
        <f t="shared" si="20"/>
        <v>1303.1592010280797</v>
      </c>
      <c r="AN6" s="575">
        <f t="shared" si="20"/>
        <v>1394.3803451000454</v>
      </c>
      <c r="AO6" s="575">
        <f t="shared" si="20"/>
        <v>1394.3803451000454</v>
      </c>
      <c r="AP6" s="575">
        <f t="shared" si="20"/>
        <v>1394.3803451000454</v>
      </c>
      <c r="AQ6" s="577">
        <f t="shared" si="20"/>
        <v>1394.3803451000454</v>
      </c>
      <c r="AR6" s="578">
        <f>AQ6*(1+допущения!$C$37)</f>
        <v>1491.9869692570487</v>
      </c>
      <c r="AS6" s="578">
        <f t="shared" si="8"/>
        <v>1491.9869692570487</v>
      </c>
      <c r="AT6" s="578">
        <f t="shared" si="8"/>
        <v>1491.9869692570487</v>
      </c>
      <c r="AU6" s="578">
        <f t="shared" si="8"/>
        <v>1491.9869692570487</v>
      </c>
      <c r="AV6" s="559"/>
      <c r="AW6" s="559">
        <f t="shared" si="9"/>
        <v>0</v>
      </c>
      <c r="AX6" s="560">
        <f t="shared" si="10"/>
        <v>3300</v>
      </c>
      <c r="AY6" s="560">
        <f t="shared" si="11"/>
        <v>3531</v>
      </c>
      <c r="AZ6" s="560">
        <f t="shared" si="12"/>
        <v>3778.1700000000005</v>
      </c>
      <c r="BA6" s="560">
        <f t="shared" si="13"/>
        <v>4042.641900000001</v>
      </c>
      <c r="BB6" s="560">
        <f t="shared" si="14"/>
        <v>4325.6268330000012</v>
      </c>
      <c r="BC6" s="560">
        <f t="shared" si="15"/>
        <v>4628.420711310001</v>
      </c>
      <c r="BD6" s="560">
        <f t="shared" si="16"/>
        <v>4871.6231814133816</v>
      </c>
      <c r="BE6" s="560">
        <f t="shared" si="17"/>
        <v>5212.6368041123187</v>
      </c>
      <c r="BF6" s="560">
        <f t="shared" si="18"/>
        <v>5577.5213804001814</v>
      </c>
      <c r="BG6" s="560">
        <f t="shared" si="19"/>
        <v>5967.9478770281949</v>
      </c>
    </row>
    <row r="7" spans="1:59" s="114" customFormat="1" ht="16.5" customHeight="1" x14ac:dyDescent="0.3">
      <c r="A7" s="579" t="s">
        <v>135</v>
      </c>
      <c r="B7" s="580"/>
      <c r="C7" s="581"/>
      <c r="D7" s="580">
        <f>D6*$B$61</f>
        <v>0</v>
      </c>
      <c r="E7" s="580">
        <f t="shared" ref="E7:AQ7" si="21">E6*$B$61</f>
        <v>0</v>
      </c>
      <c r="F7" s="580">
        <f t="shared" si="21"/>
        <v>0</v>
      </c>
      <c r="G7" s="580">
        <f t="shared" si="21"/>
        <v>0</v>
      </c>
      <c r="H7" s="580">
        <f>H6*$B$61</f>
        <v>247.5</v>
      </c>
      <c r="I7" s="580">
        <f t="shared" si="21"/>
        <v>247.5</v>
      </c>
      <c r="J7" s="580">
        <f t="shared" si="21"/>
        <v>247.5</v>
      </c>
      <c r="K7" s="580">
        <f t="shared" si="21"/>
        <v>247.5</v>
      </c>
      <c r="L7" s="580">
        <f t="shared" si="21"/>
        <v>264.82499999999999</v>
      </c>
      <c r="M7" s="580">
        <f t="shared" si="21"/>
        <v>264.82499999999999</v>
      </c>
      <c r="N7" s="580">
        <f t="shared" si="21"/>
        <v>264.82499999999999</v>
      </c>
      <c r="O7" s="580">
        <f t="shared" si="21"/>
        <v>264.82499999999999</v>
      </c>
      <c r="P7" s="580">
        <f t="shared" si="21"/>
        <v>283.36275000000001</v>
      </c>
      <c r="Q7" s="580">
        <f t="shared" si="21"/>
        <v>283.36275000000001</v>
      </c>
      <c r="R7" s="580">
        <f t="shared" si="21"/>
        <v>283.36275000000001</v>
      </c>
      <c r="S7" s="580">
        <f t="shared" si="21"/>
        <v>283.36275000000001</v>
      </c>
      <c r="T7" s="580">
        <f t="shared" si="21"/>
        <v>303.19814250000007</v>
      </c>
      <c r="U7" s="580">
        <f t="shared" si="21"/>
        <v>303.19814250000007</v>
      </c>
      <c r="V7" s="580">
        <f t="shared" si="21"/>
        <v>303.19814250000007</v>
      </c>
      <c r="W7" s="580">
        <f t="shared" si="21"/>
        <v>303.19814250000007</v>
      </c>
      <c r="X7" s="580">
        <f t="shared" si="21"/>
        <v>324.42201247500009</v>
      </c>
      <c r="Y7" s="580">
        <f t="shared" si="21"/>
        <v>324.42201247500009</v>
      </c>
      <c r="Z7" s="580">
        <f t="shared" si="21"/>
        <v>324.42201247500009</v>
      </c>
      <c r="AA7" s="580">
        <f t="shared" si="21"/>
        <v>324.42201247500009</v>
      </c>
      <c r="AB7" s="580">
        <f t="shared" si="21"/>
        <v>347.13155334825007</v>
      </c>
      <c r="AC7" s="580">
        <f t="shared" si="21"/>
        <v>347.13155334825007</v>
      </c>
      <c r="AD7" s="580">
        <f t="shared" si="21"/>
        <v>347.13155334825007</v>
      </c>
      <c r="AE7" s="580">
        <f t="shared" si="21"/>
        <v>347.13155334825007</v>
      </c>
      <c r="AF7" s="580">
        <f t="shared" si="21"/>
        <v>365.37173860600359</v>
      </c>
      <c r="AG7" s="580">
        <f t="shared" si="21"/>
        <v>365.37173860600359</v>
      </c>
      <c r="AH7" s="580">
        <f t="shared" si="21"/>
        <v>365.37173860600359</v>
      </c>
      <c r="AI7" s="580">
        <f t="shared" si="21"/>
        <v>365.37173860600359</v>
      </c>
      <c r="AJ7" s="580">
        <f t="shared" si="21"/>
        <v>390.94776030842388</v>
      </c>
      <c r="AK7" s="580">
        <f t="shared" si="21"/>
        <v>390.94776030842388</v>
      </c>
      <c r="AL7" s="580">
        <f t="shared" si="21"/>
        <v>390.94776030842388</v>
      </c>
      <c r="AM7" s="580">
        <f t="shared" si="21"/>
        <v>390.94776030842388</v>
      </c>
      <c r="AN7" s="580">
        <f t="shared" si="21"/>
        <v>418.3141035300136</v>
      </c>
      <c r="AO7" s="580">
        <f t="shared" si="21"/>
        <v>418.3141035300136</v>
      </c>
      <c r="AP7" s="580">
        <f t="shared" si="21"/>
        <v>418.3141035300136</v>
      </c>
      <c r="AQ7" s="580">
        <f t="shared" si="21"/>
        <v>418.3141035300136</v>
      </c>
      <c r="AR7" s="580">
        <f>AQ7*(1+допущения!$C$37)</f>
        <v>447.59609077711457</v>
      </c>
      <c r="AS7" s="580">
        <f t="shared" si="8"/>
        <v>447.59609077711457</v>
      </c>
      <c r="AT7" s="580">
        <f t="shared" si="8"/>
        <v>447.59609077711457</v>
      </c>
      <c r="AU7" s="580">
        <f t="shared" si="8"/>
        <v>447.59609077711457</v>
      </c>
      <c r="AV7" s="115"/>
      <c r="AW7" s="561">
        <f t="shared" si="9"/>
        <v>0</v>
      </c>
      <c r="AX7" s="405">
        <f t="shared" si="10"/>
        <v>990</v>
      </c>
      <c r="AY7" s="405">
        <f t="shared" si="11"/>
        <v>1059.3</v>
      </c>
      <c r="AZ7" s="405">
        <f t="shared" si="12"/>
        <v>1133.451</v>
      </c>
      <c r="BA7" s="405">
        <f t="shared" si="13"/>
        <v>1212.7925700000003</v>
      </c>
      <c r="BB7" s="405">
        <f t="shared" si="14"/>
        <v>1297.6880499000004</v>
      </c>
      <c r="BC7" s="405">
        <f t="shared" si="15"/>
        <v>1388.5262133930003</v>
      </c>
      <c r="BD7" s="405">
        <f t="shared" si="16"/>
        <v>1461.4869544240144</v>
      </c>
      <c r="BE7" s="405">
        <f t="shared" si="17"/>
        <v>1563.7910412336955</v>
      </c>
      <c r="BF7" s="405">
        <f t="shared" si="18"/>
        <v>1673.2564141200544</v>
      </c>
      <c r="BG7" s="405">
        <f t="shared" si="19"/>
        <v>1790.3843631084583</v>
      </c>
    </row>
    <row r="8" spans="1:59" x14ac:dyDescent="0.3">
      <c r="A8" s="582" t="s">
        <v>136</v>
      </c>
      <c r="B8" s="565"/>
      <c r="C8" s="583"/>
      <c r="D8" s="565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5"/>
      <c r="AJ8" s="565"/>
      <c r="AK8" s="565"/>
      <c r="AL8" s="565"/>
      <c r="AM8" s="565"/>
      <c r="AN8" s="565"/>
      <c r="AO8" s="565"/>
      <c r="AP8" s="565"/>
      <c r="AQ8" s="565"/>
      <c r="AR8" s="573"/>
      <c r="AS8" s="573"/>
      <c r="AT8" s="573"/>
      <c r="AU8" s="573"/>
      <c r="AV8" s="97"/>
      <c r="AW8" s="116">
        <f t="shared" si="9"/>
        <v>0</v>
      </c>
      <c r="AX8" s="397">
        <f t="shared" si="10"/>
        <v>0</v>
      </c>
      <c r="AY8" s="397">
        <f t="shared" si="11"/>
        <v>0</v>
      </c>
      <c r="AZ8" s="397">
        <f t="shared" si="12"/>
        <v>0</v>
      </c>
      <c r="BA8" s="397">
        <f t="shared" si="13"/>
        <v>0</v>
      </c>
      <c r="BB8" s="397">
        <f t="shared" si="14"/>
        <v>0</v>
      </c>
      <c r="BC8" s="397">
        <f t="shared" si="15"/>
        <v>0</v>
      </c>
      <c r="BD8" s="397">
        <f t="shared" si="16"/>
        <v>0</v>
      </c>
      <c r="BE8" s="397">
        <f t="shared" si="17"/>
        <v>0</v>
      </c>
      <c r="BF8" s="397">
        <f t="shared" si="18"/>
        <v>0</v>
      </c>
      <c r="BG8" s="397">
        <f t="shared" si="19"/>
        <v>0</v>
      </c>
    </row>
    <row r="9" spans="1:59" s="398" customFormat="1" x14ac:dyDescent="0.3">
      <c r="A9" s="570" t="s">
        <v>137</v>
      </c>
      <c r="B9" s="571">
        <v>1</v>
      </c>
      <c r="C9" s="572">
        <v>55</v>
      </c>
      <c r="D9" s="584">
        <v>0</v>
      </c>
      <c r="E9" s="584">
        <v>0</v>
      </c>
      <c r="F9" s="584">
        <v>0</v>
      </c>
      <c r="G9" s="584">
        <v>0</v>
      </c>
      <c r="H9" s="584">
        <f>$B$9*$C$9*3</f>
        <v>165</v>
      </c>
      <c r="I9" s="584">
        <f>H9</f>
        <v>165</v>
      </c>
      <c r="J9" s="584">
        <f t="shared" ref="J9:S9" si="22">I9</f>
        <v>165</v>
      </c>
      <c r="K9" s="584">
        <f t="shared" si="22"/>
        <v>165</v>
      </c>
      <c r="L9" s="584">
        <f>K9*(1+допущения!$C$37)</f>
        <v>176.55</v>
      </c>
      <c r="M9" s="584">
        <f t="shared" si="22"/>
        <v>176.55</v>
      </c>
      <c r="N9" s="584">
        <f t="shared" si="22"/>
        <v>176.55</v>
      </c>
      <c r="O9" s="584">
        <f t="shared" si="22"/>
        <v>176.55</v>
      </c>
      <c r="P9" s="584">
        <f>O9*(1+допущения!$C$37)</f>
        <v>188.90850000000003</v>
      </c>
      <c r="Q9" s="584">
        <f t="shared" si="22"/>
        <v>188.90850000000003</v>
      </c>
      <c r="R9" s="584">
        <f t="shared" si="22"/>
        <v>188.90850000000003</v>
      </c>
      <c r="S9" s="584">
        <f t="shared" si="22"/>
        <v>188.90850000000003</v>
      </c>
      <c r="T9" s="584">
        <f>S9*(1+допущения!$C$37)</f>
        <v>202.13209500000005</v>
      </c>
      <c r="U9" s="584">
        <f>T9</f>
        <v>202.13209500000005</v>
      </c>
      <c r="V9" s="584">
        <f>U9</f>
        <v>202.13209500000005</v>
      </c>
      <c r="W9" s="584">
        <f>V9</f>
        <v>202.13209500000005</v>
      </c>
      <c r="X9" s="584">
        <f>W9*(1+допущения!$C$37)</f>
        <v>216.28134165000006</v>
      </c>
      <c r="Y9" s="584">
        <f>X9</f>
        <v>216.28134165000006</v>
      </c>
      <c r="Z9" s="584">
        <f t="shared" ref="Z9:AE9" si="23">Y9</f>
        <v>216.28134165000006</v>
      </c>
      <c r="AA9" s="584">
        <f t="shared" si="23"/>
        <v>216.28134165000006</v>
      </c>
      <c r="AB9" s="584">
        <f>AA9*(1+допущения!$C$37)</f>
        <v>231.42103556550006</v>
      </c>
      <c r="AC9" s="584">
        <f t="shared" si="23"/>
        <v>231.42103556550006</v>
      </c>
      <c r="AD9" s="584">
        <f t="shared" si="23"/>
        <v>231.42103556550006</v>
      </c>
      <c r="AE9" s="584">
        <f t="shared" si="23"/>
        <v>231.42103556550006</v>
      </c>
      <c r="AF9" s="584">
        <f>AE9*(1+допущения!$C$37)</f>
        <v>247.62050805508508</v>
      </c>
      <c r="AG9" s="584">
        <f>AF9</f>
        <v>247.62050805508508</v>
      </c>
      <c r="AH9" s="584">
        <f t="shared" ref="AH9:AQ9" si="24">AG9</f>
        <v>247.62050805508508</v>
      </c>
      <c r="AI9" s="584">
        <f t="shared" si="24"/>
        <v>247.62050805508508</v>
      </c>
      <c r="AJ9" s="584">
        <f>AI9*(1+допущения!$C$37)</f>
        <v>264.95394361894103</v>
      </c>
      <c r="AK9" s="584">
        <f t="shared" si="24"/>
        <v>264.95394361894103</v>
      </c>
      <c r="AL9" s="584">
        <f t="shared" si="24"/>
        <v>264.95394361894103</v>
      </c>
      <c r="AM9" s="584">
        <f t="shared" si="24"/>
        <v>264.95394361894103</v>
      </c>
      <c r="AN9" s="584">
        <f>AM9*(1+допущения!$C$37)</f>
        <v>283.50071967226694</v>
      </c>
      <c r="AO9" s="584">
        <f t="shared" si="24"/>
        <v>283.50071967226694</v>
      </c>
      <c r="AP9" s="584">
        <f t="shared" si="24"/>
        <v>283.50071967226694</v>
      </c>
      <c r="AQ9" s="584">
        <f t="shared" si="24"/>
        <v>283.50071967226694</v>
      </c>
      <c r="AR9" s="573">
        <f>AQ9*(1+допущения!$C$37)</f>
        <v>303.34577004932567</v>
      </c>
      <c r="AS9" s="573">
        <f t="shared" si="8"/>
        <v>303.34577004932567</v>
      </c>
      <c r="AT9" s="573">
        <f t="shared" si="8"/>
        <v>303.34577004932567</v>
      </c>
      <c r="AU9" s="573">
        <f t="shared" si="8"/>
        <v>303.34577004932567</v>
      </c>
      <c r="AV9" s="396"/>
      <c r="AW9" s="116">
        <f t="shared" si="9"/>
        <v>0</v>
      </c>
      <c r="AX9" s="397">
        <f t="shared" si="10"/>
        <v>660</v>
      </c>
      <c r="AY9" s="397">
        <f t="shared" si="11"/>
        <v>706.2</v>
      </c>
      <c r="AZ9" s="397">
        <f t="shared" si="12"/>
        <v>755.63400000000013</v>
      </c>
      <c r="BA9" s="397">
        <f t="shared" si="13"/>
        <v>808.5283800000002</v>
      </c>
      <c r="BB9" s="397">
        <f t="shared" si="14"/>
        <v>865.12536660000023</v>
      </c>
      <c r="BC9" s="397">
        <f t="shared" si="15"/>
        <v>925.68414226200025</v>
      </c>
      <c r="BD9" s="397">
        <f t="shared" si="16"/>
        <v>990.48203222034033</v>
      </c>
      <c r="BE9" s="397">
        <f t="shared" si="17"/>
        <v>1059.8157744757641</v>
      </c>
      <c r="BF9" s="397">
        <f t="shared" si="18"/>
        <v>1134.0028786890678</v>
      </c>
      <c r="BG9" s="397">
        <f t="shared" si="19"/>
        <v>1213.3830801973027</v>
      </c>
    </row>
    <row r="10" spans="1:59" s="398" customFormat="1" ht="28.8" x14ac:dyDescent="0.3">
      <c r="A10" s="570" t="s">
        <v>138</v>
      </c>
      <c r="B10" s="571">
        <v>3</v>
      </c>
      <c r="C10" s="572">
        <v>46</v>
      </c>
      <c r="D10" s="584">
        <v>0</v>
      </c>
      <c r="E10" s="584">
        <v>0</v>
      </c>
      <c r="F10" s="584">
        <v>0</v>
      </c>
      <c r="G10" s="584">
        <v>0</v>
      </c>
      <c r="H10" s="584">
        <f>$B$10*$C$10*3</f>
        <v>414</v>
      </c>
      <c r="I10" s="584">
        <f t="shared" ref="I10:S14" si="25">H10</f>
        <v>414</v>
      </c>
      <c r="J10" s="584">
        <f t="shared" ref="J10:S12" si="26">I10</f>
        <v>414</v>
      </c>
      <c r="K10" s="584">
        <f t="shared" si="26"/>
        <v>414</v>
      </c>
      <c r="L10" s="584">
        <f>K10*(1+допущения!$C$37)</f>
        <v>442.98</v>
      </c>
      <c r="M10" s="584">
        <f t="shared" si="26"/>
        <v>442.98</v>
      </c>
      <c r="N10" s="584">
        <f t="shared" si="26"/>
        <v>442.98</v>
      </c>
      <c r="O10" s="584">
        <f t="shared" si="26"/>
        <v>442.98</v>
      </c>
      <c r="P10" s="584">
        <f>O10*(1+допущения!$C$37)</f>
        <v>473.98860000000002</v>
      </c>
      <c r="Q10" s="584">
        <f t="shared" si="26"/>
        <v>473.98860000000002</v>
      </c>
      <c r="R10" s="584">
        <f t="shared" si="26"/>
        <v>473.98860000000002</v>
      </c>
      <c r="S10" s="584">
        <f t="shared" si="26"/>
        <v>473.98860000000002</v>
      </c>
      <c r="T10" s="584">
        <f>S10*(1+допущения!$C$37)</f>
        <v>507.16780200000005</v>
      </c>
      <c r="U10" s="584">
        <f t="shared" ref="U10:AE12" si="27">T10</f>
        <v>507.16780200000005</v>
      </c>
      <c r="V10" s="584">
        <f t="shared" si="27"/>
        <v>507.16780200000005</v>
      </c>
      <c r="W10" s="584">
        <f t="shared" si="27"/>
        <v>507.16780200000005</v>
      </c>
      <c r="X10" s="584">
        <f>W10*(1+допущения!$C$37)</f>
        <v>542.66954814000007</v>
      </c>
      <c r="Y10" s="584">
        <f t="shared" si="27"/>
        <v>542.66954814000007</v>
      </c>
      <c r="Z10" s="584">
        <f t="shared" si="27"/>
        <v>542.66954814000007</v>
      </c>
      <c r="AA10" s="584">
        <f t="shared" si="27"/>
        <v>542.66954814000007</v>
      </c>
      <c r="AB10" s="584">
        <f>AA10*(1+допущения!$C$37)</f>
        <v>580.65641650980012</v>
      </c>
      <c r="AC10" s="584">
        <f t="shared" si="27"/>
        <v>580.65641650980012</v>
      </c>
      <c r="AD10" s="584">
        <f t="shared" si="27"/>
        <v>580.65641650980012</v>
      </c>
      <c r="AE10" s="584">
        <f t="shared" si="27"/>
        <v>580.65641650980012</v>
      </c>
      <c r="AF10" s="584">
        <f>AE10*(1+допущения!$C$37)</f>
        <v>621.30236566548615</v>
      </c>
      <c r="AG10" s="584">
        <f t="shared" ref="AG10:AQ14" si="28">AF10</f>
        <v>621.30236566548615</v>
      </c>
      <c r="AH10" s="584">
        <f t="shared" si="28"/>
        <v>621.30236566548615</v>
      </c>
      <c r="AI10" s="584">
        <f t="shared" si="28"/>
        <v>621.30236566548615</v>
      </c>
      <c r="AJ10" s="584">
        <f>AI10*(1+допущения!$C$37)</f>
        <v>664.79353126207025</v>
      </c>
      <c r="AK10" s="584">
        <f t="shared" si="28"/>
        <v>664.79353126207025</v>
      </c>
      <c r="AL10" s="584">
        <f t="shared" si="28"/>
        <v>664.79353126207025</v>
      </c>
      <c r="AM10" s="584">
        <f t="shared" si="28"/>
        <v>664.79353126207025</v>
      </c>
      <c r="AN10" s="584">
        <f>AM10*(1+допущения!$C$37)</f>
        <v>711.32907845041518</v>
      </c>
      <c r="AO10" s="584">
        <f t="shared" si="28"/>
        <v>711.32907845041518</v>
      </c>
      <c r="AP10" s="584">
        <f t="shared" si="28"/>
        <v>711.32907845041518</v>
      </c>
      <c r="AQ10" s="584">
        <f t="shared" si="28"/>
        <v>711.32907845041518</v>
      </c>
      <c r="AR10" s="573">
        <f>AQ10*(1+допущения!$C$37)</f>
        <v>761.12211394194424</v>
      </c>
      <c r="AS10" s="573">
        <f t="shared" si="8"/>
        <v>761.12211394194424</v>
      </c>
      <c r="AT10" s="573">
        <f t="shared" si="8"/>
        <v>761.12211394194424</v>
      </c>
      <c r="AU10" s="573">
        <f t="shared" si="8"/>
        <v>761.12211394194424</v>
      </c>
      <c r="AV10" s="396"/>
      <c r="AW10" s="116">
        <f t="shared" ref="AW10:AW13" si="29">SUM(D10:G10)</f>
        <v>0</v>
      </c>
      <c r="AX10" s="397">
        <f t="shared" si="10"/>
        <v>1656</v>
      </c>
      <c r="AY10" s="397">
        <f t="shared" si="11"/>
        <v>1771.92</v>
      </c>
      <c r="AZ10" s="397">
        <f t="shared" si="12"/>
        <v>1895.9544000000001</v>
      </c>
      <c r="BA10" s="397">
        <f t="shared" si="13"/>
        <v>2028.6712080000002</v>
      </c>
      <c r="BB10" s="397">
        <f t="shared" si="14"/>
        <v>2170.6781925600003</v>
      </c>
      <c r="BC10" s="397">
        <f t="shared" si="15"/>
        <v>2322.6256660392005</v>
      </c>
      <c r="BD10" s="397">
        <f t="shared" si="16"/>
        <v>2485.2094626619446</v>
      </c>
      <c r="BE10" s="397">
        <f t="shared" si="17"/>
        <v>2659.174125048281</v>
      </c>
      <c r="BF10" s="397">
        <f t="shared" si="18"/>
        <v>2845.3163138016607</v>
      </c>
      <c r="BG10" s="397">
        <f t="shared" si="19"/>
        <v>3044.4884557677769</v>
      </c>
    </row>
    <row r="11" spans="1:59" s="398" customFormat="1" ht="28.8" x14ac:dyDescent="0.3">
      <c r="A11" s="570" t="s">
        <v>139</v>
      </c>
      <c r="B11" s="571">
        <v>5</v>
      </c>
      <c r="C11" s="572">
        <v>45</v>
      </c>
      <c r="D11" s="584">
        <v>0</v>
      </c>
      <c r="E11" s="584">
        <v>0</v>
      </c>
      <c r="F11" s="584">
        <v>0</v>
      </c>
      <c r="G11" s="584">
        <v>0</v>
      </c>
      <c r="H11" s="584">
        <f>$B$11*$C$11*3</f>
        <v>675</v>
      </c>
      <c r="I11" s="584">
        <f t="shared" si="25"/>
        <v>675</v>
      </c>
      <c r="J11" s="584">
        <f t="shared" si="26"/>
        <v>675</v>
      </c>
      <c r="K11" s="584">
        <f t="shared" si="26"/>
        <v>675</v>
      </c>
      <c r="L11" s="584">
        <f>K11*(1+допущения!$C$37)</f>
        <v>722.25</v>
      </c>
      <c r="M11" s="584">
        <f t="shared" si="26"/>
        <v>722.25</v>
      </c>
      <c r="N11" s="584">
        <f t="shared" si="26"/>
        <v>722.25</v>
      </c>
      <c r="O11" s="584">
        <f t="shared" si="26"/>
        <v>722.25</v>
      </c>
      <c r="P11" s="584">
        <f>O11*(1+допущения!$C$37)</f>
        <v>772.8075</v>
      </c>
      <c r="Q11" s="584">
        <f t="shared" si="26"/>
        <v>772.8075</v>
      </c>
      <c r="R11" s="584">
        <f t="shared" si="26"/>
        <v>772.8075</v>
      </c>
      <c r="S11" s="584">
        <f t="shared" si="26"/>
        <v>772.8075</v>
      </c>
      <c r="T11" s="584">
        <f>S11*(1+допущения!$C$37)</f>
        <v>826.90402500000005</v>
      </c>
      <c r="U11" s="584">
        <f t="shared" si="27"/>
        <v>826.90402500000005</v>
      </c>
      <c r="V11" s="584">
        <f t="shared" si="27"/>
        <v>826.90402500000005</v>
      </c>
      <c r="W11" s="584">
        <f t="shared" si="27"/>
        <v>826.90402500000005</v>
      </c>
      <c r="X11" s="584">
        <f>W11*(1+допущения!$C$37)</f>
        <v>884.78730675000008</v>
      </c>
      <c r="Y11" s="584">
        <f t="shared" si="27"/>
        <v>884.78730675000008</v>
      </c>
      <c r="Z11" s="584">
        <f t="shared" si="27"/>
        <v>884.78730675000008</v>
      </c>
      <c r="AA11" s="584">
        <f t="shared" si="27"/>
        <v>884.78730675000008</v>
      </c>
      <c r="AB11" s="584">
        <f>AA11*(1+допущения!$C$37)</f>
        <v>946.7224182225001</v>
      </c>
      <c r="AC11" s="584">
        <f t="shared" si="27"/>
        <v>946.7224182225001</v>
      </c>
      <c r="AD11" s="584">
        <f t="shared" si="27"/>
        <v>946.7224182225001</v>
      </c>
      <c r="AE11" s="584">
        <f t="shared" si="27"/>
        <v>946.7224182225001</v>
      </c>
      <c r="AF11" s="584">
        <f>AE11*(1+допущения!$C$37)</f>
        <v>1012.9929874980752</v>
      </c>
      <c r="AG11" s="584">
        <f t="shared" si="28"/>
        <v>1012.9929874980752</v>
      </c>
      <c r="AH11" s="584">
        <f t="shared" si="28"/>
        <v>1012.9929874980752</v>
      </c>
      <c r="AI11" s="584">
        <f t="shared" si="28"/>
        <v>1012.9929874980752</v>
      </c>
      <c r="AJ11" s="584">
        <f>AI11*(1+допущения!$C$37)</f>
        <v>1083.9024966229406</v>
      </c>
      <c r="AK11" s="584">
        <f t="shared" si="28"/>
        <v>1083.9024966229406</v>
      </c>
      <c r="AL11" s="584">
        <f t="shared" si="28"/>
        <v>1083.9024966229406</v>
      </c>
      <c r="AM11" s="584">
        <f t="shared" si="28"/>
        <v>1083.9024966229406</v>
      </c>
      <c r="AN11" s="584">
        <f>AM11*(1+допущения!$C$37)</f>
        <v>1159.7756713865465</v>
      </c>
      <c r="AO11" s="584">
        <f t="shared" si="28"/>
        <v>1159.7756713865465</v>
      </c>
      <c r="AP11" s="584">
        <f t="shared" si="28"/>
        <v>1159.7756713865465</v>
      </c>
      <c r="AQ11" s="584">
        <f t="shared" si="28"/>
        <v>1159.7756713865465</v>
      </c>
      <c r="AR11" s="573">
        <f>AQ11*(1+допущения!$C$37)</f>
        <v>1240.9599683836047</v>
      </c>
      <c r="AS11" s="573">
        <f t="shared" si="8"/>
        <v>1240.9599683836047</v>
      </c>
      <c r="AT11" s="573">
        <f t="shared" si="8"/>
        <v>1240.9599683836047</v>
      </c>
      <c r="AU11" s="573">
        <f t="shared" si="8"/>
        <v>1240.9599683836047</v>
      </c>
      <c r="AV11" s="396"/>
      <c r="AW11" s="116">
        <f t="shared" si="29"/>
        <v>0</v>
      </c>
      <c r="AX11" s="397">
        <f t="shared" si="10"/>
        <v>2700</v>
      </c>
      <c r="AY11" s="397">
        <f t="shared" si="11"/>
        <v>2889</v>
      </c>
      <c r="AZ11" s="397">
        <f t="shared" si="12"/>
        <v>3091.23</v>
      </c>
      <c r="BA11" s="397">
        <f t="shared" si="13"/>
        <v>3307.6161000000002</v>
      </c>
      <c r="BB11" s="397">
        <f t="shared" si="14"/>
        <v>3539.1492270000003</v>
      </c>
      <c r="BC11" s="397">
        <f t="shared" si="15"/>
        <v>3786.8896728900004</v>
      </c>
      <c r="BD11" s="397">
        <f t="shared" si="16"/>
        <v>4051.9719499923008</v>
      </c>
      <c r="BE11" s="397">
        <f t="shared" si="17"/>
        <v>4335.6099864917624</v>
      </c>
      <c r="BF11" s="397">
        <f t="shared" si="18"/>
        <v>4639.102685546186</v>
      </c>
      <c r="BG11" s="397">
        <f t="shared" si="19"/>
        <v>4963.839873534419</v>
      </c>
    </row>
    <row r="12" spans="1:59" s="398" customFormat="1" ht="14.25" customHeight="1" x14ac:dyDescent="0.3">
      <c r="A12" s="570" t="s">
        <v>140</v>
      </c>
      <c r="B12" s="571">
        <v>1</v>
      </c>
      <c r="C12" s="572">
        <v>50</v>
      </c>
      <c r="D12" s="584">
        <v>0</v>
      </c>
      <c r="E12" s="584">
        <v>0</v>
      </c>
      <c r="F12" s="584">
        <v>0</v>
      </c>
      <c r="G12" s="584">
        <v>0</v>
      </c>
      <c r="H12" s="584">
        <f>$B$12*$C$12*3</f>
        <v>150</v>
      </c>
      <c r="I12" s="584">
        <f t="shared" si="25"/>
        <v>150</v>
      </c>
      <c r="J12" s="584">
        <f t="shared" si="26"/>
        <v>150</v>
      </c>
      <c r="K12" s="584">
        <f t="shared" si="26"/>
        <v>150</v>
      </c>
      <c r="L12" s="584">
        <f>K12*(1+допущения!$C$37)</f>
        <v>160.5</v>
      </c>
      <c r="M12" s="584">
        <f t="shared" si="26"/>
        <v>160.5</v>
      </c>
      <c r="N12" s="584">
        <f t="shared" si="26"/>
        <v>160.5</v>
      </c>
      <c r="O12" s="584">
        <f t="shared" si="26"/>
        <v>160.5</v>
      </c>
      <c r="P12" s="584">
        <f>O12*(1+допущения!$C$37)</f>
        <v>171.73500000000001</v>
      </c>
      <c r="Q12" s="584">
        <f t="shared" si="26"/>
        <v>171.73500000000001</v>
      </c>
      <c r="R12" s="584">
        <f t="shared" si="26"/>
        <v>171.73500000000001</v>
      </c>
      <c r="S12" s="584">
        <f t="shared" si="26"/>
        <v>171.73500000000001</v>
      </c>
      <c r="T12" s="584">
        <f>S12*(1+допущения!$C$37)</f>
        <v>183.75645000000003</v>
      </c>
      <c r="U12" s="584">
        <f t="shared" si="27"/>
        <v>183.75645000000003</v>
      </c>
      <c r="V12" s="584">
        <f t="shared" si="27"/>
        <v>183.75645000000003</v>
      </c>
      <c r="W12" s="584">
        <f t="shared" si="27"/>
        <v>183.75645000000003</v>
      </c>
      <c r="X12" s="584">
        <f>W12*(1+допущения!$C$37)</f>
        <v>196.61940150000004</v>
      </c>
      <c r="Y12" s="584">
        <f t="shared" si="27"/>
        <v>196.61940150000004</v>
      </c>
      <c r="Z12" s="584">
        <f t="shared" si="27"/>
        <v>196.61940150000004</v>
      </c>
      <c r="AA12" s="584">
        <f t="shared" si="27"/>
        <v>196.61940150000004</v>
      </c>
      <c r="AB12" s="584">
        <f>AA12*(1+допущения!$C$37)</f>
        <v>210.38275960500005</v>
      </c>
      <c r="AC12" s="584">
        <f t="shared" si="27"/>
        <v>210.38275960500005</v>
      </c>
      <c r="AD12" s="584">
        <f t="shared" si="27"/>
        <v>210.38275960500005</v>
      </c>
      <c r="AE12" s="584">
        <f t="shared" si="27"/>
        <v>210.38275960500005</v>
      </c>
      <c r="AF12" s="584">
        <f>AE12*(1+допущения!$C$37)</f>
        <v>225.10955277735007</v>
      </c>
      <c r="AG12" s="584">
        <f t="shared" si="28"/>
        <v>225.10955277735007</v>
      </c>
      <c r="AH12" s="584">
        <f t="shared" si="28"/>
        <v>225.10955277735007</v>
      </c>
      <c r="AI12" s="584">
        <f t="shared" si="28"/>
        <v>225.10955277735007</v>
      </c>
      <c r="AJ12" s="584">
        <f>AI12*(1+допущения!$C$37)</f>
        <v>240.86722147176459</v>
      </c>
      <c r="AK12" s="584">
        <f t="shared" si="28"/>
        <v>240.86722147176459</v>
      </c>
      <c r="AL12" s="584">
        <f t="shared" si="28"/>
        <v>240.86722147176459</v>
      </c>
      <c r="AM12" s="584">
        <f t="shared" si="28"/>
        <v>240.86722147176459</v>
      </c>
      <c r="AN12" s="584">
        <f>AM12*(1+допущения!$C$37)</f>
        <v>257.72792697478815</v>
      </c>
      <c r="AO12" s="584">
        <f t="shared" si="28"/>
        <v>257.72792697478815</v>
      </c>
      <c r="AP12" s="584">
        <f t="shared" si="28"/>
        <v>257.72792697478815</v>
      </c>
      <c r="AQ12" s="584">
        <f t="shared" si="28"/>
        <v>257.72792697478815</v>
      </c>
      <c r="AR12" s="573">
        <f>AQ12*(1+допущения!$C$37)</f>
        <v>275.76888186302335</v>
      </c>
      <c r="AS12" s="573">
        <f t="shared" si="8"/>
        <v>275.76888186302335</v>
      </c>
      <c r="AT12" s="573">
        <f t="shared" si="8"/>
        <v>275.76888186302335</v>
      </c>
      <c r="AU12" s="573">
        <f t="shared" si="8"/>
        <v>275.76888186302335</v>
      </c>
      <c r="AV12" s="396"/>
      <c r="AW12" s="116">
        <f t="shared" si="29"/>
        <v>0</v>
      </c>
      <c r="AX12" s="397">
        <f t="shared" si="10"/>
        <v>600</v>
      </c>
      <c r="AY12" s="397">
        <f t="shared" si="11"/>
        <v>642</v>
      </c>
      <c r="AZ12" s="397">
        <f t="shared" si="12"/>
        <v>686.94</v>
      </c>
      <c r="BA12" s="397">
        <f t="shared" si="13"/>
        <v>735.02580000000012</v>
      </c>
      <c r="BB12" s="397">
        <f t="shared" si="14"/>
        <v>786.47760600000015</v>
      </c>
      <c r="BC12" s="397">
        <f t="shared" si="15"/>
        <v>841.53103842000019</v>
      </c>
      <c r="BD12" s="397">
        <f t="shared" si="16"/>
        <v>900.4382111094003</v>
      </c>
      <c r="BE12" s="397">
        <f t="shared" si="17"/>
        <v>963.46888588705838</v>
      </c>
      <c r="BF12" s="397">
        <f t="shared" si="18"/>
        <v>1030.9117078991526</v>
      </c>
      <c r="BG12" s="397">
        <f t="shared" si="19"/>
        <v>1103.0755274520934</v>
      </c>
    </row>
    <row r="13" spans="1:59" s="398" customFormat="1" ht="13.5" customHeight="1" x14ac:dyDescent="0.3">
      <c r="A13" s="570" t="s">
        <v>141</v>
      </c>
      <c r="B13" s="571">
        <v>0</v>
      </c>
      <c r="C13" s="572">
        <v>0</v>
      </c>
      <c r="D13" s="584">
        <v>0</v>
      </c>
      <c r="E13" s="584">
        <v>0</v>
      </c>
      <c r="F13" s="584">
        <v>0</v>
      </c>
      <c r="G13" s="584">
        <v>0</v>
      </c>
      <c r="H13" s="584"/>
      <c r="I13" s="584"/>
      <c r="J13" s="584"/>
      <c r="K13" s="584"/>
      <c r="L13" s="584"/>
      <c r="M13" s="584"/>
      <c r="N13" s="584"/>
      <c r="O13" s="584"/>
      <c r="P13" s="584"/>
      <c r="Q13" s="584"/>
      <c r="R13" s="584"/>
      <c r="S13" s="584"/>
      <c r="T13" s="584">
        <f>S13*(1+допущения!$C$37)</f>
        <v>0</v>
      </c>
      <c r="U13" s="584">
        <f t="shared" ref="U13:AQ13" si="30">$B$13*$C$13*3</f>
        <v>0</v>
      </c>
      <c r="V13" s="584">
        <f t="shared" si="30"/>
        <v>0</v>
      </c>
      <c r="W13" s="584">
        <f t="shared" si="30"/>
        <v>0</v>
      </c>
      <c r="X13" s="584">
        <f>W13*(1+допущения!$C$37)</f>
        <v>0</v>
      </c>
      <c r="Y13" s="584">
        <f t="shared" si="30"/>
        <v>0</v>
      </c>
      <c r="Z13" s="584">
        <f t="shared" si="30"/>
        <v>0</v>
      </c>
      <c r="AA13" s="584">
        <f t="shared" si="30"/>
        <v>0</v>
      </c>
      <c r="AB13" s="584">
        <f>AA13*(1+допущения!$C$37)</f>
        <v>0</v>
      </c>
      <c r="AC13" s="584">
        <f t="shared" si="30"/>
        <v>0</v>
      </c>
      <c r="AD13" s="584">
        <f t="shared" si="30"/>
        <v>0</v>
      </c>
      <c r="AE13" s="584">
        <f t="shared" si="30"/>
        <v>0</v>
      </c>
      <c r="AF13" s="584">
        <f>AE13*(1+допущения!$C$37)</f>
        <v>0</v>
      </c>
      <c r="AG13" s="584">
        <f t="shared" si="28"/>
        <v>0</v>
      </c>
      <c r="AH13" s="584">
        <f t="shared" si="30"/>
        <v>0</v>
      </c>
      <c r="AI13" s="584">
        <f t="shared" si="30"/>
        <v>0</v>
      </c>
      <c r="AJ13" s="584">
        <f>AI13*(1+допущения!$C$37)</f>
        <v>0</v>
      </c>
      <c r="AK13" s="584">
        <f t="shared" si="30"/>
        <v>0</v>
      </c>
      <c r="AL13" s="584">
        <f t="shared" si="30"/>
        <v>0</v>
      </c>
      <c r="AM13" s="584">
        <f t="shared" si="30"/>
        <v>0</v>
      </c>
      <c r="AN13" s="584">
        <f>AM13*(1+допущения!$C$37)</f>
        <v>0</v>
      </c>
      <c r="AO13" s="584">
        <f t="shared" si="30"/>
        <v>0</v>
      </c>
      <c r="AP13" s="584">
        <f t="shared" si="30"/>
        <v>0</v>
      </c>
      <c r="AQ13" s="584">
        <f t="shared" si="30"/>
        <v>0</v>
      </c>
      <c r="AR13" s="573">
        <f>AQ13*(1+допущения!$C$37)</f>
        <v>0</v>
      </c>
      <c r="AS13" s="573">
        <f t="shared" si="8"/>
        <v>0</v>
      </c>
      <c r="AT13" s="573">
        <f t="shared" si="8"/>
        <v>0</v>
      </c>
      <c r="AU13" s="573">
        <f t="shared" si="8"/>
        <v>0</v>
      </c>
      <c r="AV13" s="396"/>
      <c r="AW13" s="116">
        <f t="shared" si="29"/>
        <v>0</v>
      </c>
      <c r="AX13" s="397">
        <f t="shared" si="10"/>
        <v>0</v>
      </c>
      <c r="AY13" s="397">
        <f t="shared" si="11"/>
        <v>0</v>
      </c>
      <c r="AZ13" s="397">
        <f t="shared" si="12"/>
        <v>0</v>
      </c>
      <c r="BA13" s="397">
        <f t="shared" si="13"/>
        <v>0</v>
      </c>
      <c r="BB13" s="397">
        <f t="shared" si="14"/>
        <v>0</v>
      </c>
      <c r="BC13" s="397">
        <f t="shared" si="15"/>
        <v>0</v>
      </c>
      <c r="BD13" s="397">
        <f t="shared" si="16"/>
        <v>0</v>
      </c>
      <c r="BE13" s="397">
        <f t="shared" si="17"/>
        <v>0</v>
      </c>
      <c r="BF13" s="397">
        <f t="shared" si="18"/>
        <v>0</v>
      </c>
      <c r="BG13" s="397">
        <f t="shared" si="19"/>
        <v>0</v>
      </c>
    </row>
    <row r="14" spans="1:59" s="398" customFormat="1" x14ac:dyDescent="0.3">
      <c r="A14" s="570" t="s">
        <v>142</v>
      </c>
      <c r="B14" s="571">
        <v>1</v>
      </c>
      <c r="C14" s="572">
        <v>45</v>
      </c>
      <c r="D14" s="584">
        <v>0</v>
      </c>
      <c r="E14" s="584">
        <v>0</v>
      </c>
      <c r="F14" s="584">
        <v>0</v>
      </c>
      <c r="G14" s="584">
        <v>0</v>
      </c>
      <c r="H14" s="584">
        <f>$B$14*$C$14*3</f>
        <v>135</v>
      </c>
      <c r="I14" s="584">
        <f t="shared" si="25"/>
        <v>135</v>
      </c>
      <c r="J14" s="584">
        <f t="shared" si="25"/>
        <v>135</v>
      </c>
      <c r="K14" s="584">
        <f t="shared" si="25"/>
        <v>135</v>
      </c>
      <c r="L14" s="584">
        <f>K14*(1+допущения!$C$37)</f>
        <v>144.45000000000002</v>
      </c>
      <c r="M14" s="584">
        <f t="shared" si="25"/>
        <v>144.45000000000002</v>
      </c>
      <c r="N14" s="584">
        <f t="shared" si="25"/>
        <v>144.45000000000002</v>
      </c>
      <c r="O14" s="584">
        <f t="shared" si="25"/>
        <v>144.45000000000002</v>
      </c>
      <c r="P14" s="584">
        <f>O14*(1+допущения!$C$37)</f>
        <v>154.56150000000002</v>
      </c>
      <c r="Q14" s="584">
        <f t="shared" si="25"/>
        <v>154.56150000000002</v>
      </c>
      <c r="R14" s="584">
        <f t="shared" si="25"/>
        <v>154.56150000000002</v>
      </c>
      <c r="S14" s="584">
        <f t="shared" si="25"/>
        <v>154.56150000000002</v>
      </c>
      <c r="T14" s="584">
        <f>S14*(1+допущения!$C$37)</f>
        <v>165.38080500000004</v>
      </c>
      <c r="U14" s="584">
        <f>T14</f>
        <v>165.38080500000004</v>
      </c>
      <c r="V14" s="584">
        <f>U14</f>
        <v>165.38080500000004</v>
      </c>
      <c r="W14" s="584">
        <f>V14</f>
        <v>165.38080500000004</v>
      </c>
      <c r="X14" s="584">
        <f>W14*(1+допущения!$C$37)</f>
        <v>176.95746135000005</v>
      </c>
      <c r="Y14" s="584">
        <f t="shared" ref="Y14:AE14" si="31">X14</f>
        <v>176.95746135000005</v>
      </c>
      <c r="Z14" s="584">
        <f t="shared" si="31"/>
        <v>176.95746135000005</v>
      </c>
      <c r="AA14" s="584">
        <f t="shared" si="31"/>
        <v>176.95746135000005</v>
      </c>
      <c r="AB14" s="584">
        <f>AA14*(1+допущения!$C$37)</f>
        <v>189.34448364450006</v>
      </c>
      <c r="AC14" s="584">
        <f t="shared" si="31"/>
        <v>189.34448364450006</v>
      </c>
      <c r="AD14" s="584">
        <f t="shared" si="31"/>
        <v>189.34448364450006</v>
      </c>
      <c r="AE14" s="584">
        <f t="shared" si="31"/>
        <v>189.34448364450006</v>
      </c>
      <c r="AF14" s="584">
        <f>AE14*(1+допущения!$C$37)</f>
        <v>202.59859749961507</v>
      </c>
      <c r="AG14" s="584">
        <f t="shared" si="28"/>
        <v>202.59859749961507</v>
      </c>
      <c r="AH14" s="584">
        <f>AG14</f>
        <v>202.59859749961507</v>
      </c>
      <c r="AI14" s="584">
        <f t="shared" ref="AI14:AQ14" si="32">AH14</f>
        <v>202.59859749961507</v>
      </c>
      <c r="AJ14" s="584">
        <f>AI14*(1+допущения!$C$37)</f>
        <v>216.78049932458813</v>
      </c>
      <c r="AK14" s="584">
        <f t="shared" si="32"/>
        <v>216.78049932458813</v>
      </c>
      <c r="AL14" s="584">
        <f t="shared" si="32"/>
        <v>216.78049932458813</v>
      </c>
      <c r="AM14" s="584">
        <f t="shared" si="32"/>
        <v>216.78049932458813</v>
      </c>
      <c r="AN14" s="584">
        <f>AM14*(1+допущения!$C$37)</f>
        <v>231.95513427730933</v>
      </c>
      <c r="AO14" s="584">
        <f t="shared" si="32"/>
        <v>231.95513427730933</v>
      </c>
      <c r="AP14" s="584">
        <f t="shared" si="32"/>
        <v>231.95513427730933</v>
      </c>
      <c r="AQ14" s="584">
        <f t="shared" si="32"/>
        <v>231.95513427730933</v>
      </c>
      <c r="AR14" s="573">
        <f>AQ14*(1+допущения!$C$37)</f>
        <v>248.19199367672098</v>
      </c>
      <c r="AS14" s="573">
        <f t="shared" si="8"/>
        <v>248.19199367672098</v>
      </c>
      <c r="AT14" s="573">
        <f t="shared" si="8"/>
        <v>248.19199367672098</v>
      </c>
      <c r="AU14" s="573">
        <f t="shared" si="8"/>
        <v>248.19199367672098</v>
      </c>
      <c r="AV14" s="396"/>
      <c r="AW14" s="116">
        <f t="shared" si="9"/>
        <v>0</v>
      </c>
      <c r="AX14" s="397">
        <f t="shared" si="10"/>
        <v>540</v>
      </c>
      <c r="AY14" s="397">
        <f t="shared" si="11"/>
        <v>577.80000000000007</v>
      </c>
      <c r="AZ14" s="397">
        <f t="shared" si="12"/>
        <v>618.24600000000009</v>
      </c>
      <c r="BA14" s="397">
        <f t="shared" si="13"/>
        <v>661.52322000000015</v>
      </c>
      <c r="BB14" s="397">
        <f t="shared" si="14"/>
        <v>707.82984540000018</v>
      </c>
      <c r="BC14" s="397">
        <f t="shared" si="15"/>
        <v>757.37793457800024</v>
      </c>
      <c r="BD14" s="397">
        <f t="shared" si="16"/>
        <v>810.39438999846027</v>
      </c>
      <c r="BE14" s="397">
        <f t="shared" si="17"/>
        <v>867.12199729835254</v>
      </c>
      <c r="BF14" s="397">
        <f t="shared" si="18"/>
        <v>927.82053710923731</v>
      </c>
      <c r="BG14" s="397">
        <f t="shared" si="19"/>
        <v>992.76797470688393</v>
      </c>
    </row>
    <row r="15" spans="1:59" s="110" customFormat="1" ht="30" customHeight="1" x14ac:dyDescent="0.3">
      <c r="A15" s="574" t="s">
        <v>134</v>
      </c>
      <c r="B15" s="575">
        <f>SUM(B9:B14)</f>
        <v>11</v>
      </c>
      <c r="C15" s="585"/>
      <c r="D15" s="575">
        <f>SUM(D9:D14)</f>
        <v>0</v>
      </c>
      <c r="E15" s="575">
        <f t="shared" ref="E15:AQ15" si="33">SUM(E9:E14)</f>
        <v>0</v>
      </c>
      <c r="F15" s="575">
        <f t="shared" si="33"/>
        <v>0</v>
      </c>
      <c r="G15" s="575">
        <f t="shared" si="33"/>
        <v>0</v>
      </c>
      <c r="H15" s="575">
        <f t="shared" si="33"/>
        <v>1539</v>
      </c>
      <c r="I15" s="575">
        <f t="shared" si="33"/>
        <v>1539</v>
      </c>
      <c r="J15" s="575">
        <f t="shared" si="33"/>
        <v>1539</v>
      </c>
      <c r="K15" s="575">
        <f t="shared" si="33"/>
        <v>1539</v>
      </c>
      <c r="L15" s="575">
        <f t="shared" si="33"/>
        <v>1646.73</v>
      </c>
      <c r="M15" s="575">
        <f t="shared" si="33"/>
        <v>1646.73</v>
      </c>
      <c r="N15" s="575">
        <f t="shared" si="33"/>
        <v>1646.73</v>
      </c>
      <c r="O15" s="575">
        <f t="shared" si="33"/>
        <v>1646.73</v>
      </c>
      <c r="P15" s="575">
        <f t="shared" si="33"/>
        <v>1762.0011000000002</v>
      </c>
      <c r="Q15" s="575">
        <f t="shared" si="33"/>
        <v>1762.0011000000002</v>
      </c>
      <c r="R15" s="575">
        <f t="shared" si="33"/>
        <v>1762.0011000000002</v>
      </c>
      <c r="S15" s="575">
        <f t="shared" si="33"/>
        <v>1762.0011000000002</v>
      </c>
      <c r="T15" s="575">
        <f t="shared" si="33"/>
        <v>1885.3411770000002</v>
      </c>
      <c r="U15" s="575">
        <f t="shared" si="33"/>
        <v>1885.3411770000002</v>
      </c>
      <c r="V15" s="575">
        <f t="shared" si="33"/>
        <v>1885.3411770000002</v>
      </c>
      <c r="W15" s="575">
        <f t="shared" si="33"/>
        <v>1885.3411770000002</v>
      </c>
      <c r="X15" s="575">
        <f t="shared" si="33"/>
        <v>2017.3150593900004</v>
      </c>
      <c r="Y15" s="575">
        <f t="shared" si="33"/>
        <v>2017.3150593900004</v>
      </c>
      <c r="Z15" s="575">
        <f t="shared" si="33"/>
        <v>2017.3150593900004</v>
      </c>
      <c r="AA15" s="575">
        <f t="shared" si="33"/>
        <v>2017.3150593900004</v>
      </c>
      <c r="AB15" s="575">
        <f t="shared" si="33"/>
        <v>2158.5271135473004</v>
      </c>
      <c r="AC15" s="575">
        <f t="shared" si="33"/>
        <v>2158.5271135473004</v>
      </c>
      <c r="AD15" s="575">
        <f t="shared" si="33"/>
        <v>2158.5271135473004</v>
      </c>
      <c r="AE15" s="575">
        <f t="shared" si="33"/>
        <v>2158.5271135473004</v>
      </c>
      <c r="AF15" s="575">
        <f t="shared" si="33"/>
        <v>2309.6240114956117</v>
      </c>
      <c r="AG15" s="575">
        <f t="shared" si="33"/>
        <v>2309.6240114956117</v>
      </c>
      <c r="AH15" s="575">
        <f t="shared" si="33"/>
        <v>2309.6240114956117</v>
      </c>
      <c r="AI15" s="575">
        <f t="shared" si="33"/>
        <v>2309.6240114956117</v>
      </c>
      <c r="AJ15" s="575">
        <f t="shared" si="33"/>
        <v>2471.2976923003043</v>
      </c>
      <c r="AK15" s="575">
        <f t="shared" si="33"/>
        <v>2471.2976923003043</v>
      </c>
      <c r="AL15" s="575">
        <f t="shared" si="33"/>
        <v>2471.2976923003043</v>
      </c>
      <c r="AM15" s="575">
        <f t="shared" si="33"/>
        <v>2471.2976923003043</v>
      </c>
      <c r="AN15" s="575">
        <f t="shared" si="33"/>
        <v>2644.2885307613265</v>
      </c>
      <c r="AO15" s="575">
        <f t="shared" si="33"/>
        <v>2644.2885307613265</v>
      </c>
      <c r="AP15" s="575">
        <f t="shared" si="33"/>
        <v>2644.2885307613265</v>
      </c>
      <c r="AQ15" s="575">
        <f t="shared" si="33"/>
        <v>2644.2885307613265</v>
      </c>
      <c r="AR15" s="575">
        <f>AQ15*(1+допущения!$C$37)</f>
        <v>2829.3887279146193</v>
      </c>
      <c r="AS15" s="575">
        <f t="shared" si="8"/>
        <v>2829.3887279146193</v>
      </c>
      <c r="AT15" s="575">
        <f t="shared" si="8"/>
        <v>2829.3887279146193</v>
      </c>
      <c r="AU15" s="575">
        <f t="shared" si="8"/>
        <v>2829.3887279146193</v>
      </c>
      <c r="AV15" s="112"/>
      <c r="AW15" s="559">
        <f>SUM(AW9:AW14)</f>
        <v>0</v>
      </c>
      <c r="AX15" s="560">
        <f t="shared" si="10"/>
        <v>6156</v>
      </c>
      <c r="AY15" s="560">
        <f t="shared" si="11"/>
        <v>6586.92</v>
      </c>
      <c r="AZ15" s="560">
        <f t="shared" si="12"/>
        <v>7048.0044000000007</v>
      </c>
      <c r="BA15" s="560">
        <f t="shared" si="13"/>
        <v>7541.364708000001</v>
      </c>
      <c r="BB15" s="560">
        <f t="shared" si="14"/>
        <v>8069.2602375600018</v>
      </c>
      <c r="BC15" s="560">
        <f t="shared" si="15"/>
        <v>8634.1084541892014</v>
      </c>
      <c r="BD15" s="560">
        <f t="shared" si="16"/>
        <v>9238.496045982447</v>
      </c>
      <c r="BE15" s="560">
        <f t="shared" si="17"/>
        <v>9885.1907692012173</v>
      </c>
      <c r="BF15" s="560">
        <f t="shared" si="18"/>
        <v>10577.154123045306</v>
      </c>
      <c r="BG15" s="560">
        <f t="shared" si="19"/>
        <v>11317.554911658477</v>
      </c>
    </row>
    <row r="16" spans="1:59" s="114" customFormat="1" ht="16.5" customHeight="1" x14ac:dyDescent="0.3">
      <c r="A16" s="579" t="s">
        <v>135</v>
      </c>
      <c r="B16" s="580"/>
      <c r="C16" s="586"/>
      <c r="D16" s="580">
        <f>D15*$B$61</f>
        <v>0</v>
      </c>
      <c r="E16" s="580">
        <f t="shared" ref="E16:AQ16" si="34">E15*$B$61</f>
        <v>0</v>
      </c>
      <c r="F16" s="580">
        <f t="shared" si="34"/>
        <v>0</v>
      </c>
      <c r="G16" s="580">
        <f t="shared" si="34"/>
        <v>0</v>
      </c>
      <c r="H16" s="580">
        <f t="shared" si="34"/>
        <v>461.7</v>
      </c>
      <c r="I16" s="580">
        <f t="shared" si="34"/>
        <v>461.7</v>
      </c>
      <c r="J16" s="580">
        <f t="shared" si="34"/>
        <v>461.7</v>
      </c>
      <c r="K16" s="580">
        <f t="shared" si="34"/>
        <v>461.7</v>
      </c>
      <c r="L16" s="580">
        <f t="shared" si="34"/>
        <v>494.01900000000001</v>
      </c>
      <c r="M16" s="580">
        <f t="shared" si="34"/>
        <v>494.01900000000001</v>
      </c>
      <c r="N16" s="580">
        <f t="shared" si="34"/>
        <v>494.01900000000001</v>
      </c>
      <c r="O16" s="580">
        <f t="shared" si="34"/>
        <v>494.01900000000001</v>
      </c>
      <c r="P16" s="580">
        <f t="shared" si="34"/>
        <v>528.60032999999999</v>
      </c>
      <c r="Q16" s="580">
        <f t="shared" si="34"/>
        <v>528.60032999999999</v>
      </c>
      <c r="R16" s="580">
        <f t="shared" si="34"/>
        <v>528.60032999999999</v>
      </c>
      <c r="S16" s="580">
        <f t="shared" si="34"/>
        <v>528.60032999999999</v>
      </c>
      <c r="T16" s="580">
        <f t="shared" si="34"/>
        <v>565.60235310000007</v>
      </c>
      <c r="U16" s="580">
        <f t="shared" si="34"/>
        <v>565.60235310000007</v>
      </c>
      <c r="V16" s="580">
        <f t="shared" si="34"/>
        <v>565.60235310000007</v>
      </c>
      <c r="W16" s="580">
        <f t="shared" si="34"/>
        <v>565.60235310000007</v>
      </c>
      <c r="X16" s="580">
        <f t="shared" si="34"/>
        <v>605.19451781700013</v>
      </c>
      <c r="Y16" s="580">
        <f t="shared" si="34"/>
        <v>605.19451781700013</v>
      </c>
      <c r="Z16" s="580">
        <f t="shared" si="34"/>
        <v>605.19451781700013</v>
      </c>
      <c r="AA16" s="580">
        <f t="shared" si="34"/>
        <v>605.19451781700013</v>
      </c>
      <c r="AB16" s="580">
        <f t="shared" si="34"/>
        <v>647.55813406419009</v>
      </c>
      <c r="AC16" s="580">
        <f t="shared" si="34"/>
        <v>647.55813406419009</v>
      </c>
      <c r="AD16" s="580">
        <f t="shared" si="34"/>
        <v>647.55813406419009</v>
      </c>
      <c r="AE16" s="580">
        <f t="shared" si="34"/>
        <v>647.55813406419009</v>
      </c>
      <c r="AF16" s="580">
        <f>AF15*$B$61</f>
        <v>692.88720344868352</v>
      </c>
      <c r="AG16" s="580">
        <f t="shared" si="34"/>
        <v>692.88720344868352</v>
      </c>
      <c r="AH16" s="580">
        <f t="shared" si="34"/>
        <v>692.88720344868352</v>
      </c>
      <c r="AI16" s="580">
        <f t="shared" si="34"/>
        <v>692.88720344868352</v>
      </c>
      <c r="AJ16" s="580">
        <f t="shared" si="34"/>
        <v>741.3893076900913</v>
      </c>
      <c r="AK16" s="580">
        <f t="shared" si="34"/>
        <v>741.3893076900913</v>
      </c>
      <c r="AL16" s="580">
        <f t="shared" si="34"/>
        <v>741.3893076900913</v>
      </c>
      <c r="AM16" s="580">
        <f t="shared" si="34"/>
        <v>741.3893076900913</v>
      </c>
      <c r="AN16" s="580">
        <f t="shared" si="34"/>
        <v>793.28655922839789</v>
      </c>
      <c r="AO16" s="580">
        <f t="shared" si="34"/>
        <v>793.28655922839789</v>
      </c>
      <c r="AP16" s="580">
        <f t="shared" si="34"/>
        <v>793.28655922839789</v>
      </c>
      <c r="AQ16" s="580">
        <f t="shared" si="34"/>
        <v>793.28655922839789</v>
      </c>
      <c r="AR16" s="580">
        <f>AQ16*(1+допущения!$C$37)</f>
        <v>848.81661837438583</v>
      </c>
      <c r="AS16" s="580">
        <f t="shared" si="8"/>
        <v>848.81661837438583</v>
      </c>
      <c r="AT16" s="580">
        <f t="shared" si="8"/>
        <v>848.81661837438583</v>
      </c>
      <c r="AU16" s="580">
        <f t="shared" si="8"/>
        <v>848.81661837438583</v>
      </c>
      <c r="AV16" s="115"/>
      <c r="AW16" s="561">
        <f>0.3*AW15</f>
        <v>0</v>
      </c>
      <c r="AX16" s="405">
        <f t="shared" si="10"/>
        <v>1846.8</v>
      </c>
      <c r="AY16" s="405">
        <f t="shared" si="11"/>
        <v>1976.076</v>
      </c>
      <c r="AZ16" s="405">
        <f t="shared" si="12"/>
        <v>2114.4013199999999</v>
      </c>
      <c r="BA16" s="405">
        <f t="shared" si="13"/>
        <v>2262.4094124000003</v>
      </c>
      <c r="BB16" s="405">
        <f t="shared" si="14"/>
        <v>2420.7780712680005</v>
      </c>
      <c r="BC16" s="405">
        <f t="shared" si="15"/>
        <v>2590.2325362567603</v>
      </c>
      <c r="BD16" s="405">
        <f t="shared" si="16"/>
        <v>2771.5488137947341</v>
      </c>
      <c r="BE16" s="405">
        <f t="shared" si="17"/>
        <v>2965.5572307603652</v>
      </c>
      <c r="BF16" s="405">
        <f t="shared" si="18"/>
        <v>3173.1462369135916</v>
      </c>
      <c r="BG16" s="405">
        <f t="shared" si="19"/>
        <v>3395.2664734975433</v>
      </c>
    </row>
    <row r="17" spans="1:59" x14ac:dyDescent="0.3">
      <c r="A17" s="582" t="s">
        <v>143</v>
      </c>
      <c r="B17" s="565"/>
      <c r="C17" s="587"/>
      <c r="D17" s="565"/>
      <c r="E17" s="565"/>
      <c r="F17" s="565"/>
      <c r="G17" s="565"/>
      <c r="H17" s="565"/>
      <c r="I17" s="565"/>
      <c r="J17" s="565"/>
      <c r="K17" s="565"/>
      <c r="L17" s="565"/>
      <c r="M17" s="565"/>
      <c r="N17" s="565"/>
      <c r="O17" s="565"/>
      <c r="P17" s="565"/>
      <c r="Q17" s="565"/>
      <c r="R17" s="565"/>
      <c r="S17" s="565"/>
      <c r="T17" s="565"/>
      <c r="U17" s="565"/>
      <c r="V17" s="565"/>
      <c r="W17" s="565"/>
      <c r="X17" s="565"/>
      <c r="Y17" s="565"/>
      <c r="Z17" s="565"/>
      <c r="AA17" s="565"/>
      <c r="AB17" s="565"/>
      <c r="AC17" s="565"/>
      <c r="AD17" s="565"/>
      <c r="AE17" s="565"/>
      <c r="AF17" s="565"/>
      <c r="AG17" s="565"/>
      <c r="AH17" s="565"/>
      <c r="AI17" s="565"/>
      <c r="AJ17" s="565"/>
      <c r="AK17" s="565"/>
      <c r="AL17" s="565"/>
      <c r="AM17" s="565"/>
      <c r="AN17" s="565"/>
      <c r="AO17" s="565"/>
      <c r="AP17" s="565"/>
      <c r="AQ17" s="565"/>
      <c r="AR17" s="573">
        <f>AQ17*(1+допущения!$C$37)</f>
        <v>0</v>
      </c>
      <c r="AS17" s="573">
        <f t="shared" si="8"/>
        <v>0</v>
      </c>
      <c r="AT17" s="573">
        <f t="shared" si="8"/>
        <v>0</v>
      </c>
      <c r="AU17" s="573">
        <f t="shared" si="8"/>
        <v>0</v>
      </c>
      <c r="AV17" s="97"/>
      <c r="AW17" s="116">
        <f t="shared" si="9"/>
        <v>0</v>
      </c>
      <c r="AX17" s="397">
        <f t="shared" si="10"/>
        <v>0</v>
      </c>
      <c r="AY17" s="397">
        <f t="shared" si="11"/>
        <v>0</v>
      </c>
      <c r="AZ17" s="397">
        <f t="shared" si="12"/>
        <v>0</v>
      </c>
      <c r="BA17" s="397">
        <f t="shared" si="13"/>
        <v>0</v>
      </c>
      <c r="BB17" s="397">
        <f t="shared" si="14"/>
        <v>0</v>
      </c>
      <c r="BC17" s="397">
        <f t="shared" si="15"/>
        <v>0</v>
      </c>
      <c r="BD17" s="397">
        <f t="shared" si="16"/>
        <v>0</v>
      </c>
      <c r="BE17" s="397">
        <f t="shared" si="17"/>
        <v>0</v>
      </c>
      <c r="BF17" s="397">
        <f t="shared" si="18"/>
        <v>0</v>
      </c>
      <c r="BG17" s="397">
        <f t="shared" si="19"/>
        <v>0</v>
      </c>
    </row>
    <row r="18" spans="1:59" x14ac:dyDescent="0.3">
      <c r="A18" s="570" t="s">
        <v>144</v>
      </c>
      <c r="B18" s="571">
        <v>0</v>
      </c>
      <c r="C18" s="588">
        <v>0</v>
      </c>
      <c r="D18" s="565">
        <f>$B$18*C18*3</f>
        <v>0</v>
      </c>
      <c r="E18" s="565">
        <v>0</v>
      </c>
      <c r="F18" s="565">
        <f t="shared" ref="F18:AQ18" si="35">$B$18*$C$18*3</f>
        <v>0</v>
      </c>
      <c r="G18" s="565">
        <f t="shared" si="35"/>
        <v>0</v>
      </c>
      <c r="H18" s="565">
        <f t="shared" si="35"/>
        <v>0</v>
      </c>
      <c r="I18" s="565">
        <f t="shared" si="35"/>
        <v>0</v>
      </c>
      <c r="J18" s="565">
        <f t="shared" si="35"/>
        <v>0</v>
      </c>
      <c r="K18" s="565">
        <f t="shared" si="35"/>
        <v>0</v>
      </c>
      <c r="L18" s="565">
        <f t="shared" si="35"/>
        <v>0</v>
      </c>
      <c r="M18" s="565">
        <f t="shared" si="35"/>
        <v>0</v>
      </c>
      <c r="N18" s="565">
        <f t="shared" si="35"/>
        <v>0</v>
      </c>
      <c r="O18" s="565">
        <f t="shared" si="35"/>
        <v>0</v>
      </c>
      <c r="P18" s="565">
        <f t="shared" si="35"/>
        <v>0</v>
      </c>
      <c r="Q18" s="565">
        <f t="shared" si="35"/>
        <v>0</v>
      </c>
      <c r="R18" s="565">
        <f t="shared" si="35"/>
        <v>0</v>
      </c>
      <c r="S18" s="565">
        <f t="shared" si="35"/>
        <v>0</v>
      </c>
      <c r="T18" s="565">
        <f t="shared" si="35"/>
        <v>0</v>
      </c>
      <c r="U18" s="565">
        <f t="shared" si="35"/>
        <v>0</v>
      </c>
      <c r="V18" s="565">
        <f t="shared" si="35"/>
        <v>0</v>
      </c>
      <c r="W18" s="565">
        <f t="shared" si="35"/>
        <v>0</v>
      </c>
      <c r="X18" s="565">
        <f t="shared" si="35"/>
        <v>0</v>
      </c>
      <c r="Y18" s="565">
        <f t="shared" si="35"/>
        <v>0</v>
      </c>
      <c r="Z18" s="565">
        <f t="shared" si="35"/>
        <v>0</v>
      </c>
      <c r="AA18" s="565">
        <f t="shared" si="35"/>
        <v>0</v>
      </c>
      <c r="AB18" s="565">
        <f t="shared" si="35"/>
        <v>0</v>
      </c>
      <c r="AC18" s="565">
        <f t="shared" si="35"/>
        <v>0</v>
      </c>
      <c r="AD18" s="565">
        <f t="shared" si="35"/>
        <v>0</v>
      </c>
      <c r="AE18" s="565">
        <f t="shared" si="35"/>
        <v>0</v>
      </c>
      <c r="AF18" s="565">
        <f t="shared" si="35"/>
        <v>0</v>
      </c>
      <c r="AG18" s="565">
        <f t="shared" si="35"/>
        <v>0</v>
      </c>
      <c r="AH18" s="565">
        <f t="shared" si="35"/>
        <v>0</v>
      </c>
      <c r="AI18" s="565">
        <f t="shared" si="35"/>
        <v>0</v>
      </c>
      <c r="AJ18" s="565">
        <f t="shared" si="35"/>
        <v>0</v>
      </c>
      <c r="AK18" s="565">
        <f t="shared" si="35"/>
        <v>0</v>
      </c>
      <c r="AL18" s="565">
        <f t="shared" si="35"/>
        <v>0</v>
      </c>
      <c r="AM18" s="565">
        <f t="shared" si="35"/>
        <v>0</v>
      </c>
      <c r="AN18" s="565">
        <f t="shared" si="35"/>
        <v>0</v>
      </c>
      <c r="AO18" s="565">
        <f t="shared" si="35"/>
        <v>0</v>
      </c>
      <c r="AP18" s="565">
        <f t="shared" si="35"/>
        <v>0</v>
      </c>
      <c r="AQ18" s="565">
        <f t="shared" si="35"/>
        <v>0</v>
      </c>
      <c r="AR18" s="573">
        <f>AQ18*(1+допущения!$C$37)</f>
        <v>0</v>
      </c>
      <c r="AS18" s="573">
        <f t="shared" si="8"/>
        <v>0</v>
      </c>
      <c r="AT18" s="573">
        <f t="shared" si="8"/>
        <v>0</v>
      </c>
      <c r="AU18" s="573">
        <f t="shared" si="8"/>
        <v>0</v>
      </c>
      <c r="AV18" s="97"/>
      <c r="AW18" s="116">
        <f t="shared" si="9"/>
        <v>0</v>
      </c>
      <c r="AX18" s="397">
        <f t="shared" si="10"/>
        <v>0</v>
      </c>
      <c r="AY18" s="397">
        <f t="shared" si="11"/>
        <v>0</v>
      </c>
      <c r="AZ18" s="397">
        <f t="shared" si="12"/>
        <v>0</v>
      </c>
      <c r="BA18" s="397">
        <f t="shared" si="13"/>
        <v>0</v>
      </c>
      <c r="BB18" s="397">
        <f t="shared" si="14"/>
        <v>0</v>
      </c>
      <c r="BC18" s="397">
        <f t="shared" si="15"/>
        <v>0</v>
      </c>
      <c r="BD18" s="397">
        <f t="shared" si="16"/>
        <v>0</v>
      </c>
      <c r="BE18" s="397">
        <f t="shared" si="17"/>
        <v>0</v>
      </c>
      <c r="BF18" s="397">
        <f t="shared" si="18"/>
        <v>0</v>
      </c>
      <c r="BG18" s="397">
        <f t="shared" si="19"/>
        <v>0</v>
      </c>
    </row>
    <row r="19" spans="1:59" x14ac:dyDescent="0.3">
      <c r="A19" s="570" t="s">
        <v>145</v>
      </c>
      <c r="B19" s="571">
        <v>0</v>
      </c>
      <c r="C19" s="588">
        <v>0</v>
      </c>
      <c r="D19" s="565">
        <f>$B$19*$C$19*3</f>
        <v>0</v>
      </c>
      <c r="E19" s="565">
        <v>0</v>
      </c>
      <c r="F19" s="565">
        <f t="shared" ref="F19:AQ19" si="36">$B$19*$C$19*3</f>
        <v>0</v>
      </c>
      <c r="G19" s="565" t="s">
        <v>146</v>
      </c>
      <c r="H19" s="565">
        <f t="shared" si="36"/>
        <v>0</v>
      </c>
      <c r="I19" s="565">
        <f t="shared" si="36"/>
        <v>0</v>
      </c>
      <c r="J19" s="565">
        <f t="shared" si="36"/>
        <v>0</v>
      </c>
      <c r="K19" s="565">
        <f t="shared" si="36"/>
        <v>0</v>
      </c>
      <c r="L19" s="565">
        <f t="shared" si="36"/>
        <v>0</v>
      </c>
      <c r="M19" s="565">
        <f t="shared" si="36"/>
        <v>0</v>
      </c>
      <c r="N19" s="565">
        <f t="shared" si="36"/>
        <v>0</v>
      </c>
      <c r="O19" s="565">
        <f t="shared" si="36"/>
        <v>0</v>
      </c>
      <c r="P19" s="565">
        <f t="shared" si="36"/>
        <v>0</v>
      </c>
      <c r="Q19" s="565">
        <f t="shared" si="36"/>
        <v>0</v>
      </c>
      <c r="R19" s="565">
        <f t="shared" si="36"/>
        <v>0</v>
      </c>
      <c r="S19" s="565">
        <f t="shared" si="36"/>
        <v>0</v>
      </c>
      <c r="T19" s="565">
        <f t="shared" si="36"/>
        <v>0</v>
      </c>
      <c r="U19" s="565">
        <f t="shared" si="36"/>
        <v>0</v>
      </c>
      <c r="V19" s="565">
        <f t="shared" si="36"/>
        <v>0</v>
      </c>
      <c r="W19" s="565">
        <f t="shared" si="36"/>
        <v>0</v>
      </c>
      <c r="X19" s="565">
        <f t="shared" si="36"/>
        <v>0</v>
      </c>
      <c r="Y19" s="565">
        <f t="shared" si="36"/>
        <v>0</v>
      </c>
      <c r="Z19" s="565">
        <f t="shared" si="36"/>
        <v>0</v>
      </c>
      <c r="AA19" s="565">
        <f t="shared" si="36"/>
        <v>0</v>
      </c>
      <c r="AB19" s="565">
        <f t="shared" si="36"/>
        <v>0</v>
      </c>
      <c r="AC19" s="565">
        <f t="shared" si="36"/>
        <v>0</v>
      </c>
      <c r="AD19" s="565">
        <f t="shared" si="36"/>
        <v>0</v>
      </c>
      <c r="AE19" s="565">
        <f t="shared" si="36"/>
        <v>0</v>
      </c>
      <c r="AF19" s="565">
        <f t="shared" si="36"/>
        <v>0</v>
      </c>
      <c r="AG19" s="565">
        <f t="shared" si="36"/>
        <v>0</v>
      </c>
      <c r="AH19" s="565">
        <f t="shared" si="36"/>
        <v>0</v>
      </c>
      <c r="AI19" s="565">
        <f t="shared" si="36"/>
        <v>0</v>
      </c>
      <c r="AJ19" s="565">
        <f t="shared" si="36"/>
        <v>0</v>
      </c>
      <c r="AK19" s="565">
        <f t="shared" si="36"/>
        <v>0</v>
      </c>
      <c r="AL19" s="565">
        <f t="shared" si="36"/>
        <v>0</v>
      </c>
      <c r="AM19" s="565">
        <f t="shared" si="36"/>
        <v>0</v>
      </c>
      <c r="AN19" s="565">
        <f t="shared" si="36"/>
        <v>0</v>
      </c>
      <c r="AO19" s="565">
        <f t="shared" si="36"/>
        <v>0</v>
      </c>
      <c r="AP19" s="565">
        <f t="shared" si="36"/>
        <v>0</v>
      </c>
      <c r="AQ19" s="565">
        <f t="shared" si="36"/>
        <v>0</v>
      </c>
      <c r="AR19" s="573">
        <f>AQ19*(1+допущения!$C$37)</f>
        <v>0</v>
      </c>
      <c r="AS19" s="573">
        <f t="shared" si="8"/>
        <v>0</v>
      </c>
      <c r="AT19" s="573">
        <f t="shared" si="8"/>
        <v>0</v>
      </c>
      <c r="AU19" s="573">
        <f t="shared" si="8"/>
        <v>0</v>
      </c>
      <c r="AV19" s="97"/>
      <c r="AW19" s="116">
        <f t="shared" si="9"/>
        <v>0</v>
      </c>
      <c r="AX19" s="397">
        <f t="shared" si="10"/>
        <v>0</v>
      </c>
      <c r="AY19" s="397">
        <f t="shared" si="11"/>
        <v>0</v>
      </c>
      <c r="AZ19" s="397">
        <f t="shared" si="12"/>
        <v>0</v>
      </c>
      <c r="BA19" s="397">
        <f t="shared" si="13"/>
        <v>0</v>
      </c>
      <c r="BB19" s="397">
        <f t="shared" si="14"/>
        <v>0</v>
      </c>
      <c r="BC19" s="397">
        <f t="shared" si="15"/>
        <v>0</v>
      </c>
      <c r="BD19" s="397">
        <f t="shared" si="16"/>
        <v>0</v>
      </c>
      <c r="BE19" s="397">
        <f t="shared" si="17"/>
        <v>0</v>
      </c>
      <c r="BF19" s="397">
        <f t="shared" si="18"/>
        <v>0</v>
      </c>
      <c r="BG19" s="397">
        <f t="shared" si="19"/>
        <v>0</v>
      </c>
    </row>
    <row r="20" spans="1:59" x14ac:dyDescent="0.3">
      <c r="A20" s="570" t="s">
        <v>147</v>
      </c>
      <c r="B20" s="571">
        <v>0</v>
      </c>
      <c r="C20" s="588">
        <v>0</v>
      </c>
      <c r="D20" s="565">
        <f>$B$20*C20*3</f>
        <v>0</v>
      </c>
      <c r="E20" s="565">
        <f t="shared" ref="E20:AQ20" si="37">$B$20*D20*3</f>
        <v>0</v>
      </c>
      <c r="F20" s="565">
        <f t="shared" si="37"/>
        <v>0</v>
      </c>
      <c r="G20" s="565">
        <f t="shared" si="37"/>
        <v>0</v>
      </c>
      <c r="H20" s="565">
        <f t="shared" si="37"/>
        <v>0</v>
      </c>
      <c r="I20" s="565">
        <f t="shared" si="37"/>
        <v>0</v>
      </c>
      <c r="J20" s="565">
        <f t="shared" si="37"/>
        <v>0</v>
      </c>
      <c r="K20" s="565">
        <f t="shared" si="37"/>
        <v>0</v>
      </c>
      <c r="L20" s="565">
        <f t="shared" si="37"/>
        <v>0</v>
      </c>
      <c r="M20" s="565">
        <f t="shared" si="37"/>
        <v>0</v>
      </c>
      <c r="N20" s="565">
        <f t="shared" si="37"/>
        <v>0</v>
      </c>
      <c r="O20" s="565">
        <f t="shared" si="37"/>
        <v>0</v>
      </c>
      <c r="P20" s="565">
        <f t="shared" si="37"/>
        <v>0</v>
      </c>
      <c r="Q20" s="565">
        <f t="shared" si="37"/>
        <v>0</v>
      </c>
      <c r="R20" s="565">
        <f t="shared" si="37"/>
        <v>0</v>
      </c>
      <c r="S20" s="565">
        <f t="shared" si="37"/>
        <v>0</v>
      </c>
      <c r="T20" s="565">
        <f t="shared" si="37"/>
        <v>0</v>
      </c>
      <c r="U20" s="565">
        <f t="shared" si="37"/>
        <v>0</v>
      </c>
      <c r="V20" s="565">
        <f t="shared" si="37"/>
        <v>0</v>
      </c>
      <c r="W20" s="565">
        <f t="shared" si="37"/>
        <v>0</v>
      </c>
      <c r="X20" s="565">
        <f t="shared" si="37"/>
        <v>0</v>
      </c>
      <c r="Y20" s="565">
        <f t="shared" si="37"/>
        <v>0</v>
      </c>
      <c r="Z20" s="565">
        <f t="shared" si="37"/>
        <v>0</v>
      </c>
      <c r="AA20" s="565">
        <f t="shared" si="37"/>
        <v>0</v>
      </c>
      <c r="AB20" s="565">
        <f t="shared" si="37"/>
        <v>0</v>
      </c>
      <c r="AC20" s="565">
        <f t="shared" si="37"/>
        <v>0</v>
      </c>
      <c r="AD20" s="565">
        <f t="shared" si="37"/>
        <v>0</v>
      </c>
      <c r="AE20" s="565">
        <f t="shared" si="37"/>
        <v>0</v>
      </c>
      <c r="AF20" s="565">
        <f t="shared" si="37"/>
        <v>0</v>
      </c>
      <c r="AG20" s="565">
        <f t="shared" si="37"/>
        <v>0</v>
      </c>
      <c r="AH20" s="565">
        <f t="shared" si="37"/>
        <v>0</v>
      </c>
      <c r="AI20" s="565">
        <f t="shared" si="37"/>
        <v>0</v>
      </c>
      <c r="AJ20" s="565">
        <f t="shared" si="37"/>
        <v>0</v>
      </c>
      <c r="AK20" s="565">
        <f t="shared" si="37"/>
        <v>0</v>
      </c>
      <c r="AL20" s="565">
        <f t="shared" si="37"/>
        <v>0</v>
      </c>
      <c r="AM20" s="565">
        <f t="shared" si="37"/>
        <v>0</v>
      </c>
      <c r="AN20" s="565">
        <f t="shared" si="37"/>
        <v>0</v>
      </c>
      <c r="AO20" s="565">
        <f t="shared" si="37"/>
        <v>0</v>
      </c>
      <c r="AP20" s="565">
        <f t="shared" si="37"/>
        <v>0</v>
      </c>
      <c r="AQ20" s="565">
        <f t="shared" si="37"/>
        <v>0</v>
      </c>
      <c r="AR20" s="573">
        <f>AQ20*(1+допущения!$C$37)</f>
        <v>0</v>
      </c>
      <c r="AS20" s="573">
        <f t="shared" si="8"/>
        <v>0</v>
      </c>
      <c r="AT20" s="573">
        <f t="shared" si="8"/>
        <v>0</v>
      </c>
      <c r="AU20" s="573">
        <f t="shared" si="8"/>
        <v>0</v>
      </c>
      <c r="AV20" s="97"/>
      <c r="AW20" s="116">
        <f t="shared" si="9"/>
        <v>0</v>
      </c>
      <c r="AX20" s="397">
        <f t="shared" si="10"/>
        <v>0</v>
      </c>
      <c r="AY20" s="397">
        <f t="shared" si="11"/>
        <v>0</v>
      </c>
      <c r="AZ20" s="397">
        <f t="shared" si="12"/>
        <v>0</v>
      </c>
      <c r="BA20" s="397">
        <f t="shared" si="13"/>
        <v>0</v>
      </c>
      <c r="BB20" s="397">
        <f t="shared" si="14"/>
        <v>0</v>
      </c>
      <c r="BC20" s="397">
        <f t="shared" si="15"/>
        <v>0</v>
      </c>
      <c r="BD20" s="397">
        <f t="shared" si="16"/>
        <v>0</v>
      </c>
      <c r="BE20" s="397">
        <f t="shared" si="17"/>
        <v>0</v>
      </c>
      <c r="BF20" s="397">
        <f t="shared" si="18"/>
        <v>0</v>
      </c>
      <c r="BG20" s="397">
        <f t="shared" si="19"/>
        <v>0</v>
      </c>
    </row>
    <row r="21" spans="1:59" x14ac:dyDescent="0.3">
      <c r="A21" s="570" t="s">
        <v>148</v>
      </c>
      <c r="B21" s="571">
        <v>0</v>
      </c>
      <c r="C21" s="588">
        <v>0</v>
      </c>
      <c r="D21" s="565">
        <f>$B$21*C21*3</f>
        <v>0</v>
      </c>
      <c r="E21" s="565">
        <f t="shared" ref="E21:AQ21" si="38">$B$21*D21*3</f>
        <v>0</v>
      </c>
      <c r="F21" s="565">
        <f t="shared" si="38"/>
        <v>0</v>
      </c>
      <c r="G21" s="565">
        <f t="shared" si="38"/>
        <v>0</v>
      </c>
      <c r="H21" s="565">
        <f t="shared" si="38"/>
        <v>0</v>
      </c>
      <c r="I21" s="565">
        <f t="shared" si="38"/>
        <v>0</v>
      </c>
      <c r="J21" s="565">
        <f t="shared" si="38"/>
        <v>0</v>
      </c>
      <c r="K21" s="565">
        <f t="shared" si="38"/>
        <v>0</v>
      </c>
      <c r="L21" s="565">
        <f t="shared" si="38"/>
        <v>0</v>
      </c>
      <c r="M21" s="565">
        <f t="shared" si="38"/>
        <v>0</v>
      </c>
      <c r="N21" s="565">
        <f t="shared" si="38"/>
        <v>0</v>
      </c>
      <c r="O21" s="565">
        <f t="shared" si="38"/>
        <v>0</v>
      </c>
      <c r="P21" s="565">
        <f t="shared" si="38"/>
        <v>0</v>
      </c>
      <c r="Q21" s="565">
        <f t="shared" si="38"/>
        <v>0</v>
      </c>
      <c r="R21" s="565">
        <f t="shared" si="38"/>
        <v>0</v>
      </c>
      <c r="S21" s="565">
        <f t="shared" si="38"/>
        <v>0</v>
      </c>
      <c r="T21" s="565">
        <f t="shared" si="38"/>
        <v>0</v>
      </c>
      <c r="U21" s="565">
        <f t="shared" si="38"/>
        <v>0</v>
      </c>
      <c r="V21" s="565">
        <f t="shared" si="38"/>
        <v>0</v>
      </c>
      <c r="W21" s="565">
        <f t="shared" si="38"/>
        <v>0</v>
      </c>
      <c r="X21" s="565">
        <f t="shared" si="38"/>
        <v>0</v>
      </c>
      <c r="Y21" s="565">
        <f t="shared" si="38"/>
        <v>0</v>
      </c>
      <c r="Z21" s="565">
        <f t="shared" si="38"/>
        <v>0</v>
      </c>
      <c r="AA21" s="565">
        <f t="shared" si="38"/>
        <v>0</v>
      </c>
      <c r="AB21" s="565">
        <f t="shared" si="38"/>
        <v>0</v>
      </c>
      <c r="AC21" s="565">
        <f t="shared" si="38"/>
        <v>0</v>
      </c>
      <c r="AD21" s="565">
        <f t="shared" si="38"/>
        <v>0</v>
      </c>
      <c r="AE21" s="565">
        <f t="shared" si="38"/>
        <v>0</v>
      </c>
      <c r="AF21" s="565">
        <f t="shared" si="38"/>
        <v>0</v>
      </c>
      <c r="AG21" s="565">
        <f t="shared" si="38"/>
        <v>0</v>
      </c>
      <c r="AH21" s="565">
        <f t="shared" si="38"/>
        <v>0</v>
      </c>
      <c r="AI21" s="565">
        <f t="shared" si="38"/>
        <v>0</v>
      </c>
      <c r="AJ21" s="565">
        <f t="shared" si="38"/>
        <v>0</v>
      </c>
      <c r="AK21" s="565">
        <f t="shared" si="38"/>
        <v>0</v>
      </c>
      <c r="AL21" s="565">
        <f t="shared" si="38"/>
        <v>0</v>
      </c>
      <c r="AM21" s="565">
        <f t="shared" si="38"/>
        <v>0</v>
      </c>
      <c r="AN21" s="565">
        <f t="shared" si="38"/>
        <v>0</v>
      </c>
      <c r="AO21" s="565">
        <f t="shared" si="38"/>
        <v>0</v>
      </c>
      <c r="AP21" s="565">
        <f t="shared" si="38"/>
        <v>0</v>
      </c>
      <c r="AQ21" s="565">
        <f t="shared" si="38"/>
        <v>0</v>
      </c>
      <c r="AR21" s="573">
        <f>AQ21*(1+допущения!$C$37)</f>
        <v>0</v>
      </c>
      <c r="AS21" s="573">
        <f t="shared" si="8"/>
        <v>0</v>
      </c>
      <c r="AT21" s="573">
        <f t="shared" si="8"/>
        <v>0</v>
      </c>
      <c r="AU21" s="573">
        <f t="shared" si="8"/>
        <v>0</v>
      </c>
      <c r="AV21" s="97"/>
      <c r="AW21" s="116">
        <f t="shared" si="9"/>
        <v>0</v>
      </c>
      <c r="AX21" s="397">
        <f t="shared" si="10"/>
        <v>0</v>
      </c>
      <c r="AY21" s="397">
        <f t="shared" si="11"/>
        <v>0</v>
      </c>
      <c r="AZ21" s="397">
        <f t="shared" si="12"/>
        <v>0</v>
      </c>
      <c r="BA21" s="397">
        <f t="shared" si="13"/>
        <v>0</v>
      </c>
      <c r="BB21" s="397">
        <f t="shared" si="14"/>
        <v>0</v>
      </c>
      <c r="BC21" s="397">
        <f t="shared" si="15"/>
        <v>0</v>
      </c>
      <c r="BD21" s="397">
        <f t="shared" si="16"/>
        <v>0</v>
      </c>
      <c r="BE21" s="397">
        <f t="shared" si="17"/>
        <v>0</v>
      </c>
      <c r="BF21" s="397">
        <f t="shared" si="18"/>
        <v>0</v>
      </c>
      <c r="BG21" s="397">
        <f t="shared" si="19"/>
        <v>0</v>
      </c>
    </row>
    <row r="22" spans="1:59" x14ac:dyDescent="0.3">
      <c r="A22" s="570" t="s">
        <v>149</v>
      </c>
      <c r="B22" s="571">
        <v>0</v>
      </c>
      <c r="C22" s="588">
        <v>0</v>
      </c>
      <c r="D22" s="565">
        <f>$B$22*C22*3</f>
        <v>0</v>
      </c>
      <c r="E22" s="565">
        <f t="shared" ref="E22:AQ22" si="39">$B$22*D22*3</f>
        <v>0</v>
      </c>
      <c r="F22" s="565">
        <f t="shared" si="39"/>
        <v>0</v>
      </c>
      <c r="G22" s="565">
        <f t="shared" si="39"/>
        <v>0</v>
      </c>
      <c r="H22" s="565">
        <f t="shared" si="39"/>
        <v>0</v>
      </c>
      <c r="I22" s="565">
        <f t="shared" si="39"/>
        <v>0</v>
      </c>
      <c r="J22" s="565">
        <f t="shared" si="39"/>
        <v>0</v>
      </c>
      <c r="K22" s="565">
        <f t="shared" si="39"/>
        <v>0</v>
      </c>
      <c r="L22" s="565">
        <f t="shared" si="39"/>
        <v>0</v>
      </c>
      <c r="M22" s="565">
        <f t="shared" si="39"/>
        <v>0</v>
      </c>
      <c r="N22" s="565">
        <f t="shared" si="39"/>
        <v>0</v>
      </c>
      <c r="O22" s="565">
        <f t="shared" si="39"/>
        <v>0</v>
      </c>
      <c r="P22" s="565">
        <f t="shared" si="39"/>
        <v>0</v>
      </c>
      <c r="Q22" s="565">
        <f t="shared" si="39"/>
        <v>0</v>
      </c>
      <c r="R22" s="565">
        <f t="shared" si="39"/>
        <v>0</v>
      </c>
      <c r="S22" s="565">
        <f t="shared" si="39"/>
        <v>0</v>
      </c>
      <c r="T22" s="565">
        <f t="shared" si="39"/>
        <v>0</v>
      </c>
      <c r="U22" s="565">
        <f t="shared" si="39"/>
        <v>0</v>
      </c>
      <c r="V22" s="565">
        <f t="shared" si="39"/>
        <v>0</v>
      </c>
      <c r="W22" s="565">
        <f t="shared" si="39"/>
        <v>0</v>
      </c>
      <c r="X22" s="565">
        <f t="shared" si="39"/>
        <v>0</v>
      </c>
      <c r="Y22" s="565">
        <f t="shared" si="39"/>
        <v>0</v>
      </c>
      <c r="Z22" s="565">
        <f t="shared" si="39"/>
        <v>0</v>
      </c>
      <c r="AA22" s="565">
        <f t="shared" si="39"/>
        <v>0</v>
      </c>
      <c r="AB22" s="565">
        <f t="shared" si="39"/>
        <v>0</v>
      </c>
      <c r="AC22" s="565">
        <f t="shared" si="39"/>
        <v>0</v>
      </c>
      <c r="AD22" s="565">
        <f t="shared" si="39"/>
        <v>0</v>
      </c>
      <c r="AE22" s="565">
        <f t="shared" si="39"/>
        <v>0</v>
      </c>
      <c r="AF22" s="565">
        <f t="shared" si="39"/>
        <v>0</v>
      </c>
      <c r="AG22" s="565">
        <f t="shared" si="39"/>
        <v>0</v>
      </c>
      <c r="AH22" s="565">
        <f t="shared" si="39"/>
        <v>0</v>
      </c>
      <c r="AI22" s="565">
        <f t="shared" si="39"/>
        <v>0</v>
      </c>
      <c r="AJ22" s="565">
        <f t="shared" si="39"/>
        <v>0</v>
      </c>
      <c r="AK22" s="565">
        <f t="shared" si="39"/>
        <v>0</v>
      </c>
      <c r="AL22" s="565">
        <f t="shared" si="39"/>
        <v>0</v>
      </c>
      <c r="AM22" s="565">
        <f t="shared" si="39"/>
        <v>0</v>
      </c>
      <c r="AN22" s="565">
        <f t="shared" si="39"/>
        <v>0</v>
      </c>
      <c r="AO22" s="565">
        <f t="shared" si="39"/>
        <v>0</v>
      </c>
      <c r="AP22" s="565">
        <f t="shared" si="39"/>
        <v>0</v>
      </c>
      <c r="AQ22" s="565">
        <f t="shared" si="39"/>
        <v>0</v>
      </c>
      <c r="AR22" s="573">
        <f>AQ22*(1+допущения!$C$37)</f>
        <v>0</v>
      </c>
      <c r="AS22" s="573">
        <f t="shared" si="8"/>
        <v>0</v>
      </c>
      <c r="AT22" s="573">
        <f t="shared" si="8"/>
        <v>0</v>
      </c>
      <c r="AU22" s="573">
        <f t="shared" si="8"/>
        <v>0</v>
      </c>
      <c r="AV22" s="97"/>
      <c r="AW22" s="116">
        <f t="shared" si="9"/>
        <v>0</v>
      </c>
      <c r="AX22" s="397">
        <f t="shared" si="10"/>
        <v>0</v>
      </c>
      <c r="AY22" s="397">
        <f t="shared" si="11"/>
        <v>0</v>
      </c>
      <c r="AZ22" s="397">
        <f t="shared" si="12"/>
        <v>0</v>
      </c>
      <c r="BA22" s="397">
        <f t="shared" si="13"/>
        <v>0</v>
      </c>
      <c r="BB22" s="397">
        <f t="shared" si="14"/>
        <v>0</v>
      </c>
      <c r="BC22" s="397">
        <f t="shared" si="15"/>
        <v>0</v>
      </c>
      <c r="BD22" s="397">
        <f t="shared" si="16"/>
        <v>0</v>
      </c>
      <c r="BE22" s="397">
        <f t="shared" si="17"/>
        <v>0</v>
      </c>
      <c r="BF22" s="397">
        <f t="shared" si="18"/>
        <v>0</v>
      </c>
      <c r="BG22" s="397">
        <f t="shared" si="19"/>
        <v>0</v>
      </c>
    </row>
    <row r="23" spans="1:59" s="110" customFormat="1" ht="28.8" x14ac:dyDescent="0.3">
      <c r="A23" s="574" t="s">
        <v>134</v>
      </c>
      <c r="B23" s="575">
        <f>SUM(B18:B22)</f>
        <v>0</v>
      </c>
      <c r="C23" s="585"/>
      <c r="D23" s="575">
        <f>SUM(D18:D22)</f>
        <v>0</v>
      </c>
      <c r="E23" s="575">
        <f t="shared" ref="E23:AQ23" si="40">SUM(E18:E22)</f>
        <v>0</v>
      </c>
      <c r="F23" s="575">
        <f t="shared" si="40"/>
        <v>0</v>
      </c>
      <c r="G23" s="575">
        <f t="shared" si="40"/>
        <v>0</v>
      </c>
      <c r="H23" s="575">
        <f t="shared" si="40"/>
        <v>0</v>
      </c>
      <c r="I23" s="575">
        <f t="shared" si="40"/>
        <v>0</v>
      </c>
      <c r="J23" s="575">
        <f t="shared" si="40"/>
        <v>0</v>
      </c>
      <c r="K23" s="575">
        <f t="shared" si="40"/>
        <v>0</v>
      </c>
      <c r="L23" s="575">
        <f t="shared" si="40"/>
        <v>0</v>
      </c>
      <c r="M23" s="575">
        <f t="shared" si="40"/>
        <v>0</v>
      </c>
      <c r="N23" s="575">
        <f t="shared" si="40"/>
        <v>0</v>
      </c>
      <c r="O23" s="575">
        <f t="shared" si="40"/>
        <v>0</v>
      </c>
      <c r="P23" s="575">
        <f t="shared" si="40"/>
        <v>0</v>
      </c>
      <c r="Q23" s="575">
        <f t="shared" si="40"/>
        <v>0</v>
      </c>
      <c r="R23" s="575">
        <f t="shared" si="40"/>
        <v>0</v>
      </c>
      <c r="S23" s="575">
        <f t="shared" si="40"/>
        <v>0</v>
      </c>
      <c r="T23" s="575">
        <f t="shared" si="40"/>
        <v>0</v>
      </c>
      <c r="U23" s="575">
        <f t="shared" si="40"/>
        <v>0</v>
      </c>
      <c r="V23" s="575">
        <f t="shared" si="40"/>
        <v>0</v>
      </c>
      <c r="W23" s="575">
        <f t="shared" si="40"/>
        <v>0</v>
      </c>
      <c r="X23" s="575">
        <f t="shared" si="40"/>
        <v>0</v>
      </c>
      <c r="Y23" s="575">
        <f t="shared" si="40"/>
        <v>0</v>
      </c>
      <c r="Z23" s="575">
        <f t="shared" si="40"/>
        <v>0</v>
      </c>
      <c r="AA23" s="575">
        <f t="shared" si="40"/>
        <v>0</v>
      </c>
      <c r="AB23" s="575">
        <f t="shared" si="40"/>
        <v>0</v>
      </c>
      <c r="AC23" s="575">
        <f t="shared" si="40"/>
        <v>0</v>
      </c>
      <c r="AD23" s="575">
        <f t="shared" si="40"/>
        <v>0</v>
      </c>
      <c r="AE23" s="575">
        <f t="shared" si="40"/>
        <v>0</v>
      </c>
      <c r="AF23" s="575">
        <f t="shared" si="40"/>
        <v>0</v>
      </c>
      <c r="AG23" s="575">
        <f t="shared" si="40"/>
        <v>0</v>
      </c>
      <c r="AH23" s="575">
        <f t="shared" si="40"/>
        <v>0</v>
      </c>
      <c r="AI23" s="575">
        <f t="shared" si="40"/>
        <v>0</v>
      </c>
      <c r="AJ23" s="575">
        <f t="shared" si="40"/>
        <v>0</v>
      </c>
      <c r="AK23" s="575">
        <f t="shared" si="40"/>
        <v>0</v>
      </c>
      <c r="AL23" s="575">
        <f t="shared" si="40"/>
        <v>0</v>
      </c>
      <c r="AM23" s="575">
        <f t="shared" si="40"/>
        <v>0</v>
      </c>
      <c r="AN23" s="575">
        <f t="shared" si="40"/>
        <v>0</v>
      </c>
      <c r="AO23" s="575">
        <f t="shared" si="40"/>
        <v>0</v>
      </c>
      <c r="AP23" s="575">
        <f t="shared" si="40"/>
        <v>0</v>
      </c>
      <c r="AQ23" s="575">
        <f t="shared" si="40"/>
        <v>0</v>
      </c>
      <c r="AR23" s="578">
        <f>AQ23*(1+допущения!$C$37)</f>
        <v>0</v>
      </c>
      <c r="AS23" s="578">
        <f t="shared" si="8"/>
        <v>0</v>
      </c>
      <c r="AT23" s="578">
        <f t="shared" si="8"/>
        <v>0</v>
      </c>
      <c r="AU23" s="578">
        <f t="shared" si="8"/>
        <v>0</v>
      </c>
      <c r="AV23" s="112"/>
      <c r="AW23" s="112">
        <f t="shared" si="9"/>
        <v>0</v>
      </c>
      <c r="AX23" s="560">
        <f t="shared" si="10"/>
        <v>0</v>
      </c>
      <c r="AY23" s="560">
        <f t="shared" si="11"/>
        <v>0</v>
      </c>
      <c r="AZ23" s="560">
        <f t="shared" si="12"/>
        <v>0</v>
      </c>
      <c r="BA23" s="560">
        <f t="shared" si="13"/>
        <v>0</v>
      </c>
      <c r="BB23" s="560">
        <f t="shared" si="14"/>
        <v>0</v>
      </c>
      <c r="BC23" s="560">
        <f t="shared" si="15"/>
        <v>0</v>
      </c>
      <c r="BD23" s="560">
        <f t="shared" si="16"/>
        <v>0</v>
      </c>
      <c r="BE23" s="560">
        <f t="shared" si="17"/>
        <v>0</v>
      </c>
      <c r="BF23" s="560">
        <f t="shared" si="18"/>
        <v>0</v>
      </c>
      <c r="BG23" s="560">
        <f t="shared" si="19"/>
        <v>0</v>
      </c>
    </row>
    <row r="24" spans="1:59" s="114" customFormat="1" ht="18" customHeight="1" x14ac:dyDescent="0.3">
      <c r="A24" s="579" t="s">
        <v>135</v>
      </c>
      <c r="B24" s="580"/>
      <c r="C24" s="586"/>
      <c r="D24" s="580">
        <f>D23*$B$61</f>
        <v>0</v>
      </c>
      <c r="E24" s="580">
        <f t="shared" ref="E24:AQ24" si="41">E23*$B$61</f>
        <v>0</v>
      </c>
      <c r="F24" s="580">
        <f t="shared" si="41"/>
        <v>0</v>
      </c>
      <c r="G24" s="580">
        <f t="shared" si="41"/>
        <v>0</v>
      </c>
      <c r="H24" s="580">
        <f t="shared" si="41"/>
        <v>0</v>
      </c>
      <c r="I24" s="580">
        <f t="shared" si="41"/>
        <v>0</v>
      </c>
      <c r="J24" s="580">
        <f t="shared" si="41"/>
        <v>0</v>
      </c>
      <c r="K24" s="580">
        <f t="shared" si="41"/>
        <v>0</v>
      </c>
      <c r="L24" s="580">
        <f t="shared" si="41"/>
        <v>0</v>
      </c>
      <c r="M24" s="580">
        <f t="shared" si="41"/>
        <v>0</v>
      </c>
      <c r="N24" s="580">
        <f t="shared" si="41"/>
        <v>0</v>
      </c>
      <c r="O24" s="580">
        <f t="shared" si="41"/>
        <v>0</v>
      </c>
      <c r="P24" s="580">
        <f t="shared" si="41"/>
        <v>0</v>
      </c>
      <c r="Q24" s="580">
        <f t="shared" si="41"/>
        <v>0</v>
      </c>
      <c r="R24" s="580">
        <f t="shared" si="41"/>
        <v>0</v>
      </c>
      <c r="S24" s="580">
        <f t="shared" si="41"/>
        <v>0</v>
      </c>
      <c r="T24" s="580">
        <f t="shared" si="41"/>
        <v>0</v>
      </c>
      <c r="U24" s="580">
        <f t="shared" si="41"/>
        <v>0</v>
      </c>
      <c r="V24" s="580">
        <f t="shared" si="41"/>
        <v>0</v>
      </c>
      <c r="W24" s="580">
        <f t="shared" si="41"/>
        <v>0</v>
      </c>
      <c r="X24" s="580">
        <f t="shared" si="41"/>
        <v>0</v>
      </c>
      <c r="Y24" s="580">
        <f t="shared" si="41"/>
        <v>0</v>
      </c>
      <c r="Z24" s="580">
        <f t="shared" si="41"/>
        <v>0</v>
      </c>
      <c r="AA24" s="580">
        <f t="shared" si="41"/>
        <v>0</v>
      </c>
      <c r="AB24" s="580">
        <f t="shared" si="41"/>
        <v>0</v>
      </c>
      <c r="AC24" s="580">
        <f t="shared" si="41"/>
        <v>0</v>
      </c>
      <c r="AD24" s="580">
        <f t="shared" si="41"/>
        <v>0</v>
      </c>
      <c r="AE24" s="580">
        <f t="shared" si="41"/>
        <v>0</v>
      </c>
      <c r="AF24" s="580">
        <f t="shared" si="41"/>
        <v>0</v>
      </c>
      <c r="AG24" s="580">
        <f t="shared" si="41"/>
        <v>0</v>
      </c>
      <c r="AH24" s="580">
        <f t="shared" si="41"/>
        <v>0</v>
      </c>
      <c r="AI24" s="580">
        <f t="shared" si="41"/>
        <v>0</v>
      </c>
      <c r="AJ24" s="580">
        <f t="shared" si="41"/>
        <v>0</v>
      </c>
      <c r="AK24" s="580">
        <f t="shared" si="41"/>
        <v>0</v>
      </c>
      <c r="AL24" s="580">
        <f t="shared" si="41"/>
        <v>0</v>
      </c>
      <c r="AM24" s="580">
        <f t="shared" si="41"/>
        <v>0</v>
      </c>
      <c r="AN24" s="580">
        <f t="shared" si="41"/>
        <v>0</v>
      </c>
      <c r="AO24" s="580">
        <f t="shared" si="41"/>
        <v>0</v>
      </c>
      <c r="AP24" s="580">
        <f t="shared" si="41"/>
        <v>0</v>
      </c>
      <c r="AQ24" s="580">
        <f t="shared" si="41"/>
        <v>0</v>
      </c>
      <c r="AR24" s="580">
        <f>AQ24*(1+допущения!$C$37)</f>
        <v>0</v>
      </c>
      <c r="AS24" s="580">
        <f t="shared" si="8"/>
        <v>0</v>
      </c>
      <c r="AT24" s="580">
        <f t="shared" si="8"/>
        <v>0</v>
      </c>
      <c r="AU24" s="580">
        <f t="shared" si="8"/>
        <v>0</v>
      </c>
      <c r="AV24" s="115"/>
      <c r="AW24" s="561">
        <f t="shared" si="9"/>
        <v>0</v>
      </c>
      <c r="AX24" s="405">
        <f t="shared" si="10"/>
        <v>0</v>
      </c>
      <c r="AY24" s="405">
        <f t="shared" si="11"/>
        <v>0</v>
      </c>
      <c r="AZ24" s="405">
        <f t="shared" si="12"/>
        <v>0</v>
      </c>
      <c r="BA24" s="405">
        <f t="shared" si="13"/>
        <v>0</v>
      </c>
      <c r="BB24" s="405">
        <f t="shared" si="14"/>
        <v>0</v>
      </c>
      <c r="BC24" s="405">
        <f t="shared" si="15"/>
        <v>0</v>
      </c>
      <c r="BD24" s="405">
        <f t="shared" si="16"/>
        <v>0</v>
      </c>
      <c r="BE24" s="405">
        <f t="shared" si="17"/>
        <v>0</v>
      </c>
      <c r="BF24" s="405">
        <f t="shared" si="18"/>
        <v>0</v>
      </c>
      <c r="BG24" s="405">
        <f t="shared" si="19"/>
        <v>0</v>
      </c>
    </row>
    <row r="25" spans="1:59" x14ac:dyDescent="0.3">
      <c r="A25" s="570" t="s">
        <v>150</v>
      </c>
      <c r="B25" s="571">
        <v>0</v>
      </c>
      <c r="C25" s="588">
        <v>0</v>
      </c>
      <c r="D25" s="565">
        <f>$B$25*$C$25*3</f>
        <v>0</v>
      </c>
      <c r="E25" s="565">
        <f t="shared" ref="E25:AQ25" si="42">$B$25*$C$25*3</f>
        <v>0</v>
      </c>
      <c r="F25" s="565">
        <f t="shared" si="42"/>
        <v>0</v>
      </c>
      <c r="G25" s="565">
        <f t="shared" si="42"/>
        <v>0</v>
      </c>
      <c r="H25" s="565">
        <f t="shared" si="42"/>
        <v>0</v>
      </c>
      <c r="I25" s="565">
        <f t="shared" si="42"/>
        <v>0</v>
      </c>
      <c r="J25" s="565">
        <f t="shared" si="42"/>
        <v>0</v>
      </c>
      <c r="K25" s="565">
        <f t="shared" si="42"/>
        <v>0</v>
      </c>
      <c r="L25" s="565">
        <f t="shared" si="42"/>
        <v>0</v>
      </c>
      <c r="M25" s="565">
        <f t="shared" si="42"/>
        <v>0</v>
      </c>
      <c r="N25" s="565">
        <f t="shared" si="42"/>
        <v>0</v>
      </c>
      <c r="O25" s="565">
        <f t="shared" si="42"/>
        <v>0</v>
      </c>
      <c r="P25" s="565">
        <f t="shared" si="42"/>
        <v>0</v>
      </c>
      <c r="Q25" s="565">
        <f t="shared" si="42"/>
        <v>0</v>
      </c>
      <c r="R25" s="565">
        <f t="shared" si="42"/>
        <v>0</v>
      </c>
      <c r="S25" s="565">
        <f t="shared" si="42"/>
        <v>0</v>
      </c>
      <c r="T25" s="565">
        <f t="shared" si="42"/>
        <v>0</v>
      </c>
      <c r="U25" s="565">
        <f t="shared" si="42"/>
        <v>0</v>
      </c>
      <c r="V25" s="565">
        <f t="shared" si="42"/>
        <v>0</v>
      </c>
      <c r="W25" s="565">
        <f t="shared" si="42"/>
        <v>0</v>
      </c>
      <c r="X25" s="565">
        <f t="shared" si="42"/>
        <v>0</v>
      </c>
      <c r="Y25" s="565">
        <f t="shared" si="42"/>
        <v>0</v>
      </c>
      <c r="Z25" s="565">
        <f t="shared" si="42"/>
        <v>0</v>
      </c>
      <c r="AA25" s="565">
        <f t="shared" si="42"/>
        <v>0</v>
      </c>
      <c r="AB25" s="565">
        <f t="shared" si="42"/>
        <v>0</v>
      </c>
      <c r="AC25" s="565">
        <f t="shared" si="42"/>
        <v>0</v>
      </c>
      <c r="AD25" s="565">
        <f t="shared" si="42"/>
        <v>0</v>
      </c>
      <c r="AE25" s="565">
        <f t="shared" si="42"/>
        <v>0</v>
      </c>
      <c r="AF25" s="565">
        <f t="shared" si="42"/>
        <v>0</v>
      </c>
      <c r="AG25" s="565">
        <f t="shared" si="42"/>
        <v>0</v>
      </c>
      <c r="AH25" s="565">
        <f t="shared" si="42"/>
        <v>0</v>
      </c>
      <c r="AI25" s="565">
        <f t="shared" si="42"/>
        <v>0</v>
      </c>
      <c r="AJ25" s="565">
        <f t="shared" si="42"/>
        <v>0</v>
      </c>
      <c r="AK25" s="565">
        <f t="shared" si="42"/>
        <v>0</v>
      </c>
      <c r="AL25" s="565">
        <f t="shared" si="42"/>
        <v>0</v>
      </c>
      <c r="AM25" s="565">
        <f t="shared" si="42"/>
        <v>0</v>
      </c>
      <c r="AN25" s="565">
        <f t="shared" si="42"/>
        <v>0</v>
      </c>
      <c r="AO25" s="565">
        <f t="shared" si="42"/>
        <v>0</v>
      </c>
      <c r="AP25" s="565">
        <f t="shared" si="42"/>
        <v>0</v>
      </c>
      <c r="AQ25" s="565">
        <f t="shared" si="42"/>
        <v>0</v>
      </c>
      <c r="AR25" s="573">
        <f>AQ25*(1+допущения!$C$37)</f>
        <v>0</v>
      </c>
      <c r="AS25" s="573">
        <f t="shared" si="8"/>
        <v>0</v>
      </c>
      <c r="AT25" s="573">
        <f t="shared" si="8"/>
        <v>0</v>
      </c>
      <c r="AU25" s="573">
        <f t="shared" si="8"/>
        <v>0</v>
      </c>
      <c r="AV25" s="97"/>
      <c r="AW25" s="116">
        <f t="shared" si="9"/>
        <v>0</v>
      </c>
      <c r="AX25" s="397">
        <f t="shared" si="10"/>
        <v>0</v>
      </c>
      <c r="AY25" s="397">
        <f t="shared" si="11"/>
        <v>0</v>
      </c>
      <c r="AZ25" s="397">
        <f t="shared" si="12"/>
        <v>0</v>
      </c>
      <c r="BA25" s="397">
        <f t="shared" si="13"/>
        <v>0</v>
      </c>
      <c r="BB25" s="397">
        <f t="shared" si="14"/>
        <v>0</v>
      </c>
      <c r="BC25" s="397">
        <f t="shared" si="15"/>
        <v>0</v>
      </c>
      <c r="BD25" s="397">
        <f t="shared" si="16"/>
        <v>0</v>
      </c>
      <c r="BE25" s="397">
        <f t="shared" si="17"/>
        <v>0</v>
      </c>
      <c r="BF25" s="397">
        <f t="shared" si="18"/>
        <v>0</v>
      </c>
      <c r="BG25" s="397">
        <f t="shared" si="19"/>
        <v>0</v>
      </c>
    </row>
    <row r="26" spans="1:59" s="110" customFormat="1" ht="28.8" x14ac:dyDescent="0.3">
      <c r="A26" s="574" t="s">
        <v>134</v>
      </c>
      <c r="B26" s="575"/>
      <c r="C26" s="585"/>
      <c r="D26" s="575">
        <f>SUM(D25)</f>
        <v>0</v>
      </c>
      <c r="E26" s="575">
        <f t="shared" ref="E26:AQ26" si="43">SUM(E25)</f>
        <v>0</v>
      </c>
      <c r="F26" s="575">
        <f t="shared" si="43"/>
        <v>0</v>
      </c>
      <c r="G26" s="575">
        <f t="shared" si="43"/>
        <v>0</v>
      </c>
      <c r="H26" s="575">
        <f t="shared" si="43"/>
        <v>0</v>
      </c>
      <c r="I26" s="575">
        <f t="shared" si="43"/>
        <v>0</v>
      </c>
      <c r="J26" s="575">
        <f t="shared" si="43"/>
        <v>0</v>
      </c>
      <c r="K26" s="575">
        <f t="shared" si="43"/>
        <v>0</v>
      </c>
      <c r="L26" s="575">
        <f t="shared" si="43"/>
        <v>0</v>
      </c>
      <c r="M26" s="575">
        <f t="shared" si="43"/>
        <v>0</v>
      </c>
      <c r="N26" s="575">
        <f t="shared" si="43"/>
        <v>0</v>
      </c>
      <c r="O26" s="575">
        <f t="shared" si="43"/>
        <v>0</v>
      </c>
      <c r="P26" s="575">
        <f t="shared" si="43"/>
        <v>0</v>
      </c>
      <c r="Q26" s="575">
        <f t="shared" si="43"/>
        <v>0</v>
      </c>
      <c r="R26" s="575">
        <f t="shared" si="43"/>
        <v>0</v>
      </c>
      <c r="S26" s="575">
        <f t="shared" si="43"/>
        <v>0</v>
      </c>
      <c r="T26" s="575">
        <f t="shared" si="43"/>
        <v>0</v>
      </c>
      <c r="U26" s="575">
        <f t="shared" si="43"/>
        <v>0</v>
      </c>
      <c r="V26" s="575">
        <f t="shared" si="43"/>
        <v>0</v>
      </c>
      <c r="W26" s="575">
        <f t="shared" si="43"/>
        <v>0</v>
      </c>
      <c r="X26" s="575">
        <f t="shared" si="43"/>
        <v>0</v>
      </c>
      <c r="Y26" s="575">
        <f t="shared" si="43"/>
        <v>0</v>
      </c>
      <c r="Z26" s="575">
        <f t="shared" si="43"/>
        <v>0</v>
      </c>
      <c r="AA26" s="575">
        <f t="shared" si="43"/>
        <v>0</v>
      </c>
      <c r="AB26" s="575">
        <f t="shared" si="43"/>
        <v>0</v>
      </c>
      <c r="AC26" s="575">
        <f t="shared" si="43"/>
        <v>0</v>
      </c>
      <c r="AD26" s="575">
        <f t="shared" si="43"/>
        <v>0</v>
      </c>
      <c r="AE26" s="575">
        <f t="shared" si="43"/>
        <v>0</v>
      </c>
      <c r="AF26" s="575">
        <f t="shared" si="43"/>
        <v>0</v>
      </c>
      <c r="AG26" s="575">
        <f t="shared" si="43"/>
        <v>0</v>
      </c>
      <c r="AH26" s="575">
        <f t="shared" si="43"/>
        <v>0</v>
      </c>
      <c r="AI26" s="575">
        <f t="shared" si="43"/>
        <v>0</v>
      </c>
      <c r="AJ26" s="575">
        <f t="shared" si="43"/>
        <v>0</v>
      </c>
      <c r="AK26" s="575">
        <f t="shared" si="43"/>
        <v>0</v>
      </c>
      <c r="AL26" s="575">
        <f t="shared" si="43"/>
        <v>0</v>
      </c>
      <c r="AM26" s="575">
        <f t="shared" si="43"/>
        <v>0</v>
      </c>
      <c r="AN26" s="575">
        <f t="shared" si="43"/>
        <v>0</v>
      </c>
      <c r="AO26" s="575">
        <f t="shared" si="43"/>
        <v>0</v>
      </c>
      <c r="AP26" s="575">
        <f t="shared" si="43"/>
        <v>0</v>
      </c>
      <c r="AQ26" s="575">
        <f t="shared" si="43"/>
        <v>0</v>
      </c>
      <c r="AR26" s="578">
        <f>AQ26*(1+допущения!$C$37)</f>
        <v>0</v>
      </c>
      <c r="AS26" s="578">
        <f t="shared" si="8"/>
        <v>0</v>
      </c>
      <c r="AT26" s="578">
        <f t="shared" si="8"/>
        <v>0</v>
      </c>
      <c r="AU26" s="578">
        <f t="shared" si="8"/>
        <v>0</v>
      </c>
      <c r="AV26" s="112"/>
      <c r="AW26" s="559">
        <f t="shared" si="9"/>
        <v>0</v>
      </c>
      <c r="AX26" s="560">
        <f t="shared" si="10"/>
        <v>0</v>
      </c>
      <c r="AY26" s="560">
        <f t="shared" si="11"/>
        <v>0</v>
      </c>
      <c r="AZ26" s="560">
        <f t="shared" si="12"/>
        <v>0</v>
      </c>
      <c r="BA26" s="560">
        <f t="shared" si="13"/>
        <v>0</v>
      </c>
      <c r="BB26" s="560">
        <f t="shared" si="14"/>
        <v>0</v>
      </c>
      <c r="BC26" s="560">
        <f t="shared" si="15"/>
        <v>0</v>
      </c>
      <c r="BD26" s="560">
        <f t="shared" si="16"/>
        <v>0</v>
      </c>
      <c r="BE26" s="560">
        <f t="shared" si="17"/>
        <v>0</v>
      </c>
      <c r="BF26" s="560">
        <f t="shared" si="18"/>
        <v>0</v>
      </c>
      <c r="BG26" s="560">
        <f t="shared" si="19"/>
        <v>0</v>
      </c>
    </row>
    <row r="27" spans="1:59" s="114" customFormat="1" ht="18.75" customHeight="1" x14ac:dyDescent="0.3">
      <c r="A27" s="579" t="s">
        <v>135</v>
      </c>
      <c r="B27" s="580"/>
      <c r="C27" s="586"/>
      <c r="D27" s="580">
        <f>D26*$B$61</f>
        <v>0</v>
      </c>
      <c r="E27" s="580">
        <f t="shared" ref="E27:AQ27" si="44">E26*$B$61</f>
        <v>0</v>
      </c>
      <c r="F27" s="580">
        <f t="shared" si="44"/>
        <v>0</v>
      </c>
      <c r="G27" s="580">
        <f t="shared" si="44"/>
        <v>0</v>
      </c>
      <c r="H27" s="580">
        <f t="shared" si="44"/>
        <v>0</v>
      </c>
      <c r="I27" s="580">
        <f t="shared" si="44"/>
        <v>0</v>
      </c>
      <c r="J27" s="580">
        <f t="shared" si="44"/>
        <v>0</v>
      </c>
      <c r="K27" s="580">
        <f t="shared" si="44"/>
        <v>0</v>
      </c>
      <c r="L27" s="580">
        <f t="shared" si="44"/>
        <v>0</v>
      </c>
      <c r="M27" s="580">
        <f t="shared" si="44"/>
        <v>0</v>
      </c>
      <c r="N27" s="580">
        <f t="shared" si="44"/>
        <v>0</v>
      </c>
      <c r="O27" s="580">
        <f t="shared" si="44"/>
        <v>0</v>
      </c>
      <c r="P27" s="580">
        <f t="shared" si="44"/>
        <v>0</v>
      </c>
      <c r="Q27" s="580">
        <f t="shared" si="44"/>
        <v>0</v>
      </c>
      <c r="R27" s="580">
        <f t="shared" si="44"/>
        <v>0</v>
      </c>
      <c r="S27" s="580">
        <f t="shared" si="44"/>
        <v>0</v>
      </c>
      <c r="T27" s="580">
        <f t="shared" si="44"/>
        <v>0</v>
      </c>
      <c r="U27" s="580">
        <f t="shared" si="44"/>
        <v>0</v>
      </c>
      <c r="V27" s="580">
        <f t="shared" si="44"/>
        <v>0</v>
      </c>
      <c r="W27" s="580">
        <f t="shared" si="44"/>
        <v>0</v>
      </c>
      <c r="X27" s="580">
        <f t="shared" si="44"/>
        <v>0</v>
      </c>
      <c r="Y27" s="580">
        <f t="shared" si="44"/>
        <v>0</v>
      </c>
      <c r="Z27" s="580">
        <f t="shared" si="44"/>
        <v>0</v>
      </c>
      <c r="AA27" s="580">
        <f t="shared" si="44"/>
        <v>0</v>
      </c>
      <c r="AB27" s="580">
        <f t="shared" si="44"/>
        <v>0</v>
      </c>
      <c r="AC27" s="580">
        <f t="shared" si="44"/>
        <v>0</v>
      </c>
      <c r="AD27" s="580">
        <f t="shared" si="44"/>
        <v>0</v>
      </c>
      <c r="AE27" s="580">
        <f t="shared" si="44"/>
        <v>0</v>
      </c>
      <c r="AF27" s="580">
        <f t="shared" si="44"/>
        <v>0</v>
      </c>
      <c r="AG27" s="580">
        <f t="shared" si="44"/>
        <v>0</v>
      </c>
      <c r="AH27" s="580">
        <f t="shared" si="44"/>
        <v>0</v>
      </c>
      <c r="AI27" s="580">
        <f t="shared" si="44"/>
        <v>0</v>
      </c>
      <c r="AJ27" s="580">
        <f t="shared" si="44"/>
        <v>0</v>
      </c>
      <c r="AK27" s="580">
        <f t="shared" si="44"/>
        <v>0</v>
      </c>
      <c r="AL27" s="580">
        <f t="shared" si="44"/>
        <v>0</v>
      </c>
      <c r="AM27" s="580">
        <f t="shared" si="44"/>
        <v>0</v>
      </c>
      <c r="AN27" s="580">
        <f t="shared" si="44"/>
        <v>0</v>
      </c>
      <c r="AO27" s="580">
        <f t="shared" si="44"/>
        <v>0</v>
      </c>
      <c r="AP27" s="580">
        <f t="shared" si="44"/>
        <v>0</v>
      </c>
      <c r="AQ27" s="580">
        <f t="shared" si="44"/>
        <v>0</v>
      </c>
      <c r="AR27" s="580">
        <f>AQ27*(1+допущения!$C$37)</f>
        <v>0</v>
      </c>
      <c r="AS27" s="580">
        <f t="shared" si="8"/>
        <v>0</v>
      </c>
      <c r="AT27" s="580">
        <f t="shared" si="8"/>
        <v>0</v>
      </c>
      <c r="AU27" s="580">
        <f t="shared" si="8"/>
        <v>0</v>
      </c>
      <c r="AV27" s="115"/>
      <c r="AW27" s="561">
        <f t="shared" si="9"/>
        <v>0</v>
      </c>
      <c r="AX27" s="405">
        <f t="shared" si="10"/>
        <v>0</v>
      </c>
      <c r="AY27" s="405">
        <f t="shared" si="11"/>
        <v>0</v>
      </c>
      <c r="AZ27" s="405">
        <f t="shared" si="12"/>
        <v>0</v>
      </c>
      <c r="BA27" s="405">
        <f t="shared" si="13"/>
        <v>0</v>
      </c>
      <c r="BB27" s="405">
        <f t="shared" si="14"/>
        <v>0</v>
      </c>
      <c r="BC27" s="405">
        <f t="shared" si="15"/>
        <v>0</v>
      </c>
      <c r="BD27" s="405">
        <f t="shared" si="16"/>
        <v>0</v>
      </c>
      <c r="BE27" s="405">
        <f t="shared" si="17"/>
        <v>0</v>
      </c>
      <c r="BF27" s="405">
        <f t="shared" si="18"/>
        <v>0</v>
      </c>
      <c r="BG27" s="405">
        <f t="shared" si="19"/>
        <v>0</v>
      </c>
    </row>
    <row r="28" spans="1:59" ht="28.8" x14ac:dyDescent="0.3">
      <c r="A28" s="582" t="s">
        <v>151</v>
      </c>
      <c r="B28" s="565"/>
      <c r="C28" s="587"/>
      <c r="D28" s="565"/>
      <c r="E28" s="565"/>
      <c r="F28" s="565"/>
      <c r="G28" s="565"/>
      <c r="H28" s="565"/>
      <c r="I28" s="565"/>
      <c r="J28" s="565"/>
      <c r="K28" s="565"/>
      <c r="L28" s="565"/>
      <c r="M28" s="565"/>
      <c r="N28" s="565"/>
      <c r="O28" s="565"/>
      <c r="P28" s="565"/>
      <c r="Q28" s="565"/>
      <c r="R28" s="565"/>
      <c r="S28" s="565"/>
      <c r="T28" s="565"/>
      <c r="U28" s="565"/>
      <c r="V28" s="565"/>
      <c r="W28" s="565"/>
      <c r="X28" s="565"/>
      <c r="Y28" s="565"/>
      <c r="Z28" s="565"/>
      <c r="AA28" s="565"/>
      <c r="AB28" s="565"/>
      <c r="AC28" s="565"/>
      <c r="AD28" s="565"/>
      <c r="AE28" s="565"/>
      <c r="AF28" s="565"/>
      <c r="AG28" s="565"/>
      <c r="AH28" s="565"/>
      <c r="AI28" s="565"/>
      <c r="AJ28" s="565"/>
      <c r="AK28" s="565"/>
      <c r="AL28" s="565"/>
      <c r="AM28" s="565"/>
      <c r="AN28" s="565"/>
      <c r="AO28" s="565"/>
      <c r="AP28" s="565"/>
      <c r="AQ28" s="565"/>
      <c r="AR28" s="573">
        <f>AQ28*(1+допущения!$C$37)</f>
        <v>0</v>
      </c>
      <c r="AS28" s="573">
        <f t="shared" si="8"/>
        <v>0</v>
      </c>
      <c r="AT28" s="573">
        <f t="shared" si="8"/>
        <v>0</v>
      </c>
      <c r="AU28" s="573">
        <f t="shared" si="8"/>
        <v>0</v>
      </c>
      <c r="AV28" s="97"/>
      <c r="AW28" s="116">
        <f t="shared" si="9"/>
        <v>0</v>
      </c>
      <c r="AX28" s="397">
        <f t="shared" si="10"/>
        <v>0</v>
      </c>
      <c r="AY28" s="397">
        <f t="shared" si="11"/>
        <v>0</v>
      </c>
      <c r="AZ28" s="397">
        <f t="shared" si="12"/>
        <v>0</v>
      </c>
      <c r="BA28" s="397">
        <f t="shared" si="13"/>
        <v>0</v>
      </c>
      <c r="BB28" s="397">
        <f t="shared" si="14"/>
        <v>0</v>
      </c>
      <c r="BC28" s="397">
        <f t="shared" si="15"/>
        <v>0</v>
      </c>
      <c r="BD28" s="397">
        <f t="shared" si="16"/>
        <v>0</v>
      </c>
      <c r="BE28" s="397">
        <f t="shared" si="17"/>
        <v>0</v>
      </c>
      <c r="BF28" s="397">
        <f t="shared" si="18"/>
        <v>0</v>
      </c>
      <c r="BG28" s="397">
        <f t="shared" si="19"/>
        <v>0</v>
      </c>
    </row>
    <row r="29" spans="1:59" x14ac:dyDescent="0.3">
      <c r="A29" s="570" t="s">
        <v>152</v>
      </c>
      <c r="B29" s="571">
        <v>0</v>
      </c>
      <c r="C29" s="588">
        <v>0</v>
      </c>
      <c r="D29" s="565">
        <f>$B$29*$C$29*3</f>
        <v>0</v>
      </c>
      <c r="E29" s="565">
        <f t="shared" ref="E29:AQ29" si="45">$B$29*$C$29*3</f>
        <v>0</v>
      </c>
      <c r="F29" s="565">
        <f t="shared" si="45"/>
        <v>0</v>
      </c>
      <c r="G29" s="565">
        <f t="shared" si="45"/>
        <v>0</v>
      </c>
      <c r="H29" s="565">
        <f t="shared" si="45"/>
        <v>0</v>
      </c>
      <c r="I29" s="565">
        <f t="shared" si="45"/>
        <v>0</v>
      </c>
      <c r="J29" s="565">
        <f t="shared" si="45"/>
        <v>0</v>
      </c>
      <c r="K29" s="565">
        <f t="shared" si="45"/>
        <v>0</v>
      </c>
      <c r="L29" s="565">
        <f t="shared" si="45"/>
        <v>0</v>
      </c>
      <c r="M29" s="565">
        <f t="shared" si="45"/>
        <v>0</v>
      </c>
      <c r="N29" s="565">
        <f t="shared" si="45"/>
        <v>0</v>
      </c>
      <c r="O29" s="565">
        <f t="shared" si="45"/>
        <v>0</v>
      </c>
      <c r="P29" s="565">
        <f t="shared" si="45"/>
        <v>0</v>
      </c>
      <c r="Q29" s="565">
        <f t="shared" si="45"/>
        <v>0</v>
      </c>
      <c r="R29" s="565">
        <f t="shared" si="45"/>
        <v>0</v>
      </c>
      <c r="S29" s="565">
        <f t="shared" si="45"/>
        <v>0</v>
      </c>
      <c r="T29" s="565">
        <f t="shared" si="45"/>
        <v>0</v>
      </c>
      <c r="U29" s="565">
        <f t="shared" si="45"/>
        <v>0</v>
      </c>
      <c r="V29" s="565">
        <f t="shared" si="45"/>
        <v>0</v>
      </c>
      <c r="W29" s="565">
        <f t="shared" si="45"/>
        <v>0</v>
      </c>
      <c r="X29" s="565">
        <f t="shared" si="45"/>
        <v>0</v>
      </c>
      <c r="Y29" s="565">
        <f t="shared" si="45"/>
        <v>0</v>
      </c>
      <c r="Z29" s="565">
        <f t="shared" si="45"/>
        <v>0</v>
      </c>
      <c r="AA29" s="565">
        <f t="shared" si="45"/>
        <v>0</v>
      </c>
      <c r="AB29" s="565">
        <f t="shared" si="45"/>
        <v>0</v>
      </c>
      <c r="AC29" s="565">
        <f t="shared" si="45"/>
        <v>0</v>
      </c>
      <c r="AD29" s="565">
        <f t="shared" si="45"/>
        <v>0</v>
      </c>
      <c r="AE29" s="565">
        <f t="shared" si="45"/>
        <v>0</v>
      </c>
      <c r="AF29" s="565">
        <f t="shared" si="45"/>
        <v>0</v>
      </c>
      <c r="AG29" s="565">
        <f t="shared" si="45"/>
        <v>0</v>
      </c>
      <c r="AH29" s="565">
        <f t="shared" si="45"/>
        <v>0</v>
      </c>
      <c r="AI29" s="565">
        <f t="shared" si="45"/>
        <v>0</v>
      </c>
      <c r="AJ29" s="565">
        <f t="shared" si="45"/>
        <v>0</v>
      </c>
      <c r="AK29" s="565">
        <f t="shared" si="45"/>
        <v>0</v>
      </c>
      <c r="AL29" s="565">
        <f t="shared" si="45"/>
        <v>0</v>
      </c>
      <c r="AM29" s="565">
        <f t="shared" si="45"/>
        <v>0</v>
      </c>
      <c r="AN29" s="565">
        <f t="shared" si="45"/>
        <v>0</v>
      </c>
      <c r="AO29" s="565">
        <f t="shared" si="45"/>
        <v>0</v>
      </c>
      <c r="AP29" s="565">
        <f t="shared" si="45"/>
        <v>0</v>
      </c>
      <c r="AQ29" s="565">
        <f t="shared" si="45"/>
        <v>0</v>
      </c>
      <c r="AR29" s="573">
        <f>AQ29*(1+допущения!$C$37)</f>
        <v>0</v>
      </c>
      <c r="AS29" s="573">
        <f t="shared" si="8"/>
        <v>0</v>
      </c>
      <c r="AT29" s="573">
        <f t="shared" si="8"/>
        <v>0</v>
      </c>
      <c r="AU29" s="573">
        <f t="shared" si="8"/>
        <v>0</v>
      </c>
      <c r="AV29" s="97"/>
      <c r="AW29" s="116">
        <f t="shared" si="9"/>
        <v>0</v>
      </c>
      <c r="AX29" s="397">
        <f t="shared" si="10"/>
        <v>0</v>
      </c>
      <c r="AY29" s="397">
        <f t="shared" si="11"/>
        <v>0</v>
      </c>
      <c r="AZ29" s="397">
        <f t="shared" si="12"/>
        <v>0</v>
      </c>
      <c r="BA29" s="397">
        <f t="shared" si="13"/>
        <v>0</v>
      </c>
      <c r="BB29" s="397">
        <f t="shared" si="14"/>
        <v>0</v>
      </c>
      <c r="BC29" s="397">
        <f t="shared" si="15"/>
        <v>0</v>
      </c>
      <c r="BD29" s="397">
        <f t="shared" si="16"/>
        <v>0</v>
      </c>
      <c r="BE29" s="397">
        <f t="shared" si="17"/>
        <v>0</v>
      </c>
      <c r="BF29" s="397">
        <f t="shared" si="18"/>
        <v>0</v>
      </c>
      <c r="BG29" s="397">
        <f t="shared" si="19"/>
        <v>0</v>
      </c>
    </row>
    <row r="30" spans="1:59" x14ac:dyDescent="0.3">
      <c r="A30" s="570" t="s">
        <v>153</v>
      </c>
      <c r="B30" s="571">
        <v>0</v>
      </c>
      <c r="C30" s="588">
        <v>0</v>
      </c>
      <c r="D30" s="565">
        <f>$B$30*$C$30*3</f>
        <v>0</v>
      </c>
      <c r="E30" s="565">
        <f t="shared" ref="E30:AQ30" si="46">$B$30*$C$30*3</f>
        <v>0</v>
      </c>
      <c r="F30" s="565">
        <f t="shared" si="46"/>
        <v>0</v>
      </c>
      <c r="G30" s="565">
        <f t="shared" si="46"/>
        <v>0</v>
      </c>
      <c r="H30" s="565">
        <f t="shared" si="46"/>
        <v>0</v>
      </c>
      <c r="I30" s="565">
        <f t="shared" si="46"/>
        <v>0</v>
      </c>
      <c r="J30" s="565">
        <f t="shared" si="46"/>
        <v>0</v>
      </c>
      <c r="K30" s="565">
        <f t="shared" si="46"/>
        <v>0</v>
      </c>
      <c r="L30" s="565">
        <f t="shared" si="46"/>
        <v>0</v>
      </c>
      <c r="M30" s="565">
        <f t="shared" si="46"/>
        <v>0</v>
      </c>
      <c r="N30" s="565">
        <f t="shared" si="46"/>
        <v>0</v>
      </c>
      <c r="O30" s="565">
        <f t="shared" si="46"/>
        <v>0</v>
      </c>
      <c r="P30" s="565">
        <f t="shared" si="46"/>
        <v>0</v>
      </c>
      <c r="Q30" s="565">
        <f t="shared" si="46"/>
        <v>0</v>
      </c>
      <c r="R30" s="565">
        <f t="shared" si="46"/>
        <v>0</v>
      </c>
      <c r="S30" s="565">
        <f t="shared" si="46"/>
        <v>0</v>
      </c>
      <c r="T30" s="565">
        <f t="shared" si="46"/>
        <v>0</v>
      </c>
      <c r="U30" s="565">
        <f t="shared" si="46"/>
        <v>0</v>
      </c>
      <c r="V30" s="565">
        <f t="shared" si="46"/>
        <v>0</v>
      </c>
      <c r="W30" s="565">
        <f t="shared" si="46"/>
        <v>0</v>
      </c>
      <c r="X30" s="565">
        <f t="shared" si="46"/>
        <v>0</v>
      </c>
      <c r="Y30" s="565">
        <f t="shared" si="46"/>
        <v>0</v>
      </c>
      <c r="Z30" s="565">
        <f t="shared" si="46"/>
        <v>0</v>
      </c>
      <c r="AA30" s="565">
        <f t="shared" si="46"/>
        <v>0</v>
      </c>
      <c r="AB30" s="565">
        <f t="shared" si="46"/>
        <v>0</v>
      </c>
      <c r="AC30" s="565">
        <f t="shared" si="46"/>
        <v>0</v>
      </c>
      <c r="AD30" s="565">
        <f t="shared" si="46"/>
        <v>0</v>
      </c>
      <c r="AE30" s="565">
        <f t="shared" si="46"/>
        <v>0</v>
      </c>
      <c r="AF30" s="565">
        <f t="shared" si="46"/>
        <v>0</v>
      </c>
      <c r="AG30" s="565">
        <f t="shared" si="46"/>
        <v>0</v>
      </c>
      <c r="AH30" s="565">
        <f t="shared" si="46"/>
        <v>0</v>
      </c>
      <c r="AI30" s="565">
        <f t="shared" si="46"/>
        <v>0</v>
      </c>
      <c r="AJ30" s="565">
        <f t="shared" si="46"/>
        <v>0</v>
      </c>
      <c r="AK30" s="565">
        <f t="shared" si="46"/>
        <v>0</v>
      </c>
      <c r="AL30" s="565">
        <f t="shared" si="46"/>
        <v>0</v>
      </c>
      <c r="AM30" s="565">
        <f t="shared" si="46"/>
        <v>0</v>
      </c>
      <c r="AN30" s="565">
        <f t="shared" si="46"/>
        <v>0</v>
      </c>
      <c r="AO30" s="565">
        <f t="shared" si="46"/>
        <v>0</v>
      </c>
      <c r="AP30" s="565">
        <f t="shared" si="46"/>
        <v>0</v>
      </c>
      <c r="AQ30" s="565">
        <f t="shared" si="46"/>
        <v>0</v>
      </c>
      <c r="AR30" s="573">
        <f>AQ30*(1+допущения!$C$37)</f>
        <v>0</v>
      </c>
      <c r="AS30" s="573">
        <f t="shared" si="8"/>
        <v>0</v>
      </c>
      <c r="AT30" s="573">
        <f t="shared" si="8"/>
        <v>0</v>
      </c>
      <c r="AU30" s="573">
        <f t="shared" si="8"/>
        <v>0</v>
      </c>
      <c r="AV30" s="97"/>
      <c r="AW30" s="116">
        <f t="shared" si="9"/>
        <v>0</v>
      </c>
      <c r="AX30" s="397">
        <f t="shared" si="10"/>
        <v>0</v>
      </c>
      <c r="AY30" s="397">
        <f t="shared" si="11"/>
        <v>0</v>
      </c>
      <c r="AZ30" s="397">
        <f t="shared" si="12"/>
        <v>0</v>
      </c>
      <c r="BA30" s="397">
        <f t="shared" si="13"/>
        <v>0</v>
      </c>
      <c r="BB30" s="397">
        <f t="shared" si="14"/>
        <v>0</v>
      </c>
      <c r="BC30" s="397">
        <f t="shared" si="15"/>
        <v>0</v>
      </c>
      <c r="BD30" s="397">
        <f t="shared" si="16"/>
        <v>0</v>
      </c>
      <c r="BE30" s="397">
        <f t="shared" si="17"/>
        <v>0</v>
      </c>
      <c r="BF30" s="397">
        <f t="shared" si="18"/>
        <v>0</v>
      </c>
      <c r="BG30" s="397">
        <f t="shared" si="19"/>
        <v>0</v>
      </c>
    </row>
    <row r="31" spans="1:59" x14ac:dyDescent="0.3">
      <c r="A31" s="570" t="s">
        <v>154</v>
      </c>
      <c r="B31" s="571">
        <v>0</v>
      </c>
      <c r="C31" s="588">
        <v>0</v>
      </c>
      <c r="D31" s="565">
        <f>$B$31*$C$31*3</f>
        <v>0</v>
      </c>
      <c r="E31" s="565">
        <f t="shared" ref="E31:AQ31" si="47">$B$31*$C$31*3</f>
        <v>0</v>
      </c>
      <c r="F31" s="565">
        <f t="shared" si="47"/>
        <v>0</v>
      </c>
      <c r="G31" s="565">
        <f t="shared" si="47"/>
        <v>0</v>
      </c>
      <c r="H31" s="565">
        <f t="shared" si="47"/>
        <v>0</v>
      </c>
      <c r="I31" s="565">
        <f t="shared" si="47"/>
        <v>0</v>
      </c>
      <c r="J31" s="565">
        <f t="shared" si="47"/>
        <v>0</v>
      </c>
      <c r="K31" s="565">
        <f t="shared" si="47"/>
        <v>0</v>
      </c>
      <c r="L31" s="565">
        <f t="shared" si="47"/>
        <v>0</v>
      </c>
      <c r="M31" s="565">
        <f t="shared" si="47"/>
        <v>0</v>
      </c>
      <c r="N31" s="565">
        <f t="shared" si="47"/>
        <v>0</v>
      </c>
      <c r="O31" s="565">
        <f t="shared" si="47"/>
        <v>0</v>
      </c>
      <c r="P31" s="565">
        <f t="shared" si="47"/>
        <v>0</v>
      </c>
      <c r="Q31" s="565">
        <f t="shared" si="47"/>
        <v>0</v>
      </c>
      <c r="R31" s="565">
        <f t="shared" si="47"/>
        <v>0</v>
      </c>
      <c r="S31" s="565">
        <f t="shared" si="47"/>
        <v>0</v>
      </c>
      <c r="T31" s="565">
        <f t="shared" si="47"/>
        <v>0</v>
      </c>
      <c r="U31" s="565">
        <f t="shared" si="47"/>
        <v>0</v>
      </c>
      <c r="V31" s="565">
        <f t="shared" si="47"/>
        <v>0</v>
      </c>
      <c r="W31" s="565">
        <f t="shared" si="47"/>
        <v>0</v>
      </c>
      <c r="X31" s="565">
        <f t="shared" si="47"/>
        <v>0</v>
      </c>
      <c r="Y31" s="565">
        <f t="shared" si="47"/>
        <v>0</v>
      </c>
      <c r="Z31" s="565">
        <f t="shared" si="47"/>
        <v>0</v>
      </c>
      <c r="AA31" s="565">
        <f t="shared" si="47"/>
        <v>0</v>
      </c>
      <c r="AB31" s="565">
        <f t="shared" si="47"/>
        <v>0</v>
      </c>
      <c r="AC31" s="565">
        <f t="shared" si="47"/>
        <v>0</v>
      </c>
      <c r="AD31" s="565">
        <f t="shared" si="47"/>
        <v>0</v>
      </c>
      <c r="AE31" s="565">
        <f t="shared" si="47"/>
        <v>0</v>
      </c>
      <c r="AF31" s="565">
        <f t="shared" si="47"/>
        <v>0</v>
      </c>
      <c r="AG31" s="565">
        <f t="shared" si="47"/>
        <v>0</v>
      </c>
      <c r="AH31" s="565">
        <f t="shared" si="47"/>
        <v>0</v>
      </c>
      <c r="AI31" s="565">
        <f t="shared" si="47"/>
        <v>0</v>
      </c>
      <c r="AJ31" s="565">
        <f t="shared" si="47"/>
        <v>0</v>
      </c>
      <c r="AK31" s="565">
        <f t="shared" si="47"/>
        <v>0</v>
      </c>
      <c r="AL31" s="565">
        <f t="shared" si="47"/>
        <v>0</v>
      </c>
      <c r="AM31" s="565">
        <f t="shared" si="47"/>
        <v>0</v>
      </c>
      <c r="AN31" s="565">
        <f t="shared" si="47"/>
        <v>0</v>
      </c>
      <c r="AO31" s="565">
        <f t="shared" si="47"/>
        <v>0</v>
      </c>
      <c r="AP31" s="565">
        <f t="shared" si="47"/>
        <v>0</v>
      </c>
      <c r="AQ31" s="565">
        <f t="shared" si="47"/>
        <v>0</v>
      </c>
      <c r="AR31" s="573">
        <f>AQ31*(1+допущения!$C$37)</f>
        <v>0</v>
      </c>
      <c r="AS31" s="573">
        <f t="shared" si="8"/>
        <v>0</v>
      </c>
      <c r="AT31" s="573">
        <f t="shared" si="8"/>
        <v>0</v>
      </c>
      <c r="AU31" s="573">
        <f t="shared" si="8"/>
        <v>0</v>
      </c>
      <c r="AV31" s="97"/>
      <c r="AW31" s="116">
        <f t="shared" si="9"/>
        <v>0</v>
      </c>
      <c r="AX31" s="397">
        <f t="shared" si="10"/>
        <v>0</v>
      </c>
      <c r="AY31" s="397">
        <f t="shared" si="11"/>
        <v>0</v>
      </c>
      <c r="AZ31" s="397">
        <f t="shared" si="12"/>
        <v>0</v>
      </c>
      <c r="BA31" s="397">
        <f t="shared" si="13"/>
        <v>0</v>
      </c>
      <c r="BB31" s="397">
        <f t="shared" si="14"/>
        <v>0</v>
      </c>
      <c r="BC31" s="397">
        <f t="shared" si="15"/>
        <v>0</v>
      </c>
      <c r="BD31" s="397">
        <f t="shared" si="16"/>
        <v>0</v>
      </c>
      <c r="BE31" s="397">
        <f t="shared" si="17"/>
        <v>0</v>
      </c>
      <c r="BF31" s="397">
        <f t="shared" si="18"/>
        <v>0</v>
      </c>
      <c r="BG31" s="397">
        <f t="shared" si="19"/>
        <v>0</v>
      </c>
    </row>
    <row r="32" spans="1:59" x14ac:dyDescent="0.3">
      <c r="A32" s="570" t="s">
        <v>155</v>
      </c>
      <c r="B32" s="571">
        <v>0</v>
      </c>
      <c r="C32" s="588">
        <v>0</v>
      </c>
      <c r="D32" s="565">
        <f>$B$32*$C$32*3</f>
        <v>0</v>
      </c>
      <c r="E32" s="565">
        <f t="shared" ref="E32:AQ32" si="48">$B$32*$C$32*3</f>
        <v>0</v>
      </c>
      <c r="F32" s="565">
        <f t="shared" si="48"/>
        <v>0</v>
      </c>
      <c r="G32" s="565">
        <f t="shared" si="48"/>
        <v>0</v>
      </c>
      <c r="H32" s="565">
        <f t="shared" si="48"/>
        <v>0</v>
      </c>
      <c r="I32" s="565">
        <f t="shared" si="48"/>
        <v>0</v>
      </c>
      <c r="J32" s="565">
        <f t="shared" si="48"/>
        <v>0</v>
      </c>
      <c r="K32" s="565">
        <f t="shared" si="48"/>
        <v>0</v>
      </c>
      <c r="L32" s="565">
        <f t="shared" si="48"/>
        <v>0</v>
      </c>
      <c r="M32" s="565">
        <f t="shared" si="48"/>
        <v>0</v>
      </c>
      <c r="N32" s="565">
        <f t="shared" si="48"/>
        <v>0</v>
      </c>
      <c r="O32" s="565">
        <f t="shared" si="48"/>
        <v>0</v>
      </c>
      <c r="P32" s="565">
        <f t="shared" si="48"/>
        <v>0</v>
      </c>
      <c r="Q32" s="565">
        <f t="shared" si="48"/>
        <v>0</v>
      </c>
      <c r="R32" s="565">
        <f t="shared" si="48"/>
        <v>0</v>
      </c>
      <c r="S32" s="565">
        <f t="shared" si="48"/>
        <v>0</v>
      </c>
      <c r="T32" s="565">
        <f t="shared" si="48"/>
        <v>0</v>
      </c>
      <c r="U32" s="565">
        <f t="shared" si="48"/>
        <v>0</v>
      </c>
      <c r="V32" s="565">
        <f t="shared" si="48"/>
        <v>0</v>
      </c>
      <c r="W32" s="565">
        <f t="shared" si="48"/>
        <v>0</v>
      </c>
      <c r="X32" s="565">
        <f t="shared" si="48"/>
        <v>0</v>
      </c>
      <c r="Y32" s="565">
        <f t="shared" si="48"/>
        <v>0</v>
      </c>
      <c r="Z32" s="565">
        <f t="shared" si="48"/>
        <v>0</v>
      </c>
      <c r="AA32" s="565">
        <f t="shared" si="48"/>
        <v>0</v>
      </c>
      <c r="AB32" s="565">
        <f t="shared" si="48"/>
        <v>0</v>
      </c>
      <c r="AC32" s="565">
        <f t="shared" si="48"/>
        <v>0</v>
      </c>
      <c r="AD32" s="565">
        <f t="shared" si="48"/>
        <v>0</v>
      </c>
      <c r="AE32" s="565">
        <f t="shared" si="48"/>
        <v>0</v>
      </c>
      <c r="AF32" s="565">
        <f t="shared" si="48"/>
        <v>0</v>
      </c>
      <c r="AG32" s="565">
        <f t="shared" si="48"/>
        <v>0</v>
      </c>
      <c r="AH32" s="565">
        <f t="shared" si="48"/>
        <v>0</v>
      </c>
      <c r="AI32" s="565">
        <f t="shared" si="48"/>
        <v>0</v>
      </c>
      <c r="AJ32" s="565">
        <f t="shared" si="48"/>
        <v>0</v>
      </c>
      <c r="AK32" s="565">
        <f t="shared" si="48"/>
        <v>0</v>
      </c>
      <c r="AL32" s="565">
        <f t="shared" si="48"/>
        <v>0</v>
      </c>
      <c r="AM32" s="565">
        <f t="shared" si="48"/>
        <v>0</v>
      </c>
      <c r="AN32" s="565">
        <f t="shared" si="48"/>
        <v>0</v>
      </c>
      <c r="AO32" s="565">
        <f t="shared" si="48"/>
        <v>0</v>
      </c>
      <c r="AP32" s="565">
        <f t="shared" si="48"/>
        <v>0</v>
      </c>
      <c r="AQ32" s="565">
        <f t="shared" si="48"/>
        <v>0</v>
      </c>
      <c r="AR32" s="573">
        <f>AQ32*(1+допущения!$C$37)</f>
        <v>0</v>
      </c>
      <c r="AS32" s="573">
        <f t="shared" si="8"/>
        <v>0</v>
      </c>
      <c r="AT32" s="573">
        <f t="shared" si="8"/>
        <v>0</v>
      </c>
      <c r="AU32" s="573">
        <f t="shared" si="8"/>
        <v>0</v>
      </c>
      <c r="AV32" s="97"/>
      <c r="AW32" s="116">
        <f t="shared" si="9"/>
        <v>0</v>
      </c>
      <c r="AX32" s="397">
        <f t="shared" si="10"/>
        <v>0</v>
      </c>
      <c r="AY32" s="397">
        <f t="shared" si="11"/>
        <v>0</v>
      </c>
      <c r="AZ32" s="397">
        <f t="shared" si="12"/>
        <v>0</v>
      </c>
      <c r="BA32" s="397">
        <f t="shared" si="13"/>
        <v>0</v>
      </c>
      <c r="BB32" s="397">
        <f t="shared" si="14"/>
        <v>0</v>
      </c>
      <c r="BC32" s="397">
        <f t="shared" si="15"/>
        <v>0</v>
      </c>
      <c r="BD32" s="397">
        <f t="shared" si="16"/>
        <v>0</v>
      </c>
      <c r="BE32" s="397">
        <f t="shared" si="17"/>
        <v>0</v>
      </c>
      <c r="BF32" s="397">
        <f t="shared" si="18"/>
        <v>0</v>
      </c>
      <c r="BG32" s="397">
        <f t="shared" si="19"/>
        <v>0</v>
      </c>
    </row>
    <row r="33" spans="1:59" x14ac:dyDescent="0.3">
      <c r="A33" s="570" t="s">
        <v>156</v>
      </c>
      <c r="B33" s="571">
        <v>0</v>
      </c>
      <c r="C33" s="588">
        <v>0</v>
      </c>
      <c r="D33" s="565">
        <f>$B$33*$C$33*3</f>
        <v>0</v>
      </c>
      <c r="E33" s="565">
        <f t="shared" ref="E33:AQ33" si="49">$B$33*$C$33*3</f>
        <v>0</v>
      </c>
      <c r="F33" s="565">
        <f t="shared" si="49"/>
        <v>0</v>
      </c>
      <c r="G33" s="565">
        <f t="shared" si="49"/>
        <v>0</v>
      </c>
      <c r="H33" s="565">
        <f t="shared" si="49"/>
        <v>0</v>
      </c>
      <c r="I33" s="565">
        <f t="shared" si="49"/>
        <v>0</v>
      </c>
      <c r="J33" s="565">
        <f t="shared" si="49"/>
        <v>0</v>
      </c>
      <c r="K33" s="565">
        <f t="shared" si="49"/>
        <v>0</v>
      </c>
      <c r="L33" s="565">
        <f t="shared" si="49"/>
        <v>0</v>
      </c>
      <c r="M33" s="565">
        <f t="shared" si="49"/>
        <v>0</v>
      </c>
      <c r="N33" s="565">
        <f t="shared" si="49"/>
        <v>0</v>
      </c>
      <c r="O33" s="565">
        <f t="shared" si="49"/>
        <v>0</v>
      </c>
      <c r="P33" s="565">
        <f t="shared" si="49"/>
        <v>0</v>
      </c>
      <c r="Q33" s="565">
        <f t="shared" si="49"/>
        <v>0</v>
      </c>
      <c r="R33" s="565">
        <f t="shared" si="49"/>
        <v>0</v>
      </c>
      <c r="S33" s="565">
        <f t="shared" si="49"/>
        <v>0</v>
      </c>
      <c r="T33" s="565">
        <f t="shared" si="49"/>
        <v>0</v>
      </c>
      <c r="U33" s="565">
        <f t="shared" si="49"/>
        <v>0</v>
      </c>
      <c r="V33" s="565">
        <f t="shared" si="49"/>
        <v>0</v>
      </c>
      <c r="W33" s="565">
        <f t="shared" si="49"/>
        <v>0</v>
      </c>
      <c r="X33" s="565">
        <f t="shared" si="49"/>
        <v>0</v>
      </c>
      <c r="Y33" s="565">
        <f t="shared" si="49"/>
        <v>0</v>
      </c>
      <c r="Z33" s="565">
        <f t="shared" si="49"/>
        <v>0</v>
      </c>
      <c r="AA33" s="565">
        <f t="shared" si="49"/>
        <v>0</v>
      </c>
      <c r="AB33" s="565">
        <f t="shared" si="49"/>
        <v>0</v>
      </c>
      <c r="AC33" s="565">
        <f t="shared" si="49"/>
        <v>0</v>
      </c>
      <c r="AD33" s="565">
        <f t="shared" si="49"/>
        <v>0</v>
      </c>
      <c r="AE33" s="565">
        <f t="shared" si="49"/>
        <v>0</v>
      </c>
      <c r="AF33" s="565">
        <f t="shared" si="49"/>
        <v>0</v>
      </c>
      <c r="AG33" s="565">
        <f t="shared" si="49"/>
        <v>0</v>
      </c>
      <c r="AH33" s="565">
        <f t="shared" si="49"/>
        <v>0</v>
      </c>
      <c r="AI33" s="565">
        <f t="shared" si="49"/>
        <v>0</v>
      </c>
      <c r="AJ33" s="565">
        <f t="shared" si="49"/>
        <v>0</v>
      </c>
      <c r="AK33" s="565">
        <f t="shared" si="49"/>
        <v>0</v>
      </c>
      <c r="AL33" s="565">
        <f t="shared" si="49"/>
        <v>0</v>
      </c>
      <c r="AM33" s="565">
        <f t="shared" si="49"/>
        <v>0</v>
      </c>
      <c r="AN33" s="565">
        <f t="shared" si="49"/>
        <v>0</v>
      </c>
      <c r="AO33" s="565">
        <f t="shared" si="49"/>
        <v>0</v>
      </c>
      <c r="AP33" s="565">
        <f t="shared" si="49"/>
        <v>0</v>
      </c>
      <c r="AQ33" s="565">
        <f t="shared" si="49"/>
        <v>0</v>
      </c>
      <c r="AR33" s="573">
        <f>AQ33*(1+допущения!$C$37)</f>
        <v>0</v>
      </c>
      <c r="AS33" s="573">
        <f t="shared" si="8"/>
        <v>0</v>
      </c>
      <c r="AT33" s="573">
        <f t="shared" si="8"/>
        <v>0</v>
      </c>
      <c r="AU33" s="573">
        <f t="shared" si="8"/>
        <v>0</v>
      </c>
      <c r="AV33" s="97"/>
      <c r="AW33" s="116">
        <f t="shared" si="9"/>
        <v>0</v>
      </c>
      <c r="AX33" s="397">
        <f t="shared" si="10"/>
        <v>0</v>
      </c>
      <c r="AY33" s="397">
        <f t="shared" si="11"/>
        <v>0</v>
      </c>
      <c r="AZ33" s="397">
        <f t="shared" si="12"/>
        <v>0</v>
      </c>
      <c r="BA33" s="397">
        <f t="shared" si="13"/>
        <v>0</v>
      </c>
      <c r="BB33" s="397">
        <f t="shared" si="14"/>
        <v>0</v>
      </c>
      <c r="BC33" s="397">
        <f t="shared" si="15"/>
        <v>0</v>
      </c>
      <c r="BD33" s="397">
        <f t="shared" si="16"/>
        <v>0</v>
      </c>
      <c r="BE33" s="397">
        <f t="shared" si="17"/>
        <v>0</v>
      </c>
      <c r="BF33" s="397">
        <f t="shared" si="18"/>
        <v>0</v>
      </c>
      <c r="BG33" s="397">
        <f t="shared" si="19"/>
        <v>0</v>
      </c>
    </row>
    <row r="34" spans="1:59" s="110" customFormat="1" ht="28.8" x14ac:dyDescent="0.3">
      <c r="A34" s="574" t="s">
        <v>134</v>
      </c>
      <c r="B34" s="575"/>
      <c r="C34" s="585"/>
      <c r="D34" s="575">
        <f>SUM(D29:D33)</f>
        <v>0</v>
      </c>
      <c r="E34" s="575">
        <f t="shared" ref="E34:AQ34" si="50">SUM(E29:E33)</f>
        <v>0</v>
      </c>
      <c r="F34" s="575">
        <f t="shared" si="50"/>
        <v>0</v>
      </c>
      <c r="G34" s="575">
        <f t="shared" si="50"/>
        <v>0</v>
      </c>
      <c r="H34" s="575">
        <f t="shared" si="50"/>
        <v>0</v>
      </c>
      <c r="I34" s="575">
        <f t="shared" si="50"/>
        <v>0</v>
      </c>
      <c r="J34" s="575">
        <f t="shared" si="50"/>
        <v>0</v>
      </c>
      <c r="K34" s="575">
        <f t="shared" si="50"/>
        <v>0</v>
      </c>
      <c r="L34" s="575">
        <f t="shared" si="50"/>
        <v>0</v>
      </c>
      <c r="M34" s="575">
        <f t="shared" si="50"/>
        <v>0</v>
      </c>
      <c r="N34" s="575">
        <f t="shared" si="50"/>
        <v>0</v>
      </c>
      <c r="O34" s="575">
        <f t="shared" si="50"/>
        <v>0</v>
      </c>
      <c r="P34" s="575">
        <f t="shared" si="50"/>
        <v>0</v>
      </c>
      <c r="Q34" s="575">
        <f t="shared" si="50"/>
        <v>0</v>
      </c>
      <c r="R34" s="575">
        <f t="shared" si="50"/>
        <v>0</v>
      </c>
      <c r="S34" s="575">
        <f t="shared" si="50"/>
        <v>0</v>
      </c>
      <c r="T34" s="575">
        <f t="shared" si="50"/>
        <v>0</v>
      </c>
      <c r="U34" s="575">
        <f t="shared" si="50"/>
        <v>0</v>
      </c>
      <c r="V34" s="575">
        <f t="shared" si="50"/>
        <v>0</v>
      </c>
      <c r="W34" s="575">
        <f t="shared" si="50"/>
        <v>0</v>
      </c>
      <c r="X34" s="575">
        <f t="shared" si="50"/>
        <v>0</v>
      </c>
      <c r="Y34" s="575">
        <f t="shared" si="50"/>
        <v>0</v>
      </c>
      <c r="Z34" s="575">
        <f t="shared" si="50"/>
        <v>0</v>
      </c>
      <c r="AA34" s="575">
        <f t="shared" si="50"/>
        <v>0</v>
      </c>
      <c r="AB34" s="575">
        <f t="shared" si="50"/>
        <v>0</v>
      </c>
      <c r="AC34" s="575">
        <f t="shared" si="50"/>
        <v>0</v>
      </c>
      <c r="AD34" s="575">
        <f t="shared" si="50"/>
        <v>0</v>
      </c>
      <c r="AE34" s="575">
        <f t="shared" si="50"/>
        <v>0</v>
      </c>
      <c r="AF34" s="575">
        <f t="shared" si="50"/>
        <v>0</v>
      </c>
      <c r="AG34" s="575">
        <f t="shared" si="50"/>
        <v>0</v>
      </c>
      <c r="AH34" s="575">
        <f t="shared" si="50"/>
        <v>0</v>
      </c>
      <c r="AI34" s="575">
        <f t="shared" si="50"/>
        <v>0</v>
      </c>
      <c r="AJ34" s="575">
        <f t="shared" si="50"/>
        <v>0</v>
      </c>
      <c r="AK34" s="575">
        <f t="shared" si="50"/>
        <v>0</v>
      </c>
      <c r="AL34" s="575">
        <f t="shared" si="50"/>
        <v>0</v>
      </c>
      <c r="AM34" s="575">
        <f t="shared" si="50"/>
        <v>0</v>
      </c>
      <c r="AN34" s="575">
        <f t="shared" si="50"/>
        <v>0</v>
      </c>
      <c r="AO34" s="575">
        <f t="shared" si="50"/>
        <v>0</v>
      </c>
      <c r="AP34" s="575">
        <f t="shared" si="50"/>
        <v>0</v>
      </c>
      <c r="AQ34" s="575">
        <f t="shared" si="50"/>
        <v>0</v>
      </c>
      <c r="AR34" s="578">
        <f>AQ34*(1+допущения!$C$37)</f>
        <v>0</v>
      </c>
      <c r="AS34" s="578">
        <f t="shared" si="8"/>
        <v>0</v>
      </c>
      <c r="AT34" s="578">
        <f t="shared" si="8"/>
        <v>0</v>
      </c>
      <c r="AU34" s="578">
        <f t="shared" si="8"/>
        <v>0</v>
      </c>
      <c r="AV34" s="112"/>
      <c r="AW34" s="559">
        <f t="shared" si="9"/>
        <v>0</v>
      </c>
      <c r="AX34" s="560">
        <f t="shared" si="10"/>
        <v>0</v>
      </c>
      <c r="AY34" s="560">
        <f t="shared" si="11"/>
        <v>0</v>
      </c>
      <c r="AZ34" s="560">
        <f t="shared" si="12"/>
        <v>0</v>
      </c>
      <c r="BA34" s="560">
        <f t="shared" si="13"/>
        <v>0</v>
      </c>
      <c r="BB34" s="560">
        <f t="shared" si="14"/>
        <v>0</v>
      </c>
      <c r="BC34" s="560">
        <f t="shared" si="15"/>
        <v>0</v>
      </c>
      <c r="BD34" s="560">
        <f t="shared" si="16"/>
        <v>0</v>
      </c>
      <c r="BE34" s="560">
        <f t="shared" si="17"/>
        <v>0</v>
      </c>
      <c r="BF34" s="560">
        <f t="shared" si="18"/>
        <v>0</v>
      </c>
      <c r="BG34" s="560">
        <f t="shared" si="19"/>
        <v>0</v>
      </c>
    </row>
    <row r="35" spans="1:59" s="114" customFormat="1" ht="18.75" customHeight="1" x14ac:dyDescent="0.3">
      <c r="A35" s="579" t="s">
        <v>135</v>
      </c>
      <c r="B35" s="580"/>
      <c r="C35" s="586"/>
      <c r="D35" s="580">
        <f>D34*$B$61</f>
        <v>0</v>
      </c>
      <c r="E35" s="580">
        <f t="shared" ref="E35:AQ35" si="51">E34*$B$61</f>
        <v>0</v>
      </c>
      <c r="F35" s="580">
        <f t="shared" si="51"/>
        <v>0</v>
      </c>
      <c r="G35" s="580">
        <f t="shared" si="51"/>
        <v>0</v>
      </c>
      <c r="H35" s="580">
        <f t="shared" si="51"/>
        <v>0</v>
      </c>
      <c r="I35" s="580">
        <f t="shared" si="51"/>
        <v>0</v>
      </c>
      <c r="J35" s="580">
        <f t="shared" si="51"/>
        <v>0</v>
      </c>
      <c r="K35" s="580">
        <f t="shared" si="51"/>
        <v>0</v>
      </c>
      <c r="L35" s="580">
        <f t="shared" si="51"/>
        <v>0</v>
      </c>
      <c r="M35" s="580">
        <f t="shared" si="51"/>
        <v>0</v>
      </c>
      <c r="N35" s="580">
        <f t="shared" si="51"/>
        <v>0</v>
      </c>
      <c r="O35" s="580">
        <f t="shared" si="51"/>
        <v>0</v>
      </c>
      <c r="P35" s="580">
        <f t="shared" si="51"/>
        <v>0</v>
      </c>
      <c r="Q35" s="580">
        <f t="shared" si="51"/>
        <v>0</v>
      </c>
      <c r="R35" s="580">
        <f t="shared" si="51"/>
        <v>0</v>
      </c>
      <c r="S35" s="580">
        <f t="shared" si="51"/>
        <v>0</v>
      </c>
      <c r="T35" s="580">
        <f t="shared" si="51"/>
        <v>0</v>
      </c>
      <c r="U35" s="580">
        <f t="shared" si="51"/>
        <v>0</v>
      </c>
      <c r="V35" s="580">
        <f t="shared" si="51"/>
        <v>0</v>
      </c>
      <c r="W35" s="580">
        <f t="shared" si="51"/>
        <v>0</v>
      </c>
      <c r="X35" s="580">
        <f t="shared" si="51"/>
        <v>0</v>
      </c>
      <c r="Y35" s="580">
        <f t="shared" si="51"/>
        <v>0</v>
      </c>
      <c r="Z35" s="580">
        <f t="shared" si="51"/>
        <v>0</v>
      </c>
      <c r="AA35" s="580">
        <f t="shared" si="51"/>
        <v>0</v>
      </c>
      <c r="AB35" s="580">
        <f t="shared" si="51"/>
        <v>0</v>
      </c>
      <c r="AC35" s="580">
        <f t="shared" si="51"/>
        <v>0</v>
      </c>
      <c r="AD35" s="580">
        <f t="shared" si="51"/>
        <v>0</v>
      </c>
      <c r="AE35" s="580">
        <f t="shared" si="51"/>
        <v>0</v>
      </c>
      <c r="AF35" s="580">
        <f t="shared" si="51"/>
        <v>0</v>
      </c>
      <c r="AG35" s="580">
        <f t="shared" si="51"/>
        <v>0</v>
      </c>
      <c r="AH35" s="580">
        <f t="shared" si="51"/>
        <v>0</v>
      </c>
      <c r="AI35" s="580">
        <f t="shared" si="51"/>
        <v>0</v>
      </c>
      <c r="AJ35" s="580">
        <f t="shared" si="51"/>
        <v>0</v>
      </c>
      <c r="AK35" s="580">
        <f t="shared" si="51"/>
        <v>0</v>
      </c>
      <c r="AL35" s="580">
        <f t="shared" si="51"/>
        <v>0</v>
      </c>
      <c r="AM35" s="580">
        <f t="shared" si="51"/>
        <v>0</v>
      </c>
      <c r="AN35" s="580">
        <f t="shared" si="51"/>
        <v>0</v>
      </c>
      <c r="AO35" s="580">
        <f t="shared" si="51"/>
        <v>0</v>
      </c>
      <c r="AP35" s="580">
        <f t="shared" si="51"/>
        <v>0</v>
      </c>
      <c r="AQ35" s="580">
        <f t="shared" si="51"/>
        <v>0</v>
      </c>
      <c r="AR35" s="580">
        <f>AQ35*(1+допущения!$C$37)</f>
        <v>0</v>
      </c>
      <c r="AS35" s="580">
        <f t="shared" si="8"/>
        <v>0</v>
      </c>
      <c r="AT35" s="580">
        <f t="shared" si="8"/>
        <v>0</v>
      </c>
      <c r="AU35" s="580">
        <f t="shared" si="8"/>
        <v>0</v>
      </c>
      <c r="AV35" s="115"/>
      <c r="AW35" s="561">
        <f t="shared" si="9"/>
        <v>0</v>
      </c>
      <c r="AX35" s="405">
        <f t="shared" si="10"/>
        <v>0</v>
      </c>
      <c r="AY35" s="405">
        <f t="shared" si="11"/>
        <v>0</v>
      </c>
      <c r="AZ35" s="405">
        <f t="shared" si="12"/>
        <v>0</v>
      </c>
      <c r="BA35" s="405">
        <f t="shared" si="13"/>
        <v>0</v>
      </c>
      <c r="BB35" s="405">
        <f t="shared" si="14"/>
        <v>0</v>
      </c>
      <c r="BC35" s="405">
        <f t="shared" si="15"/>
        <v>0</v>
      </c>
      <c r="BD35" s="405">
        <f t="shared" si="16"/>
        <v>0</v>
      </c>
      <c r="BE35" s="405">
        <f t="shared" si="17"/>
        <v>0</v>
      </c>
      <c r="BF35" s="405">
        <f t="shared" si="18"/>
        <v>0</v>
      </c>
      <c r="BG35" s="405">
        <f t="shared" si="19"/>
        <v>0</v>
      </c>
    </row>
    <row r="36" spans="1:59" ht="43.2" x14ac:dyDescent="0.3">
      <c r="A36" s="582" t="s">
        <v>157</v>
      </c>
      <c r="B36" s="565"/>
      <c r="C36" s="587"/>
      <c r="D36" s="565"/>
      <c r="E36" s="565"/>
      <c r="F36" s="565"/>
      <c r="G36" s="565"/>
      <c r="H36" s="565"/>
      <c r="I36" s="565"/>
      <c r="J36" s="565"/>
      <c r="K36" s="565"/>
      <c r="L36" s="565"/>
      <c r="M36" s="565"/>
      <c r="N36" s="565"/>
      <c r="O36" s="565"/>
      <c r="P36" s="565"/>
      <c r="Q36" s="565"/>
      <c r="R36" s="565"/>
      <c r="S36" s="565"/>
      <c r="T36" s="565"/>
      <c r="U36" s="565"/>
      <c r="V36" s="565"/>
      <c r="W36" s="565"/>
      <c r="X36" s="565"/>
      <c r="Y36" s="565"/>
      <c r="Z36" s="565"/>
      <c r="AA36" s="565"/>
      <c r="AB36" s="565"/>
      <c r="AC36" s="565"/>
      <c r="AD36" s="565"/>
      <c r="AE36" s="565"/>
      <c r="AF36" s="565"/>
      <c r="AG36" s="565"/>
      <c r="AH36" s="565"/>
      <c r="AI36" s="565"/>
      <c r="AJ36" s="565">
        <v>0</v>
      </c>
      <c r="AK36" s="565">
        <v>0</v>
      </c>
      <c r="AL36" s="565">
        <v>0</v>
      </c>
      <c r="AM36" s="565">
        <v>0</v>
      </c>
      <c r="AN36" s="565">
        <v>0</v>
      </c>
      <c r="AO36" s="565">
        <v>0</v>
      </c>
      <c r="AP36" s="565">
        <v>0</v>
      </c>
      <c r="AQ36" s="565">
        <v>0</v>
      </c>
      <c r="AR36" s="573">
        <f>AQ36*(1+допущения!$C$37)</f>
        <v>0</v>
      </c>
      <c r="AS36" s="573">
        <f t="shared" si="8"/>
        <v>0</v>
      </c>
      <c r="AT36" s="573">
        <f t="shared" si="8"/>
        <v>0</v>
      </c>
      <c r="AU36" s="573">
        <f t="shared" si="8"/>
        <v>0</v>
      </c>
      <c r="AV36" s="97"/>
      <c r="AW36" s="116">
        <f t="shared" si="9"/>
        <v>0</v>
      </c>
      <c r="AX36" s="397">
        <f t="shared" si="10"/>
        <v>0</v>
      </c>
      <c r="AY36" s="397">
        <f t="shared" si="11"/>
        <v>0</v>
      </c>
      <c r="AZ36" s="397">
        <f t="shared" si="12"/>
        <v>0</v>
      </c>
      <c r="BA36" s="397">
        <f t="shared" si="13"/>
        <v>0</v>
      </c>
      <c r="BB36" s="397">
        <f t="shared" si="14"/>
        <v>0</v>
      </c>
      <c r="BC36" s="397">
        <f t="shared" si="15"/>
        <v>0</v>
      </c>
      <c r="BD36" s="397">
        <f t="shared" si="16"/>
        <v>0</v>
      </c>
      <c r="BE36" s="397">
        <f t="shared" si="17"/>
        <v>0</v>
      </c>
      <c r="BF36" s="397">
        <f t="shared" si="18"/>
        <v>0</v>
      </c>
      <c r="BG36" s="397">
        <f t="shared" si="19"/>
        <v>0</v>
      </c>
    </row>
    <row r="37" spans="1:59" x14ac:dyDescent="0.3">
      <c r="A37" s="589" t="s">
        <v>158</v>
      </c>
      <c r="B37" s="590">
        <v>0</v>
      </c>
      <c r="C37" s="591">
        <v>0</v>
      </c>
      <c r="D37" s="565">
        <f>$C$37*$B$37*3</f>
        <v>0</v>
      </c>
      <c r="E37" s="565">
        <f t="shared" ref="E37:AI45" si="52">$B$37*$C$37*3</f>
        <v>0</v>
      </c>
      <c r="F37" s="565">
        <f t="shared" si="52"/>
        <v>0</v>
      </c>
      <c r="G37" s="565">
        <f t="shared" si="52"/>
        <v>0</v>
      </c>
      <c r="H37" s="565">
        <f t="shared" si="52"/>
        <v>0</v>
      </c>
      <c r="I37" s="565">
        <f t="shared" si="52"/>
        <v>0</v>
      </c>
      <c r="J37" s="565">
        <f t="shared" si="52"/>
        <v>0</v>
      </c>
      <c r="K37" s="565">
        <f t="shared" si="52"/>
        <v>0</v>
      </c>
      <c r="L37" s="565">
        <f t="shared" si="52"/>
        <v>0</v>
      </c>
      <c r="M37" s="565">
        <f t="shared" si="52"/>
        <v>0</v>
      </c>
      <c r="N37" s="565">
        <f t="shared" si="52"/>
        <v>0</v>
      </c>
      <c r="O37" s="565">
        <f t="shared" si="52"/>
        <v>0</v>
      </c>
      <c r="P37" s="565">
        <f t="shared" si="52"/>
        <v>0</v>
      </c>
      <c r="Q37" s="565">
        <f t="shared" si="52"/>
        <v>0</v>
      </c>
      <c r="R37" s="565">
        <f t="shared" si="52"/>
        <v>0</v>
      </c>
      <c r="S37" s="565">
        <f t="shared" si="52"/>
        <v>0</v>
      </c>
      <c r="T37" s="565">
        <f t="shared" si="52"/>
        <v>0</v>
      </c>
      <c r="U37" s="565">
        <f t="shared" si="52"/>
        <v>0</v>
      </c>
      <c r="V37" s="565">
        <f t="shared" si="52"/>
        <v>0</v>
      </c>
      <c r="W37" s="565">
        <f t="shared" si="52"/>
        <v>0</v>
      </c>
      <c r="X37" s="565">
        <f t="shared" si="52"/>
        <v>0</v>
      </c>
      <c r="Y37" s="565">
        <f t="shared" si="52"/>
        <v>0</v>
      </c>
      <c r="Z37" s="565">
        <f t="shared" si="52"/>
        <v>0</v>
      </c>
      <c r="AA37" s="565">
        <f t="shared" si="52"/>
        <v>0</v>
      </c>
      <c r="AB37" s="565">
        <f t="shared" si="52"/>
        <v>0</v>
      </c>
      <c r="AC37" s="565">
        <f t="shared" si="52"/>
        <v>0</v>
      </c>
      <c r="AD37" s="565">
        <f t="shared" si="52"/>
        <v>0</v>
      </c>
      <c r="AE37" s="565">
        <f t="shared" si="52"/>
        <v>0</v>
      </c>
      <c r="AF37" s="565">
        <f t="shared" si="52"/>
        <v>0</v>
      </c>
      <c r="AG37" s="565">
        <f t="shared" si="52"/>
        <v>0</v>
      </c>
      <c r="AH37" s="565">
        <f t="shared" si="52"/>
        <v>0</v>
      </c>
      <c r="AI37" s="565">
        <f t="shared" si="52"/>
        <v>0</v>
      </c>
      <c r="AJ37" s="565">
        <v>0</v>
      </c>
      <c r="AK37" s="565">
        <v>0</v>
      </c>
      <c r="AL37" s="565">
        <v>0</v>
      </c>
      <c r="AM37" s="565">
        <v>0</v>
      </c>
      <c r="AN37" s="565">
        <v>0</v>
      </c>
      <c r="AO37" s="565">
        <v>0</v>
      </c>
      <c r="AP37" s="565">
        <v>0</v>
      </c>
      <c r="AQ37" s="565">
        <v>0</v>
      </c>
      <c r="AR37" s="573">
        <f>AQ37*(1+допущения!$C$37)</f>
        <v>0</v>
      </c>
      <c r="AS37" s="573">
        <f t="shared" si="8"/>
        <v>0</v>
      </c>
      <c r="AT37" s="573">
        <f t="shared" si="8"/>
        <v>0</v>
      </c>
      <c r="AU37" s="573">
        <f t="shared" si="8"/>
        <v>0</v>
      </c>
      <c r="AV37" s="97"/>
      <c r="AW37" s="116">
        <f t="shared" si="9"/>
        <v>0</v>
      </c>
      <c r="AX37" s="397">
        <f t="shared" si="10"/>
        <v>0</v>
      </c>
      <c r="AY37" s="397">
        <f t="shared" si="11"/>
        <v>0</v>
      </c>
      <c r="AZ37" s="397">
        <f t="shared" si="12"/>
        <v>0</v>
      </c>
      <c r="BA37" s="397">
        <f t="shared" si="13"/>
        <v>0</v>
      </c>
      <c r="BB37" s="397">
        <f t="shared" si="14"/>
        <v>0</v>
      </c>
      <c r="BC37" s="397">
        <f t="shared" si="15"/>
        <v>0</v>
      </c>
      <c r="BD37" s="397">
        <f t="shared" si="16"/>
        <v>0</v>
      </c>
      <c r="BE37" s="397">
        <f t="shared" si="17"/>
        <v>0</v>
      </c>
      <c r="BF37" s="397">
        <f t="shared" si="18"/>
        <v>0</v>
      </c>
      <c r="BG37" s="397">
        <f t="shared" si="19"/>
        <v>0</v>
      </c>
    </row>
    <row r="38" spans="1:59" x14ac:dyDescent="0.3">
      <c r="A38" s="589" t="s">
        <v>159</v>
      </c>
      <c r="B38" s="590">
        <v>0</v>
      </c>
      <c r="C38" s="591">
        <v>0</v>
      </c>
      <c r="D38" s="565">
        <f>$C$38*$B$38*3</f>
        <v>0</v>
      </c>
      <c r="E38" s="565">
        <f t="shared" ref="E38:V38" si="53">$B$38*$C$38*3</f>
        <v>0</v>
      </c>
      <c r="F38" s="565">
        <f t="shared" si="53"/>
        <v>0</v>
      </c>
      <c r="G38" s="565">
        <f t="shared" si="53"/>
        <v>0</v>
      </c>
      <c r="H38" s="565">
        <f t="shared" si="53"/>
        <v>0</v>
      </c>
      <c r="I38" s="565">
        <f t="shared" si="53"/>
        <v>0</v>
      </c>
      <c r="J38" s="565">
        <f t="shared" si="53"/>
        <v>0</v>
      </c>
      <c r="K38" s="565">
        <f t="shared" si="53"/>
        <v>0</v>
      </c>
      <c r="L38" s="565">
        <f t="shared" si="53"/>
        <v>0</v>
      </c>
      <c r="M38" s="565">
        <f t="shared" si="53"/>
        <v>0</v>
      </c>
      <c r="N38" s="565">
        <f t="shared" si="53"/>
        <v>0</v>
      </c>
      <c r="O38" s="565">
        <f t="shared" si="53"/>
        <v>0</v>
      </c>
      <c r="P38" s="565">
        <f t="shared" si="53"/>
        <v>0</v>
      </c>
      <c r="Q38" s="565">
        <f t="shared" si="53"/>
        <v>0</v>
      </c>
      <c r="R38" s="565">
        <f t="shared" si="53"/>
        <v>0</v>
      </c>
      <c r="S38" s="565">
        <f t="shared" si="53"/>
        <v>0</v>
      </c>
      <c r="T38" s="565">
        <f t="shared" si="53"/>
        <v>0</v>
      </c>
      <c r="U38" s="565">
        <f t="shared" si="53"/>
        <v>0</v>
      </c>
      <c r="V38" s="565">
        <f t="shared" si="53"/>
        <v>0</v>
      </c>
      <c r="W38" s="565">
        <f t="shared" si="52"/>
        <v>0</v>
      </c>
      <c r="X38" s="565">
        <f t="shared" si="52"/>
        <v>0</v>
      </c>
      <c r="Y38" s="565">
        <f t="shared" si="52"/>
        <v>0</v>
      </c>
      <c r="Z38" s="565">
        <f t="shared" si="52"/>
        <v>0</v>
      </c>
      <c r="AA38" s="565">
        <f t="shared" si="52"/>
        <v>0</v>
      </c>
      <c r="AB38" s="565">
        <f t="shared" si="52"/>
        <v>0</v>
      </c>
      <c r="AC38" s="565">
        <f t="shared" si="52"/>
        <v>0</v>
      </c>
      <c r="AD38" s="565">
        <f t="shared" si="52"/>
        <v>0</v>
      </c>
      <c r="AE38" s="565">
        <f t="shared" si="52"/>
        <v>0</v>
      </c>
      <c r="AF38" s="565">
        <f t="shared" si="52"/>
        <v>0</v>
      </c>
      <c r="AG38" s="565">
        <f t="shared" si="52"/>
        <v>0</v>
      </c>
      <c r="AH38" s="565">
        <f t="shared" si="52"/>
        <v>0</v>
      </c>
      <c r="AI38" s="565">
        <f t="shared" si="52"/>
        <v>0</v>
      </c>
      <c r="AJ38" s="565">
        <v>0</v>
      </c>
      <c r="AK38" s="565">
        <v>0</v>
      </c>
      <c r="AL38" s="565">
        <v>0</v>
      </c>
      <c r="AM38" s="565">
        <v>0</v>
      </c>
      <c r="AN38" s="565">
        <v>0</v>
      </c>
      <c r="AO38" s="565">
        <v>0</v>
      </c>
      <c r="AP38" s="565">
        <v>0</v>
      </c>
      <c r="AQ38" s="565">
        <v>0</v>
      </c>
      <c r="AR38" s="573">
        <f>AQ38*(1+допущения!$C$37)</f>
        <v>0</v>
      </c>
      <c r="AS38" s="573">
        <f t="shared" si="8"/>
        <v>0</v>
      </c>
      <c r="AT38" s="573">
        <f t="shared" si="8"/>
        <v>0</v>
      </c>
      <c r="AU38" s="573">
        <f t="shared" si="8"/>
        <v>0</v>
      </c>
      <c r="AV38" s="97"/>
      <c r="AW38" s="116">
        <f t="shared" si="9"/>
        <v>0</v>
      </c>
      <c r="AX38" s="397">
        <f t="shared" si="10"/>
        <v>0</v>
      </c>
      <c r="AY38" s="397">
        <f t="shared" si="11"/>
        <v>0</v>
      </c>
      <c r="AZ38" s="397">
        <f t="shared" si="12"/>
        <v>0</v>
      </c>
      <c r="BA38" s="397">
        <f t="shared" si="13"/>
        <v>0</v>
      </c>
      <c r="BB38" s="397">
        <f t="shared" si="14"/>
        <v>0</v>
      </c>
      <c r="BC38" s="397">
        <f t="shared" si="15"/>
        <v>0</v>
      </c>
      <c r="BD38" s="397">
        <f t="shared" si="16"/>
        <v>0</v>
      </c>
      <c r="BE38" s="397">
        <f t="shared" si="17"/>
        <v>0</v>
      </c>
      <c r="BF38" s="397">
        <f t="shared" si="18"/>
        <v>0</v>
      </c>
      <c r="BG38" s="397">
        <f t="shared" si="19"/>
        <v>0</v>
      </c>
    </row>
    <row r="39" spans="1:59" x14ac:dyDescent="0.3">
      <c r="A39" s="589" t="s">
        <v>160</v>
      </c>
      <c r="B39" s="590">
        <v>0</v>
      </c>
      <c r="C39" s="591">
        <v>0</v>
      </c>
      <c r="D39" s="565">
        <f>$C$39*$B$39*3</f>
        <v>0</v>
      </c>
      <c r="E39" s="565">
        <f t="shared" ref="E39:V39" si="54">$B$39*$C$39*3</f>
        <v>0</v>
      </c>
      <c r="F39" s="565">
        <f t="shared" si="54"/>
        <v>0</v>
      </c>
      <c r="G39" s="565">
        <f t="shared" si="54"/>
        <v>0</v>
      </c>
      <c r="H39" s="565">
        <f t="shared" si="54"/>
        <v>0</v>
      </c>
      <c r="I39" s="565">
        <f t="shared" si="54"/>
        <v>0</v>
      </c>
      <c r="J39" s="565">
        <f t="shared" si="54"/>
        <v>0</v>
      </c>
      <c r="K39" s="565">
        <f t="shared" si="54"/>
        <v>0</v>
      </c>
      <c r="L39" s="565">
        <f t="shared" si="54"/>
        <v>0</v>
      </c>
      <c r="M39" s="565">
        <f t="shared" si="54"/>
        <v>0</v>
      </c>
      <c r="N39" s="565">
        <f t="shared" si="54"/>
        <v>0</v>
      </c>
      <c r="O39" s="565">
        <f t="shared" si="54"/>
        <v>0</v>
      </c>
      <c r="P39" s="565">
        <f t="shared" si="54"/>
        <v>0</v>
      </c>
      <c r="Q39" s="565">
        <f t="shared" si="54"/>
        <v>0</v>
      </c>
      <c r="R39" s="565">
        <f t="shared" si="54"/>
        <v>0</v>
      </c>
      <c r="S39" s="565">
        <f t="shared" si="54"/>
        <v>0</v>
      </c>
      <c r="T39" s="565">
        <f t="shared" si="54"/>
        <v>0</v>
      </c>
      <c r="U39" s="565">
        <f t="shared" si="54"/>
        <v>0</v>
      </c>
      <c r="V39" s="565">
        <f t="shared" si="54"/>
        <v>0</v>
      </c>
      <c r="W39" s="565">
        <f t="shared" si="52"/>
        <v>0</v>
      </c>
      <c r="X39" s="565">
        <f t="shared" si="52"/>
        <v>0</v>
      </c>
      <c r="Y39" s="565">
        <f t="shared" si="52"/>
        <v>0</v>
      </c>
      <c r="Z39" s="565">
        <f t="shared" si="52"/>
        <v>0</v>
      </c>
      <c r="AA39" s="565">
        <f t="shared" si="52"/>
        <v>0</v>
      </c>
      <c r="AB39" s="565">
        <f t="shared" si="52"/>
        <v>0</v>
      </c>
      <c r="AC39" s="565">
        <f t="shared" si="52"/>
        <v>0</v>
      </c>
      <c r="AD39" s="565">
        <f t="shared" si="52"/>
        <v>0</v>
      </c>
      <c r="AE39" s="565">
        <f t="shared" si="52"/>
        <v>0</v>
      </c>
      <c r="AF39" s="565">
        <f t="shared" si="52"/>
        <v>0</v>
      </c>
      <c r="AG39" s="565">
        <f t="shared" si="52"/>
        <v>0</v>
      </c>
      <c r="AH39" s="565">
        <f t="shared" si="52"/>
        <v>0</v>
      </c>
      <c r="AI39" s="565">
        <f t="shared" si="52"/>
        <v>0</v>
      </c>
      <c r="AJ39" s="565">
        <v>0</v>
      </c>
      <c r="AK39" s="565">
        <v>0</v>
      </c>
      <c r="AL39" s="565">
        <v>0</v>
      </c>
      <c r="AM39" s="565">
        <v>0</v>
      </c>
      <c r="AN39" s="565">
        <v>0</v>
      </c>
      <c r="AO39" s="565">
        <v>0</v>
      </c>
      <c r="AP39" s="565">
        <v>0</v>
      </c>
      <c r="AQ39" s="565">
        <v>0</v>
      </c>
      <c r="AR39" s="573">
        <f>AQ39*(1+допущения!$C$37)</f>
        <v>0</v>
      </c>
      <c r="AS39" s="573">
        <f t="shared" si="8"/>
        <v>0</v>
      </c>
      <c r="AT39" s="573">
        <f t="shared" si="8"/>
        <v>0</v>
      </c>
      <c r="AU39" s="573">
        <f t="shared" si="8"/>
        <v>0</v>
      </c>
      <c r="AV39" s="97"/>
      <c r="AW39" s="116">
        <f t="shared" si="9"/>
        <v>0</v>
      </c>
      <c r="AX39" s="397">
        <f t="shared" si="10"/>
        <v>0</v>
      </c>
      <c r="AY39" s="397">
        <f t="shared" si="11"/>
        <v>0</v>
      </c>
      <c r="AZ39" s="397">
        <f t="shared" si="12"/>
        <v>0</v>
      </c>
      <c r="BA39" s="397">
        <f t="shared" si="13"/>
        <v>0</v>
      </c>
      <c r="BB39" s="397">
        <f t="shared" si="14"/>
        <v>0</v>
      </c>
      <c r="BC39" s="397">
        <f t="shared" si="15"/>
        <v>0</v>
      </c>
      <c r="BD39" s="397">
        <f t="shared" si="16"/>
        <v>0</v>
      </c>
      <c r="BE39" s="397">
        <f t="shared" si="17"/>
        <v>0</v>
      </c>
      <c r="BF39" s="397">
        <f t="shared" si="18"/>
        <v>0</v>
      </c>
      <c r="BG39" s="397">
        <f t="shared" si="19"/>
        <v>0</v>
      </c>
    </row>
    <row r="40" spans="1:59" x14ac:dyDescent="0.3">
      <c r="A40" s="589" t="s">
        <v>161</v>
      </c>
      <c r="B40" s="590">
        <v>0</v>
      </c>
      <c r="C40" s="591">
        <v>0</v>
      </c>
      <c r="D40" s="565">
        <f>$C$40*$B$40*3</f>
        <v>0</v>
      </c>
      <c r="E40" s="565">
        <f t="shared" ref="E40:V40" si="55">$B$40*$C$40*3</f>
        <v>0</v>
      </c>
      <c r="F40" s="565">
        <f t="shared" si="55"/>
        <v>0</v>
      </c>
      <c r="G40" s="565">
        <f t="shared" si="55"/>
        <v>0</v>
      </c>
      <c r="H40" s="565">
        <f t="shared" si="55"/>
        <v>0</v>
      </c>
      <c r="I40" s="565">
        <f t="shared" si="55"/>
        <v>0</v>
      </c>
      <c r="J40" s="565">
        <f t="shared" si="55"/>
        <v>0</v>
      </c>
      <c r="K40" s="565">
        <f t="shared" si="55"/>
        <v>0</v>
      </c>
      <c r="L40" s="565">
        <f t="shared" si="55"/>
        <v>0</v>
      </c>
      <c r="M40" s="565">
        <f t="shared" si="55"/>
        <v>0</v>
      </c>
      <c r="N40" s="565">
        <f t="shared" si="55"/>
        <v>0</v>
      </c>
      <c r="O40" s="565">
        <f t="shared" si="55"/>
        <v>0</v>
      </c>
      <c r="P40" s="565">
        <f t="shared" si="55"/>
        <v>0</v>
      </c>
      <c r="Q40" s="565">
        <f t="shared" si="55"/>
        <v>0</v>
      </c>
      <c r="R40" s="565">
        <f t="shared" si="55"/>
        <v>0</v>
      </c>
      <c r="S40" s="565">
        <f t="shared" si="55"/>
        <v>0</v>
      </c>
      <c r="T40" s="565">
        <f t="shared" si="55"/>
        <v>0</v>
      </c>
      <c r="U40" s="565">
        <f t="shared" si="55"/>
        <v>0</v>
      </c>
      <c r="V40" s="565">
        <f t="shared" si="55"/>
        <v>0</v>
      </c>
      <c r="W40" s="565">
        <f t="shared" si="52"/>
        <v>0</v>
      </c>
      <c r="X40" s="565">
        <f t="shared" si="52"/>
        <v>0</v>
      </c>
      <c r="Y40" s="565">
        <f t="shared" si="52"/>
        <v>0</v>
      </c>
      <c r="Z40" s="565">
        <f t="shared" si="52"/>
        <v>0</v>
      </c>
      <c r="AA40" s="565">
        <f t="shared" si="52"/>
        <v>0</v>
      </c>
      <c r="AB40" s="565">
        <f t="shared" si="52"/>
        <v>0</v>
      </c>
      <c r="AC40" s="565">
        <f t="shared" si="52"/>
        <v>0</v>
      </c>
      <c r="AD40" s="565">
        <f t="shared" si="52"/>
        <v>0</v>
      </c>
      <c r="AE40" s="565">
        <f t="shared" si="52"/>
        <v>0</v>
      </c>
      <c r="AF40" s="565">
        <f t="shared" si="52"/>
        <v>0</v>
      </c>
      <c r="AG40" s="565">
        <f t="shared" si="52"/>
        <v>0</v>
      </c>
      <c r="AH40" s="565">
        <f t="shared" si="52"/>
        <v>0</v>
      </c>
      <c r="AI40" s="565">
        <f t="shared" si="52"/>
        <v>0</v>
      </c>
      <c r="AJ40" s="565">
        <v>0</v>
      </c>
      <c r="AK40" s="565">
        <v>0</v>
      </c>
      <c r="AL40" s="565">
        <v>0</v>
      </c>
      <c r="AM40" s="565">
        <v>0</v>
      </c>
      <c r="AN40" s="565">
        <v>0</v>
      </c>
      <c r="AO40" s="565">
        <v>0</v>
      </c>
      <c r="AP40" s="565">
        <v>0</v>
      </c>
      <c r="AQ40" s="565">
        <v>0</v>
      </c>
      <c r="AR40" s="573">
        <f>AQ40*(1+допущения!$C$37)</f>
        <v>0</v>
      </c>
      <c r="AS40" s="573">
        <f t="shared" si="8"/>
        <v>0</v>
      </c>
      <c r="AT40" s="573">
        <f t="shared" si="8"/>
        <v>0</v>
      </c>
      <c r="AU40" s="573">
        <f t="shared" si="8"/>
        <v>0</v>
      </c>
      <c r="AV40" s="97"/>
      <c r="AW40" s="116">
        <f t="shared" si="9"/>
        <v>0</v>
      </c>
      <c r="AX40" s="397">
        <f t="shared" si="10"/>
        <v>0</v>
      </c>
      <c r="AY40" s="397">
        <f t="shared" si="11"/>
        <v>0</v>
      </c>
      <c r="AZ40" s="397">
        <f t="shared" si="12"/>
        <v>0</v>
      </c>
      <c r="BA40" s="397">
        <f t="shared" si="13"/>
        <v>0</v>
      </c>
      <c r="BB40" s="397">
        <f t="shared" si="14"/>
        <v>0</v>
      </c>
      <c r="BC40" s="397">
        <f t="shared" si="15"/>
        <v>0</v>
      </c>
      <c r="BD40" s="397">
        <f t="shared" si="16"/>
        <v>0</v>
      </c>
      <c r="BE40" s="397">
        <f t="shared" si="17"/>
        <v>0</v>
      </c>
      <c r="BF40" s="397">
        <f t="shared" si="18"/>
        <v>0</v>
      </c>
      <c r="BG40" s="397">
        <f t="shared" si="19"/>
        <v>0</v>
      </c>
    </row>
    <row r="41" spans="1:59" x14ac:dyDescent="0.3">
      <c r="A41" s="589" t="s">
        <v>162</v>
      </c>
      <c r="B41" s="590">
        <v>0</v>
      </c>
      <c r="C41" s="591">
        <v>0</v>
      </c>
      <c r="D41" s="565">
        <f>$C$41*$B$41*3</f>
        <v>0</v>
      </c>
      <c r="E41" s="565">
        <f t="shared" ref="E41:V41" si="56">$B$41*$C$41*3</f>
        <v>0</v>
      </c>
      <c r="F41" s="565">
        <f t="shared" si="56"/>
        <v>0</v>
      </c>
      <c r="G41" s="565">
        <f t="shared" si="56"/>
        <v>0</v>
      </c>
      <c r="H41" s="565">
        <f t="shared" si="56"/>
        <v>0</v>
      </c>
      <c r="I41" s="565">
        <f t="shared" si="56"/>
        <v>0</v>
      </c>
      <c r="J41" s="565">
        <f t="shared" si="56"/>
        <v>0</v>
      </c>
      <c r="K41" s="565">
        <f t="shared" si="56"/>
        <v>0</v>
      </c>
      <c r="L41" s="565">
        <f t="shared" si="56"/>
        <v>0</v>
      </c>
      <c r="M41" s="565">
        <f t="shared" si="56"/>
        <v>0</v>
      </c>
      <c r="N41" s="565">
        <f t="shared" si="56"/>
        <v>0</v>
      </c>
      <c r="O41" s="565">
        <f t="shared" si="56"/>
        <v>0</v>
      </c>
      <c r="P41" s="565">
        <f t="shared" si="56"/>
        <v>0</v>
      </c>
      <c r="Q41" s="565">
        <f t="shared" si="56"/>
        <v>0</v>
      </c>
      <c r="R41" s="565">
        <f t="shared" si="56"/>
        <v>0</v>
      </c>
      <c r="S41" s="565">
        <f t="shared" si="56"/>
        <v>0</v>
      </c>
      <c r="T41" s="565">
        <f t="shared" si="56"/>
        <v>0</v>
      </c>
      <c r="U41" s="565">
        <f t="shared" si="56"/>
        <v>0</v>
      </c>
      <c r="V41" s="565">
        <f t="shared" si="56"/>
        <v>0</v>
      </c>
      <c r="W41" s="565">
        <f t="shared" si="52"/>
        <v>0</v>
      </c>
      <c r="X41" s="565">
        <f t="shared" si="52"/>
        <v>0</v>
      </c>
      <c r="Y41" s="565">
        <f t="shared" si="52"/>
        <v>0</v>
      </c>
      <c r="Z41" s="565">
        <f t="shared" si="52"/>
        <v>0</v>
      </c>
      <c r="AA41" s="565">
        <f t="shared" si="52"/>
        <v>0</v>
      </c>
      <c r="AB41" s="565">
        <f t="shared" si="52"/>
        <v>0</v>
      </c>
      <c r="AC41" s="565">
        <f t="shared" si="52"/>
        <v>0</v>
      </c>
      <c r="AD41" s="565">
        <f t="shared" si="52"/>
        <v>0</v>
      </c>
      <c r="AE41" s="565">
        <f t="shared" si="52"/>
        <v>0</v>
      </c>
      <c r="AF41" s="565">
        <f t="shared" si="52"/>
        <v>0</v>
      </c>
      <c r="AG41" s="565">
        <f t="shared" si="52"/>
        <v>0</v>
      </c>
      <c r="AH41" s="565">
        <f t="shared" si="52"/>
        <v>0</v>
      </c>
      <c r="AI41" s="565">
        <f t="shared" si="52"/>
        <v>0</v>
      </c>
      <c r="AJ41" s="565">
        <v>0</v>
      </c>
      <c r="AK41" s="565">
        <v>0</v>
      </c>
      <c r="AL41" s="565">
        <v>0</v>
      </c>
      <c r="AM41" s="565">
        <v>0</v>
      </c>
      <c r="AN41" s="565">
        <v>0</v>
      </c>
      <c r="AO41" s="565">
        <v>0</v>
      </c>
      <c r="AP41" s="565">
        <v>0</v>
      </c>
      <c r="AQ41" s="565">
        <v>0</v>
      </c>
      <c r="AR41" s="573">
        <f>AQ41*(1+допущения!$C$37)</f>
        <v>0</v>
      </c>
      <c r="AS41" s="573">
        <f t="shared" si="8"/>
        <v>0</v>
      </c>
      <c r="AT41" s="573">
        <f t="shared" si="8"/>
        <v>0</v>
      </c>
      <c r="AU41" s="573">
        <f t="shared" si="8"/>
        <v>0</v>
      </c>
      <c r="AV41" s="97"/>
      <c r="AW41" s="116">
        <f t="shared" si="9"/>
        <v>0</v>
      </c>
      <c r="AX41" s="397">
        <f t="shared" si="10"/>
        <v>0</v>
      </c>
      <c r="AY41" s="397">
        <f t="shared" si="11"/>
        <v>0</v>
      </c>
      <c r="AZ41" s="397">
        <f t="shared" si="12"/>
        <v>0</v>
      </c>
      <c r="BA41" s="397">
        <f t="shared" si="13"/>
        <v>0</v>
      </c>
      <c r="BB41" s="397">
        <f t="shared" si="14"/>
        <v>0</v>
      </c>
      <c r="BC41" s="397">
        <f t="shared" si="15"/>
        <v>0</v>
      </c>
      <c r="BD41" s="397">
        <f t="shared" si="16"/>
        <v>0</v>
      </c>
      <c r="BE41" s="397">
        <f t="shared" si="17"/>
        <v>0</v>
      </c>
      <c r="BF41" s="397">
        <f t="shared" si="18"/>
        <v>0</v>
      </c>
      <c r="BG41" s="397">
        <f t="shared" si="19"/>
        <v>0</v>
      </c>
    </row>
    <row r="42" spans="1:59" x14ac:dyDescent="0.3">
      <c r="A42" s="589" t="s">
        <v>163</v>
      </c>
      <c r="B42" s="590">
        <v>0</v>
      </c>
      <c r="C42" s="591">
        <v>0</v>
      </c>
      <c r="D42" s="565">
        <f>$C$42*$B$42*3</f>
        <v>0</v>
      </c>
      <c r="E42" s="565">
        <f t="shared" ref="E42:V42" si="57">$B$42*$C$42*3</f>
        <v>0</v>
      </c>
      <c r="F42" s="565">
        <f t="shared" si="57"/>
        <v>0</v>
      </c>
      <c r="G42" s="565">
        <f t="shared" si="57"/>
        <v>0</v>
      </c>
      <c r="H42" s="565">
        <f t="shared" si="57"/>
        <v>0</v>
      </c>
      <c r="I42" s="565">
        <f t="shared" si="57"/>
        <v>0</v>
      </c>
      <c r="J42" s="565">
        <f t="shared" si="57"/>
        <v>0</v>
      </c>
      <c r="K42" s="565">
        <f t="shared" si="57"/>
        <v>0</v>
      </c>
      <c r="L42" s="565">
        <f t="shared" si="57"/>
        <v>0</v>
      </c>
      <c r="M42" s="565">
        <f t="shared" si="57"/>
        <v>0</v>
      </c>
      <c r="N42" s="565">
        <f t="shared" si="57"/>
        <v>0</v>
      </c>
      <c r="O42" s="565">
        <f t="shared" si="57"/>
        <v>0</v>
      </c>
      <c r="P42" s="565">
        <f t="shared" si="57"/>
        <v>0</v>
      </c>
      <c r="Q42" s="565">
        <f t="shared" si="57"/>
        <v>0</v>
      </c>
      <c r="R42" s="565">
        <f t="shared" si="57"/>
        <v>0</v>
      </c>
      <c r="S42" s="565">
        <f t="shared" si="57"/>
        <v>0</v>
      </c>
      <c r="T42" s="565">
        <f t="shared" si="57"/>
        <v>0</v>
      </c>
      <c r="U42" s="565">
        <f t="shared" si="57"/>
        <v>0</v>
      </c>
      <c r="V42" s="565">
        <f t="shared" si="57"/>
        <v>0</v>
      </c>
      <c r="W42" s="565">
        <f t="shared" si="52"/>
        <v>0</v>
      </c>
      <c r="X42" s="565">
        <f t="shared" si="52"/>
        <v>0</v>
      </c>
      <c r="Y42" s="565">
        <f t="shared" si="52"/>
        <v>0</v>
      </c>
      <c r="Z42" s="565">
        <f t="shared" si="52"/>
        <v>0</v>
      </c>
      <c r="AA42" s="565">
        <f t="shared" si="52"/>
        <v>0</v>
      </c>
      <c r="AB42" s="565">
        <f t="shared" si="52"/>
        <v>0</v>
      </c>
      <c r="AC42" s="565">
        <f t="shared" si="52"/>
        <v>0</v>
      </c>
      <c r="AD42" s="565">
        <f t="shared" si="52"/>
        <v>0</v>
      </c>
      <c r="AE42" s="565">
        <f t="shared" si="52"/>
        <v>0</v>
      </c>
      <c r="AF42" s="565">
        <f t="shared" si="52"/>
        <v>0</v>
      </c>
      <c r="AG42" s="565">
        <f t="shared" si="52"/>
        <v>0</v>
      </c>
      <c r="AH42" s="565">
        <f t="shared" si="52"/>
        <v>0</v>
      </c>
      <c r="AI42" s="565">
        <f t="shared" si="52"/>
        <v>0</v>
      </c>
      <c r="AJ42" s="565">
        <v>0</v>
      </c>
      <c r="AK42" s="565">
        <v>0</v>
      </c>
      <c r="AL42" s="565">
        <v>0</v>
      </c>
      <c r="AM42" s="565">
        <v>0</v>
      </c>
      <c r="AN42" s="565">
        <v>0</v>
      </c>
      <c r="AO42" s="565">
        <v>0</v>
      </c>
      <c r="AP42" s="565">
        <v>0</v>
      </c>
      <c r="AQ42" s="565">
        <v>0</v>
      </c>
      <c r="AR42" s="573">
        <f>AQ42*(1+допущения!$C$37)</f>
        <v>0</v>
      </c>
      <c r="AS42" s="573">
        <f t="shared" si="8"/>
        <v>0</v>
      </c>
      <c r="AT42" s="573">
        <f t="shared" si="8"/>
        <v>0</v>
      </c>
      <c r="AU42" s="573">
        <f t="shared" si="8"/>
        <v>0</v>
      </c>
      <c r="AV42" s="97"/>
      <c r="AW42" s="116">
        <f t="shared" si="9"/>
        <v>0</v>
      </c>
      <c r="AX42" s="397">
        <f t="shared" si="10"/>
        <v>0</v>
      </c>
      <c r="AY42" s="397">
        <f t="shared" si="11"/>
        <v>0</v>
      </c>
      <c r="AZ42" s="397">
        <f t="shared" si="12"/>
        <v>0</v>
      </c>
      <c r="BA42" s="397">
        <f t="shared" si="13"/>
        <v>0</v>
      </c>
      <c r="BB42" s="397">
        <f t="shared" si="14"/>
        <v>0</v>
      </c>
      <c r="BC42" s="397">
        <f t="shared" si="15"/>
        <v>0</v>
      </c>
      <c r="BD42" s="397">
        <f t="shared" si="16"/>
        <v>0</v>
      </c>
      <c r="BE42" s="397">
        <f t="shared" si="17"/>
        <v>0</v>
      </c>
      <c r="BF42" s="397">
        <f t="shared" si="18"/>
        <v>0</v>
      </c>
      <c r="BG42" s="397">
        <f t="shared" si="19"/>
        <v>0</v>
      </c>
    </row>
    <row r="43" spans="1:59" x14ac:dyDescent="0.3">
      <c r="A43" s="589" t="s">
        <v>164</v>
      </c>
      <c r="B43" s="590">
        <v>0</v>
      </c>
      <c r="C43" s="591">
        <v>0</v>
      </c>
      <c r="D43" s="565">
        <f>$C$43*$B$43*3</f>
        <v>0</v>
      </c>
      <c r="E43" s="565">
        <f t="shared" ref="E43:V43" si="58">$B$43*$C$43*3</f>
        <v>0</v>
      </c>
      <c r="F43" s="565">
        <f t="shared" si="58"/>
        <v>0</v>
      </c>
      <c r="G43" s="565">
        <f t="shared" si="58"/>
        <v>0</v>
      </c>
      <c r="H43" s="565">
        <f t="shared" si="58"/>
        <v>0</v>
      </c>
      <c r="I43" s="565">
        <f t="shared" si="58"/>
        <v>0</v>
      </c>
      <c r="J43" s="565">
        <f t="shared" si="58"/>
        <v>0</v>
      </c>
      <c r="K43" s="565">
        <f t="shared" si="58"/>
        <v>0</v>
      </c>
      <c r="L43" s="565">
        <f t="shared" si="58"/>
        <v>0</v>
      </c>
      <c r="M43" s="565">
        <f t="shared" si="58"/>
        <v>0</v>
      </c>
      <c r="N43" s="565">
        <f t="shared" si="58"/>
        <v>0</v>
      </c>
      <c r="O43" s="565">
        <f t="shared" si="58"/>
        <v>0</v>
      </c>
      <c r="P43" s="565">
        <f t="shared" si="58"/>
        <v>0</v>
      </c>
      <c r="Q43" s="565">
        <f t="shared" si="58"/>
        <v>0</v>
      </c>
      <c r="R43" s="565">
        <f t="shared" si="58"/>
        <v>0</v>
      </c>
      <c r="S43" s="565">
        <f t="shared" si="58"/>
        <v>0</v>
      </c>
      <c r="T43" s="565">
        <f t="shared" si="58"/>
        <v>0</v>
      </c>
      <c r="U43" s="565">
        <f t="shared" si="58"/>
        <v>0</v>
      </c>
      <c r="V43" s="565">
        <f t="shared" si="58"/>
        <v>0</v>
      </c>
      <c r="W43" s="565">
        <f t="shared" si="52"/>
        <v>0</v>
      </c>
      <c r="X43" s="565">
        <f t="shared" si="52"/>
        <v>0</v>
      </c>
      <c r="Y43" s="565">
        <f t="shared" si="52"/>
        <v>0</v>
      </c>
      <c r="Z43" s="565">
        <f t="shared" si="52"/>
        <v>0</v>
      </c>
      <c r="AA43" s="565">
        <f t="shared" si="52"/>
        <v>0</v>
      </c>
      <c r="AB43" s="565">
        <f t="shared" si="52"/>
        <v>0</v>
      </c>
      <c r="AC43" s="565">
        <f t="shared" si="52"/>
        <v>0</v>
      </c>
      <c r="AD43" s="565">
        <f t="shared" si="52"/>
        <v>0</v>
      </c>
      <c r="AE43" s="565">
        <f t="shared" si="52"/>
        <v>0</v>
      </c>
      <c r="AF43" s="565">
        <f t="shared" si="52"/>
        <v>0</v>
      </c>
      <c r="AG43" s="565">
        <f t="shared" si="52"/>
        <v>0</v>
      </c>
      <c r="AH43" s="565">
        <f t="shared" si="52"/>
        <v>0</v>
      </c>
      <c r="AI43" s="565">
        <f t="shared" si="52"/>
        <v>0</v>
      </c>
      <c r="AJ43" s="565">
        <v>0</v>
      </c>
      <c r="AK43" s="565">
        <v>0</v>
      </c>
      <c r="AL43" s="565">
        <v>0</v>
      </c>
      <c r="AM43" s="565">
        <v>0</v>
      </c>
      <c r="AN43" s="565">
        <v>0</v>
      </c>
      <c r="AO43" s="565">
        <v>0</v>
      </c>
      <c r="AP43" s="565">
        <v>0</v>
      </c>
      <c r="AQ43" s="565">
        <v>0</v>
      </c>
      <c r="AR43" s="573">
        <f>AQ43*(1+допущения!$C$37)</f>
        <v>0</v>
      </c>
      <c r="AS43" s="573">
        <f t="shared" si="8"/>
        <v>0</v>
      </c>
      <c r="AT43" s="573">
        <f t="shared" si="8"/>
        <v>0</v>
      </c>
      <c r="AU43" s="573">
        <f t="shared" si="8"/>
        <v>0</v>
      </c>
      <c r="AV43" s="97"/>
      <c r="AW43" s="116">
        <f t="shared" si="9"/>
        <v>0</v>
      </c>
      <c r="AX43" s="397">
        <f t="shared" si="10"/>
        <v>0</v>
      </c>
      <c r="AY43" s="397">
        <f t="shared" si="11"/>
        <v>0</v>
      </c>
      <c r="AZ43" s="397">
        <f t="shared" si="12"/>
        <v>0</v>
      </c>
      <c r="BA43" s="397">
        <f t="shared" si="13"/>
        <v>0</v>
      </c>
      <c r="BB43" s="397">
        <f t="shared" si="14"/>
        <v>0</v>
      </c>
      <c r="BC43" s="397">
        <f t="shared" si="15"/>
        <v>0</v>
      </c>
      <c r="BD43" s="397">
        <f t="shared" si="16"/>
        <v>0</v>
      </c>
      <c r="BE43" s="397">
        <f t="shared" si="17"/>
        <v>0</v>
      </c>
      <c r="BF43" s="397">
        <f t="shared" si="18"/>
        <v>0</v>
      </c>
      <c r="BG43" s="397">
        <f t="shared" si="19"/>
        <v>0</v>
      </c>
    </row>
    <row r="44" spans="1:59" x14ac:dyDescent="0.3">
      <c r="A44" s="589" t="s">
        <v>165</v>
      </c>
      <c r="B44" s="590">
        <v>0</v>
      </c>
      <c r="C44" s="591">
        <v>0</v>
      </c>
      <c r="D44" s="565">
        <f>$C$44*$B$44*3</f>
        <v>0</v>
      </c>
      <c r="E44" s="565">
        <f t="shared" ref="E44:V44" si="59">$B$44*$C$44*3</f>
        <v>0</v>
      </c>
      <c r="F44" s="565">
        <f t="shared" si="59"/>
        <v>0</v>
      </c>
      <c r="G44" s="565">
        <f t="shared" si="59"/>
        <v>0</v>
      </c>
      <c r="H44" s="565">
        <f t="shared" si="59"/>
        <v>0</v>
      </c>
      <c r="I44" s="565">
        <f t="shared" si="59"/>
        <v>0</v>
      </c>
      <c r="J44" s="565">
        <f t="shared" si="59"/>
        <v>0</v>
      </c>
      <c r="K44" s="565">
        <f t="shared" si="59"/>
        <v>0</v>
      </c>
      <c r="L44" s="565">
        <f t="shared" si="59"/>
        <v>0</v>
      </c>
      <c r="M44" s="565">
        <f t="shared" si="59"/>
        <v>0</v>
      </c>
      <c r="N44" s="565">
        <f t="shared" si="59"/>
        <v>0</v>
      </c>
      <c r="O44" s="565">
        <f t="shared" si="59"/>
        <v>0</v>
      </c>
      <c r="P44" s="565">
        <f t="shared" si="59"/>
        <v>0</v>
      </c>
      <c r="Q44" s="565">
        <f t="shared" si="59"/>
        <v>0</v>
      </c>
      <c r="R44" s="565">
        <f t="shared" si="59"/>
        <v>0</v>
      </c>
      <c r="S44" s="565">
        <f t="shared" si="59"/>
        <v>0</v>
      </c>
      <c r="T44" s="565">
        <f t="shared" si="59"/>
        <v>0</v>
      </c>
      <c r="U44" s="565">
        <f t="shared" si="59"/>
        <v>0</v>
      </c>
      <c r="V44" s="565">
        <f t="shared" si="59"/>
        <v>0</v>
      </c>
      <c r="W44" s="565">
        <f t="shared" si="52"/>
        <v>0</v>
      </c>
      <c r="X44" s="565">
        <f t="shared" si="52"/>
        <v>0</v>
      </c>
      <c r="Y44" s="565">
        <f t="shared" si="52"/>
        <v>0</v>
      </c>
      <c r="Z44" s="565">
        <f t="shared" si="52"/>
        <v>0</v>
      </c>
      <c r="AA44" s="565">
        <f t="shared" si="52"/>
        <v>0</v>
      </c>
      <c r="AB44" s="565">
        <f t="shared" si="52"/>
        <v>0</v>
      </c>
      <c r="AC44" s="565">
        <f t="shared" si="52"/>
        <v>0</v>
      </c>
      <c r="AD44" s="565">
        <f t="shared" si="52"/>
        <v>0</v>
      </c>
      <c r="AE44" s="565">
        <f t="shared" si="52"/>
        <v>0</v>
      </c>
      <c r="AF44" s="565">
        <f t="shared" si="52"/>
        <v>0</v>
      </c>
      <c r="AG44" s="565">
        <f t="shared" si="52"/>
        <v>0</v>
      </c>
      <c r="AH44" s="565">
        <f t="shared" si="52"/>
        <v>0</v>
      </c>
      <c r="AI44" s="565">
        <f t="shared" si="52"/>
        <v>0</v>
      </c>
      <c r="AJ44" s="565">
        <v>0</v>
      </c>
      <c r="AK44" s="565">
        <v>0</v>
      </c>
      <c r="AL44" s="565">
        <v>0</v>
      </c>
      <c r="AM44" s="565">
        <v>0</v>
      </c>
      <c r="AN44" s="565">
        <v>0</v>
      </c>
      <c r="AO44" s="565">
        <v>0</v>
      </c>
      <c r="AP44" s="565">
        <v>0</v>
      </c>
      <c r="AQ44" s="565">
        <v>0</v>
      </c>
      <c r="AR44" s="573">
        <f>AQ44*(1+допущения!$C$37)</f>
        <v>0</v>
      </c>
      <c r="AS44" s="573">
        <f t="shared" si="8"/>
        <v>0</v>
      </c>
      <c r="AT44" s="573">
        <f t="shared" si="8"/>
        <v>0</v>
      </c>
      <c r="AU44" s="573">
        <f t="shared" si="8"/>
        <v>0</v>
      </c>
      <c r="AV44" s="97"/>
      <c r="AW44" s="116">
        <f t="shared" si="9"/>
        <v>0</v>
      </c>
      <c r="AX44" s="397">
        <f t="shared" si="10"/>
        <v>0</v>
      </c>
      <c r="AY44" s="397">
        <f t="shared" si="11"/>
        <v>0</v>
      </c>
      <c r="AZ44" s="397">
        <f t="shared" si="12"/>
        <v>0</v>
      </c>
      <c r="BA44" s="397">
        <f t="shared" si="13"/>
        <v>0</v>
      </c>
      <c r="BB44" s="397">
        <f t="shared" si="14"/>
        <v>0</v>
      </c>
      <c r="BC44" s="397">
        <f t="shared" si="15"/>
        <v>0</v>
      </c>
      <c r="BD44" s="397">
        <f t="shared" si="16"/>
        <v>0</v>
      </c>
      <c r="BE44" s="397">
        <f t="shared" si="17"/>
        <v>0</v>
      </c>
      <c r="BF44" s="397">
        <f t="shared" si="18"/>
        <v>0</v>
      </c>
      <c r="BG44" s="397">
        <f t="shared" si="19"/>
        <v>0</v>
      </c>
    </row>
    <row r="45" spans="1:59" x14ac:dyDescent="0.3">
      <c r="A45" s="589" t="s">
        <v>166</v>
      </c>
      <c r="B45" s="590">
        <v>0</v>
      </c>
      <c r="C45" s="591">
        <v>0</v>
      </c>
      <c r="D45" s="565">
        <f>$C$45*$B$45*3</f>
        <v>0</v>
      </c>
      <c r="E45" s="565">
        <f>$B$45*$C$45*3</f>
        <v>0</v>
      </c>
      <c r="F45" s="565">
        <f t="shared" ref="F45:V45" si="60">$B$45*$C$45*3</f>
        <v>0</v>
      </c>
      <c r="G45" s="565">
        <f t="shared" si="60"/>
        <v>0</v>
      </c>
      <c r="H45" s="565">
        <f t="shared" si="60"/>
        <v>0</v>
      </c>
      <c r="I45" s="565">
        <f t="shared" si="60"/>
        <v>0</v>
      </c>
      <c r="J45" s="565">
        <f t="shared" si="60"/>
        <v>0</v>
      </c>
      <c r="K45" s="565">
        <f t="shared" si="60"/>
        <v>0</v>
      </c>
      <c r="L45" s="565">
        <f t="shared" si="60"/>
        <v>0</v>
      </c>
      <c r="M45" s="565">
        <f t="shared" si="60"/>
        <v>0</v>
      </c>
      <c r="N45" s="565">
        <f t="shared" si="60"/>
        <v>0</v>
      </c>
      <c r="O45" s="565">
        <f t="shared" si="60"/>
        <v>0</v>
      </c>
      <c r="P45" s="565">
        <f t="shared" si="60"/>
        <v>0</v>
      </c>
      <c r="Q45" s="565">
        <f t="shared" si="60"/>
        <v>0</v>
      </c>
      <c r="R45" s="565">
        <f t="shared" si="60"/>
        <v>0</v>
      </c>
      <c r="S45" s="565">
        <f t="shared" si="60"/>
        <v>0</v>
      </c>
      <c r="T45" s="565">
        <f t="shared" si="60"/>
        <v>0</v>
      </c>
      <c r="U45" s="565">
        <f t="shared" si="60"/>
        <v>0</v>
      </c>
      <c r="V45" s="565">
        <f t="shared" si="60"/>
        <v>0</v>
      </c>
      <c r="W45" s="565">
        <f t="shared" si="52"/>
        <v>0</v>
      </c>
      <c r="X45" s="565">
        <f t="shared" si="52"/>
        <v>0</v>
      </c>
      <c r="Y45" s="565">
        <f t="shared" si="52"/>
        <v>0</v>
      </c>
      <c r="Z45" s="565">
        <f t="shared" si="52"/>
        <v>0</v>
      </c>
      <c r="AA45" s="565">
        <f t="shared" si="52"/>
        <v>0</v>
      </c>
      <c r="AB45" s="565">
        <f t="shared" si="52"/>
        <v>0</v>
      </c>
      <c r="AC45" s="565">
        <f t="shared" si="52"/>
        <v>0</v>
      </c>
      <c r="AD45" s="565">
        <f t="shared" si="52"/>
        <v>0</v>
      </c>
      <c r="AE45" s="565">
        <f t="shared" si="52"/>
        <v>0</v>
      </c>
      <c r="AF45" s="565">
        <f t="shared" si="52"/>
        <v>0</v>
      </c>
      <c r="AG45" s="565">
        <f t="shared" si="52"/>
        <v>0</v>
      </c>
      <c r="AH45" s="565">
        <f t="shared" si="52"/>
        <v>0</v>
      </c>
      <c r="AI45" s="565">
        <f t="shared" si="52"/>
        <v>0</v>
      </c>
      <c r="AJ45" s="565">
        <v>0</v>
      </c>
      <c r="AK45" s="565">
        <v>0</v>
      </c>
      <c r="AL45" s="565">
        <v>0</v>
      </c>
      <c r="AM45" s="565">
        <v>0</v>
      </c>
      <c r="AN45" s="565">
        <v>0</v>
      </c>
      <c r="AO45" s="565">
        <v>0</v>
      </c>
      <c r="AP45" s="565">
        <v>0</v>
      </c>
      <c r="AQ45" s="565">
        <v>0</v>
      </c>
      <c r="AR45" s="573">
        <f>AQ45*(1+допущения!$C$37)</f>
        <v>0</v>
      </c>
      <c r="AS45" s="573">
        <f t="shared" si="8"/>
        <v>0</v>
      </c>
      <c r="AT45" s="573">
        <f t="shared" si="8"/>
        <v>0</v>
      </c>
      <c r="AU45" s="573">
        <f t="shared" si="8"/>
        <v>0</v>
      </c>
      <c r="AV45" s="97"/>
      <c r="AW45" s="116">
        <f t="shared" si="9"/>
        <v>0</v>
      </c>
      <c r="AX45" s="397">
        <f t="shared" si="10"/>
        <v>0</v>
      </c>
      <c r="AY45" s="397">
        <f t="shared" si="11"/>
        <v>0</v>
      </c>
      <c r="AZ45" s="397">
        <f t="shared" si="12"/>
        <v>0</v>
      </c>
      <c r="BA45" s="397">
        <f t="shared" si="13"/>
        <v>0</v>
      </c>
      <c r="BB45" s="397">
        <f t="shared" si="14"/>
        <v>0</v>
      </c>
      <c r="BC45" s="397">
        <f t="shared" si="15"/>
        <v>0</v>
      </c>
      <c r="BD45" s="397">
        <f t="shared" si="16"/>
        <v>0</v>
      </c>
      <c r="BE45" s="397">
        <f t="shared" si="17"/>
        <v>0</v>
      </c>
      <c r="BF45" s="397">
        <f t="shared" si="18"/>
        <v>0</v>
      </c>
      <c r="BG45" s="397">
        <f t="shared" si="19"/>
        <v>0</v>
      </c>
    </row>
    <row r="46" spans="1:59" ht="28.8" x14ac:dyDescent="0.3">
      <c r="A46" s="589" t="s">
        <v>167</v>
      </c>
      <c r="B46" s="590">
        <v>0</v>
      </c>
      <c r="C46" s="591">
        <v>0</v>
      </c>
      <c r="D46" s="565">
        <f>$C$46*$B$46*3</f>
        <v>0</v>
      </c>
      <c r="E46" s="565">
        <f t="shared" ref="E46:AQ46" si="61">$C$46*$B$46*3</f>
        <v>0</v>
      </c>
      <c r="F46" s="565">
        <f t="shared" si="61"/>
        <v>0</v>
      </c>
      <c r="G46" s="565">
        <f t="shared" si="61"/>
        <v>0</v>
      </c>
      <c r="H46" s="565">
        <f t="shared" si="61"/>
        <v>0</v>
      </c>
      <c r="I46" s="565">
        <f t="shared" si="61"/>
        <v>0</v>
      </c>
      <c r="J46" s="565">
        <f t="shared" si="61"/>
        <v>0</v>
      </c>
      <c r="K46" s="565">
        <f t="shared" si="61"/>
        <v>0</v>
      </c>
      <c r="L46" s="565">
        <f t="shared" si="61"/>
        <v>0</v>
      </c>
      <c r="M46" s="565">
        <f t="shared" si="61"/>
        <v>0</v>
      </c>
      <c r="N46" s="565">
        <f t="shared" si="61"/>
        <v>0</v>
      </c>
      <c r="O46" s="565">
        <f t="shared" si="61"/>
        <v>0</v>
      </c>
      <c r="P46" s="565">
        <f t="shared" si="61"/>
        <v>0</v>
      </c>
      <c r="Q46" s="565">
        <f t="shared" si="61"/>
        <v>0</v>
      </c>
      <c r="R46" s="565">
        <f t="shared" si="61"/>
        <v>0</v>
      </c>
      <c r="S46" s="565">
        <f t="shared" si="61"/>
        <v>0</v>
      </c>
      <c r="T46" s="565">
        <f t="shared" si="61"/>
        <v>0</v>
      </c>
      <c r="U46" s="565">
        <f t="shared" si="61"/>
        <v>0</v>
      </c>
      <c r="V46" s="565">
        <f t="shared" si="61"/>
        <v>0</v>
      </c>
      <c r="W46" s="565">
        <f t="shared" si="61"/>
        <v>0</v>
      </c>
      <c r="X46" s="565">
        <f t="shared" si="61"/>
        <v>0</v>
      </c>
      <c r="Y46" s="565">
        <f t="shared" si="61"/>
        <v>0</v>
      </c>
      <c r="Z46" s="565">
        <f t="shared" si="61"/>
        <v>0</v>
      </c>
      <c r="AA46" s="565">
        <f t="shared" si="61"/>
        <v>0</v>
      </c>
      <c r="AB46" s="565">
        <f t="shared" si="61"/>
        <v>0</v>
      </c>
      <c r="AC46" s="565">
        <f t="shared" si="61"/>
        <v>0</v>
      </c>
      <c r="AD46" s="565">
        <f t="shared" si="61"/>
        <v>0</v>
      </c>
      <c r="AE46" s="565">
        <f t="shared" si="61"/>
        <v>0</v>
      </c>
      <c r="AF46" s="565">
        <f t="shared" si="61"/>
        <v>0</v>
      </c>
      <c r="AG46" s="565">
        <f t="shared" si="61"/>
        <v>0</v>
      </c>
      <c r="AH46" s="565">
        <f t="shared" si="61"/>
        <v>0</v>
      </c>
      <c r="AI46" s="565">
        <f t="shared" si="61"/>
        <v>0</v>
      </c>
      <c r="AJ46" s="565">
        <f t="shared" si="61"/>
        <v>0</v>
      </c>
      <c r="AK46" s="565">
        <f t="shared" si="61"/>
        <v>0</v>
      </c>
      <c r="AL46" s="565">
        <f t="shared" si="61"/>
        <v>0</v>
      </c>
      <c r="AM46" s="565">
        <f t="shared" si="61"/>
        <v>0</v>
      </c>
      <c r="AN46" s="565">
        <f t="shared" si="61"/>
        <v>0</v>
      </c>
      <c r="AO46" s="565">
        <f t="shared" si="61"/>
        <v>0</v>
      </c>
      <c r="AP46" s="565">
        <f t="shared" si="61"/>
        <v>0</v>
      </c>
      <c r="AQ46" s="565">
        <f t="shared" si="61"/>
        <v>0</v>
      </c>
      <c r="AR46" s="573">
        <f>AQ46*(1+допущения!$C$37)</f>
        <v>0</v>
      </c>
      <c r="AS46" s="573">
        <f t="shared" si="8"/>
        <v>0</v>
      </c>
      <c r="AT46" s="573">
        <f t="shared" si="8"/>
        <v>0</v>
      </c>
      <c r="AU46" s="573">
        <f t="shared" si="8"/>
        <v>0</v>
      </c>
      <c r="AV46" s="97"/>
      <c r="AW46" s="116">
        <f t="shared" si="9"/>
        <v>0</v>
      </c>
      <c r="AX46" s="397">
        <f t="shared" si="10"/>
        <v>0</v>
      </c>
      <c r="AY46" s="397">
        <f t="shared" si="11"/>
        <v>0</v>
      </c>
      <c r="AZ46" s="397">
        <f t="shared" si="12"/>
        <v>0</v>
      </c>
      <c r="BA46" s="397">
        <f t="shared" si="13"/>
        <v>0</v>
      </c>
      <c r="BB46" s="397">
        <f t="shared" si="14"/>
        <v>0</v>
      </c>
      <c r="BC46" s="397">
        <f t="shared" si="15"/>
        <v>0</v>
      </c>
      <c r="BD46" s="397">
        <f t="shared" si="16"/>
        <v>0</v>
      </c>
      <c r="BE46" s="397">
        <f t="shared" si="17"/>
        <v>0</v>
      </c>
      <c r="BF46" s="397">
        <f t="shared" si="18"/>
        <v>0</v>
      </c>
      <c r="BG46" s="397">
        <f t="shared" si="19"/>
        <v>0</v>
      </c>
    </row>
    <row r="47" spans="1:59" s="110" customFormat="1" ht="28.8" x14ac:dyDescent="0.3">
      <c r="A47" s="574" t="s">
        <v>134</v>
      </c>
      <c r="B47" s="575">
        <f>SUM(B37:B46)</f>
        <v>0</v>
      </c>
      <c r="C47" s="575">
        <f>SUM(C37:C46)</f>
        <v>0</v>
      </c>
      <c r="D47" s="575">
        <f>SUM(D37:D46)</f>
        <v>0</v>
      </c>
      <c r="E47" s="575">
        <f t="shared" ref="E47:AU47" si="62">SUM(E37:E46)</f>
        <v>0</v>
      </c>
      <c r="F47" s="575">
        <f t="shared" si="62"/>
        <v>0</v>
      </c>
      <c r="G47" s="575">
        <f t="shared" si="62"/>
        <v>0</v>
      </c>
      <c r="H47" s="575">
        <f t="shared" si="62"/>
        <v>0</v>
      </c>
      <c r="I47" s="575">
        <f t="shared" si="62"/>
        <v>0</v>
      </c>
      <c r="J47" s="575">
        <f t="shared" si="62"/>
        <v>0</v>
      </c>
      <c r="K47" s="575">
        <f t="shared" si="62"/>
        <v>0</v>
      </c>
      <c r="L47" s="575">
        <f t="shared" si="62"/>
        <v>0</v>
      </c>
      <c r="M47" s="575">
        <f t="shared" si="62"/>
        <v>0</v>
      </c>
      <c r="N47" s="575">
        <f t="shared" si="62"/>
        <v>0</v>
      </c>
      <c r="O47" s="575">
        <f t="shared" si="62"/>
        <v>0</v>
      </c>
      <c r="P47" s="575">
        <f t="shared" si="62"/>
        <v>0</v>
      </c>
      <c r="Q47" s="575">
        <f t="shared" si="62"/>
        <v>0</v>
      </c>
      <c r="R47" s="575">
        <f t="shared" si="62"/>
        <v>0</v>
      </c>
      <c r="S47" s="575">
        <f t="shared" si="62"/>
        <v>0</v>
      </c>
      <c r="T47" s="575">
        <f t="shared" si="62"/>
        <v>0</v>
      </c>
      <c r="U47" s="575">
        <f t="shared" si="62"/>
        <v>0</v>
      </c>
      <c r="V47" s="575">
        <f t="shared" si="62"/>
        <v>0</v>
      </c>
      <c r="W47" s="575">
        <f t="shared" si="62"/>
        <v>0</v>
      </c>
      <c r="X47" s="575">
        <f t="shared" si="62"/>
        <v>0</v>
      </c>
      <c r="Y47" s="575">
        <f t="shared" si="62"/>
        <v>0</v>
      </c>
      <c r="Z47" s="575">
        <f t="shared" si="62"/>
        <v>0</v>
      </c>
      <c r="AA47" s="575">
        <f t="shared" si="62"/>
        <v>0</v>
      </c>
      <c r="AB47" s="575">
        <f t="shared" si="62"/>
        <v>0</v>
      </c>
      <c r="AC47" s="575">
        <f t="shared" si="62"/>
        <v>0</v>
      </c>
      <c r="AD47" s="575">
        <f t="shared" si="62"/>
        <v>0</v>
      </c>
      <c r="AE47" s="575">
        <f t="shared" si="62"/>
        <v>0</v>
      </c>
      <c r="AF47" s="575">
        <f t="shared" si="62"/>
        <v>0</v>
      </c>
      <c r="AG47" s="575">
        <f t="shared" si="62"/>
        <v>0</v>
      </c>
      <c r="AH47" s="575">
        <f t="shared" si="62"/>
        <v>0</v>
      </c>
      <c r="AI47" s="575">
        <f t="shared" si="62"/>
        <v>0</v>
      </c>
      <c r="AJ47" s="575">
        <f t="shared" si="62"/>
        <v>0</v>
      </c>
      <c r="AK47" s="575">
        <f t="shared" si="62"/>
        <v>0</v>
      </c>
      <c r="AL47" s="575">
        <f t="shared" si="62"/>
        <v>0</v>
      </c>
      <c r="AM47" s="575">
        <f t="shared" si="62"/>
        <v>0</v>
      </c>
      <c r="AN47" s="575">
        <f t="shared" si="62"/>
        <v>0</v>
      </c>
      <c r="AO47" s="575">
        <f t="shared" si="62"/>
        <v>0</v>
      </c>
      <c r="AP47" s="575">
        <f t="shared" si="62"/>
        <v>0</v>
      </c>
      <c r="AQ47" s="575">
        <f t="shared" si="62"/>
        <v>0</v>
      </c>
      <c r="AR47" s="575">
        <f t="shared" si="62"/>
        <v>0</v>
      </c>
      <c r="AS47" s="575">
        <f t="shared" si="62"/>
        <v>0</v>
      </c>
      <c r="AT47" s="575">
        <f t="shared" si="62"/>
        <v>0</v>
      </c>
      <c r="AU47" s="575">
        <f t="shared" si="62"/>
        <v>0</v>
      </c>
      <c r="AV47" s="112"/>
      <c r="AW47" s="559">
        <f t="shared" si="9"/>
        <v>0</v>
      </c>
      <c r="AX47" s="560">
        <f t="shared" si="10"/>
        <v>0</v>
      </c>
      <c r="AY47" s="560">
        <f t="shared" si="11"/>
        <v>0</v>
      </c>
      <c r="AZ47" s="560">
        <f t="shared" si="12"/>
        <v>0</v>
      </c>
      <c r="BA47" s="560">
        <f t="shared" si="13"/>
        <v>0</v>
      </c>
      <c r="BB47" s="560">
        <f t="shared" si="14"/>
        <v>0</v>
      </c>
      <c r="BC47" s="560">
        <f t="shared" si="15"/>
        <v>0</v>
      </c>
      <c r="BD47" s="560">
        <f t="shared" si="16"/>
        <v>0</v>
      </c>
      <c r="BE47" s="560">
        <f t="shared" si="17"/>
        <v>0</v>
      </c>
      <c r="BF47" s="560">
        <f t="shared" si="18"/>
        <v>0</v>
      </c>
      <c r="BG47" s="560">
        <f t="shared" si="19"/>
        <v>0</v>
      </c>
    </row>
    <row r="48" spans="1:59" s="114" customFormat="1" x14ac:dyDescent="0.3">
      <c r="A48" s="579" t="s">
        <v>135</v>
      </c>
      <c r="B48" s="592"/>
      <c r="C48" s="586"/>
      <c r="D48" s="580">
        <f>D47*$B$61</f>
        <v>0</v>
      </c>
      <c r="E48" s="580">
        <f t="shared" ref="E48:AQ48" si="63">E47*$B$61</f>
        <v>0</v>
      </c>
      <c r="F48" s="580">
        <f t="shared" si="63"/>
        <v>0</v>
      </c>
      <c r="G48" s="580">
        <f t="shared" si="63"/>
        <v>0</v>
      </c>
      <c r="H48" s="580">
        <f t="shared" si="63"/>
        <v>0</v>
      </c>
      <c r="I48" s="580">
        <f t="shared" si="63"/>
        <v>0</v>
      </c>
      <c r="J48" s="580">
        <f t="shared" si="63"/>
        <v>0</v>
      </c>
      <c r="K48" s="580">
        <f t="shared" si="63"/>
        <v>0</v>
      </c>
      <c r="L48" s="580">
        <f t="shared" si="63"/>
        <v>0</v>
      </c>
      <c r="M48" s="580">
        <f t="shared" si="63"/>
        <v>0</v>
      </c>
      <c r="N48" s="580">
        <f t="shared" si="63"/>
        <v>0</v>
      </c>
      <c r="O48" s="580">
        <f t="shared" si="63"/>
        <v>0</v>
      </c>
      <c r="P48" s="580">
        <f t="shared" si="63"/>
        <v>0</v>
      </c>
      <c r="Q48" s="580">
        <f t="shared" si="63"/>
        <v>0</v>
      </c>
      <c r="R48" s="580">
        <f t="shared" si="63"/>
        <v>0</v>
      </c>
      <c r="S48" s="580">
        <f t="shared" si="63"/>
        <v>0</v>
      </c>
      <c r="T48" s="580">
        <f t="shared" si="63"/>
        <v>0</v>
      </c>
      <c r="U48" s="580">
        <f t="shared" si="63"/>
        <v>0</v>
      </c>
      <c r="V48" s="580">
        <f t="shared" si="63"/>
        <v>0</v>
      </c>
      <c r="W48" s="580">
        <f t="shared" si="63"/>
        <v>0</v>
      </c>
      <c r="X48" s="580">
        <f t="shared" si="63"/>
        <v>0</v>
      </c>
      <c r="Y48" s="580">
        <f t="shared" si="63"/>
        <v>0</v>
      </c>
      <c r="Z48" s="580">
        <f t="shared" si="63"/>
        <v>0</v>
      </c>
      <c r="AA48" s="580">
        <f t="shared" si="63"/>
        <v>0</v>
      </c>
      <c r="AB48" s="580">
        <f t="shared" si="63"/>
        <v>0</v>
      </c>
      <c r="AC48" s="580">
        <f t="shared" si="63"/>
        <v>0</v>
      </c>
      <c r="AD48" s="580">
        <f t="shared" si="63"/>
        <v>0</v>
      </c>
      <c r="AE48" s="580">
        <f t="shared" si="63"/>
        <v>0</v>
      </c>
      <c r="AF48" s="580">
        <f t="shared" si="63"/>
        <v>0</v>
      </c>
      <c r="AG48" s="580">
        <f t="shared" si="63"/>
        <v>0</v>
      </c>
      <c r="AH48" s="580">
        <f t="shared" si="63"/>
        <v>0</v>
      </c>
      <c r="AI48" s="580">
        <f t="shared" si="63"/>
        <v>0</v>
      </c>
      <c r="AJ48" s="580">
        <f t="shared" si="63"/>
        <v>0</v>
      </c>
      <c r="AK48" s="580">
        <f t="shared" si="63"/>
        <v>0</v>
      </c>
      <c r="AL48" s="580">
        <f t="shared" si="63"/>
        <v>0</v>
      </c>
      <c r="AM48" s="580">
        <f t="shared" si="63"/>
        <v>0</v>
      </c>
      <c r="AN48" s="580">
        <f t="shared" si="63"/>
        <v>0</v>
      </c>
      <c r="AO48" s="580">
        <f t="shared" si="63"/>
        <v>0</v>
      </c>
      <c r="AP48" s="580">
        <f t="shared" si="63"/>
        <v>0</v>
      </c>
      <c r="AQ48" s="580">
        <f t="shared" si="63"/>
        <v>0</v>
      </c>
      <c r="AR48" s="580">
        <f>AQ48*(1+допущения!$C$37)</f>
        <v>0</v>
      </c>
      <c r="AS48" s="580">
        <f t="shared" si="8"/>
        <v>0</v>
      </c>
      <c r="AT48" s="580">
        <f t="shared" si="8"/>
        <v>0</v>
      </c>
      <c r="AU48" s="580">
        <f t="shared" si="8"/>
        <v>0</v>
      </c>
      <c r="AV48" s="115"/>
      <c r="AW48" s="561">
        <f t="shared" si="9"/>
        <v>0</v>
      </c>
      <c r="AX48" s="405">
        <f t="shared" si="10"/>
        <v>0</v>
      </c>
      <c r="AY48" s="405">
        <f t="shared" si="11"/>
        <v>0</v>
      </c>
      <c r="AZ48" s="405">
        <f t="shared" si="12"/>
        <v>0</v>
      </c>
      <c r="BA48" s="405">
        <f t="shared" si="13"/>
        <v>0</v>
      </c>
      <c r="BB48" s="405">
        <f t="shared" si="14"/>
        <v>0</v>
      </c>
      <c r="BC48" s="405">
        <f t="shared" si="15"/>
        <v>0</v>
      </c>
      <c r="BD48" s="405">
        <f t="shared" si="16"/>
        <v>0</v>
      </c>
      <c r="BE48" s="405">
        <f t="shared" si="17"/>
        <v>0</v>
      </c>
      <c r="BF48" s="405">
        <f t="shared" si="18"/>
        <v>0</v>
      </c>
      <c r="BG48" s="405">
        <f t="shared" si="19"/>
        <v>0</v>
      </c>
    </row>
    <row r="49" spans="1:59" s="401" customFormat="1" x14ac:dyDescent="0.3">
      <c r="A49" s="593" t="s">
        <v>169</v>
      </c>
      <c r="B49" s="594"/>
      <c r="C49" s="595"/>
      <c r="D49" s="594">
        <f>D6+D15+D23+D26+D34+D47</f>
        <v>0</v>
      </c>
      <c r="E49" s="594">
        <f t="shared" ref="E49:AQ49" si="64">E6+E15+E23+E26+E34+E47</f>
        <v>0</v>
      </c>
      <c r="F49" s="594">
        <f t="shared" si="64"/>
        <v>0</v>
      </c>
      <c r="G49" s="594">
        <f t="shared" si="64"/>
        <v>0</v>
      </c>
      <c r="H49" s="594">
        <f>H6+H15+H23+H26+H34+H47</f>
        <v>2364</v>
      </c>
      <c r="I49" s="594">
        <f t="shared" si="64"/>
        <v>2364</v>
      </c>
      <c r="J49" s="594">
        <f t="shared" si="64"/>
        <v>2364</v>
      </c>
      <c r="K49" s="594">
        <f t="shared" si="64"/>
        <v>2364</v>
      </c>
      <c r="L49" s="594">
        <f t="shared" si="64"/>
        <v>2529.48</v>
      </c>
      <c r="M49" s="594">
        <f t="shared" si="64"/>
        <v>2529.48</v>
      </c>
      <c r="N49" s="594">
        <f t="shared" si="64"/>
        <v>2529.48</v>
      </c>
      <c r="O49" s="594">
        <f t="shared" si="64"/>
        <v>2529.48</v>
      </c>
      <c r="P49" s="594">
        <f t="shared" si="64"/>
        <v>2706.5436000000004</v>
      </c>
      <c r="Q49" s="594">
        <f t="shared" si="64"/>
        <v>2706.5436000000004</v>
      </c>
      <c r="R49" s="594">
        <f t="shared" si="64"/>
        <v>2706.5436000000004</v>
      </c>
      <c r="S49" s="594">
        <f t="shared" si="64"/>
        <v>2706.5436000000004</v>
      </c>
      <c r="T49" s="594">
        <f t="shared" si="64"/>
        <v>2896.0016520000004</v>
      </c>
      <c r="U49" s="594">
        <f t="shared" si="64"/>
        <v>2896.0016520000004</v>
      </c>
      <c r="V49" s="594">
        <f t="shared" si="64"/>
        <v>2896.0016520000004</v>
      </c>
      <c r="W49" s="594">
        <f t="shared" si="64"/>
        <v>2896.0016520000004</v>
      </c>
      <c r="X49" s="594">
        <f t="shared" si="64"/>
        <v>3098.7217676400005</v>
      </c>
      <c r="Y49" s="594">
        <f t="shared" si="64"/>
        <v>3098.7217676400005</v>
      </c>
      <c r="Z49" s="594">
        <f t="shared" si="64"/>
        <v>3098.7217676400005</v>
      </c>
      <c r="AA49" s="594">
        <f t="shared" si="64"/>
        <v>3098.7217676400005</v>
      </c>
      <c r="AB49" s="594">
        <f t="shared" si="64"/>
        <v>3315.6322913748008</v>
      </c>
      <c r="AC49" s="594">
        <f t="shared" si="64"/>
        <v>3315.6322913748008</v>
      </c>
      <c r="AD49" s="594">
        <f t="shared" si="64"/>
        <v>3315.6322913748008</v>
      </c>
      <c r="AE49" s="594">
        <f t="shared" si="64"/>
        <v>3315.6322913748008</v>
      </c>
      <c r="AF49" s="594">
        <f t="shared" si="64"/>
        <v>3527.5298068489574</v>
      </c>
      <c r="AG49" s="594">
        <f t="shared" si="64"/>
        <v>3527.5298068489574</v>
      </c>
      <c r="AH49" s="594">
        <f t="shared" si="64"/>
        <v>3527.5298068489574</v>
      </c>
      <c r="AI49" s="594">
        <f t="shared" si="64"/>
        <v>3527.5298068489574</v>
      </c>
      <c r="AJ49" s="594">
        <f t="shared" si="64"/>
        <v>3774.456893328384</v>
      </c>
      <c r="AK49" s="594">
        <f t="shared" si="64"/>
        <v>3774.456893328384</v>
      </c>
      <c r="AL49" s="594">
        <f t="shared" si="64"/>
        <v>3774.456893328384</v>
      </c>
      <c r="AM49" s="594">
        <f t="shared" si="64"/>
        <v>3774.456893328384</v>
      </c>
      <c r="AN49" s="594">
        <f t="shared" si="64"/>
        <v>4038.6688758613718</v>
      </c>
      <c r="AO49" s="594">
        <f t="shared" si="64"/>
        <v>4038.6688758613718</v>
      </c>
      <c r="AP49" s="594">
        <f t="shared" si="64"/>
        <v>4038.6688758613718</v>
      </c>
      <c r="AQ49" s="594">
        <f t="shared" si="64"/>
        <v>4038.6688758613718</v>
      </c>
      <c r="AR49" s="594">
        <f>AQ49*(1+допущения!$C$37)</f>
        <v>4321.3756971716684</v>
      </c>
      <c r="AS49" s="594">
        <f t="shared" si="8"/>
        <v>4321.3756971716684</v>
      </c>
      <c r="AT49" s="594">
        <f t="shared" si="8"/>
        <v>4321.3756971716684</v>
      </c>
      <c r="AU49" s="594">
        <f t="shared" si="8"/>
        <v>4321.3756971716684</v>
      </c>
      <c r="AV49" s="400"/>
      <c r="AW49" s="400">
        <f>AW15</f>
        <v>0</v>
      </c>
      <c r="AX49" s="405">
        <f t="shared" si="10"/>
        <v>9456</v>
      </c>
      <c r="AY49" s="405">
        <f t="shared" si="11"/>
        <v>10117.92</v>
      </c>
      <c r="AZ49" s="405">
        <f t="shared" si="12"/>
        <v>10826.174400000002</v>
      </c>
      <c r="BA49" s="405">
        <f t="shared" si="13"/>
        <v>11584.006608000002</v>
      </c>
      <c r="BB49" s="405">
        <f t="shared" si="14"/>
        <v>12394.887070560002</v>
      </c>
      <c r="BC49" s="405">
        <f t="shared" si="15"/>
        <v>13262.529165499203</v>
      </c>
      <c r="BD49" s="405">
        <f t="shared" si="16"/>
        <v>14110.11922739583</v>
      </c>
      <c r="BE49" s="405">
        <f t="shared" si="17"/>
        <v>15097.827573313536</v>
      </c>
      <c r="BF49" s="405">
        <f t="shared" si="18"/>
        <v>16154.675503445487</v>
      </c>
      <c r="BG49" s="405">
        <f t="shared" si="19"/>
        <v>17285.502788686674</v>
      </c>
    </row>
    <row r="50" spans="1:59" s="118" customFormat="1" x14ac:dyDescent="0.3">
      <c r="A50" s="596" t="s">
        <v>170</v>
      </c>
      <c r="B50" s="597"/>
      <c r="C50" s="587"/>
      <c r="D50" s="597"/>
      <c r="E50" s="597"/>
      <c r="F50" s="597"/>
      <c r="G50" s="597">
        <f>SUM(D49:G49)</f>
        <v>0</v>
      </c>
      <c r="H50" s="597"/>
      <c r="I50" s="597"/>
      <c r="J50" s="597"/>
      <c r="K50" s="597">
        <f>SUM(H49:K49)</f>
        <v>9456</v>
      </c>
      <c r="L50" s="597"/>
      <c r="M50" s="597"/>
      <c r="N50" s="597"/>
      <c r="O50" s="597">
        <f>SUM(L49:O49)</f>
        <v>10117.92</v>
      </c>
      <c r="P50" s="597"/>
      <c r="Q50" s="597"/>
      <c r="R50" s="597"/>
      <c r="S50" s="597">
        <f>SUM(P49:S49)</f>
        <v>10826.174400000002</v>
      </c>
      <c r="T50" s="597"/>
      <c r="U50" s="597"/>
      <c r="V50" s="597"/>
      <c r="W50" s="597">
        <f t="shared" ref="W50:AI50" si="65">SUM(T49:W49)</f>
        <v>11584.006608000002</v>
      </c>
      <c r="X50" s="597"/>
      <c r="Y50" s="597"/>
      <c r="Z50" s="597"/>
      <c r="AA50" s="597">
        <f t="shared" si="65"/>
        <v>12394.887070560002</v>
      </c>
      <c r="AB50" s="597"/>
      <c r="AC50" s="597"/>
      <c r="AD50" s="597"/>
      <c r="AE50" s="597">
        <f t="shared" si="65"/>
        <v>13262.529165499203</v>
      </c>
      <c r="AF50" s="597"/>
      <c r="AG50" s="597"/>
      <c r="AH50" s="597"/>
      <c r="AI50" s="597">
        <f t="shared" si="65"/>
        <v>14110.11922739583</v>
      </c>
      <c r="AJ50" s="597"/>
      <c r="AK50" s="597"/>
      <c r="AL50" s="597"/>
      <c r="AM50" s="597">
        <f>SUM(AJ49:AM49)</f>
        <v>15097.827573313536</v>
      </c>
      <c r="AN50" s="597"/>
      <c r="AO50" s="597"/>
      <c r="AP50" s="597"/>
      <c r="AQ50" s="597">
        <f>SUM(AN49:AQ49)</f>
        <v>16154.675503445487</v>
      </c>
      <c r="AR50" s="597"/>
      <c r="AS50" s="597"/>
      <c r="AT50" s="597"/>
      <c r="AU50" s="597">
        <f t="shared" ref="AU50" si="66">SUM(AR49:AU49)</f>
        <v>17285.502788686674</v>
      </c>
      <c r="AV50" s="119"/>
      <c r="AW50" s="116">
        <f>AW49</f>
        <v>0</v>
      </c>
      <c r="AX50" s="397">
        <f t="shared" si="10"/>
        <v>9456</v>
      </c>
      <c r="AY50" s="397">
        <f t="shared" si="11"/>
        <v>10117.92</v>
      </c>
      <c r="AZ50" s="397">
        <f t="shared" si="12"/>
        <v>10826.174400000002</v>
      </c>
      <c r="BA50" s="397">
        <f t="shared" si="13"/>
        <v>11584.006608000002</v>
      </c>
      <c r="BB50" s="397">
        <f t="shared" si="14"/>
        <v>12394.887070560002</v>
      </c>
      <c r="BC50" s="397">
        <f t="shared" si="15"/>
        <v>13262.529165499203</v>
      </c>
      <c r="BD50" s="397">
        <f t="shared" si="16"/>
        <v>14110.11922739583</v>
      </c>
      <c r="BE50" s="397">
        <f t="shared" si="17"/>
        <v>15097.827573313536</v>
      </c>
      <c r="BF50" s="397">
        <f t="shared" si="18"/>
        <v>16154.675503445487</v>
      </c>
      <c r="BG50" s="397">
        <f t="shared" si="19"/>
        <v>17285.502788686674</v>
      </c>
    </row>
    <row r="51" spans="1:59" s="401" customFormat="1" ht="28.5" customHeight="1" x14ac:dyDescent="0.3">
      <c r="A51" s="593" t="s">
        <v>171</v>
      </c>
      <c r="B51" s="594"/>
      <c r="C51" s="595"/>
      <c r="D51" s="594">
        <f>D7+D16+D24+D27+D35+D48</f>
        <v>0</v>
      </c>
      <c r="E51" s="594">
        <f>E7+E16+E24+E27+E35+E48</f>
        <v>0</v>
      </c>
      <c r="F51" s="594">
        <f>F7+F16+F24+F27+F35+F48</f>
        <v>0</v>
      </c>
      <c r="G51" s="594">
        <f>G7+G16+G24+G27+G35+G48</f>
        <v>0</v>
      </c>
      <c r="H51" s="594">
        <f t="shared" ref="H51:R51" si="67">H7+H16+H24+H27+H35+H48</f>
        <v>709.2</v>
      </c>
      <c r="I51" s="594">
        <f t="shared" si="67"/>
        <v>709.2</v>
      </c>
      <c r="J51" s="594">
        <f>J7+J16+J24+J27+J35+J48</f>
        <v>709.2</v>
      </c>
      <c r="K51" s="594">
        <f t="shared" si="67"/>
        <v>709.2</v>
      </c>
      <c r="L51" s="594">
        <f t="shared" si="67"/>
        <v>758.84400000000005</v>
      </c>
      <c r="M51" s="594">
        <f t="shared" si="67"/>
        <v>758.84400000000005</v>
      </c>
      <c r="N51" s="594">
        <f t="shared" si="67"/>
        <v>758.84400000000005</v>
      </c>
      <c r="O51" s="594">
        <f t="shared" si="67"/>
        <v>758.84400000000005</v>
      </c>
      <c r="P51" s="594">
        <f t="shared" si="67"/>
        <v>811.96307999999999</v>
      </c>
      <c r="Q51" s="594">
        <f t="shared" si="67"/>
        <v>811.96307999999999</v>
      </c>
      <c r="R51" s="594">
        <f t="shared" si="67"/>
        <v>811.96307999999999</v>
      </c>
      <c r="S51" s="594">
        <f>S7+S16+S24+S27+S35+S48</f>
        <v>811.96307999999999</v>
      </c>
      <c r="T51" s="594">
        <f>T7+T16+T24+T27+T35+T48</f>
        <v>868.8004956000002</v>
      </c>
      <c r="U51" s="594">
        <f>U7+U16+U24+U27+U35+U48</f>
        <v>868.8004956000002</v>
      </c>
      <c r="V51" s="594">
        <f>V7+V16+V24+V27+V35+V48</f>
        <v>868.8004956000002</v>
      </c>
      <c r="W51" s="594">
        <f t="shared" ref="W51:AH51" si="68">W7+W16+W24+W27+W35+W48</f>
        <v>868.8004956000002</v>
      </c>
      <c r="X51" s="594">
        <f t="shared" si="68"/>
        <v>929.61653029200022</v>
      </c>
      <c r="Y51" s="594">
        <f t="shared" si="68"/>
        <v>929.61653029200022</v>
      </c>
      <c r="Z51" s="594">
        <f t="shared" si="68"/>
        <v>929.61653029200022</v>
      </c>
      <c r="AA51" s="594">
        <f t="shared" si="68"/>
        <v>929.61653029200022</v>
      </c>
      <c r="AB51" s="594">
        <f t="shared" si="68"/>
        <v>994.68968741244021</v>
      </c>
      <c r="AC51" s="594">
        <f t="shared" si="68"/>
        <v>994.68968741244021</v>
      </c>
      <c r="AD51" s="594">
        <f t="shared" si="68"/>
        <v>994.68968741244021</v>
      </c>
      <c r="AE51" s="594">
        <f t="shared" si="68"/>
        <v>994.68968741244021</v>
      </c>
      <c r="AF51" s="594">
        <f t="shared" si="68"/>
        <v>1058.2589420546872</v>
      </c>
      <c r="AG51" s="594">
        <f t="shared" si="68"/>
        <v>1058.2589420546872</v>
      </c>
      <c r="AH51" s="594">
        <f t="shared" si="68"/>
        <v>1058.2589420546872</v>
      </c>
      <c r="AI51" s="594">
        <f>AI7+AI16+AI24+AI27+AI35+AI48</f>
        <v>1058.2589420546872</v>
      </c>
      <c r="AJ51" s="594">
        <f t="shared" ref="AJ51:AQ51" si="69">AJ7+AJ16+AJ24+AJ27+AJ35+AJ48</f>
        <v>1132.3370679985151</v>
      </c>
      <c r="AK51" s="594">
        <f t="shared" si="69"/>
        <v>1132.3370679985151</v>
      </c>
      <c r="AL51" s="594">
        <f t="shared" si="69"/>
        <v>1132.3370679985151</v>
      </c>
      <c r="AM51" s="594">
        <f t="shared" si="69"/>
        <v>1132.3370679985151</v>
      </c>
      <c r="AN51" s="594">
        <f t="shared" si="69"/>
        <v>1211.6006627584115</v>
      </c>
      <c r="AO51" s="594">
        <f t="shared" si="69"/>
        <v>1211.6006627584115</v>
      </c>
      <c r="AP51" s="594">
        <f t="shared" si="69"/>
        <v>1211.6006627584115</v>
      </c>
      <c r="AQ51" s="594">
        <f t="shared" si="69"/>
        <v>1211.6006627584115</v>
      </c>
      <c r="AR51" s="594">
        <f>AQ51*(1+допущения!$C$37)</f>
        <v>1296.4127091515004</v>
      </c>
      <c r="AS51" s="594">
        <f t="shared" si="8"/>
        <v>1296.4127091515004</v>
      </c>
      <c r="AT51" s="594">
        <f t="shared" si="8"/>
        <v>1296.4127091515004</v>
      </c>
      <c r="AU51" s="594">
        <f t="shared" si="8"/>
        <v>1296.4127091515004</v>
      </c>
      <c r="AV51" s="400"/>
      <c r="AW51" s="400">
        <f>0.3*AW49</f>
        <v>0</v>
      </c>
      <c r="AX51" s="405">
        <f t="shared" si="10"/>
        <v>2836.8</v>
      </c>
      <c r="AY51" s="405">
        <f t="shared" si="11"/>
        <v>3035.3760000000002</v>
      </c>
      <c r="AZ51" s="405">
        <f t="shared" si="12"/>
        <v>3247.85232</v>
      </c>
      <c r="BA51" s="405">
        <f t="shared" si="13"/>
        <v>3475.2019824000008</v>
      </c>
      <c r="BB51" s="405">
        <f t="shared" si="14"/>
        <v>3718.4661211680009</v>
      </c>
      <c r="BC51" s="405">
        <f t="shared" si="15"/>
        <v>3978.7587496497608</v>
      </c>
      <c r="BD51" s="405">
        <f t="shared" si="16"/>
        <v>4233.0357682187487</v>
      </c>
      <c r="BE51" s="405">
        <f t="shared" si="17"/>
        <v>4529.3482719940603</v>
      </c>
      <c r="BF51" s="405">
        <f t="shared" si="18"/>
        <v>4846.4026510336462</v>
      </c>
      <c r="BG51" s="405">
        <f t="shared" si="19"/>
        <v>5185.6508366060016</v>
      </c>
    </row>
    <row r="52" spans="1:59" x14ac:dyDescent="0.3">
      <c r="A52" s="582" t="s">
        <v>172</v>
      </c>
      <c r="B52" s="565"/>
      <c r="C52" s="587"/>
      <c r="D52" s="565">
        <f>D49+D51</f>
        <v>0</v>
      </c>
      <c r="E52" s="565">
        <f t="shared" ref="E52:T52" si="70">E49+E51</f>
        <v>0</v>
      </c>
      <c r="F52" s="565">
        <f t="shared" si="70"/>
        <v>0</v>
      </c>
      <c r="G52" s="565">
        <f t="shared" si="70"/>
        <v>0</v>
      </c>
      <c r="H52" s="565">
        <f t="shared" si="70"/>
        <v>3073.2</v>
      </c>
      <c r="I52" s="565">
        <f t="shared" si="70"/>
        <v>3073.2</v>
      </c>
      <c r="J52" s="565">
        <f t="shared" si="70"/>
        <v>3073.2</v>
      </c>
      <c r="K52" s="565">
        <f t="shared" si="70"/>
        <v>3073.2</v>
      </c>
      <c r="L52" s="565">
        <f t="shared" si="70"/>
        <v>3288.3240000000001</v>
      </c>
      <c r="M52" s="565">
        <f t="shared" si="70"/>
        <v>3288.3240000000001</v>
      </c>
      <c r="N52" s="565">
        <f t="shared" si="70"/>
        <v>3288.3240000000001</v>
      </c>
      <c r="O52" s="565">
        <f t="shared" si="70"/>
        <v>3288.3240000000001</v>
      </c>
      <c r="P52" s="565">
        <f t="shared" si="70"/>
        <v>3518.5066800000004</v>
      </c>
      <c r="Q52" s="565">
        <f t="shared" si="70"/>
        <v>3518.5066800000004</v>
      </c>
      <c r="R52" s="565">
        <f t="shared" si="70"/>
        <v>3518.5066800000004</v>
      </c>
      <c r="S52" s="565">
        <f t="shared" si="70"/>
        <v>3518.5066800000004</v>
      </c>
      <c r="T52" s="565">
        <f t="shared" si="70"/>
        <v>3764.8021476000004</v>
      </c>
      <c r="U52" s="565">
        <f>U49+U51</f>
        <v>3764.8021476000004</v>
      </c>
      <c r="V52" s="565">
        <f>V49+V51</f>
        <v>3764.8021476000004</v>
      </c>
      <c r="W52" s="565">
        <f t="shared" ref="W52:AI52" si="71">W49+W51</f>
        <v>3764.8021476000004</v>
      </c>
      <c r="X52" s="565">
        <f t="shared" si="71"/>
        <v>4028.3382979320008</v>
      </c>
      <c r="Y52" s="565">
        <f t="shared" si="71"/>
        <v>4028.3382979320008</v>
      </c>
      <c r="Z52" s="565">
        <f t="shared" si="71"/>
        <v>4028.3382979320008</v>
      </c>
      <c r="AA52" s="565">
        <f t="shared" si="71"/>
        <v>4028.3382979320008</v>
      </c>
      <c r="AB52" s="565">
        <f t="shared" si="71"/>
        <v>4310.3219787872413</v>
      </c>
      <c r="AC52" s="565">
        <f t="shared" si="71"/>
        <v>4310.3219787872413</v>
      </c>
      <c r="AD52" s="565">
        <f t="shared" si="71"/>
        <v>4310.3219787872413</v>
      </c>
      <c r="AE52" s="565">
        <f t="shared" si="71"/>
        <v>4310.3219787872413</v>
      </c>
      <c r="AF52" s="565">
        <f t="shared" si="71"/>
        <v>4585.7887489036448</v>
      </c>
      <c r="AG52" s="565">
        <f t="shared" si="71"/>
        <v>4585.7887489036448</v>
      </c>
      <c r="AH52" s="565">
        <f t="shared" si="71"/>
        <v>4585.7887489036448</v>
      </c>
      <c r="AI52" s="565">
        <f t="shared" si="71"/>
        <v>4585.7887489036448</v>
      </c>
      <c r="AJ52" s="565">
        <f t="shared" ref="AJ52:AQ52" si="72">AJ49+AJ51</f>
        <v>4906.7939613268991</v>
      </c>
      <c r="AK52" s="565">
        <f t="shared" si="72"/>
        <v>4906.7939613268991</v>
      </c>
      <c r="AL52" s="565">
        <f t="shared" si="72"/>
        <v>4906.7939613268991</v>
      </c>
      <c r="AM52" s="565">
        <f t="shared" si="72"/>
        <v>4906.7939613268991</v>
      </c>
      <c r="AN52" s="565">
        <f t="shared" si="72"/>
        <v>5250.2695386197829</v>
      </c>
      <c r="AO52" s="565">
        <f t="shared" si="72"/>
        <v>5250.2695386197829</v>
      </c>
      <c r="AP52" s="565">
        <f t="shared" si="72"/>
        <v>5250.2695386197829</v>
      </c>
      <c r="AQ52" s="565">
        <f t="shared" si="72"/>
        <v>5250.2695386197829</v>
      </c>
      <c r="AR52" s="573">
        <f>AQ52*(1+допущения!$C$37)</f>
        <v>5617.7884063231677</v>
      </c>
      <c r="AS52" s="573">
        <f t="shared" si="8"/>
        <v>5617.7884063231677</v>
      </c>
      <c r="AT52" s="573">
        <f t="shared" si="8"/>
        <v>5617.7884063231677</v>
      </c>
      <c r="AU52" s="573">
        <f t="shared" si="8"/>
        <v>5617.7884063231677</v>
      </c>
      <c r="AV52" s="97"/>
      <c r="AW52" s="116">
        <f>AW49+AW51</f>
        <v>0</v>
      </c>
      <c r="AX52" s="397">
        <f t="shared" si="10"/>
        <v>12292.8</v>
      </c>
      <c r="AY52" s="397">
        <f t="shared" si="11"/>
        <v>13153.296</v>
      </c>
      <c r="AZ52" s="397">
        <f t="shared" si="12"/>
        <v>14074.026720000002</v>
      </c>
      <c r="BA52" s="397">
        <f t="shared" si="13"/>
        <v>15059.208590400001</v>
      </c>
      <c r="BB52" s="397">
        <f t="shared" si="14"/>
        <v>16113.353191728003</v>
      </c>
      <c r="BC52" s="397">
        <f t="shared" si="15"/>
        <v>17241.287915148965</v>
      </c>
      <c r="BD52" s="397">
        <f t="shared" si="16"/>
        <v>18343.154995614579</v>
      </c>
      <c r="BE52" s="397">
        <f t="shared" si="17"/>
        <v>19627.175845307596</v>
      </c>
      <c r="BF52" s="397">
        <f t="shared" si="18"/>
        <v>21001.078154479132</v>
      </c>
      <c r="BG52" s="397">
        <f t="shared" si="19"/>
        <v>22471.153625292671</v>
      </c>
    </row>
    <row r="53" spans="1:59" s="403" customFormat="1" ht="28.8" x14ac:dyDescent="0.3">
      <c r="A53" s="598" t="s">
        <v>173</v>
      </c>
      <c r="B53" s="599"/>
      <c r="C53" s="600"/>
      <c r="D53" s="599">
        <f>D49*$B$60</f>
        <v>0</v>
      </c>
      <c r="E53" s="599">
        <f t="shared" ref="E53:AQ53" si="73">E49*$B$60</f>
        <v>0</v>
      </c>
      <c r="F53" s="599">
        <f t="shared" si="73"/>
        <v>0</v>
      </c>
      <c r="G53" s="599">
        <f t="shared" si="73"/>
        <v>0</v>
      </c>
      <c r="H53" s="599">
        <f t="shared" si="73"/>
        <v>7.0920000000000005</v>
      </c>
      <c r="I53" s="599">
        <f t="shared" si="73"/>
        <v>7.0920000000000005</v>
      </c>
      <c r="J53" s="599">
        <f t="shared" si="73"/>
        <v>7.0920000000000005</v>
      </c>
      <c r="K53" s="599">
        <f t="shared" si="73"/>
        <v>7.0920000000000005</v>
      </c>
      <c r="L53" s="599">
        <f t="shared" si="73"/>
        <v>7.5884400000000003</v>
      </c>
      <c r="M53" s="599">
        <f t="shared" si="73"/>
        <v>7.5884400000000003</v>
      </c>
      <c r="N53" s="599">
        <f t="shared" si="73"/>
        <v>7.5884400000000003</v>
      </c>
      <c r="O53" s="599">
        <f t="shared" si="73"/>
        <v>7.5884400000000003</v>
      </c>
      <c r="P53" s="599">
        <f t="shared" si="73"/>
        <v>8.1196308000000013</v>
      </c>
      <c r="Q53" s="599">
        <f t="shared" si="73"/>
        <v>8.1196308000000013</v>
      </c>
      <c r="R53" s="599">
        <f t="shared" si="73"/>
        <v>8.1196308000000013</v>
      </c>
      <c r="S53" s="599">
        <f t="shared" si="73"/>
        <v>8.1196308000000013</v>
      </c>
      <c r="T53" s="599">
        <f t="shared" si="73"/>
        <v>8.6880049560000021</v>
      </c>
      <c r="U53" s="599">
        <f t="shared" si="73"/>
        <v>8.6880049560000021</v>
      </c>
      <c r="V53" s="599">
        <f t="shared" si="73"/>
        <v>8.6880049560000021</v>
      </c>
      <c r="W53" s="599">
        <f t="shared" si="73"/>
        <v>8.6880049560000021</v>
      </c>
      <c r="X53" s="599">
        <f t="shared" si="73"/>
        <v>9.2961653029200022</v>
      </c>
      <c r="Y53" s="599">
        <f t="shared" si="73"/>
        <v>9.2961653029200022</v>
      </c>
      <c r="Z53" s="599">
        <f t="shared" si="73"/>
        <v>9.2961653029200022</v>
      </c>
      <c r="AA53" s="599">
        <f t="shared" si="73"/>
        <v>9.2961653029200022</v>
      </c>
      <c r="AB53" s="599">
        <f t="shared" si="73"/>
        <v>9.9468968741244019</v>
      </c>
      <c r="AC53" s="599">
        <f t="shared" si="73"/>
        <v>9.9468968741244019</v>
      </c>
      <c r="AD53" s="599">
        <f t="shared" si="73"/>
        <v>9.9468968741244019</v>
      </c>
      <c r="AE53" s="599">
        <f t="shared" si="73"/>
        <v>9.9468968741244019</v>
      </c>
      <c r="AF53" s="599">
        <f t="shared" si="73"/>
        <v>10.582589420546872</v>
      </c>
      <c r="AG53" s="599">
        <f t="shared" si="73"/>
        <v>10.582589420546872</v>
      </c>
      <c r="AH53" s="599">
        <f t="shared" si="73"/>
        <v>10.582589420546872</v>
      </c>
      <c r="AI53" s="599">
        <f t="shared" si="73"/>
        <v>10.582589420546872</v>
      </c>
      <c r="AJ53" s="599">
        <f t="shared" si="73"/>
        <v>11.323370679985151</v>
      </c>
      <c r="AK53" s="599">
        <f t="shared" si="73"/>
        <v>11.323370679985151</v>
      </c>
      <c r="AL53" s="599">
        <f t="shared" si="73"/>
        <v>11.323370679985151</v>
      </c>
      <c r="AM53" s="599">
        <f t="shared" si="73"/>
        <v>11.323370679985151</v>
      </c>
      <c r="AN53" s="599">
        <f t="shared" si="73"/>
        <v>12.116006627584115</v>
      </c>
      <c r="AO53" s="599">
        <f t="shared" si="73"/>
        <v>12.116006627584115</v>
      </c>
      <c r="AP53" s="599">
        <f t="shared" si="73"/>
        <v>12.116006627584115</v>
      </c>
      <c r="AQ53" s="599">
        <f t="shared" si="73"/>
        <v>12.116006627584115</v>
      </c>
      <c r="AR53" s="594">
        <f>AQ53*(1+допущения!$C$37)</f>
        <v>12.964127091515003</v>
      </c>
      <c r="AS53" s="594">
        <f t="shared" si="8"/>
        <v>12.964127091515003</v>
      </c>
      <c r="AT53" s="594">
        <f t="shared" si="8"/>
        <v>12.964127091515003</v>
      </c>
      <c r="AU53" s="594">
        <f t="shared" si="8"/>
        <v>12.964127091515003</v>
      </c>
      <c r="AV53" s="402"/>
      <c r="AW53" s="402">
        <f>AW49*0.014</f>
        <v>0</v>
      </c>
      <c r="AX53" s="405">
        <f t="shared" si="10"/>
        <v>28.368000000000002</v>
      </c>
      <c r="AY53" s="405">
        <f t="shared" si="11"/>
        <v>30.353760000000001</v>
      </c>
      <c r="AZ53" s="405">
        <f t="shared" si="12"/>
        <v>32.478523200000005</v>
      </c>
      <c r="BA53" s="405">
        <f t="shared" si="13"/>
        <v>34.752019824000008</v>
      </c>
      <c r="BB53" s="405">
        <f t="shared" si="14"/>
        <v>37.184661211680009</v>
      </c>
      <c r="BC53" s="405">
        <f t="shared" si="15"/>
        <v>39.787587496497608</v>
      </c>
      <c r="BD53" s="405">
        <f t="shared" si="16"/>
        <v>42.33035768218749</v>
      </c>
      <c r="BE53" s="405">
        <f t="shared" si="17"/>
        <v>45.293482719940606</v>
      </c>
      <c r="BF53" s="405">
        <f t="shared" si="18"/>
        <v>48.46402651033646</v>
      </c>
      <c r="BG53" s="405">
        <f t="shared" si="19"/>
        <v>51.856508366060012</v>
      </c>
    </row>
    <row r="54" spans="1:59" x14ac:dyDescent="0.3">
      <c r="A54" s="582" t="s">
        <v>174</v>
      </c>
      <c r="B54" s="565"/>
      <c r="C54" s="587"/>
      <c r="D54" s="565">
        <f>D52+D53</f>
        <v>0</v>
      </c>
      <c r="E54" s="565">
        <f t="shared" ref="E54:AQ54" si="74">E52+E53</f>
        <v>0</v>
      </c>
      <c r="F54" s="565">
        <f t="shared" si="74"/>
        <v>0</v>
      </c>
      <c r="G54" s="565">
        <f t="shared" si="74"/>
        <v>0</v>
      </c>
      <c r="H54" s="565">
        <f t="shared" si="74"/>
        <v>3080.2919999999999</v>
      </c>
      <c r="I54" s="565">
        <f t="shared" si="74"/>
        <v>3080.2919999999999</v>
      </c>
      <c r="J54" s="565">
        <f t="shared" si="74"/>
        <v>3080.2919999999999</v>
      </c>
      <c r="K54" s="565">
        <f t="shared" si="74"/>
        <v>3080.2919999999999</v>
      </c>
      <c r="L54" s="565">
        <f t="shared" si="74"/>
        <v>3295.9124400000001</v>
      </c>
      <c r="M54" s="565">
        <f t="shared" si="74"/>
        <v>3295.9124400000001</v>
      </c>
      <c r="N54" s="565">
        <f t="shared" si="74"/>
        <v>3295.9124400000001</v>
      </c>
      <c r="O54" s="565">
        <f t="shared" si="74"/>
        <v>3295.9124400000001</v>
      </c>
      <c r="P54" s="565">
        <f t="shared" si="74"/>
        <v>3526.6263108000003</v>
      </c>
      <c r="Q54" s="565">
        <f t="shared" si="74"/>
        <v>3526.6263108000003</v>
      </c>
      <c r="R54" s="565">
        <f t="shared" si="74"/>
        <v>3526.6263108000003</v>
      </c>
      <c r="S54" s="565">
        <f t="shared" si="74"/>
        <v>3526.6263108000003</v>
      </c>
      <c r="T54" s="565">
        <f t="shared" si="74"/>
        <v>3773.4901525560003</v>
      </c>
      <c r="U54" s="565">
        <f t="shared" si="74"/>
        <v>3773.4901525560003</v>
      </c>
      <c r="V54" s="565">
        <f t="shared" si="74"/>
        <v>3773.4901525560003</v>
      </c>
      <c r="W54" s="565">
        <f t="shared" si="74"/>
        <v>3773.4901525560003</v>
      </c>
      <c r="X54" s="565">
        <f t="shared" si="74"/>
        <v>4037.634463234921</v>
      </c>
      <c r="Y54" s="565">
        <f t="shared" si="74"/>
        <v>4037.634463234921</v>
      </c>
      <c r="Z54" s="565">
        <f t="shared" si="74"/>
        <v>4037.634463234921</v>
      </c>
      <c r="AA54" s="565">
        <f t="shared" si="74"/>
        <v>4037.634463234921</v>
      </c>
      <c r="AB54" s="565">
        <f t="shared" si="74"/>
        <v>4320.2688756613661</v>
      </c>
      <c r="AC54" s="565">
        <f t="shared" si="74"/>
        <v>4320.2688756613661</v>
      </c>
      <c r="AD54" s="565">
        <f t="shared" si="74"/>
        <v>4320.2688756613661</v>
      </c>
      <c r="AE54" s="565">
        <f t="shared" si="74"/>
        <v>4320.2688756613661</v>
      </c>
      <c r="AF54" s="565">
        <f t="shared" si="74"/>
        <v>4596.371338324192</v>
      </c>
      <c r="AG54" s="565">
        <f t="shared" si="74"/>
        <v>4596.371338324192</v>
      </c>
      <c r="AH54" s="565">
        <f t="shared" si="74"/>
        <v>4596.371338324192</v>
      </c>
      <c r="AI54" s="565">
        <f t="shared" si="74"/>
        <v>4596.371338324192</v>
      </c>
      <c r="AJ54" s="565">
        <f t="shared" si="74"/>
        <v>4918.1173320068847</v>
      </c>
      <c r="AK54" s="565">
        <f t="shared" si="74"/>
        <v>4918.1173320068847</v>
      </c>
      <c r="AL54" s="565">
        <f t="shared" si="74"/>
        <v>4918.1173320068847</v>
      </c>
      <c r="AM54" s="565">
        <f t="shared" si="74"/>
        <v>4918.1173320068847</v>
      </c>
      <c r="AN54" s="565">
        <f t="shared" si="74"/>
        <v>5262.3855452473672</v>
      </c>
      <c r="AO54" s="565">
        <f t="shared" si="74"/>
        <v>5262.3855452473672</v>
      </c>
      <c r="AP54" s="565">
        <f t="shared" si="74"/>
        <v>5262.3855452473672</v>
      </c>
      <c r="AQ54" s="565">
        <f t="shared" si="74"/>
        <v>5262.3855452473672</v>
      </c>
      <c r="AR54" s="573">
        <f>AQ54*(1+допущения!$C$37)</f>
        <v>5630.7525334146831</v>
      </c>
      <c r="AS54" s="573">
        <f t="shared" si="8"/>
        <v>5630.7525334146831</v>
      </c>
      <c r="AT54" s="573">
        <f t="shared" si="8"/>
        <v>5630.7525334146831</v>
      </c>
      <c r="AU54" s="573">
        <f t="shared" si="8"/>
        <v>5630.7525334146831</v>
      </c>
      <c r="AV54" s="97"/>
      <c r="AW54" s="116">
        <f>AW49+AW51+AW53</f>
        <v>0</v>
      </c>
      <c r="AX54" s="397">
        <f t="shared" si="10"/>
        <v>12321.168</v>
      </c>
      <c r="AY54" s="397">
        <f t="shared" si="11"/>
        <v>13183.64976</v>
      </c>
      <c r="AZ54" s="397">
        <f t="shared" si="12"/>
        <v>14106.505243200001</v>
      </c>
      <c r="BA54" s="397">
        <f t="shared" si="13"/>
        <v>15093.960610224001</v>
      </c>
      <c r="BB54" s="397">
        <f t="shared" si="14"/>
        <v>16150.537852939684</v>
      </c>
      <c r="BC54" s="397">
        <f t="shared" si="15"/>
        <v>17281.075502645464</v>
      </c>
      <c r="BD54" s="397">
        <f t="shared" si="16"/>
        <v>18385.485353296768</v>
      </c>
      <c r="BE54" s="397">
        <f t="shared" si="17"/>
        <v>19672.469328027539</v>
      </c>
      <c r="BF54" s="397">
        <f t="shared" si="18"/>
        <v>21049.542180989469</v>
      </c>
      <c r="BG54" s="397">
        <f t="shared" si="19"/>
        <v>22523.010133658732</v>
      </c>
    </row>
    <row r="55" spans="1:59" x14ac:dyDescent="0.3">
      <c r="A55" s="582" t="s">
        <v>175</v>
      </c>
      <c r="B55" s="565"/>
      <c r="C55" s="587"/>
      <c r="D55" s="565"/>
      <c r="E55" s="565"/>
      <c r="F55" s="565"/>
      <c r="G55" s="565">
        <f>SUM(D54:G54)</f>
        <v>0</v>
      </c>
      <c r="H55" s="565"/>
      <c r="I55" s="565"/>
      <c r="J55" s="565"/>
      <c r="K55" s="565">
        <f>SUM(H54:K54)</f>
        <v>12321.168</v>
      </c>
      <c r="L55" s="565"/>
      <c r="M55" s="565"/>
      <c r="N55" s="565"/>
      <c r="O55" s="565">
        <f>SUM(L54:O54)</f>
        <v>13183.64976</v>
      </c>
      <c r="P55" s="565"/>
      <c r="Q55" s="565"/>
      <c r="R55" s="565"/>
      <c r="S55" s="565">
        <f>SUM(P54:S54)</f>
        <v>14106.505243200001</v>
      </c>
      <c r="T55" s="565"/>
      <c r="U55" s="565"/>
      <c r="V55" s="565"/>
      <c r="W55" s="565">
        <f>SUM(T54:W54)</f>
        <v>15093.960610224001</v>
      </c>
      <c r="X55" s="565"/>
      <c r="Y55" s="565"/>
      <c r="Z55" s="565"/>
      <c r="AA55" s="565">
        <f>SUM(X54:AA54)</f>
        <v>16150.537852939684</v>
      </c>
      <c r="AB55" s="565"/>
      <c r="AC55" s="565"/>
      <c r="AD55" s="565"/>
      <c r="AE55" s="565">
        <f t="shared" ref="AE55:AI55" si="75">SUM(AB54:AE54)</f>
        <v>17281.075502645464</v>
      </c>
      <c r="AF55" s="565"/>
      <c r="AG55" s="565"/>
      <c r="AH55" s="565"/>
      <c r="AI55" s="565">
        <f t="shared" si="75"/>
        <v>18385.485353296768</v>
      </c>
      <c r="AJ55" s="565"/>
      <c r="AK55" s="565"/>
      <c r="AL55" s="565"/>
      <c r="AM55" s="565">
        <f>SUM(AJ54:AM54)</f>
        <v>19672.469328027539</v>
      </c>
      <c r="AN55" s="565"/>
      <c r="AO55" s="565"/>
      <c r="AP55" s="565"/>
      <c r="AQ55" s="565">
        <f>SUM(AN54:AQ54)</f>
        <v>21049.542180989469</v>
      </c>
      <c r="AR55" s="565"/>
      <c r="AS55" s="565"/>
      <c r="AT55" s="565"/>
      <c r="AU55" s="565">
        <f t="shared" ref="AU55" si="76">SUM(AR54:AU54)</f>
        <v>22523.010133658732</v>
      </c>
      <c r="AV55" s="97"/>
      <c r="AW55" s="97">
        <f>AW51+AW53</f>
        <v>0</v>
      </c>
      <c r="AX55" s="397">
        <f t="shared" si="10"/>
        <v>12321.168</v>
      </c>
      <c r="AY55" s="397">
        <f t="shared" si="11"/>
        <v>13183.64976</v>
      </c>
      <c r="AZ55" s="397">
        <f t="shared" si="12"/>
        <v>14106.505243200001</v>
      </c>
      <c r="BA55" s="397">
        <f t="shared" si="13"/>
        <v>15093.960610224001</v>
      </c>
      <c r="BB55" s="397">
        <f t="shared" si="14"/>
        <v>16150.537852939684</v>
      </c>
      <c r="BC55" s="397">
        <f t="shared" si="15"/>
        <v>17281.075502645464</v>
      </c>
      <c r="BD55" s="397">
        <f t="shared" si="16"/>
        <v>18385.485353296768</v>
      </c>
      <c r="BE55" s="397">
        <f t="shared" si="17"/>
        <v>19672.469328027539</v>
      </c>
      <c r="BF55" s="397">
        <f t="shared" si="18"/>
        <v>21049.542180989469</v>
      </c>
      <c r="BG55" s="397">
        <f t="shared" si="19"/>
        <v>22523.010133658732</v>
      </c>
    </row>
    <row r="56" spans="1:59" x14ac:dyDescent="0.3">
      <c r="A56" s="582" t="s">
        <v>176</v>
      </c>
      <c r="B56" s="647">
        <v>0.13</v>
      </c>
      <c r="C56" s="565"/>
      <c r="D56" s="565">
        <f>$B$56*D49</f>
        <v>0</v>
      </c>
      <c r="E56" s="565">
        <f t="shared" ref="E56:AU56" si="77">$B$56*E49</f>
        <v>0</v>
      </c>
      <c r="F56" s="565">
        <f t="shared" si="77"/>
        <v>0</v>
      </c>
      <c r="G56" s="565">
        <f t="shared" si="77"/>
        <v>0</v>
      </c>
      <c r="H56" s="565">
        <f t="shared" si="77"/>
        <v>307.32</v>
      </c>
      <c r="I56" s="565">
        <f t="shared" si="77"/>
        <v>307.32</v>
      </c>
      <c r="J56" s="565">
        <f t="shared" si="77"/>
        <v>307.32</v>
      </c>
      <c r="K56" s="565">
        <f t="shared" si="77"/>
        <v>307.32</v>
      </c>
      <c r="L56" s="565">
        <f t="shared" si="77"/>
        <v>328.83240000000001</v>
      </c>
      <c r="M56" s="565">
        <f t="shared" si="77"/>
        <v>328.83240000000001</v>
      </c>
      <c r="N56" s="565">
        <f t="shared" si="77"/>
        <v>328.83240000000001</v>
      </c>
      <c r="O56" s="565">
        <f t="shared" si="77"/>
        <v>328.83240000000001</v>
      </c>
      <c r="P56" s="565">
        <f t="shared" si="77"/>
        <v>351.85066800000004</v>
      </c>
      <c r="Q56" s="565">
        <f t="shared" si="77"/>
        <v>351.85066800000004</v>
      </c>
      <c r="R56" s="565">
        <f t="shared" si="77"/>
        <v>351.85066800000004</v>
      </c>
      <c r="S56" s="565">
        <f t="shared" si="77"/>
        <v>351.85066800000004</v>
      </c>
      <c r="T56" s="565">
        <f t="shared" si="77"/>
        <v>376.48021476000008</v>
      </c>
      <c r="U56" s="565">
        <f t="shared" si="77"/>
        <v>376.48021476000008</v>
      </c>
      <c r="V56" s="565">
        <f t="shared" si="77"/>
        <v>376.48021476000008</v>
      </c>
      <c r="W56" s="565">
        <f t="shared" si="77"/>
        <v>376.48021476000008</v>
      </c>
      <c r="X56" s="565">
        <f t="shared" si="77"/>
        <v>402.8338297932001</v>
      </c>
      <c r="Y56" s="565">
        <f t="shared" si="77"/>
        <v>402.8338297932001</v>
      </c>
      <c r="Z56" s="565">
        <f t="shared" si="77"/>
        <v>402.8338297932001</v>
      </c>
      <c r="AA56" s="565">
        <f t="shared" si="77"/>
        <v>402.8338297932001</v>
      </c>
      <c r="AB56" s="565">
        <f t="shared" si="77"/>
        <v>431.03219787872411</v>
      </c>
      <c r="AC56" s="565">
        <f t="shared" si="77"/>
        <v>431.03219787872411</v>
      </c>
      <c r="AD56" s="565">
        <f t="shared" si="77"/>
        <v>431.03219787872411</v>
      </c>
      <c r="AE56" s="565">
        <f t="shared" si="77"/>
        <v>431.03219787872411</v>
      </c>
      <c r="AF56" s="565">
        <f t="shared" si="77"/>
        <v>458.57887489036449</v>
      </c>
      <c r="AG56" s="565">
        <f t="shared" si="77"/>
        <v>458.57887489036449</v>
      </c>
      <c r="AH56" s="565">
        <f t="shared" si="77"/>
        <v>458.57887489036449</v>
      </c>
      <c r="AI56" s="565">
        <f t="shared" si="77"/>
        <v>458.57887489036449</v>
      </c>
      <c r="AJ56" s="565">
        <f t="shared" si="77"/>
        <v>490.67939613268993</v>
      </c>
      <c r="AK56" s="565">
        <f t="shared" si="77"/>
        <v>490.67939613268993</v>
      </c>
      <c r="AL56" s="565">
        <f t="shared" si="77"/>
        <v>490.67939613268993</v>
      </c>
      <c r="AM56" s="565">
        <f t="shared" si="77"/>
        <v>490.67939613268993</v>
      </c>
      <c r="AN56" s="565">
        <f t="shared" si="77"/>
        <v>525.02695386197831</v>
      </c>
      <c r="AO56" s="565">
        <f t="shared" si="77"/>
        <v>525.02695386197831</v>
      </c>
      <c r="AP56" s="565">
        <f t="shared" si="77"/>
        <v>525.02695386197831</v>
      </c>
      <c r="AQ56" s="565">
        <f t="shared" si="77"/>
        <v>525.02695386197831</v>
      </c>
      <c r="AR56" s="565">
        <f t="shared" si="77"/>
        <v>561.77884063231693</v>
      </c>
      <c r="AS56" s="565">
        <f t="shared" si="77"/>
        <v>561.77884063231693</v>
      </c>
      <c r="AT56" s="565">
        <f t="shared" si="77"/>
        <v>561.77884063231693</v>
      </c>
      <c r="AU56" s="565">
        <f t="shared" si="77"/>
        <v>561.77884063231693</v>
      </c>
      <c r="AV56" s="97"/>
      <c r="AW56" s="97">
        <f t="shared" ref="AW56" si="78">0.13*SUM(AW10:AW12)</f>
        <v>0</v>
      </c>
      <c r="AX56" s="397">
        <f>SUM(H56:K56)</f>
        <v>1229.28</v>
      </c>
      <c r="AY56" s="397">
        <f t="shared" si="11"/>
        <v>1315.3296</v>
      </c>
      <c r="AZ56" s="397">
        <f t="shared" si="12"/>
        <v>1407.4026720000002</v>
      </c>
      <c r="BA56" s="397">
        <f t="shared" si="13"/>
        <v>1505.9208590400003</v>
      </c>
      <c r="BB56" s="397">
        <f t="shared" si="14"/>
        <v>1611.3353191728004</v>
      </c>
      <c r="BC56" s="397">
        <f t="shared" si="15"/>
        <v>1724.1287915148964</v>
      </c>
      <c r="BD56" s="397">
        <f t="shared" si="16"/>
        <v>1834.315499561458</v>
      </c>
      <c r="BE56" s="397">
        <f t="shared" si="17"/>
        <v>1962.7175845307597</v>
      </c>
      <c r="BF56" s="397">
        <f t="shared" si="18"/>
        <v>2100.1078154479133</v>
      </c>
      <c r="BG56" s="397">
        <f t="shared" si="19"/>
        <v>2247.1153625292677</v>
      </c>
    </row>
    <row r="57" spans="1:59" x14ac:dyDescent="0.3">
      <c r="A57" s="582" t="s">
        <v>177</v>
      </c>
      <c r="B57" s="601">
        <v>0.3</v>
      </c>
      <c r="C57" s="565"/>
      <c r="D57" s="565">
        <f>$B$57*D13</f>
        <v>0</v>
      </c>
      <c r="E57" s="565">
        <f t="shared" ref="E57:S57" si="79">$B$57*E13</f>
        <v>0</v>
      </c>
      <c r="F57" s="565">
        <f t="shared" si="79"/>
        <v>0</v>
      </c>
      <c r="G57" s="565">
        <f t="shared" si="79"/>
        <v>0</v>
      </c>
      <c r="H57" s="565">
        <f t="shared" si="79"/>
        <v>0</v>
      </c>
      <c r="I57" s="565">
        <f t="shared" si="79"/>
        <v>0</v>
      </c>
      <c r="J57" s="565">
        <f t="shared" si="79"/>
        <v>0</v>
      </c>
      <c r="K57" s="565">
        <f t="shared" si="79"/>
        <v>0</v>
      </c>
      <c r="L57" s="565">
        <f t="shared" si="79"/>
        <v>0</v>
      </c>
      <c r="M57" s="565">
        <f t="shared" si="79"/>
        <v>0</v>
      </c>
      <c r="N57" s="565">
        <f t="shared" si="79"/>
        <v>0</v>
      </c>
      <c r="O57" s="565">
        <f t="shared" si="79"/>
        <v>0</v>
      </c>
      <c r="P57" s="565">
        <f t="shared" si="79"/>
        <v>0</v>
      </c>
      <c r="Q57" s="565">
        <f t="shared" si="79"/>
        <v>0</v>
      </c>
      <c r="R57" s="565">
        <f t="shared" si="79"/>
        <v>0</v>
      </c>
      <c r="S57" s="565">
        <f t="shared" si="79"/>
        <v>0</v>
      </c>
      <c r="T57" s="565"/>
      <c r="U57" s="565"/>
      <c r="V57" s="565"/>
      <c r="W57" s="565"/>
      <c r="X57" s="565"/>
      <c r="Y57" s="565"/>
      <c r="Z57" s="565"/>
      <c r="AA57" s="565"/>
      <c r="AB57" s="565"/>
      <c r="AC57" s="565"/>
      <c r="AD57" s="565"/>
      <c r="AE57" s="565"/>
      <c r="AF57" s="565"/>
      <c r="AG57" s="565"/>
      <c r="AH57" s="565"/>
      <c r="AI57" s="565"/>
      <c r="AJ57" s="565"/>
      <c r="AK57" s="565"/>
      <c r="AL57" s="565"/>
      <c r="AM57" s="565"/>
      <c r="AN57" s="565"/>
      <c r="AO57" s="565"/>
      <c r="AP57" s="565"/>
      <c r="AQ57" s="565"/>
      <c r="AR57" s="573"/>
      <c r="AS57" s="573"/>
      <c r="AT57" s="573"/>
      <c r="AU57" s="573"/>
      <c r="AV57" s="97"/>
      <c r="AW57" s="97">
        <f>0.3*AW13</f>
        <v>0</v>
      </c>
      <c r="AX57" s="397">
        <f t="shared" si="10"/>
        <v>0</v>
      </c>
      <c r="AY57" s="397">
        <f t="shared" si="11"/>
        <v>0</v>
      </c>
      <c r="AZ57" s="397">
        <f t="shared" si="12"/>
        <v>0</v>
      </c>
      <c r="BA57" s="397">
        <f t="shared" si="13"/>
        <v>0</v>
      </c>
      <c r="BB57" s="397">
        <f t="shared" si="14"/>
        <v>0</v>
      </c>
      <c r="BC57" s="397">
        <f t="shared" si="15"/>
        <v>0</v>
      </c>
      <c r="BD57" s="397">
        <f t="shared" si="16"/>
        <v>0</v>
      </c>
      <c r="BE57" s="397">
        <f t="shared" si="17"/>
        <v>0</v>
      </c>
      <c r="BF57" s="397">
        <f t="shared" si="18"/>
        <v>0</v>
      </c>
      <c r="BG57" s="397">
        <f t="shared" si="19"/>
        <v>0</v>
      </c>
    </row>
    <row r="58" spans="1:59" s="406" customFormat="1" x14ac:dyDescent="0.3">
      <c r="A58" s="602" t="s">
        <v>178</v>
      </c>
      <c r="B58" s="603"/>
      <c r="C58" s="603"/>
      <c r="D58" s="603">
        <f>D56+D57</f>
        <v>0</v>
      </c>
      <c r="E58" s="603">
        <f t="shared" ref="E58:AU58" si="80">E56+E57</f>
        <v>0</v>
      </c>
      <c r="F58" s="603">
        <f t="shared" si="80"/>
        <v>0</v>
      </c>
      <c r="G58" s="603">
        <f t="shared" si="80"/>
        <v>0</v>
      </c>
      <c r="H58" s="603">
        <f t="shared" si="80"/>
        <v>307.32</v>
      </c>
      <c r="I58" s="603">
        <f t="shared" si="80"/>
        <v>307.32</v>
      </c>
      <c r="J58" s="603">
        <f t="shared" si="80"/>
        <v>307.32</v>
      </c>
      <c r="K58" s="603">
        <f t="shared" si="80"/>
        <v>307.32</v>
      </c>
      <c r="L58" s="603">
        <f t="shared" si="80"/>
        <v>328.83240000000001</v>
      </c>
      <c r="M58" s="603">
        <f t="shared" si="80"/>
        <v>328.83240000000001</v>
      </c>
      <c r="N58" s="603">
        <f t="shared" si="80"/>
        <v>328.83240000000001</v>
      </c>
      <c r="O58" s="603">
        <f t="shared" si="80"/>
        <v>328.83240000000001</v>
      </c>
      <c r="P58" s="603">
        <f t="shared" si="80"/>
        <v>351.85066800000004</v>
      </c>
      <c r="Q58" s="603">
        <f t="shared" si="80"/>
        <v>351.85066800000004</v>
      </c>
      <c r="R58" s="603">
        <f t="shared" si="80"/>
        <v>351.85066800000004</v>
      </c>
      <c r="S58" s="603">
        <f t="shared" si="80"/>
        <v>351.85066800000004</v>
      </c>
      <c r="T58" s="603">
        <f t="shared" si="80"/>
        <v>376.48021476000008</v>
      </c>
      <c r="U58" s="603">
        <f t="shared" si="80"/>
        <v>376.48021476000008</v>
      </c>
      <c r="V58" s="603">
        <f t="shared" si="80"/>
        <v>376.48021476000008</v>
      </c>
      <c r="W58" s="603">
        <f t="shared" si="80"/>
        <v>376.48021476000008</v>
      </c>
      <c r="X58" s="603">
        <f t="shared" si="80"/>
        <v>402.8338297932001</v>
      </c>
      <c r="Y58" s="603">
        <f t="shared" si="80"/>
        <v>402.8338297932001</v>
      </c>
      <c r="Z58" s="603">
        <f t="shared" si="80"/>
        <v>402.8338297932001</v>
      </c>
      <c r="AA58" s="603">
        <f t="shared" si="80"/>
        <v>402.8338297932001</v>
      </c>
      <c r="AB58" s="603">
        <f t="shared" si="80"/>
        <v>431.03219787872411</v>
      </c>
      <c r="AC58" s="603">
        <f t="shared" si="80"/>
        <v>431.03219787872411</v>
      </c>
      <c r="AD58" s="603">
        <f t="shared" si="80"/>
        <v>431.03219787872411</v>
      </c>
      <c r="AE58" s="603">
        <f t="shared" si="80"/>
        <v>431.03219787872411</v>
      </c>
      <c r="AF58" s="603">
        <f t="shared" si="80"/>
        <v>458.57887489036449</v>
      </c>
      <c r="AG58" s="603">
        <f t="shared" si="80"/>
        <v>458.57887489036449</v>
      </c>
      <c r="AH58" s="603">
        <f t="shared" si="80"/>
        <v>458.57887489036449</v>
      </c>
      <c r="AI58" s="603">
        <f t="shared" si="80"/>
        <v>458.57887489036449</v>
      </c>
      <c r="AJ58" s="603">
        <f t="shared" si="80"/>
        <v>490.67939613268993</v>
      </c>
      <c r="AK58" s="603">
        <f t="shared" si="80"/>
        <v>490.67939613268993</v>
      </c>
      <c r="AL58" s="603">
        <f t="shared" si="80"/>
        <v>490.67939613268993</v>
      </c>
      <c r="AM58" s="603">
        <f t="shared" si="80"/>
        <v>490.67939613268993</v>
      </c>
      <c r="AN58" s="603">
        <f t="shared" si="80"/>
        <v>525.02695386197831</v>
      </c>
      <c r="AO58" s="603">
        <f t="shared" si="80"/>
        <v>525.02695386197831</v>
      </c>
      <c r="AP58" s="603">
        <f t="shared" si="80"/>
        <v>525.02695386197831</v>
      </c>
      <c r="AQ58" s="603">
        <f t="shared" si="80"/>
        <v>525.02695386197831</v>
      </c>
      <c r="AR58" s="603">
        <f t="shared" si="80"/>
        <v>561.77884063231693</v>
      </c>
      <c r="AS58" s="603">
        <f t="shared" si="80"/>
        <v>561.77884063231693</v>
      </c>
      <c r="AT58" s="603">
        <f t="shared" si="80"/>
        <v>561.77884063231693</v>
      </c>
      <c r="AU58" s="603">
        <f t="shared" si="80"/>
        <v>561.77884063231693</v>
      </c>
      <c r="AV58" s="404"/>
      <c r="AW58" s="404">
        <f t="shared" ref="AW58" si="81">AW56+AW57</f>
        <v>0</v>
      </c>
      <c r="AX58" s="405">
        <f t="shared" si="10"/>
        <v>1229.28</v>
      </c>
      <c r="AY58" s="405">
        <f t="shared" si="11"/>
        <v>1315.3296</v>
      </c>
      <c r="AZ58" s="405">
        <f t="shared" si="12"/>
        <v>1407.4026720000002</v>
      </c>
      <c r="BA58" s="405">
        <f t="shared" si="13"/>
        <v>1505.9208590400003</v>
      </c>
      <c r="BB58" s="405">
        <f t="shared" si="14"/>
        <v>1611.3353191728004</v>
      </c>
      <c r="BC58" s="405">
        <f t="shared" si="15"/>
        <v>1724.1287915148964</v>
      </c>
      <c r="BD58" s="405">
        <f t="shared" si="16"/>
        <v>1834.315499561458</v>
      </c>
      <c r="BE58" s="405">
        <f t="shared" si="17"/>
        <v>1962.7175845307597</v>
      </c>
      <c r="BF58" s="405">
        <f t="shared" si="18"/>
        <v>2100.1078154479133</v>
      </c>
      <c r="BG58" s="405">
        <f t="shared" si="19"/>
        <v>2247.1153625292677</v>
      </c>
    </row>
    <row r="59" spans="1:59" s="117" customFormat="1" ht="28.8" x14ac:dyDescent="0.3">
      <c r="A59" s="604" t="s">
        <v>179</v>
      </c>
      <c r="B59" s="605" t="s">
        <v>180</v>
      </c>
      <c r="C59" s="606"/>
      <c r="D59" s="605" t="str">
        <f>D1</f>
        <v>I кв. 1 г.</v>
      </c>
      <c r="E59" s="605" t="str">
        <f t="shared" ref="E59:AU59" si="82">E1</f>
        <v>II кв. 1 г.</v>
      </c>
      <c r="F59" s="605" t="str">
        <f t="shared" si="82"/>
        <v>III кв. 1 г.</v>
      </c>
      <c r="G59" s="605" t="str">
        <f t="shared" si="82"/>
        <v>IV кв. 1 г.</v>
      </c>
      <c r="H59" s="605" t="str">
        <f t="shared" si="82"/>
        <v>I кв. 2 г.</v>
      </c>
      <c r="I59" s="605" t="str">
        <f t="shared" si="82"/>
        <v>II кв. 2 г.</v>
      </c>
      <c r="J59" s="605" t="str">
        <f t="shared" si="82"/>
        <v>III кв. 2 г.</v>
      </c>
      <c r="K59" s="605" t="str">
        <f t="shared" si="82"/>
        <v>IV кв. 2 г.</v>
      </c>
      <c r="L59" s="605" t="str">
        <f t="shared" si="82"/>
        <v>I кв. 3 г.</v>
      </c>
      <c r="M59" s="605" t="str">
        <f t="shared" si="82"/>
        <v>II кв. 3 г.</v>
      </c>
      <c r="N59" s="605" t="str">
        <f t="shared" si="82"/>
        <v>III кв. 3 г.</v>
      </c>
      <c r="O59" s="605" t="str">
        <f t="shared" si="82"/>
        <v>IV кв. 3 г.</v>
      </c>
      <c r="P59" s="605" t="str">
        <f t="shared" si="82"/>
        <v>I кв. 4 г.</v>
      </c>
      <c r="Q59" s="605" t="str">
        <f t="shared" si="82"/>
        <v>II кв. 4 г.</v>
      </c>
      <c r="R59" s="605" t="str">
        <f t="shared" si="82"/>
        <v>III кв. 4 г.</v>
      </c>
      <c r="S59" s="605" t="str">
        <f t="shared" si="82"/>
        <v>IV кв. 4 г.</v>
      </c>
      <c r="T59" s="605" t="str">
        <f t="shared" si="82"/>
        <v>I кв. 5 г.</v>
      </c>
      <c r="U59" s="605" t="str">
        <f t="shared" si="82"/>
        <v>II кв. 5 г.</v>
      </c>
      <c r="V59" s="605" t="str">
        <f t="shared" si="82"/>
        <v>III кв. 5 г.</v>
      </c>
      <c r="W59" s="605" t="str">
        <f t="shared" si="82"/>
        <v>IV кв. 5 г.</v>
      </c>
      <c r="X59" s="605" t="str">
        <f t="shared" si="82"/>
        <v>I кв. 6 г.</v>
      </c>
      <c r="Y59" s="605" t="str">
        <f t="shared" si="82"/>
        <v>II кв. 6 г.</v>
      </c>
      <c r="Z59" s="605" t="str">
        <f t="shared" si="82"/>
        <v>III кв. 6 г.</v>
      </c>
      <c r="AA59" s="605" t="str">
        <f t="shared" si="82"/>
        <v>IV кв. 6 г.</v>
      </c>
      <c r="AB59" s="605" t="str">
        <f t="shared" si="82"/>
        <v>I кв. 7 г.</v>
      </c>
      <c r="AC59" s="605" t="str">
        <f t="shared" si="82"/>
        <v>II кв. 7 г.</v>
      </c>
      <c r="AD59" s="605" t="str">
        <f t="shared" si="82"/>
        <v>III кв. 7 г.</v>
      </c>
      <c r="AE59" s="605" t="str">
        <f t="shared" si="82"/>
        <v>IV кв. 7 г.</v>
      </c>
      <c r="AF59" s="605" t="str">
        <f t="shared" si="82"/>
        <v>I кв. 8 г.</v>
      </c>
      <c r="AG59" s="605" t="str">
        <f t="shared" si="82"/>
        <v>II кв. 8 г.</v>
      </c>
      <c r="AH59" s="605" t="str">
        <f t="shared" si="82"/>
        <v>III кв. 8 г.</v>
      </c>
      <c r="AI59" s="605" t="str">
        <f t="shared" si="82"/>
        <v>IV кв. 8 г.</v>
      </c>
      <c r="AJ59" s="605" t="str">
        <f t="shared" si="82"/>
        <v>I кв. 9 г.</v>
      </c>
      <c r="AK59" s="605" t="str">
        <f t="shared" si="82"/>
        <v>II кв. 9 г.</v>
      </c>
      <c r="AL59" s="605" t="str">
        <f t="shared" si="82"/>
        <v>III кв. 9 г.</v>
      </c>
      <c r="AM59" s="605" t="str">
        <f t="shared" si="82"/>
        <v>IV кв. 9 г.</v>
      </c>
      <c r="AN59" s="605" t="str">
        <f t="shared" si="82"/>
        <v>I кв. 10 г.</v>
      </c>
      <c r="AO59" s="605" t="str">
        <f t="shared" si="82"/>
        <v>II кв. 10 г.</v>
      </c>
      <c r="AP59" s="605" t="str">
        <f t="shared" si="82"/>
        <v>III кв. 10 г.</v>
      </c>
      <c r="AQ59" s="605" t="str">
        <f t="shared" si="82"/>
        <v>IV кв. 10 г.</v>
      </c>
      <c r="AR59" s="605" t="str">
        <f t="shared" si="82"/>
        <v>I кв. 11 г.</v>
      </c>
      <c r="AS59" s="605" t="str">
        <f t="shared" si="82"/>
        <v>II кв. 11 г.</v>
      </c>
      <c r="AT59" s="605" t="str">
        <f t="shared" si="82"/>
        <v>III кв. 11 г.</v>
      </c>
      <c r="AU59" s="605" t="str">
        <f t="shared" si="82"/>
        <v>IV кв. 11 г.</v>
      </c>
    </row>
    <row r="60" spans="1:59" ht="28.8" x14ac:dyDescent="0.3">
      <c r="A60" s="582" t="s">
        <v>181</v>
      </c>
      <c r="B60" s="601">
        <v>3.0000000000000001E-3</v>
      </c>
      <c r="C60" s="587"/>
      <c r="D60" s="565">
        <f>D53</f>
        <v>0</v>
      </c>
      <c r="E60" s="565">
        <f t="shared" ref="E60:AU60" si="83">E53</f>
        <v>0</v>
      </c>
      <c r="F60" s="565">
        <f t="shared" si="83"/>
        <v>0</v>
      </c>
      <c r="G60" s="565">
        <f t="shared" si="83"/>
        <v>0</v>
      </c>
      <c r="H60" s="565">
        <f t="shared" si="83"/>
        <v>7.0920000000000005</v>
      </c>
      <c r="I60" s="565">
        <f t="shared" si="83"/>
        <v>7.0920000000000005</v>
      </c>
      <c r="J60" s="565">
        <f t="shared" si="83"/>
        <v>7.0920000000000005</v>
      </c>
      <c r="K60" s="565">
        <f t="shared" si="83"/>
        <v>7.0920000000000005</v>
      </c>
      <c r="L60" s="565">
        <f t="shared" si="83"/>
        <v>7.5884400000000003</v>
      </c>
      <c r="M60" s="565">
        <f t="shared" si="83"/>
        <v>7.5884400000000003</v>
      </c>
      <c r="N60" s="565">
        <f t="shared" si="83"/>
        <v>7.5884400000000003</v>
      </c>
      <c r="O60" s="565">
        <f t="shared" si="83"/>
        <v>7.5884400000000003</v>
      </c>
      <c r="P60" s="565">
        <f t="shared" si="83"/>
        <v>8.1196308000000013</v>
      </c>
      <c r="Q60" s="565">
        <f t="shared" si="83"/>
        <v>8.1196308000000013</v>
      </c>
      <c r="R60" s="565">
        <f t="shared" si="83"/>
        <v>8.1196308000000013</v>
      </c>
      <c r="S60" s="565">
        <f t="shared" si="83"/>
        <v>8.1196308000000013</v>
      </c>
      <c r="T60" s="565">
        <f t="shared" si="83"/>
        <v>8.6880049560000021</v>
      </c>
      <c r="U60" s="565">
        <f t="shared" si="83"/>
        <v>8.6880049560000021</v>
      </c>
      <c r="V60" s="565">
        <f t="shared" si="83"/>
        <v>8.6880049560000021</v>
      </c>
      <c r="W60" s="565">
        <f t="shared" si="83"/>
        <v>8.6880049560000021</v>
      </c>
      <c r="X60" s="565">
        <f t="shared" si="83"/>
        <v>9.2961653029200022</v>
      </c>
      <c r="Y60" s="565">
        <f t="shared" si="83"/>
        <v>9.2961653029200022</v>
      </c>
      <c r="Z60" s="565">
        <f t="shared" si="83"/>
        <v>9.2961653029200022</v>
      </c>
      <c r="AA60" s="565">
        <f t="shared" si="83"/>
        <v>9.2961653029200022</v>
      </c>
      <c r="AB60" s="565">
        <f t="shared" si="83"/>
        <v>9.9468968741244019</v>
      </c>
      <c r="AC60" s="565">
        <f t="shared" si="83"/>
        <v>9.9468968741244019</v>
      </c>
      <c r="AD60" s="565">
        <f t="shared" si="83"/>
        <v>9.9468968741244019</v>
      </c>
      <c r="AE60" s="565">
        <f t="shared" si="83"/>
        <v>9.9468968741244019</v>
      </c>
      <c r="AF60" s="565">
        <f t="shared" si="83"/>
        <v>10.582589420546872</v>
      </c>
      <c r="AG60" s="565">
        <f t="shared" si="83"/>
        <v>10.582589420546872</v>
      </c>
      <c r="AH60" s="565">
        <f t="shared" si="83"/>
        <v>10.582589420546872</v>
      </c>
      <c r="AI60" s="565">
        <f t="shared" si="83"/>
        <v>10.582589420546872</v>
      </c>
      <c r="AJ60" s="565">
        <f t="shared" si="83"/>
        <v>11.323370679985151</v>
      </c>
      <c r="AK60" s="565">
        <f t="shared" si="83"/>
        <v>11.323370679985151</v>
      </c>
      <c r="AL60" s="565">
        <f t="shared" si="83"/>
        <v>11.323370679985151</v>
      </c>
      <c r="AM60" s="565">
        <f t="shared" si="83"/>
        <v>11.323370679985151</v>
      </c>
      <c r="AN60" s="565">
        <f t="shared" si="83"/>
        <v>12.116006627584115</v>
      </c>
      <c r="AO60" s="565">
        <f t="shared" si="83"/>
        <v>12.116006627584115</v>
      </c>
      <c r="AP60" s="565">
        <f t="shared" si="83"/>
        <v>12.116006627584115</v>
      </c>
      <c r="AQ60" s="565">
        <f t="shared" si="83"/>
        <v>12.116006627584115</v>
      </c>
      <c r="AR60" s="565">
        <f t="shared" si="83"/>
        <v>12.964127091515003</v>
      </c>
      <c r="AS60" s="565">
        <f t="shared" si="83"/>
        <v>12.964127091515003</v>
      </c>
      <c r="AT60" s="565">
        <f t="shared" si="83"/>
        <v>12.964127091515003</v>
      </c>
      <c r="AU60" s="565">
        <f t="shared" si="83"/>
        <v>12.964127091515003</v>
      </c>
    </row>
    <row r="61" spans="1:59" x14ac:dyDescent="0.3">
      <c r="A61" s="582" t="s">
        <v>182</v>
      </c>
      <c r="B61" s="607">
        <f>SUM(B63:B65)</f>
        <v>0.3</v>
      </c>
      <c r="C61" s="587"/>
      <c r="D61" s="565">
        <f>D51</f>
        <v>0</v>
      </c>
      <c r="E61" s="565">
        <f t="shared" ref="E61:AQ61" si="84">E51</f>
        <v>0</v>
      </c>
      <c r="F61" s="565">
        <f t="shared" si="84"/>
        <v>0</v>
      </c>
      <c r="G61" s="565">
        <f t="shared" si="84"/>
        <v>0</v>
      </c>
      <c r="H61" s="565">
        <f t="shared" si="84"/>
        <v>709.2</v>
      </c>
      <c r="I61" s="565">
        <f t="shared" si="84"/>
        <v>709.2</v>
      </c>
      <c r="J61" s="565">
        <f t="shared" si="84"/>
        <v>709.2</v>
      </c>
      <c r="K61" s="565">
        <f t="shared" si="84"/>
        <v>709.2</v>
      </c>
      <c r="L61" s="565">
        <f t="shared" si="84"/>
        <v>758.84400000000005</v>
      </c>
      <c r="M61" s="565">
        <f t="shared" si="84"/>
        <v>758.84400000000005</v>
      </c>
      <c r="N61" s="565">
        <f t="shared" si="84"/>
        <v>758.84400000000005</v>
      </c>
      <c r="O61" s="565">
        <f t="shared" si="84"/>
        <v>758.84400000000005</v>
      </c>
      <c r="P61" s="565">
        <f t="shared" si="84"/>
        <v>811.96307999999999</v>
      </c>
      <c r="Q61" s="565">
        <f t="shared" si="84"/>
        <v>811.96307999999999</v>
      </c>
      <c r="R61" s="565">
        <f t="shared" si="84"/>
        <v>811.96307999999999</v>
      </c>
      <c r="S61" s="565">
        <f t="shared" si="84"/>
        <v>811.96307999999999</v>
      </c>
      <c r="T61" s="565">
        <f t="shared" si="84"/>
        <v>868.8004956000002</v>
      </c>
      <c r="U61" s="565">
        <f t="shared" si="84"/>
        <v>868.8004956000002</v>
      </c>
      <c r="V61" s="565">
        <f t="shared" si="84"/>
        <v>868.8004956000002</v>
      </c>
      <c r="W61" s="565">
        <f t="shared" si="84"/>
        <v>868.8004956000002</v>
      </c>
      <c r="X61" s="565">
        <f t="shared" si="84"/>
        <v>929.61653029200022</v>
      </c>
      <c r="Y61" s="565">
        <f t="shared" si="84"/>
        <v>929.61653029200022</v>
      </c>
      <c r="Z61" s="565">
        <f t="shared" si="84"/>
        <v>929.61653029200022</v>
      </c>
      <c r="AA61" s="565">
        <f t="shared" si="84"/>
        <v>929.61653029200022</v>
      </c>
      <c r="AB61" s="565">
        <f t="shared" si="84"/>
        <v>994.68968741244021</v>
      </c>
      <c r="AC61" s="565">
        <f t="shared" si="84"/>
        <v>994.68968741244021</v>
      </c>
      <c r="AD61" s="565">
        <f t="shared" si="84"/>
        <v>994.68968741244021</v>
      </c>
      <c r="AE61" s="565">
        <f t="shared" si="84"/>
        <v>994.68968741244021</v>
      </c>
      <c r="AF61" s="565">
        <f t="shared" si="84"/>
        <v>1058.2589420546872</v>
      </c>
      <c r="AG61" s="565">
        <f t="shared" si="84"/>
        <v>1058.2589420546872</v>
      </c>
      <c r="AH61" s="565">
        <f t="shared" si="84"/>
        <v>1058.2589420546872</v>
      </c>
      <c r="AI61" s="565">
        <f t="shared" si="84"/>
        <v>1058.2589420546872</v>
      </c>
      <c r="AJ61" s="565">
        <f t="shared" si="84"/>
        <v>1132.3370679985151</v>
      </c>
      <c r="AK61" s="565">
        <f t="shared" si="84"/>
        <v>1132.3370679985151</v>
      </c>
      <c r="AL61" s="565">
        <f t="shared" si="84"/>
        <v>1132.3370679985151</v>
      </c>
      <c r="AM61" s="565">
        <f t="shared" si="84"/>
        <v>1132.3370679985151</v>
      </c>
      <c r="AN61" s="565">
        <f t="shared" si="84"/>
        <v>1211.6006627584115</v>
      </c>
      <c r="AO61" s="565">
        <f t="shared" si="84"/>
        <v>1211.6006627584115</v>
      </c>
      <c r="AP61" s="565">
        <f t="shared" si="84"/>
        <v>1211.6006627584115</v>
      </c>
      <c r="AQ61" s="565">
        <f t="shared" si="84"/>
        <v>1211.6006627584115</v>
      </c>
      <c r="AR61" s="565">
        <f t="shared" ref="AR61:AU61" si="85">AR51</f>
        <v>1296.4127091515004</v>
      </c>
      <c r="AS61" s="565">
        <f t="shared" si="85"/>
        <v>1296.4127091515004</v>
      </c>
      <c r="AT61" s="565">
        <f t="shared" si="85"/>
        <v>1296.4127091515004</v>
      </c>
      <c r="AU61" s="565">
        <f t="shared" si="85"/>
        <v>1296.4127091515004</v>
      </c>
    </row>
    <row r="62" spans="1:59" x14ac:dyDescent="0.3">
      <c r="A62" s="582" t="s">
        <v>183</v>
      </c>
      <c r="B62" s="607"/>
      <c r="C62" s="587"/>
      <c r="D62" s="565"/>
      <c r="E62" s="565"/>
      <c r="F62" s="565"/>
      <c r="G62" s="565"/>
      <c r="H62" s="565"/>
      <c r="I62" s="565"/>
      <c r="J62" s="565"/>
      <c r="K62" s="565"/>
      <c r="L62" s="565"/>
      <c r="M62" s="565"/>
      <c r="N62" s="565"/>
      <c r="O62" s="565"/>
      <c r="P62" s="565"/>
      <c r="Q62" s="565"/>
      <c r="R62" s="565"/>
      <c r="S62" s="565"/>
      <c r="T62" s="565"/>
      <c r="U62" s="565"/>
      <c r="V62" s="565"/>
      <c r="W62" s="566"/>
      <c r="X62" s="566"/>
      <c r="Y62" s="566"/>
      <c r="Z62" s="566"/>
      <c r="AA62" s="566"/>
      <c r="AB62" s="566"/>
      <c r="AC62" s="566"/>
      <c r="AD62" s="566"/>
      <c r="AE62" s="566"/>
      <c r="AF62" s="566"/>
      <c r="AG62" s="566"/>
      <c r="AH62" s="566"/>
      <c r="AI62" s="566"/>
      <c r="AJ62" s="566"/>
      <c r="AK62" s="566"/>
      <c r="AL62" s="566"/>
      <c r="AM62" s="566"/>
      <c r="AN62" s="566"/>
      <c r="AO62" s="566"/>
      <c r="AP62" s="566"/>
      <c r="AQ62" s="566"/>
      <c r="AR62" s="566"/>
      <c r="AS62" s="566"/>
      <c r="AT62" s="566"/>
      <c r="AU62" s="566"/>
    </row>
    <row r="63" spans="1:59" ht="28.8" x14ac:dyDescent="0.3">
      <c r="A63" s="582" t="s">
        <v>184</v>
      </c>
      <c r="B63" s="601">
        <v>0.22</v>
      </c>
      <c r="C63" s="587"/>
      <c r="D63" s="565">
        <f>D49*$B$63</f>
        <v>0</v>
      </c>
      <c r="E63" s="565">
        <f t="shared" ref="E63:AQ63" si="86">E49*$B$63</f>
        <v>0</v>
      </c>
      <c r="F63" s="565">
        <f t="shared" si="86"/>
        <v>0</v>
      </c>
      <c r="G63" s="565">
        <f t="shared" si="86"/>
        <v>0</v>
      </c>
      <c r="H63" s="565">
        <f>H49*$B$63</f>
        <v>520.08000000000004</v>
      </c>
      <c r="I63" s="565">
        <f t="shared" si="86"/>
        <v>520.08000000000004</v>
      </c>
      <c r="J63" s="565">
        <f t="shared" si="86"/>
        <v>520.08000000000004</v>
      </c>
      <c r="K63" s="565">
        <f t="shared" si="86"/>
        <v>520.08000000000004</v>
      </c>
      <c r="L63" s="565">
        <f t="shared" si="86"/>
        <v>556.48559999999998</v>
      </c>
      <c r="M63" s="565">
        <f t="shared" si="86"/>
        <v>556.48559999999998</v>
      </c>
      <c r="N63" s="565">
        <f t="shared" si="86"/>
        <v>556.48559999999998</v>
      </c>
      <c r="O63" s="565">
        <f t="shared" si="86"/>
        <v>556.48559999999998</v>
      </c>
      <c r="P63" s="565">
        <f t="shared" si="86"/>
        <v>595.43959200000006</v>
      </c>
      <c r="Q63" s="565">
        <f t="shared" si="86"/>
        <v>595.43959200000006</v>
      </c>
      <c r="R63" s="565">
        <f t="shared" si="86"/>
        <v>595.43959200000006</v>
      </c>
      <c r="S63" s="565">
        <f t="shared" si="86"/>
        <v>595.43959200000006</v>
      </c>
      <c r="T63" s="565">
        <f t="shared" si="86"/>
        <v>637.12036344000012</v>
      </c>
      <c r="U63" s="565">
        <f t="shared" si="86"/>
        <v>637.12036344000012</v>
      </c>
      <c r="V63" s="565">
        <f t="shared" si="86"/>
        <v>637.12036344000012</v>
      </c>
      <c r="W63" s="565">
        <f t="shared" si="86"/>
        <v>637.12036344000012</v>
      </c>
      <c r="X63" s="565">
        <f t="shared" si="86"/>
        <v>681.71878888080016</v>
      </c>
      <c r="Y63" s="565">
        <f t="shared" si="86"/>
        <v>681.71878888080016</v>
      </c>
      <c r="Z63" s="565">
        <f t="shared" si="86"/>
        <v>681.71878888080016</v>
      </c>
      <c r="AA63" s="565">
        <f t="shared" si="86"/>
        <v>681.71878888080016</v>
      </c>
      <c r="AB63" s="565">
        <f t="shared" si="86"/>
        <v>729.43910410245621</v>
      </c>
      <c r="AC63" s="565">
        <f t="shared" si="86"/>
        <v>729.43910410245621</v>
      </c>
      <c r="AD63" s="565">
        <f t="shared" si="86"/>
        <v>729.43910410245621</v>
      </c>
      <c r="AE63" s="565">
        <f t="shared" si="86"/>
        <v>729.43910410245621</v>
      </c>
      <c r="AF63" s="565">
        <f t="shared" si="86"/>
        <v>776.05655750677067</v>
      </c>
      <c r="AG63" s="565">
        <f t="shared" si="86"/>
        <v>776.05655750677067</v>
      </c>
      <c r="AH63" s="565">
        <f t="shared" si="86"/>
        <v>776.05655750677067</v>
      </c>
      <c r="AI63" s="565">
        <f t="shared" si="86"/>
        <v>776.05655750677067</v>
      </c>
      <c r="AJ63" s="565">
        <f t="shared" si="86"/>
        <v>830.38051653224454</v>
      </c>
      <c r="AK63" s="565">
        <f t="shared" si="86"/>
        <v>830.38051653224454</v>
      </c>
      <c r="AL63" s="565">
        <f t="shared" si="86"/>
        <v>830.38051653224454</v>
      </c>
      <c r="AM63" s="565">
        <f t="shared" si="86"/>
        <v>830.38051653224454</v>
      </c>
      <c r="AN63" s="565">
        <f t="shared" si="86"/>
        <v>888.50715268950182</v>
      </c>
      <c r="AO63" s="565">
        <f t="shared" si="86"/>
        <v>888.50715268950182</v>
      </c>
      <c r="AP63" s="565">
        <f t="shared" si="86"/>
        <v>888.50715268950182</v>
      </c>
      <c r="AQ63" s="565">
        <f t="shared" si="86"/>
        <v>888.50715268950182</v>
      </c>
      <c r="AR63" s="565">
        <f t="shared" ref="AR63:AU63" si="87">AR49*$B$63</f>
        <v>950.70265337776709</v>
      </c>
      <c r="AS63" s="565">
        <f t="shared" si="87"/>
        <v>950.70265337776709</v>
      </c>
      <c r="AT63" s="565">
        <f t="shared" si="87"/>
        <v>950.70265337776709</v>
      </c>
      <c r="AU63" s="565">
        <f t="shared" si="87"/>
        <v>950.70265337776709</v>
      </c>
    </row>
    <row r="64" spans="1:59" ht="43.2" x14ac:dyDescent="0.3">
      <c r="A64" s="582" t="s">
        <v>185</v>
      </c>
      <c r="B64" s="601">
        <v>2.9000000000000001E-2</v>
      </c>
      <c r="C64" s="587"/>
      <c r="D64" s="565">
        <f>D49*$B$64</f>
        <v>0</v>
      </c>
      <c r="E64" s="565">
        <f t="shared" ref="E64:AQ64" si="88">E49*$B$64</f>
        <v>0</v>
      </c>
      <c r="F64" s="565">
        <f t="shared" si="88"/>
        <v>0</v>
      </c>
      <c r="G64" s="565">
        <f t="shared" si="88"/>
        <v>0</v>
      </c>
      <c r="H64" s="565">
        <f>H49*$B$64</f>
        <v>68.555999999999997</v>
      </c>
      <c r="I64" s="565">
        <f t="shared" si="88"/>
        <v>68.555999999999997</v>
      </c>
      <c r="J64" s="565">
        <f t="shared" si="88"/>
        <v>68.555999999999997</v>
      </c>
      <c r="K64" s="565">
        <f t="shared" si="88"/>
        <v>68.555999999999997</v>
      </c>
      <c r="L64" s="565">
        <f t="shared" si="88"/>
        <v>73.354920000000007</v>
      </c>
      <c r="M64" s="565">
        <f t="shared" si="88"/>
        <v>73.354920000000007</v>
      </c>
      <c r="N64" s="565">
        <f t="shared" si="88"/>
        <v>73.354920000000007</v>
      </c>
      <c r="O64" s="565">
        <f t="shared" si="88"/>
        <v>73.354920000000007</v>
      </c>
      <c r="P64" s="565">
        <f t="shared" si="88"/>
        <v>78.489764400000013</v>
      </c>
      <c r="Q64" s="565">
        <f t="shared" si="88"/>
        <v>78.489764400000013</v>
      </c>
      <c r="R64" s="565">
        <f t="shared" si="88"/>
        <v>78.489764400000013</v>
      </c>
      <c r="S64" s="565">
        <f t="shared" si="88"/>
        <v>78.489764400000013</v>
      </c>
      <c r="T64" s="565">
        <f t="shared" si="88"/>
        <v>83.984047908000022</v>
      </c>
      <c r="U64" s="565">
        <f t="shared" si="88"/>
        <v>83.984047908000022</v>
      </c>
      <c r="V64" s="565">
        <f t="shared" si="88"/>
        <v>83.984047908000022</v>
      </c>
      <c r="W64" s="565">
        <f t="shared" si="88"/>
        <v>83.984047908000022</v>
      </c>
      <c r="X64" s="565">
        <f t="shared" si="88"/>
        <v>89.862931261560021</v>
      </c>
      <c r="Y64" s="565">
        <f t="shared" si="88"/>
        <v>89.862931261560021</v>
      </c>
      <c r="Z64" s="565">
        <f t="shared" si="88"/>
        <v>89.862931261560021</v>
      </c>
      <c r="AA64" s="565">
        <f t="shared" si="88"/>
        <v>89.862931261560021</v>
      </c>
      <c r="AB64" s="565">
        <f t="shared" si="88"/>
        <v>96.153336449869229</v>
      </c>
      <c r="AC64" s="565">
        <f t="shared" si="88"/>
        <v>96.153336449869229</v>
      </c>
      <c r="AD64" s="565">
        <f t="shared" si="88"/>
        <v>96.153336449869229</v>
      </c>
      <c r="AE64" s="565">
        <f t="shared" si="88"/>
        <v>96.153336449869229</v>
      </c>
      <c r="AF64" s="565">
        <f t="shared" si="88"/>
        <v>102.29836439861977</v>
      </c>
      <c r="AG64" s="565">
        <f t="shared" si="88"/>
        <v>102.29836439861977</v>
      </c>
      <c r="AH64" s="565">
        <f t="shared" si="88"/>
        <v>102.29836439861977</v>
      </c>
      <c r="AI64" s="565">
        <f t="shared" si="88"/>
        <v>102.29836439861977</v>
      </c>
      <c r="AJ64" s="565">
        <f t="shared" si="88"/>
        <v>109.45924990652314</v>
      </c>
      <c r="AK64" s="565">
        <f t="shared" si="88"/>
        <v>109.45924990652314</v>
      </c>
      <c r="AL64" s="565">
        <f t="shared" si="88"/>
        <v>109.45924990652314</v>
      </c>
      <c r="AM64" s="565">
        <f t="shared" si="88"/>
        <v>109.45924990652314</v>
      </c>
      <c r="AN64" s="565">
        <f t="shared" si="88"/>
        <v>117.12139739997978</v>
      </c>
      <c r="AO64" s="565">
        <f t="shared" si="88"/>
        <v>117.12139739997978</v>
      </c>
      <c r="AP64" s="565">
        <f t="shared" si="88"/>
        <v>117.12139739997978</v>
      </c>
      <c r="AQ64" s="565">
        <f t="shared" si="88"/>
        <v>117.12139739997978</v>
      </c>
      <c r="AR64" s="565">
        <f t="shared" ref="AR64:AU64" si="89">AR49*$B$64</f>
        <v>125.31989521797838</v>
      </c>
      <c r="AS64" s="565">
        <f t="shared" si="89"/>
        <v>125.31989521797838</v>
      </c>
      <c r="AT64" s="565">
        <f t="shared" si="89"/>
        <v>125.31989521797838</v>
      </c>
      <c r="AU64" s="565">
        <f t="shared" si="89"/>
        <v>125.31989521797838</v>
      </c>
    </row>
    <row r="65" spans="1:47" ht="28.8" x14ac:dyDescent="0.3">
      <c r="A65" s="582" t="s">
        <v>186</v>
      </c>
      <c r="B65" s="601">
        <v>5.0999999999999997E-2</v>
      </c>
      <c r="C65" s="587"/>
      <c r="D65" s="565">
        <f>D49*$B$65</f>
        <v>0</v>
      </c>
      <c r="E65" s="565">
        <f t="shared" ref="E65:AQ65" si="90">E49*$B$65</f>
        <v>0</v>
      </c>
      <c r="F65" s="565">
        <f t="shared" si="90"/>
        <v>0</v>
      </c>
      <c r="G65" s="565">
        <f t="shared" si="90"/>
        <v>0</v>
      </c>
      <c r="H65" s="565">
        <f>H49*$B$65</f>
        <v>120.56399999999999</v>
      </c>
      <c r="I65" s="565">
        <f t="shared" si="90"/>
        <v>120.56399999999999</v>
      </c>
      <c r="J65" s="565">
        <f t="shared" si="90"/>
        <v>120.56399999999999</v>
      </c>
      <c r="K65" s="565">
        <f t="shared" si="90"/>
        <v>120.56399999999999</v>
      </c>
      <c r="L65" s="565">
        <f t="shared" si="90"/>
        <v>129.00348</v>
      </c>
      <c r="M65" s="565">
        <f t="shared" si="90"/>
        <v>129.00348</v>
      </c>
      <c r="N65" s="565">
        <f t="shared" si="90"/>
        <v>129.00348</v>
      </c>
      <c r="O65" s="565">
        <f t="shared" si="90"/>
        <v>129.00348</v>
      </c>
      <c r="P65" s="565">
        <f t="shared" si="90"/>
        <v>138.0337236</v>
      </c>
      <c r="Q65" s="565">
        <f t="shared" si="90"/>
        <v>138.0337236</v>
      </c>
      <c r="R65" s="565">
        <f t="shared" si="90"/>
        <v>138.0337236</v>
      </c>
      <c r="S65" s="565">
        <f t="shared" si="90"/>
        <v>138.0337236</v>
      </c>
      <c r="T65" s="565">
        <f t="shared" si="90"/>
        <v>147.69608425200002</v>
      </c>
      <c r="U65" s="565">
        <f t="shared" si="90"/>
        <v>147.69608425200002</v>
      </c>
      <c r="V65" s="565">
        <f t="shared" si="90"/>
        <v>147.69608425200002</v>
      </c>
      <c r="W65" s="565">
        <f t="shared" si="90"/>
        <v>147.69608425200002</v>
      </c>
      <c r="X65" s="565">
        <f t="shared" si="90"/>
        <v>158.03481014964001</v>
      </c>
      <c r="Y65" s="565">
        <f t="shared" si="90"/>
        <v>158.03481014964001</v>
      </c>
      <c r="Z65" s="565">
        <f t="shared" si="90"/>
        <v>158.03481014964001</v>
      </c>
      <c r="AA65" s="565">
        <f t="shared" si="90"/>
        <v>158.03481014964001</v>
      </c>
      <c r="AB65" s="565">
        <f t="shared" si="90"/>
        <v>169.09724686011484</v>
      </c>
      <c r="AC65" s="565">
        <f t="shared" si="90"/>
        <v>169.09724686011484</v>
      </c>
      <c r="AD65" s="565">
        <f t="shared" si="90"/>
        <v>169.09724686011484</v>
      </c>
      <c r="AE65" s="565">
        <f t="shared" si="90"/>
        <v>169.09724686011484</v>
      </c>
      <c r="AF65" s="565">
        <f t="shared" si="90"/>
        <v>179.90402014929683</v>
      </c>
      <c r="AG65" s="565">
        <f t="shared" si="90"/>
        <v>179.90402014929683</v>
      </c>
      <c r="AH65" s="565">
        <f t="shared" si="90"/>
        <v>179.90402014929683</v>
      </c>
      <c r="AI65" s="565">
        <f t="shared" si="90"/>
        <v>179.90402014929683</v>
      </c>
      <c r="AJ65" s="565">
        <f t="shared" si="90"/>
        <v>192.49730155974757</v>
      </c>
      <c r="AK65" s="565">
        <f t="shared" si="90"/>
        <v>192.49730155974757</v>
      </c>
      <c r="AL65" s="565">
        <f t="shared" si="90"/>
        <v>192.49730155974757</v>
      </c>
      <c r="AM65" s="565">
        <f t="shared" si="90"/>
        <v>192.49730155974757</v>
      </c>
      <c r="AN65" s="565">
        <f t="shared" si="90"/>
        <v>205.97211266892995</v>
      </c>
      <c r="AO65" s="565">
        <f t="shared" si="90"/>
        <v>205.97211266892995</v>
      </c>
      <c r="AP65" s="565">
        <f t="shared" si="90"/>
        <v>205.97211266892995</v>
      </c>
      <c r="AQ65" s="565">
        <f t="shared" si="90"/>
        <v>205.97211266892995</v>
      </c>
      <c r="AR65" s="565">
        <f t="shared" ref="AR65:AU65" si="91">AR49*$B$65</f>
        <v>220.39016055575507</v>
      </c>
      <c r="AS65" s="565">
        <f t="shared" si="91"/>
        <v>220.39016055575507</v>
      </c>
      <c r="AT65" s="565">
        <f t="shared" si="91"/>
        <v>220.39016055575507</v>
      </c>
      <c r="AU65" s="565">
        <f t="shared" si="91"/>
        <v>220.39016055575507</v>
      </c>
    </row>
    <row r="66" spans="1:47" ht="28.8" x14ac:dyDescent="0.3">
      <c r="A66" s="608" t="s">
        <v>187</v>
      </c>
      <c r="B66" s="609">
        <f>B6+B15+B23+B26+B34+B47</f>
        <v>15</v>
      </c>
      <c r="C66" s="609">
        <f>(B2*C2+B3*C3+B4*C4+B5*C5+B9*C9+B10*C10+B11*C11+B12*C12+B14*C14)/B66</f>
        <v>52.533333333333331</v>
      </c>
      <c r="D66" s="566"/>
      <c r="E66" s="566"/>
      <c r="F66" s="566"/>
      <c r="G66" s="566"/>
      <c r="H66" s="566"/>
      <c r="I66" s="566"/>
      <c r="J66" s="566"/>
      <c r="K66" s="566"/>
      <c r="L66" s="566"/>
      <c r="M66" s="566"/>
      <c r="N66" s="566"/>
      <c r="O66" s="566"/>
      <c r="P66" s="566"/>
      <c r="Q66" s="566"/>
      <c r="R66" s="566"/>
      <c r="S66" s="566"/>
      <c r="T66" s="566"/>
      <c r="U66" s="566"/>
      <c r="V66" s="566"/>
      <c r="W66" s="566"/>
      <c r="X66" s="566"/>
      <c r="Y66" s="566"/>
      <c r="Z66" s="566"/>
      <c r="AA66" s="566"/>
      <c r="AB66" s="566"/>
      <c r="AC66" s="566"/>
      <c r="AD66" s="566"/>
      <c r="AE66" s="566"/>
      <c r="AF66" s="566"/>
      <c r="AG66" s="566"/>
      <c r="AH66" s="566"/>
      <c r="AI66" s="566"/>
      <c r="AJ66" s="566"/>
      <c r="AK66" s="566"/>
      <c r="AL66" s="566"/>
      <c r="AM66" s="566"/>
      <c r="AN66" s="566"/>
      <c r="AO66" s="566"/>
      <c r="AP66" s="566"/>
      <c r="AQ66" s="566"/>
      <c r="AR66" s="566"/>
      <c r="AS66" s="566"/>
      <c r="AT66" s="566"/>
      <c r="AU66" s="566"/>
    </row>
    <row r="67" spans="1:47" x14ac:dyDescent="0.3">
      <c r="A67" s="604" t="s">
        <v>179</v>
      </c>
      <c r="B67" s="605" t="str">
        <f>'объем работ 100% загр'!C3</f>
        <v>1 год</v>
      </c>
      <c r="C67" s="605" t="str">
        <f>'объем работ 100% загр'!D3</f>
        <v>2 год</v>
      </c>
      <c r="D67" s="605" t="str">
        <f>'объем работ 100% загр'!E3</f>
        <v>3 год</v>
      </c>
      <c r="E67" s="605" t="str">
        <f>'объем работ 100% загр'!F3</f>
        <v>4 год</v>
      </c>
      <c r="F67" s="605" t="str">
        <f>'объем работ 100% загр'!G3</f>
        <v>5 год</v>
      </c>
      <c r="G67" s="605" t="str">
        <f>'объем работ 100% загр'!H3</f>
        <v>6 год</v>
      </c>
      <c r="H67" s="605" t="str">
        <f>'объем работ 100% загр'!I3</f>
        <v>7 год</v>
      </c>
      <c r="I67" s="605" t="str">
        <f>'объем работ 100% загр'!J3</f>
        <v>8 год</v>
      </c>
      <c r="J67" s="605" t="str">
        <f>'объем работ 100% загр'!K3</f>
        <v>9 год</v>
      </c>
      <c r="K67" s="605" t="str">
        <f>'объем работ 100% загр'!L3</f>
        <v>10 год</v>
      </c>
      <c r="L67" s="605" t="str">
        <f>'объем работ 100% загр'!M3</f>
        <v>11 год</v>
      </c>
      <c r="M67" s="566"/>
      <c r="N67" s="566"/>
      <c r="O67" s="566"/>
      <c r="P67" s="566"/>
      <c r="Q67" s="566"/>
      <c r="R67" s="566"/>
      <c r="S67" s="566"/>
      <c r="T67" s="566"/>
      <c r="U67" s="566"/>
      <c r="V67" s="566"/>
      <c r="W67" s="566"/>
      <c r="X67" s="566"/>
      <c r="Y67" s="566"/>
      <c r="Z67" s="566"/>
      <c r="AA67" s="566"/>
      <c r="AB67" s="566"/>
      <c r="AC67" s="566"/>
      <c r="AD67" s="566"/>
      <c r="AE67" s="566"/>
      <c r="AF67" s="566"/>
      <c r="AG67" s="566"/>
      <c r="AH67" s="566"/>
      <c r="AI67" s="566"/>
      <c r="AJ67" s="566"/>
      <c r="AK67" s="566"/>
      <c r="AL67" s="566"/>
      <c r="AM67" s="566"/>
      <c r="AN67" s="566"/>
      <c r="AO67" s="566"/>
      <c r="AP67" s="566"/>
      <c r="AQ67" s="566"/>
      <c r="AR67" s="566"/>
      <c r="AS67" s="566"/>
      <c r="AT67" s="566"/>
      <c r="AU67" s="566"/>
    </row>
    <row r="68" spans="1:47" ht="28.8" x14ac:dyDescent="0.3">
      <c r="A68" s="582" t="str">
        <f>A60</f>
        <v>Взносы ФСС (нс и пз -0,3%)</v>
      </c>
      <c r="B68" s="565">
        <f t="shared" ref="B68:B73" si="92">SUM(D60:G60)</f>
        <v>0</v>
      </c>
      <c r="C68" s="565">
        <f t="shared" ref="C68:C73" si="93">SUM(H60:K60)</f>
        <v>28.368000000000002</v>
      </c>
      <c r="D68" s="565">
        <f t="shared" ref="D68:D73" si="94">SUM(L60:O60)</f>
        <v>30.353760000000001</v>
      </c>
      <c r="E68" s="565">
        <f t="shared" ref="E68:E73" si="95">SUM(P60:S60)</f>
        <v>32.478523200000005</v>
      </c>
      <c r="F68" s="565">
        <f t="shared" ref="F68:F73" si="96">SUM(T60:W60)</f>
        <v>34.752019824000008</v>
      </c>
      <c r="G68" s="565">
        <f t="shared" ref="G68:G73" si="97">SUM(X60:AA60)</f>
        <v>37.184661211680009</v>
      </c>
      <c r="H68" s="565">
        <f t="shared" ref="H68:H73" si="98">SUM(AB60:AE60)</f>
        <v>39.787587496497608</v>
      </c>
      <c r="I68" s="565">
        <f t="shared" ref="I68:I73" si="99">SUM(AF60:AI60)</f>
        <v>42.33035768218749</v>
      </c>
      <c r="J68" s="565">
        <f t="shared" ref="J68:J73" si="100">SUM(AJ60:AM60)</f>
        <v>45.293482719940606</v>
      </c>
      <c r="K68" s="565">
        <f t="shared" ref="K68:K73" si="101">SUM(AN60:AQ60)</f>
        <v>48.46402651033646</v>
      </c>
      <c r="L68" s="565">
        <f>AR60+AS60+AT60+AU60</f>
        <v>51.856508366060012</v>
      </c>
      <c r="M68" s="566"/>
      <c r="N68" s="566"/>
      <c r="O68" s="566"/>
      <c r="P68" s="566"/>
      <c r="Q68" s="566"/>
      <c r="R68" s="566"/>
      <c r="S68" s="566"/>
      <c r="T68" s="566"/>
      <c r="U68" s="566"/>
      <c r="V68" s="566"/>
      <c r="W68" s="566"/>
      <c r="X68" s="566"/>
      <c r="Y68" s="566"/>
      <c r="Z68" s="566"/>
      <c r="AA68" s="566"/>
      <c r="AB68" s="566"/>
      <c r="AC68" s="566"/>
      <c r="AD68" s="566"/>
      <c r="AE68" s="566"/>
      <c r="AF68" s="566"/>
      <c r="AG68" s="566"/>
      <c r="AH68" s="566"/>
      <c r="AI68" s="566"/>
      <c r="AJ68" s="566"/>
      <c r="AK68" s="566"/>
      <c r="AL68" s="566"/>
      <c r="AM68" s="566"/>
      <c r="AN68" s="566"/>
      <c r="AO68" s="566"/>
      <c r="AP68" s="566"/>
      <c r="AQ68" s="566"/>
      <c r="AR68" s="566"/>
      <c r="AS68" s="566"/>
      <c r="AT68" s="566"/>
      <c r="AU68" s="566"/>
    </row>
    <row r="69" spans="1:47" x14ac:dyDescent="0.3">
      <c r="A69" s="582" t="s">
        <v>182</v>
      </c>
      <c r="B69" s="565">
        <f t="shared" si="92"/>
        <v>0</v>
      </c>
      <c r="C69" s="565">
        <f t="shared" si="93"/>
        <v>2836.8</v>
      </c>
      <c r="D69" s="565">
        <f t="shared" si="94"/>
        <v>3035.3760000000002</v>
      </c>
      <c r="E69" s="565">
        <f t="shared" si="95"/>
        <v>3247.85232</v>
      </c>
      <c r="F69" s="565">
        <f t="shared" si="96"/>
        <v>3475.2019824000008</v>
      </c>
      <c r="G69" s="565">
        <f t="shared" si="97"/>
        <v>3718.4661211680009</v>
      </c>
      <c r="H69" s="565">
        <f t="shared" si="98"/>
        <v>3978.7587496497608</v>
      </c>
      <c r="I69" s="565">
        <f t="shared" si="99"/>
        <v>4233.0357682187487</v>
      </c>
      <c r="J69" s="565">
        <f t="shared" si="100"/>
        <v>4529.3482719940603</v>
      </c>
      <c r="K69" s="565">
        <f t="shared" si="101"/>
        <v>4846.4026510336462</v>
      </c>
      <c r="L69" s="565">
        <f t="shared" ref="L69:L73" si="102">AR61+AS61+AT61+AU61</f>
        <v>5185.6508366060016</v>
      </c>
      <c r="M69" s="566"/>
      <c r="N69" s="566"/>
      <c r="O69" s="566"/>
      <c r="P69" s="566"/>
      <c r="Q69" s="566"/>
      <c r="R69" s="566"/>
      <c r="S69" s="566"/>
      <c r="T69" s="566"/>
      <c r="U69" s="566"/>
      <c r="V69" s="566"/>
      <c r="W69" s="566"/>
      <c r="X69" s="566"/>
      <c r="Y69" s="566"/>
      <c r="Z69" s="566"/>
      <c r="AA69" s="566"/>
      <c r="AB69" s="566"/>
      <c r="AC69" s="566"/>
      <c r="AD69" s="566"/>
      <c r="AE69" s="566"/>
      <c r="AF69" s="566"/>
      <c r="AG69" s="566"/>
      <c r="AH69" s="566"/>
      <c r="AI69" s="566"/>
      <c r="AJ69" s="566"/>
      <c r="AK69" s="566"/>
      <c r="AL69" s="566"/>
      <c r="AM69" s="566"/>
      <c r="AN69" s="566"/>
      <c r="AO69" s="566"/>
      <c r="AP69" s="566"/>
      <c r="AQ69" s="566"/>
      <c r="AR69" s="566"/>
      <c r="AS69" s="566"/>
      <c r="AT69" s="566"/>
      <c r="AU69" s="566"/>
    </row>
    <row r="70" spans="1:47" x14ac:dyDescent="0.3">
      <c r="A70" s="582" t="s">
        <v>183</v>
      </c>
      <c r="B70" s="565"/>
      <c r="C70" s="565"/>
      <c r="D70" s="565"/>
      <c r="E70" s="565"/>
      <c r="F70" s="565"/>
      <c r="G70" s="565"/>
      <c r="H70" s="565"/>
      <c r="I70" s="565"/>
      <c r="J70" s="565"/>
      <c r="K70" s="565"/>
      <c r="L70" s="565">
        <f t="shared" si="102"/>
        <v>0</v>
      </c>
      <c r="M70" s="566"/>
      <c r="N70" s="566"/>
      <c r="O70" s="566"/>
      <c r="P70" s="566"/>
      <c r="Q70" s="566"/>
      <c r="R70" s="566"/>
      <c r="S70" s="566"/>
      <c r="T70" s="566"/>
      <c r="U70" s="566"/>
      <c r="V70" s="566"/>
      <c r="W70" s="566"/>
      <c r="X70" s="566"/>
      <c r="Y70" s="566"/>
      <c r="Z70" s="566"/>
      <c r="AA70" s="566"/>
      <c r="AB70" s="566"/>
      <c r="AC70" s="566"/>
      <c r="AD70" s="566"/>
      <c r="AE70" s="566"/>
      <c r="AF70" s="566"/>
      <c r="AG70" s="566"/>
      <c r="AH70" s="566"/>
      <c r="AI70" s="566"/>
      <c r="AJ70" s="566"/>
      <c r="AK70" s="566"/>
      <c r="AL70" s="566"/>
      <c r="AM70" s="566"/>
      <c r="AN70" s="566"/>
      <c r="AO70" s="566"/>
      <c r="AP70" s="566"/>
      <c r="AQ70" s="566"/>
      <c r="AR70" s="566"/>
      <c r="AS70" s="566"/>
      <c r="AT70" s="566"/>
      <c r="AU70" s="566"/>
    </row>
    <row r="71" spans="1:47" ht="28.8" x14ac:dyDescent="0.3">
      <c r="A71" s="582" t="s">
        <v>184</v>
      </c>
      <c r="B71" s="565">
        <f t="shared" si="92"/>
        <v>0</v>
      </c>
      <c r="C71" s="565">
        <f t="shared" si="93"/>
        <v>2080.3200000000002</v>
      </c>
      <c r="D71" s="565">
        <f t="shared" si="94"/>
        <v>2225.9423999999999</v>
      </c>
      <c r="E71" s="565">
        <f t="shared" si="95"/>
        <v>2381.7583680000002</v>
      </c>
      <c r="F71" s="565">
        <f t="shared" si="96"/>
        <v>2548.4814537600005</v>
      </c>
      <c r="G71" s="565">
        <f t="shared" si="97"/>
        <v>2726.8751555232006</v>
      </c>
      <c r="H71" s="565">
        <f t="shared" si="98"/>
        <v>2917.7564164098249</v>
      </c>
      <c r="I71" s="565">
        <f t="shared" si="99"/>
        <v>3104.2262300270827</v>
      </c>
      <c r="J71" s="565">
        <f t="shared" si="100"/>
        <v>3321.5220661289782</v>
      </c>
      <c r="K71" s="565">
        <f t="shared" si="101"/>
        <v>3554.0286107580073</v>
      </c>
      <c r="L71" s="565">
        <f t="shared" si="102"/>
        <v>3802.8106135110684</v>
      </c>
      <c r="M71" s="566"/>
      <c r="N71" s="566"/>
      <c r="O71" s="566"/>
      <c r="P71" s="566"/>
      <c r="Q71" s="566"/>
      <c r="R71" s="566"/>
      <c r="S71" s="566"/>
      <c r="T71" s="566"/>
      <c r="U71" s="566"/>
      <c r="V71" s="566"/>
      <c r="W71" s="566"/>
      <c r="X71" s="566"/>
      <c r="Y71" s="566"/>
      <c r="Z71" s="566"/>
      <c r="AA71" s="566"/>
      <c r="AB71" s="566"/>
      <c r="AC71" s="566"/>
      <c r="AD71" s="566"/>
      <c r="AE71" s="566"/>
      <c r="AF71" s="566"/>
      <c r="AG71" s="566"/>
      <c r="AH71" s="566"/>
      <c r="AI71" s="566"/>
      <c r="AJ71" s="566"/>
      <c r="AK71" s="566"/>
      <c r="AL71" s="566"/>
      <c r="AM71" s="566"/>
      <c r="AN71" s="566"/>
      <c r="AO71" s="566"/>
      <c r="AP71" s="566"/>
      <c r="AQ71" s="566"/>
      <c r="AR71" s="566"/>
      <c r="AS71" s="566"/>
      <c r="AT71" s="566"/>
      <c r="AU71" s="566"/>
    </row>
    <row r="72" spans="1:47" ht="43.2" x14ac:dyDescent="0.3">
      <c r="A72" s="582" t="s">
        <v>185</v>
      </c>
      <c r="B72" s="565">
        <f t="shared" si="92"/>
        <v>0</v>
      </c>
      <c r="C72" s="565">
        <f t="shared" si="93"/>
        <v>274.22399999999999</v>
      </c>
      <c r="D72" s="565">
        <f t="shared" si="94"/>
        <v>293.41968000000003</v>
      </c>
      <c r="E72" s="565">
        <f t="shared" si="95"/>
        <v>313.95905760000005</v>
      </c>
      <c r="F72" s="565">
        <f t="shared" si="96"/>
        <v>335.93619163200009</v>
      </c>
      <c r="G72" s="565">
        <f t="shared" si="97"/>
        <v>359.45172504624009</v>
      </c>
      <c r="H72" s="565">
        <f t="shared" si="98"/>
        <v>384.61334579947692</v>
      </c>
      <c r="I72" s="565">
        <f t="shared" si="99"/>
        <v>409.19345759447907</v>
      </c>
      <c r="J72" s="565">
        <f t="shared" si="100"/>
        <v>437.83699962609256</v>
      </c>
      <c r="K72" s="565">
        <f t="shared" si="101"/>
        <v>468.48558959991914</v>
      </c>
      <c r="L72" s="565">
        <f t="shared" si="102"/>
        <v>501.27958087191354</v>
      </c>
      <c r="M72" s="566"/>
      <c r="N72" s="566"/>
      <c r="O72" s="566"/>
      <c r="P72" s="566"/>
      <c r="Q72" s="566"/>
      <c r="R72" s="566"/>
      <c r="S72" s="566"/>
      <c r="T72" s="566"/>
      <c r="U72" s="566"/>
      <c r="V72" s="566"/>
      <c r="W72" s="566"/>
      <c r="X72" s="566"/>
      <c r="Y72" s="566"/>
      <c r="Z72" s="566"/>
      <c r="AA72" s="566"/>
      <c r="AB72" s="566"/>
      <c r="AC72" s="566"/>
      <c r="AD72" s="566"/>
      <c r="AE72" s="566"/>
      <c r="AF72" s="566"/>
      <c r="AG72" s="566"/>
      <c r="AH72" s="566"/>
      <c r="AI72" s="566"/>
      <c r="AJ72" s="566"/>
      <c r="AK72" s="566"/>
      <c r="AL72" s="566"/>
      <c r="AM72" s="566"/>
      <c r="AN72" s="566"/>
      <c r="AO72" s="566"/>
      <c r="AP72" s="566"/>
      <c r="AQ72" s="566"/>
      <c r="AR72" s="566"/>
      <c r="AS72" s="566"/>
      <c r="AT72" s="566"/>
      <c r="AU72" s="566"/>
    </row>
    <row r="73" spans="1:47" ht="28.8" x14ac:dyDescent="0.3">
      <c r="A73" s="582" t="s">
        <v>186</v>
      </c>
      <c r="B73" s="565">
        <f t="shared" si="92"/>
        <v>0</v>
      </c>
      <c r="C73" s="565">
        <f t="shared" si="93"/>
        <v>482.25599999999997</v>
      </c>
      <c r="D73" s="565">
        <f t="shared" si="94"/>
        <v>516.01391999999998</v>
      </c>
      <c r="E73" s="565">
        <f t="shared" si="95"/>
        <v>552.13489440000001</v>
      </c>
      <c r="F73" s="565">
        <f t="shared" si="96"/>
        <v>590.78433700800008</v>
      </c>
      <c r="G73" s="565">
        <f t="shared" si="97"/>
        <v>632.13924059856004</v>
      </c>
      <c r="H73" s="565">
        <f t="shared" si="98"/>
        <v>676.38898744045935</v>
      </c>
      <c r="I73" s="565">
        <f t="shared" si="99"/>
        <v>719.61608059718731</v>
      </c>
      <c r="J73" s="565">
        <f t="shared" si="100"/>
        <v>769.98920623899028</v>
      </c>
      <c r="K73" s="565">
        <f t="shared" si="101"/>
        <v>823.88845067571981</v>
      </c>
      <c r="L73" s="565">
        <f t="shared" si="102"/>
        <v>881.5606422230203</v>
      </c>
      <c r="M73" s="566"/>
      <c r="N73" s="566"/>
      <c r="O73" s="566"/>
      <c r="P73" s="566"/>
      <c r="Q73" s="566"/>
      <c r="R73" s="566"/>
      <c r="S73" s="566"/>
      <c r="T73" s="566"/>
      <c r="U73" s="566"/>
      <c r="V73" s="566"/>
      <c r="W73" s="566"/>
      <c r="X73" s="566"/>
      <c r="Y73" s="566"/>
      <c r="Z73" s="566"/>
      <c r="AA73" s="566"/>
      <c r="AB73" s="566"/>
      <c r="AC73" s="566"/>
      <c r="AD73" s="566"/>
      <c r="AE73" s="566"/>
      <c r="AF73" s="566"/>
      <c r="AG73" s="566"/>
      <c r="AH73" s="566"/>
      <c r="AI73" s="566"/>
      <c r="AJ73" s="566"/>
      <c r="AK73" s="566"/>
      <c r="AL73" s="566"/>
      <c r="AM73" s="566"/>
      <c r="AN73" s="566"/>
      <c r="AO73" s="566"/>
      <c r="AP73" s="566"/>
      <c r="AQ73" s="566"/>
      <c r="AR73" s="566"/>
      <c r="AS73" s="566"/>
      <c r="AT73" s="566"/>
      <c r="AU73" s="566"/>
    </row>
    <row r="74" spans="1:47" x14ac:dyDescent="0.3">
      <c r="A74" s="602" t="s">
        <v>19</v>
      </c>
      <c r="B74" s="603">
        <f>B68+B69</f>
        <v>0</v>
      </c>
      <c r="C74" s="603">
        <f>C68+C69</f>
        <v>2865.1680000000001</v>
      </c>
      <c r="D74" s="603">
        <f t="shared" ref="D74:L74" si="103">D68+D69</f>
        <v>3065.7297600000002</v>
      </c>
      <c r="E74" s="603">
        <f t="shared" si="103"/>
        <v>3280.3308431999999</v>
      </c>
      <c r="F74" s="603">
        <f t="shared" si="103"/>
        <v>3509.9540022240008</v>
      </c>
      <c r="G74" s="603">
        <f t="shared" si="103"/>
        <v>3755.650782379681</v>
      </c>
      <c r="H74" s="603">
        <f t="shared" si="103"/>
        <v>4018.5463371462583</v>
      </c>
      <c r="I74" s="603">
        <f t="shared" si="103"/>
        <v>4275.3661259009359</v>
      </c>
      <c r="J74" s="603">
        <f t="shared" si="103"/>
        <v>4574.6417547140009</v>
      </c>
      <c r="K74" s="603">
        <f t="shared" si="103"/>
        <v>4894.8666775439824</v>
      </c>
      <c r="L74" s="603">
        <f t="shared" si="103"/>
        <v>5237.5073449720612</v>
      </c>
      <c r="M74" s="566"/>
      <c r="N74" s="566"/>
      <c r="O74" s="566"/>
      <c r="P74" s="566"/>
      <c r="Q74" s="566"/>
      <c r="R74" s="566"/>
      <c r="S74" s="566"/>
      <c r="T74" s="566"/>
      <c r="U74" s="566"/>
      <c r="V74" s="566"/>
      <c r="W74" s="566"/>
      <c r="X74" s="566"/>
      <c r="Y74" s="566"/>
      <c r="Z74" s="566"/>
      <c r="AA74" s="566"/>
      <c r="AB74" s="566"/>
      <c r="AC74" s="566"/>
      <c r="AD74" s="566"/>
      <c r="AE74" s="566"/>
      <c r="AF74" s="566"/>
      <c r="AG74" s="566"/>
      <c r="AH74" s="566"/>
      <c r="AI74" s="566"/>
      <c r="AJ74" s="566"/>
      <c r="AK74" s="566"/>
      <c r="AL74" s="566"/>
      <c r="AM74" s="566"/>
      <c r="AN74" s="566"/>
      <c r="AO74" s="566"/>
      <c r="AP74" s="566"/>
      <c r="AQ74" s="566"/>
      <c r="AR74" s="566"/>
      <c r="AS74" s="566"/>
      <c r="AT74" s="566"/>
      <c r="AU74" s="566"/>
    </row>
    <row r="77" spans="1:47" x14ac:dyDescent="0.3">
      <c r="A77" s="389" t="s">
        <v>188</v>
      </c>
      <c r="B77" s="389" t="str">
        <f>'объем работ 100% загр'!C22</f>
        <v>1 год</v>
      </c>
      <c r="C77" s="389" t="str">
        <f>'объем работ 100% загр'!D22</f>
        <v>2 год</v>
      </c>
      <c r="D77" s="389" t="str">
        <f>'объем работ 100% загр'!E22</f>
        <v>3 год</v>
      </c>
      <c r="E77" s="389" t="str">
        <f>'объем работ 100% загр'!F22</f>
        <v>4 год</v>
      </c>
      <c r="F77" s="389" t="str">
        <f>'объем работ 100% загр'!G22</f>
        <v>5 год</v>
      </c>
      <c r="G77" s="389" t="str">
        <f>'объем работ 100% загр'!H22</f>
        <v>6 год</v>
      </c>
      <c r="H77" s="389" t="str">
        <f>'объем работ 100% загр'!I22</f>
        <v>7 год</v>
      </c>
      <c r="I77" s="389" t="str">
        <f>'объем работ 100% загр'!J22</f>
        <v>8 год</v>
      </c>
      <c r="J77" s="389" t="str">
        <f>'объем работ 100% загр'!K22</f>
        <v>9 год</v>
      </c>
      <c r="K77" s="389" t="str">
        <f>'объем работ 100% загр'!L22</f>
        <v>10 год</v>
      </c>
      <c r="L77" s="389" t="str">
        <f>'объем работ 100% загр'!M22</f>
        <v>11 год</v>
      </c>
    </row>
    <row r="78" spans="1:47" x14ac:dyDescent="0.3">
      <c r="A78" s="108" t="str">
        <f t="shared" ref="A78:A81" si="104">A2</f>
        <v>Генеральный директор</v>
      </c>
      <c r="B78" s="97">
        <f t="shared" ref="B78:B81" si="105">G2/C2/3</f>
        <v>0</v>
      </c>
      <c r="C78" s="97">
        <f t="shared" ref="C78:C81" si="106">K2/C2/3</f>
        <v>1</v>
      </c>
      <c r="D78" s="97">
        <f t="shared" ref="D78:D81" si="107">O2/C2/3</f>
        <v>1.07</v>
      </c>
      <c r="E78" s="97">
        <f t="shared" ref="E78:E81" si="108">S2/C2/3</f>
        <v>1.1449000000000005</v>
      </c>
      <c r="F78" s="120">
        <f>W2/C2/3/1</f>
        <v>1.2250430000000003</v>
      </c>
      <c r="G78" s="120">
        <f t="shared" ref="G78:G81" si="109">AA2/C2/3</f>
        <v>1.3107960100000005</v>
      </c>
      <c r="H78" s="120">
        <f t="shared" ref="H78:H81" si="110">AE2/C2/3</f>
        <v>1.4025517307000006</v>
      </c>
      <c r="I78" s="120">
        <f t="shared" ref="I78:I81" si="111">AI2/3/C2/1.1</f>
        <v>1.3643003198627277</v>
      </c>
      <c r="J78" s="120">
        <f t="shared" ref="J78:J81" si="112">AM2/3/C2/1.1</f>
        <v>1.4598013422531189</v>
      </c>
      <c r="K78" s="109">
        <f t="shared" ref="K78:K81" si="113">AQ2/3/C2/1.1</f>
        <v>1.5619874362108372</v>
      </c>
      <c r="L78" s="109">
        <f>K78</f>
        <v>1.5619874362108372</v>
      </c>
    </row>
    <row r="79" spans="1:47" ht="28.5" customHeight="1" x14ac:dyDescent="0.3">
      <c r="A79" s="108" t="str">
        <f t="shared" si="104"/>
        <v>Главный инженер</v>
      </c>
      <c r="B79" s="97">
        <f t="shared" si="105"/>
        <v>0</v>
      </c>
      <c r="C79" s="97">
        <f t="shared" si="106"/>
        <v>1</v>
      </c>
      <c r="D79" s="97">
        <f t="shared" si="107"/>
        <v>1.07</v>
      </c>
      <c r="E79" s="97">
        <f t="shared" si="108"/>
        <v>1.1449</v>
      </c>
      <c r="F79" s="120">
        <f t="shared" ref="F79:F81" si="114">W3/C3/3</f>
        <v>1.2250430000000001</v>
      </c>
      <c r="G79" s="120">
        <f t="shared" si="109"/>
        <v>1.31079601</v>
      </c>
      <c r="H79" s="120">
        <f t="shared" si="110"/>
        <v>1.4025517307000002</v>
      </c>
      <c r="I79" s="120">
        <f t="shared" si="111"/>
        <v>1.3515498495836367</v>
      </c>
      <c r="J79" s="120">
        <f t="shared" si="112"/>
        <v>1.4461583390544912</v>
      </c>
      <c r="K79" s="109">
        <f t="shared" si="113"/>
        <v>1.5473894227883058</v>
      </c>
      <c r="L79" s="109">
        <f t="shared" ref="L79:L91" si="115">K79</f>
        <v>1.5473894227883058</v>
      </c>
      <c r="N79" s="671" t="s">
        <v>189</v>
      </c>
      <c r="O79" s="671"/>
    </row>
    <row r="80" spans="1:47" ht="33" customHeight="1" x14ac:dyDescent="0.3">
      <c r="A80" s="108" t="str">
        <f t="shared" si="104"/>
        <v>Менеджер по продажам</v>
      </c>
      <c r="B80" s="97">
        <f t="shared" si="105"/>
        <v>0</v>
      </c>
      <c r="C80" s="97">
        <f t="shared" si="106"/>
        <v>1</v>
      </c>
      <c r="D80" s="97">
        <f t="shared" si="107"/>
        <v>1.07</v>
      </c>
      <c r="E80" s="97">
        <f t="shared" si="108"/>
        <v>1.1449</v>
      </c>
      <c r="F80" s="120">
        <f t="shared" si="114"/>
        <v>1.2250430000000001</v>
      </c>
      <c r="G80" s="120">
        <f t="shared" si="109"/>
        <v>1.3107960100000002</v>
      </c>
      <c r="H80" s="120">
        <f t="shared" si="110"/>
        <v>1.4025517307000002</v>
      </c>
      <c r="I80" s="120">
        <f t="shared" si="111"/>
        <v>1.2750470279090911</v>
      </c>
      <c r="J80" s="120">
        <f t="shared" si="112"/>
        <v>1.3643003198627277</v>
      </c>
      <c r="K80" s="109">
        <f t="shared" si="113"/>
        <v>1.4598013422531186</v>
      </c>
      <c r="L80" s="109">
        <f t="shared" si="115"/>
        <v>1.4598013422531186</v>
      </c>
      <c r="N80" s="94" t="s">
        <v>190</v>
      </c>
      <c r="O80" s="121">
        <f>K82/K91</f>
        <v>0.26253132832080206</v>
      </c>
    </row>
    <row r="81" spans="1:15" ht="30.75" customHeight="1" x14ac:dyDescent="0.3">
      <c r="A81" s="108" t="str">
        <f t="shared" si="104"/>
        <v>Бухгалтер</v>
      </c>
      <c r="B81" s="97">
        <f t="shared" si="105"/>
        <v>0</v>
      </c>
      <c r="C81" s="97">
        <f t="shared" si="106"/>
        <v>1</v>
      </c>
      <c r="D81" s="97">
        <f t="shared" si="107"/>
        <v>1.07</v>
      </c>
      <c r="E81" s="97">
        <f t="shared" si="108"/>
        <v>1.1449000000000003</v>
      </c>
      <c r="F81" s="120">
        <f t="shared" si="114"/>
        <v>1.2250430000000003</v>
      </c>
      <c r="G81" s="120">
        <f t="shared" si="109"/>
        <v>1.3107960100000005</v>
      </c>
      <c r="H81" s="120">
        <f t="shared" si="110"/>
        <v>1.4025517307000002</v>
      </c>
      <c r="I81" s="120">
        <f t="shared" si="111"/>
        <v>1.3515498495836367</v>
      </c>
      <c r="J81" s="120">
        <f t="shared" si="112"/>
        <v>1.4461583390544914</v>
      </c>
      <c r="K81" s="109">
        <f t="shared" si="113"/>
        <v>1.5473894227883058</v>
      </c>
      <c r="L81" s="109">
        <f t="shared" si="115"/>
        <v>1.5473894227883058</v>
      </c>
      <c r="N81" s="94" t="s">
        <v>191</v>
      </c>
      <c r="O81" s="121">
        <f>K90/K91</f>
        <v>0.73746867167919794</v>
      </c>
    </row>
    <row r="82" spans="1:15" ht="30.75" customHeight="1" x14ac:dyDescent="0.3">
      <c r="A82" s="111" t="s">
        <v>192</v>
      </c>
      <c r="B82" s="112">
        <f>SUM(B78:B81)</f>
        <v>0</v>
      </c>
      <c r="C82" s="112">
        <f t="shared" ref="C82:J82" si="116">SUM(C78:C81)</f>
        <v>4</v>
      </c>
      <c r="D82" s="408">
        <f t="shared" si="116"/>
        <v>4.28</v>
      </c>
      <c r="E82" s="408">
        <f t="shared" si="116"/>
        <v>4.579600000000001</v>
      </c>
      <c r="F82" s="408">
        <f t="shared" si="116"/>
        <v>4.9001720000000013</v>
      </c>
      <c r="G82" s="408">
        <f t="shared" si="116"/>
        <v>5.2431840400000009</v>
      </c>
      <c r="H82" s="408">
        <f t="shared" si="116"/>
        <v>5.6102069228000007</v>
      </c>
      <c r="I82" s="408">
        <f t="shared" si="116"/>
        <v>5.3424470469390917</v>
      </c>
      <c r="J82" s="408">
        <f t="shared" si="116"/>
        <v>5.7164183402248296</v>
      </c>
      <c r="K82" s="113">
        <f>SUM(K78:K81)</f>
        <v>6.1165676240405675</v>
      </c>
      <c r="L82" s="113">
        <f t="shared" si="115"/>
        <v>6.1165676240405675</v>
      </c>
    </row>
    <row r="83" spans="1:15" x14ac:dyDescent="0.3">
      <c r="A83" s="409" t="str">
        <f t="shared" ref="A83:A90" si="117">A8</f>
        <v>Подразделение 1:</v>
      </c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09">
        <f t="shared" si="115"/>
        <v>0</v>
      </c>
    </row>
    <row r="84" spans="1:15" x14ac:dyDescent="0.3">
      <c r="A84" s="108" t="str">
        <f t="shared" si="117"/>
        <v>Бригадир</v>
      </c>
      <c r="B84" s="97">
        <f>G9/C9/3</f>
        <v>0</v>
      </c>
      <c r="C84" s="97">
        <f>K9/C9/3</f>
        <v>1</v>
      </c>
      <c r="D84" s="97">
        <f>O9/C9/3</f>
        <v>1.07</v>
      </c>
      <c r="E84" s="97">
        <f>S9/C9/3</f>
        <v>1.1449000000000003</v>
      </c>
      <c r="F84" s="120">
        <f>W9/C9/3</f>
        <v>1.2250430000000003</v>
      </c>
      <c r="G84" s="120">
        <f>AA9/C9/3</f>
        <v>1.3107960100000005</v>
      </c>
      <c r="H84" s="120">
        <f>AE9/C9/3</f>
        <v>1.4025517307000002</v>
      </c>
      <c r="I84" s="120">
        <f>AI9/3/C9/1.1</f>
        <v>1.3643003198627277</v>
      </c>
      <c r="J84" s="120">
        <f>AM9/3/C9/1.1</f>
        <v>1.4598013422531184</v>
      </c>
      <c r="K84" s="120">
        <f>AQ9/3/C9/1.1</f>
        <v>1.561987436210837</v>
      </c>
      <c r="L84" s="109">
        <f t="shared" si="115"/>
        <v>1.561987436210837</v>
      </c>
    </row>
    <row r="85" spans="1:15" ht="28.8" x14ac:dyDescent="0.3">
      <c r="A85" s="108" t="str">
        <f t="shared" si="117"/>
        <v>Оператор линии, наладчик</v>
      </c>
      <c r="B85" s="97">
        <f t="shared" ref="B85:B89" si="118">G10/C10/3</f>
        <v>0</v>
      </c>
      <c r="C85" s="97">
        <f t="shared" ref="C85:C89" si="119">K10/C10/3</f>
        <v>3</v>
      </c>
      <c r="D85" s="97">
        <f t="shared" ref="D85:D89" si="120">O10/C10/3</f>
        <v>3.2100000000000004</v>
      </c>
      <c r="E85" s="97">
        <f t="shared" ref="E85:E89" si="121">S10/C10/3</f>
        <v>3.4346999999999999</v>
      </c>
      <c r="F85" s="120">
        <f t="shared" ref="F85:F89" si="122">W10/C10/3</f>
        <v>3.6751290000000001</v>
      </c>
      <c r="G85" s="120">
        <f t="shared" ref="G85:G89" si="123">AA10/C10/3</f>
        <v>3.9323880300000003</v>
      </c>
      <c r="H85" s="120">
        <f t="shared" ref="H85:H89" si="124">AE10/C10/3</f>
        <v>4.2076551921000007</v>
      </c>
      <c r="I85" s="120">
        <f t="shared" ref="I85:I89" si="125">AI10/3/C10/1.1</f>
        <v>4.0929009595881825</v>
      </c>
      <c r="J85" s="120">
        <f t="shared" ref="J85:J89" si="126">AM10/3/C10/1.1</f>
        <v>4.3794040267593557</v>
      </c>
      <c r="K85" s="120">
        <f t="shared" ref="K85:K89" si="127">AQ10/3/C10/1.1</f>
        <v>4.6859623086325097</v>
      </c>
      <c r="L85" s="109">
        <f t="shared" si="115"/>
        <v>4.6859623086325097</v>
      </c>
    </row>
    <row r="86" spans="1:15" ht="28.8" x14ac:dyDescent="0.3">
      <c r="A86" s="108" t="str">
        <f t="shared" si="117"/>
        <v>Разнорабочий (грузчик, сторож, дворник)</v>
      </c>
      <c r="B86" s="97">
        <f t="shared" si="118"/>
        <v>0</v>
      </c>
      <c r="C86" s="97">
        <f t="shared" si="119"/>
        <v>5</v>
      </c>
      <c r="D86" s="97">
        <f t="shared" si="120"/>
        <v>5.3500000000000005</v>
      </c>
      <c r="E86" s="97">
        <f t="shared" si="121"/>
        <v>5.7244999999999999</v>
      </c>
      <c r="F86" s="120">
        <f t="shared" si="122"/>
        <v>6.1252150000000007</v>
      </c>
      <c r="G86" s="120">
        <f t="shared" si="123"/>
        <v>6.5539800500000007</v>
      </c>
      <c r="H86" s="120">
        <f t="shared" si="124"/>
        <v>7.0127586535000006</v>
      </c>
      <c r="I86" s="120">
        <f t="shared" si="125"/>
        <v>6.8215015993136374</v>
      </c>
      <c r="J86" s="120">
        <f t="shared" si="126"/>
        <v>7.2990067112655925</v>
      </c>
      <c r="K86" s="120">
        <f t="shared" si="127"/>
        <v>7.8099371810541847</v>
      </c>
      <c r="L86" s="109">
        <f t="shared" si="115"/>
        <v>7.8099371810541847</v>
      </c>
    </row>
    <row r="87" spans="1:15" ht="28.8" x14ac:dyDescent="0.3">
      <c r="A87" s="108" t="str">
        <f t="shared" si="117"/>
        <v>Зав. Складом (приемщик)</v>
      </c>
      <c r="B87" s="97">
        <f t="shared" si="118"/>
        <v>0</v>
      </c>
      <c r="C87" s="97">
        <f t="shared" si="119"/>
        <v>1</v>
      </c>
      <c r="D87" s="97">
        <f t="shared" si="120"/>
        <v>1.07</v>
      </c>
      <c r="E87" s="97">
        <f t="shared" si="121"/>
        <v>1.1449</v>
      </c>
      <c r="F87" s="120">
        <f t="shared" si="122"/>
        <v>1.2250430000000001</v>
      </c>
      <c r="G87" s="120">
        <f t="shared" si="123"/>
        <v>1.3107960100000002</v>
      </c>
      <c r="H87" s="120">
        <f t="shared" si="124"/>
        <v>1.4025517307000002</v>
      </c>
      <c r="I87" s="120">
        <f t="shared" si="125"/>
        <v>1.3643003198627277</v>
      </c>
      <c r="J87" s="120">
        <f t="shared" si="126"/>
        <v>1.4598013422531186</v>
      </c>
      <c r="K87" s="120">
        <f t="shared" si="127"/>
        <v>1.561987436210837</v>
      </c>
      <c r="L87" s="109">
        <f t="shared" si="115"/>
        <v>1.561987436210837</v>
      </c>
    </row>
    <row r="88" spans="1:15" ht="28.8" x14ac:dyDescent="0.3">
      <c r="A88" s="108" t="str">
        <f t="shared" si="117"/>
        <v>ИРС Разнорабочий (уборщик, дворник)</v>
      </c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109"/>
    </row>
    <row r="89" spans="1:15" x14ac:dyDescent="0.3">
      <c r="A89" s="108" t="str">
        <f t="shared" si="117"/>
        <v>Водитель</v>
      </c>
      <c r="B89" s="97">
        <f t="shared" si="118"/>
        <v>0</v>
      </c>
      <c r="C89" s="97">
        <f t="shared" si="119"/>
        <v>1</v>
      </c>
      <c r="D89" s="97">
        <f t="shared" si="120"/>
        <v>1.07</v>
      </c>
      <c r="E89" s="97">
        <f t="shared" si="121"/>
        <v>1.1449</v>
      </c>
      <c r="F89" s="120">
        <f t="shared" si="122"/>
        <v>1.2250430000000003</v>
      </c>
      <c r="G89" s="120">
        <f t="shared" si="123"/>
        <v>1.3107960100000005</v>
      </c>
      <c r="H89" s="120">
        <f t="shared" si="124"/>
        <v>1.4025517307000006</v>
      </c>
      <c r="I89" s="120">
        <f t="shared" si="125"/>
        <v>1.3643003198627277</v>
      </c>
      <c r="J89" s="120">
        <f t="shared" si="126"/>
        <v>1.4598013422531186</v>
      </c>
      <c r="K89" s="120">
        <f t="shared" si="127"/>
        <v>1.5619874362108372</v>
      </c>
      <c r="L89" s="109">
        <f t="shared" si="115"/>
        <v>1.5619874362108372</v>
      </c>
    </row>
    <row r="90" spans="1:15" ht="28.8" x14ac:dyDescent="0.3">
      <c r="A90" s="111" t="str">
        <f t="shared" si="117"/>
        <v>Итого ЗП по направлению:</v>
      </c>
      <c r="B90" s="112">
        <f>SUM(B84:B89)</f>
        <v>0</v>
      </c>
      <c r="C90" s="112">
        <f t="shared" ref="C90:K90" si="128">SUM(C84:C89)</f>
        <v>11</v>
      </c>
      <c r="D90" s="112">
        <f t="shared" si="128"/>
        <v>11.770000000000001</v>
      </c>
      <c r="E90" s="112">
        <f t="shared" si="128"/>
        <v>12.5939</v>
      </c>
      <c r="F90" s="112">
        <f t="shared" si="128"/>
        <v>13.475473000000001</v>
      </c>
      <c r="G90" s="112">
        <f t="shared" si="128"/>
        <v>14.418756110000004</v>
      </c>
      <c r="H90" s="112">
        <f t="shared" si="128"/>
        <v>15.428069037700002</v>
      </c>
      <c r="I90" s="112">
        <f t="shared" si="128"/>
        <v>15.007303518490005</v>
      </c>
      <c r="J90" s="112">
        <f t="shared" si="128"/>
        <v>16.057814764784304</v>
      </c>
      <c r="K90" s="112">
        <f t="shared" si="128"/>
        <v>17.181861798319204</v>
      </c>
      <c r="L90" s="112">
        <f t="shared" si="115"/>
        <v>17.181861798319204</v>
      </c>
    </row>
    <row r="91" spans="1:15" x14ac:dyDescent="0.3">
      <c r="A91" s="108" t="s">
        <v>193</v>
      </c>
      <c r="B91" s="97">
        <f>B82+B90</f>
        <v>0</v>
      </c>
      <c r="C91" s="97">
        <f t="shared" ref="C91:K91" si="129">C82+C90</f>
        <v>15</v>
      </c>
      <c r="D91" s="97">
        <f t="shared" si="129"/>
        <v>16.05</v>
      </c>
      <c r="E91" s="407">
        <f t="shared" si="129"/>
        <v>17.173500000000001</v>
      </c>
      <c r="F91" s="407">
        <f t="shared" si="129"/>
        <v>18.375645000000002</v>
      </c>
      <c r="G91" s="407">
        <f t="shared" si="129"/>
        <v>19.661940150000007</v>
      </c>
      <c r="H91" s="407">
        <f t="shared" si="129"/>
        <v>21.038275960500002</v>
      </c>
      <c r="I91" s="407">
        <f t="shared" si="129"/>
        <v>20.349750565429098</v>
      </c>
      <c r="J91" s="407">
        <f t="shared" si="129"/>
        <v>21.774233105009134</v>
      </c>
      <c r="K91" s="407">
        <f t="shared" si="129"/>
        <v>23.298429422359771</v>
      </c>
      <c r="L91" s="109">
        <f t="shared" si="115"/>
        <v>23.298429422359771</v>
      </c>
    </row>
  </sheetData>
  <mergeCells count="1">
    <mergeCell ref="N79:O79"/>
  </mergeCells>
  <pageMargins left="0.59055118110236249" right="0.59055118110236249" top="0.98425196850393704" bottom="0.39370078740157477" header="0" footer="0"/>
  <pageSetup paperSize="8" scale="63" firstPageNumber="2147483648" fitToWidth="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9">
    <tabColor theme="0"/>
    <pageSetUpPr fitToPage="1"/>
  </sheetPr>
  <dimension ref="A1:BG77"/>
  <sheetViews>
    <sheetView topLeftCell="A58" zoomScale="80" workbookViewId="0">
      <pane xSplit="1" topLeftCell="B1" activePane="topRight" state="frozen"/>
      <selection activeCell="H54" sqref="H54"/>
      <selection pane="topRight" activeCell="N72" sqref="N72"/>
    </sheetView>
  </sheetViews>
  <sheetFormatPr defaultColWidth="9.109375" defaultRowHeight="14.4" x14ac:dyDescent="0.3"/>
  <cols>
    <col min="1" max="1" width="22.33203125" style="64" customWidth="1"/>
    <col min="2" max="2" width="13.109375" style="64" customWidth="1"/>
    <col min="3" max="3" width="10.33203125" style="122" customWidth="1"/>
    <col min="4" max="4" width="10.6640625" style="64" customWidth="1"/>
    <col min="5" max="6" width="10.109375" style="64" customWidth="1"/>
    <col min="7" max="7" width="10" style="64" customWidth="1"/>
    <col min="8" max="11" width="11.88671875" style="64" customWidth="1"/>
    <col min="12" max="12" width="11.5546875" style="64" customWidth="1"/>
    <col min="13" max="13" width="12" style="64" customWidth="1"/>
    <col min="14" max="14" width="16" style="64" customWidth="1"/>
    <col min="15" max="15" width="11.5546875" style="64" customWidth="1"/>
    <col min="16" max="16" width="9.5546875" style="64" bestFit="1" customWidth="1"/>
    <col min="17" max="17" width="11.88671875" style="64" customWidth="1"/>
    <col min="18" max="18" width="11.33203125" style="64" bestFit="1" customWidth="1"/>
    <col min="19" max="19" width="11.5546875" style="64" customWidth="1"/>
    <col min="20" max="20" width="12" style="64" customWidth="1"/>
    <col min="21" max="22" width="11.33203125" style="64" bestFit="1" customWidth="1"/>
    <col min="23" max="24" width="11.88671875" style="64" customWidth="1"/>
    <col min="25" max="26" width="11.5546875" style="64" customWidth="1"/>
    <col min="27" max="27" width="11.44140625" style="64" customWidth="1"/>
    <col min="28" max="28" width="12" style="64" customWidth="1"/>
    <col min="29" max="29" width="11.88671875" style="64" customWidth="1"/>
    <col min="30" max="30" width="11.5546875" style="64" customWidth="1"/>
    <col min="31" max="31" width="11" style="64" customWidth="1"/>
    <col min="32" max="32" width="11.109375" style="64" customWidth="1"/>
    <col min="33" max="33" width="11.5546875" style="64" customWidth="1"/>
    <col min="34" max="34" width="12" style="64" customWidth="1"/>
    <col min="35" max="36" width="11.44140625" style="64" customWidth="1"/>
    <col min="37" max="37" width="12" style="64" customWidth="1"/>
    <col min="38" max="38" width="11.5546875" style="64" customWidth="1"/>
    <col min="39" max="39" width="11.44140625" style="64" customWidth="1"/>
    <col min="40" max="40" width="11" style="64" customWidth="1"/>
    <col min="41" max="41" width="10.6640625" style="64" customWidth="1"/>
    <col min="42" max="47" width="11.44140625" style="64" customWidth="1"/>
    <col min="48" max="48" width="14" style="64" customWidth="1"/>
    <col min="49" max="49" width="9.33203125" style="64" bestFit="1" customWidth="1"/>
    <col min="50" max="51" width="11.88671875" style="64" customWidth="1"/>
    <col min="52" max="52" width="11.109375" style="64" customWidth="1"/>
    <col min="53" max="53" width="12.88671875" style="64" customWidth="1"/>
    <col min="54" max="55" width="11.109375" style="64" customWidth="1"/>
    <col min="56" max="56" width="11.88671875" style="64" customWidth="1"/>
    <col min="57" max="57" width="11.44140625" style="64" customWidth="1"/>
    <col min="58" max="58" width="11.88671875" style="64" customWidth="1"/>
    <col min="59" max="59" width="12.44140625" style="64" bestFit="1" customWidth="1"/>
    <col min="60" max="16384" width="9.109375" style="64"/>
  </cols>
  <sheetData>
    <row r="1" spans="1:59" s="411" customFormat="1" ht="59.25" customHeight="1" x14ac:dyDescent="0.3">
      <c r="A1" s="410" t="s">
        <v>127</v>
      </c>
      <c r="B1" s="410" t="s">
        <v>128</v>
      </c>
      <c r="C1" s="410" t="s">
        <v>129</v>
      </c>
      <c r="D1" s="410" t="str">
        <f>'Расходы на ЗП ОТ'!D1</f>
        <v>I кв. 1 г.</v>
      </c>
      <c r="E1" s="410" t="str">
        <f>'Расходы на ЗП ОТ'!E1</f>
        <v>II кв. 1 г.</v>
      </c>
      <c r="F1" s="410" t="str">
        <f>'Расходы на ЗП ОТ'!F1</f>
        <v>III кв. 1 г.</v>
      </c>
      <c r="G1" s="410" t="str">
        <f>'Расходы на ЗП ОТ'!G1</f>
        <v>IV кв. 1 г.</v>
      </c>
      <c r="H1" s="410" t="str">
        <f>'Расходы на ЗП ОТ'!H1</f>
        <v>I кв. 2 г.</v>
      </c>
      <c r="I1" s="410" t="str">
        <f>'Расходы на ЗП ОТ'!I1</f>
        <v>II кв. 2 г.</v>
      </c>
      <c r="J1" s="410" t="str">
        <f>'Расходы на ЗП ОТ'!J1</f>
        <v>III кв. 2 г.</v>
      </c>
      <c r="K1" s="410" t="str">
        <f>'Расходы на ЗП ОТ'!K1</f>
        <v>IV кв. 2 г.</v>
      </c>
      <c r="L1" s="410" t="str">
        <f>'Расходы на ЗП ОТ'!L1</f>
        <v>I кв. 3 г.</v>
      </c>
      <c r="M1" s="410" t="str">
        <f>'Расходы на ЗП ОТ'!M1</f>
        <v>II кв. 3 г.</v>
      </c>
      <c r="N1" s="410" t="str">
        <f>'Расходы на ЗП ОТ'!N1</f>
        <v>III кв. 3 г.</v>
      </c>
      <c r="O1" s="410" t="str">
        <f>'Расходы на ЗП ОТ'!O1</f>
        <v>IV кв. 3 г.</v>
      </c>
      <c r="P1" s="410" t="str">
        <f>'Расходы на ЗП ОТ'!P1</f>
        <v>I кв. 4 г.</v>
      </c>
      <c r="Q1" s="410" t="str">
        <f>'Расходы на ЗП ОТ'!Q1</f>
        <v>II кв. 4 г.</v>
      </c>
      <c r="R1" s="410" t="str">
        <f>'Расходы на ЗП ОТ'!R1</f>
        <v>III кв. 4 г.</v>
      </c>
      <c r="S1" s="410" t="str">
        <f>'Расходы на ЗП ОТ'!S1</f>
        <v>IV кв. 4 г.</v>
      </c>
      <c r="T1" s="410" t="str">
        <f>'Расходы на ЗП ОТ'!T1</f>
        <v>I кв. 5 г.</v>
      </c>
      <c r="U1" s="410" t="str">
        <f>'Расходы на ЗП ОТ'!U1</f>
        <v>II кв. 5 г.</v>
      </c>
      <c r="V1" s="410" t="str">
        <f>'Расходы на ЗП ОТ'!V1</f>
        <v>III кв. 5 г.</v>
      </c>
      <c r="W1" s="410" t="str">
        <f>'Расходы на ЗП ОТ'!W1</f>
        <v>IV кв. 5 г.</v>
      </c>
      <c r="X1" s="410" t="str">
        <f>'Расходы на ЗП ОТ'!X1</f>
        <v>I кв. 6 г.</v>
      </c>
      <c r="Y1" s="410" t="str">
        <f>'Расходы на ЗП ОТ'!Y1</f>
        <v>II кв. 6 г.</v>
      </c>
      <c r="Z1" s="410" t="str">
        <f>'Расходы на ЗП ОТ'!Z1</f>
        <v>III кв. 6 г.</v>
      </c>
      <c r="AA1" s="410" t="str">
        <f>'Расходы на ЗП ОТ'!AA1</f>
        <v>IV кв. 6 г.</v>
      </c>
      <c r="AB1" s="410" t="str">
        <f>'Расходы на ЗП ОТ'!AB1</f>
        <v>I кв. 7 г.</v>
      </c>
      <c r="AC1" s="410" t="str">
        <f>'Расходы на ЗП ОТ'!AC1</f>
        <v>II кв. 7 г.</v>
      </c>
      <c r="AD1" s="410" t="str">
        <f>'Расходы на ЗП ОТ'!AD1</f>
        <v>III кв. 7 г.</v>
      </c>
      <c r="AE1" s="410" t="str">
        <f>'Расходы на ЗП ОТ'!AE1</f>
        <v>IV кв. 7 г.</v>
      </c>
      <c r="AF1" s="410" t="str">
        <f>'Расходы на ЗП ОТ'!AF1</f>
        <v>I кв. 8 г.</v>
      </c>
      <c r="AG1" s="410" t="str">
        <f>'Расходы на ЗП ОТ'!AG1</f>
        <v>II кв. 8 г.</v>
      </c>
      <c r="AH1" s="410" t="str">
        <f>'Расходы на ЗП ОТ'!AH1</f>
        <v>III кв. 8 г.</v>
      </c>
      <c r="AI1" s="410" t="str">
        <f>'Расходы на ЗП ОТ'!AI1</f>
        <v>IV кв. 8 г.</v>
      </c>
      <c r="AJ1" s="410" t="str">
        <f>'Расходы на ЗП ОТ'!AJ1</f>
        <v>I кв. 9 г.</v>
      </c>
      <c r="AK1" s="410" t="str">
        <f>'Расходы на ЗП ОТ'!AK1</f>
        <v>II кв. 9 г.</v>
      </c>
      <c r="AL1" s="410" t="str">
        <f>'Расходы на ЗП ОТ'!AL1</f>
        <v>III кв. 9 г.</v>
      </c>
      <c r="AM1" s="410" t="str">
        <f>'Расходы на ЗП ОТ'!AM1</f>
        <v>IV кв. 9 г.</v>
      </c>
      <c r="AN1" s="410" t="str">
        <f>'Расходы на ЗП ОТ'!AN1</f>
        <v>I кв. 10 г.</v>
      </c>
      <c r="AO1" s="410" t="str">
        <f>'Расходы на ЗП ОТ'!AO1</f>
        <v>II кв. 10 г.</v>
      </c>
      <c r="AP1" s="410" t="str">
        <f>'Расходы на ЗП ОТ'!AP1</f>
        <v>III кв. 10 г.</v>
      </c>
      <c r="AQ1" s="410" t="str">
        <f>'Расходы на ЗП ОТ'!AQ1</f>
        <v>IV кв. 10 г.</v>
      </c>
      <c r="AR1" s="410" t="str">
        <f>'Расходы на ЗП ОТ'!AR1</f>
        <v>I кв. 11 г.</v>
      </c>
      <c r="AS1" s="410" t="str">
        <f>'Расходы на ЗП ОТ'!AS1</f>
        <v>II кв. 11 г.</v>
      </c>
      <c r="AT1" s="410" t="str">
        <f>'Расходы на ЗП ОТ'!AT1</f>
        <v>III кв. 11 г.</v>
      </c>
      <c r="AU1" s="410" t="str">
        <f>'Расходы на ЗП ОТ'!AU1</f>
        <v>IV кв. 11 г.</v>
      </c>
      <c r="AV1" s="410"/>
      <c r="AW1" s="410" t="str">
        <f>'Расходы на ЗП ОТ'!AW1</f>
        <v>1 год</v>
      </c>
      <c r="AX1" s="410" t="str">
        <f>'Расходы на ЗП ОТ'!AX1</f>
        <v>2 год</v>
      </c>
      <c r="AY1" s="410" t="str">
        <f>'Расходы на ЗП ОТ'!AY1</f>
        <v>3 год</v>
      </c>
      <c r="AZ1" s="410" t="str">
        <f>'Расходы на ЗП ОТ'!AZ1</f>
        <v>4 год</v>
      </c>
      <c r="BA1" s="410" t="str">
        <f>'Расходы на ЗП ОТ'!BA1</f>
        <v>5 год</v>
      </c>
      <c r="BB1" s="410" t="str">
        <f>'Расходы на ЗП ОТ'!BB1</f>
        <v>6 год</v>
      </c>
      <c r="BC1" s="410" t="str">
        <f>'Расходы на ЗП ОТ'!BC1</f>
        <v>7 год</v>
      </c>
      <c r="BD1" s="410" t="str">
        <f>'Расходы на ЗП ОТ'!BD1</f>
        <v>8 год</v>
      </c>
      <c r="BE1" s="410" t="str">
        <f>'Расходы на ЗП ОТ'!BE1</f>
        <v>9 год</v>
      </c>
      <c r="BF1" s="410" t="str">
        <f>'Расходы на ЗП ОТ'!BF1</f>
        <v>10 год</v>
      </c>
      <c r="BG1" s="410" t="str">
        <f>'Расходы на ЗП ОТ'!BG1</f>
        <v>11 год</v>
      </c>
    </row>
    <row r="2" spans="1:59" ht="37.5" customHeight="1" x14ac:dyDescent="0.3">
      <c r="A2" s="412" t="str">
        <f>'Расходы на ЗП ОТ'!A2</f>
        <v>Генеральный директор</v>
      </c>
      <c r="B2" s="124">
        <f>'Расходы на ЗП ОТ'!B2</f>
        <v>1</v>
      </c>
      <c r="C2" s="125">
        <f>'Расходы на ЗП ОТ'!C2</f>
        <v>95</v>
      </c>
      <c r="D2" s="126">
        <f>'Расходы на ЗП ОТ'!D2</f>
        <v>0</v>
      </c>
      <c r="E2" s="126">
        <f>'Расходы на ЗП ОТ'!E2</f>
        <v>0</v>
      </c>
      <c r="F2" s="126">
        <f>'Расходы на ЗП ОТ'!F2</f>
        <v>0</v>
      </c>
      <c r="G2" s="126">
        <v>0</v>
      </c>
      <c r="H2" s="126">
        <f>'Расходы на ЗП ОТ'!H2</f>
        <v>285</v>
      </c>
      <c r="I2" s="126">
        <f>'Расходы на ЗП ОТ'!I2</f>
        <v>285</v>
      </c>
      <c r="J2" s="126">
        <f>'Расходы на ЗП ОТ'!J2</f>
        <v>285</v>
      </c>
      <c r="K2" s="126">
        <f>'Расходы на ЗП ОТ'!K2</f>
        <v>285</v>
      </c>
      <c r="L2" s="126">
        <f>'Расходы на ЗП ОТ'!L2</f>
        <v>304.95000000000005</v>
      </c>
      <c r="M2" s="126">
        <f>'Расходы на ЗП ОТ'!M2</f>
        <v>304.95000000000005</v>
      </c>
      <c r="N2" s="126">
        <f>'Расходы на ЗП ОТ'!N2</f>
        <v>304.95000000000005</v>
      </c>
      <c r="O2" s="126">
        <f>'Расходы на ЗП ОТ'!O2</f>
        <v>304.95000000000005</v>
      </c>
      <c r="P2" s="126">
        <f>'Расходы на ЗП ОТ'!P2</f>
        <v>326.29650000000009</v>
      </c>
      <c r="Q2" s="126">
        <f>'Расходы на ЗП ОТ'!Q2</f>
        <v>326.29650000000009</v>
      </c>
      <c r="R2" s="126">
        <f>'Расходы на ЗП ОТ'!R2</f>
        <v>326.29650000000009</v>
      </c>
      <c r="S2" s="126">
        <f>'Расходы на ЗП ОТ'!S2</f>
        <v>326.29650000000009</v>
      </c>
      <c r="T2" s="126">
        <f>'Расходы на ЗП ОТ'!T2</f>
        <v>349.1372550000001</v>
      </c>
      <c r="U2" s="126">
        <f>'Расходы на ЗП ОТ'!U2</f>
        <v>349.1372550000001</v>
      </c>
      <c r="V2" s="126">
        <f>'Расходы на ЗП ОТ'!V2</f>
        <v>349.1372550000001</v>
      </c>
      <c r="W2" s="126">
        <f>'Расходы на ЗП ОТ'!W2</f>
        <v>349.1372550000001</v>
      </c>
      <c r="X2" s="126">
        <f>'Расходы на ЗП ОТ'!X2</f>
        <v>373.57686285000011</v>
      </c>
      <c r="Y2" s="126">
        <f>'Расходы на ЗП ОТ'!Y2</f>
        <v>373.57686285000011</v>
      </c>
      <c r="Z2" s="126">
        <f>'Расходы на ЗП ОТ'!Z2</f>
        <v>373.57686285000011</v>
      </c>
      <c r="AA2" s="126">
        <f>'Расходы на ЗП ОТ'!AA2</f>
        <v>373.57686285000011</v>
      </c>
      <c r="AB2" s="126">
        <f>'Расходы на ЗП ОТ'!AB2</f>
        <v>399.72724324950013</v>
      </c>
      <c r="AC2" s="126">
        <f>'Расходы на ЗП ОТ'!AC2</f>
        <v>399.72724324950013</v>
      </c>
      <c r="AD2" s="126">
        <f>'Расходы на ЗП ОТ'!AD2</f>
        <v>399.72724324950013</v>
      </c>
      <c r="AE2" s="126">
        <f>'Расходы на ЗП ОТ'!AE2</f>
        <v>399.72724324950013</v>
      </c>
      <c r="AF2" s="126">
        <f>'Расходы на ЗП ОТ'!AF2</f>
        <v>427.70815027696517</v>
      </c>
      <c r="AG2" s="126">
        <f>'Расходы на ЗП ОТ'!AG2</f>
        <v>427.70815027696517</v>
      </c>
      <c r="AH2" s="126">
        <f>'Расходы на ЗП ОТ'!AH2</f>
        <v>427.70815027696517</v>
      </c>
      <c r="AI2" s="126">
        <f>'Расходы на ЗП ОТ'!AI2</f>
        <v>427.70815027696517</v>
      </c>
      <c r="AJ2" s="126">
        <f>'Расходы на ЗП ОТ'!AJ2</f>
        <v>457.64772079635276</v>
      </c>
      <c r="AK2" s="126">
        <f>'Расходы на ЗП ОТ'!AK2</f>
        <v>457.64772079635276</v>
      </c>
      <c r="AL2" s="126">
        <f>'Расходы на ЗП ОТ'!AL2</f>
        <v>457.64772079635276</v>
      </c>
      <c r="AM2" s="126">
        <f>'Расходы на ЗП ОТ'!AM2</f>
        <v>457.64772079635276</v>
      </c>
      <c r="AN2" s="126">
        <f>'Расходы на ЗП ОТ'!AN2</f>
        <v>489.6830612520975</v>
      </c>
      <c r="AO2" s="126">
        <f>'Расходы на ЗП ОТ'!AO2</f>
        <v>489.6830612520975</v>
      </c>
      <c r="AP2" s="126">
        <f>'Расходы на ЗП ОТ'!AP2</f>
        <v>489.6830612520975</v>
      </c>
      <c r="AQ2" s="126">
        <f>'Расходы на ЗП ОТ'!AQ2</f>
        <v>489.6830612520975</v>
      </c>
      <c r="AR2" s="126">
        <f>'Расходы на ЗП ОТ'!AR2</f>
        <v>523.96087553974439</v>
      </c>
      <c r="AS2" s="126">
        <f>'Расходы на ЗП ОТ'!AS2</f>
        <v>523.96087553974439</v>
      </c>
      <c r="AT2" s="126">
        <f>'Расходы на ЗП ОТ'!AT2</f>
        <v>523.96087553974439</v>
      </c>
      <c r="AU2" s="126">
        <f>'Расходы на ЗП ОТ'!AU2</f>
        <v>523.96087553974439</v>
      </c>
      <c r="AV2" s="126"/>
      <c r="AW2" s="126">
        <f t="shared" ref="AW2:AW58" si="0">SUM(D2:G2)</f>
        <v>0</v>
      </c>
      <c r="AX2" s="126">
        <f t="shared" ref="AX2:AX58" si="1">SUM(H2:K2)</f>
        <v>1140</v>
      </c>
      <c r="AY2" s="126">
        <f t="shared" ref="AY2:AY58" si="2">SUM(L2:O2)</f>
        <v>1219.8000000000002</v>
      </c>
      <c r="AZ2" s="126">
        <f t="shared" ref="AZ2:AZ58" si="3">SUM(P2:S2)</f>
        <v>1305.1860000000004</v>
      </c>
      <c r="BA2" s="126">
        <f t="shared" ref="BA2:BA58" si="4">SUM(T2:W2)</f>
        <v>1396.5490200000004</v>
      </c>
      <c r="BB2" s="126">
        <f t="shared" ref="BB2:BB58" si="5">SUM(X2:AA2)</f>
        <v>1494.3074514000004</v>
      </c>
      <c r="BC2" s="126">
        <f t="shared" ref="BC2:BC58" si="6">SUM(AB2:AE2)</f>
        <v>1598.9089729980005</v>
      </c>
      <c r="BD2" s="126">
        <f t="shared" ref="BD2:BD58" si="7">SUM(AF2:AI2)</f>
        <v>1710.8326011078607</v>
      </c>
      <c r="BE2" s="126">
        <f t="shared" ref="BE2:BE58" si="8">SUM(AJ2:AM2)</f>
        <v>1830.590883185411</v>
      </c>
      <c r="BF2" s="126">
        <f>SUM(AN2:AQ2)</f>
        <v>1958.73224500839</v>
      </c>
      <c r="BG2" s="126">
        <f>SUM(AR2:AU2)</f>
        <v>2095.8435021589776</v>
      </c>
    </row>
    <row r="3" spans="1:59" ht="22.5" customHeight="1" x14ac:dyDescent="0.3">
      <c r="A3" s="412" t="str">
        <f>'Расходы на ЗП ОТ'!A3</f>
        <v>Главный инженер</v>
      </c>
      <c r="B3" s="124">
        <f>'Расходы на ЗП ОТ'!B3</f>
        <v>1</v>
      </c>
      <c r="C3" s="125">
        <f>'Расходы на ЗП ОТ'!C3</f>
        <v>75</v>
      </c>
      <c r="D3" s="126">
        <f>'Расходы на ЗП ОТ'!D3</f>
        <v>0</v>
      </c>
      <c r="E3" s="126">
        <f>'Расходы на ЗП ОТ'!E3</f>
        <v>0</v>
      </c>
      <c r="F3" s="126">
        <f>'Расходы на ЗП ОТ'!F3</f>
        <v>0</v>
      </c>
      <c r="G3" s="126">
        <v>0</v>
      </c>
      <c r="H3" s="126">
        <f>'Расходы на ЗП ОТ'!H3</f>
        <v>225</v>
      </c>
      <c r="I3" s="126">
        <f>'Расходы на ЗП ОТ'!I3</f>
        <v>225</v>
      </c>
      <c r="J3" s="126">
        <f>'Расходы на ЗП ОТ'!J3</f>
        <v>225</v>
      </c>
      <c r="K3" s="126">
        <f>'Расходы на ЗП ОТ'!K3</f>
        <v>225</v>
      </c>
      <c r="L3" s="126">
        <f>'Расходы на ЗП ОТ'!L3</f>
        <v>240.75</v>
      </c>
      <c r="M3" s="126">
        <f>'Расходы на ЗП ОТ'!M3</f>
        <v>240.75</v>
      </c>
      <c r="N3" s="126">
        <f>'Расходы на ЗП ОТ'!N3</f>
        <v>240.75</v>
      </c>
      <c r="O3" s="126">
        <f>'Расходы на ЗП ОТ'!O3</f>
        <v>240.75</v>
      </c>
      <c r="P3" s="126">
        <f>'Расходы на ЗП ОТ'!P3</f>
        <v>257.60250000000002</v>
      </c>
      <c r="Q3" s="126">
        <f>'Расходы на ЗП ОТ'!Q3</f>
        <v>257.60250000000002</v>
      </c>
      <c r="R3" s="126">
        <f>'Расходы на ЗП ОТ'!R3</f>
        <v>257.60250000000002</v>
      </c>
      <c r="S3" s="126">
        <f>'Расходы на ЗП ОТ'!S3</f>
        <v>257.60250000000002</v>
      </c>
      <c r="T3" s="126">
        <f>'Расходы на ЗП ОТ'!T3</f>
        <v>275.63467500000002</v>
      </c>
      <c r="U3" s="126">
        <f>'Расходы на ЗП ОТ'!U3</f>
        <v>275.63467500000002</v>
      </c>
      <c r="V3" s="126">
        <f>'Расходы на ЗП ОТ'!V3</f>
        <v>275.63467500000002</v>
      </c>
      <c r="W3" s="126">
        <f>'Расходы на ЗП ОТ'!W3</f>
        <v>275.63467500000002</v>
      </c>
      <c r="X3" s="126">
        <f>'Расходы на ЗП ОТ'!X3</f>
        <v>294.92910225000003</v>
      </c>
      <c r="Y3" s="126">
        <f>'Расходы на ЗП ОТ'!Y3</f>
        <v>294.92910225000003</v>
      </c>
      <c r="Z3" s="126">
        <f>'Расходы на ЗП ОТ'!Z3</f>
        <v>294.92910225000003</v>
      </c>
      <c r="AA3" s="126">
        <f>'Расходы на ЗП ОТ'!AA3</f>
        <v>294.92910225000003</v>
      </c>
      <c r="AB3" s="126">
        <f>'Расходы на ЗП ОТ'!AB3</f>
        <v>315.57413940750007</v>
      </c>
      <c r="AC3" s="126">
        <f>'Расходы на ЗП ОТ'!AC3</f>
        <v>315.57413940750007</v>
      </c>
      <c r="AD3" s="126">
        <f>'Расходы на ЗП ОТ'!AD3</f>
        <v>315.57413940750007</v>
      </c>
      <c r="AE3" s="126">
        <f>'Расходы на ЗП ОТ'!AE3</f>
        <v>315.57413940750007</v>
      </c>
      <c r="AF3" s="126">
        <f>'Расходы на ЗП ОТ'!AF3</f>
        <v>334.50858777195009</v>
      </c>
      <c r="AG3" s="126">
        <f>'Расходы на ЗП ОТ'!AG3</f>
        <v>334.50858777195009</v>
      </c>
      <c r="AH3" s="126">
        <f>'Расходы на ЗП ОТ'!AH3</f>
        <v>334.50858777195009</v>
      </c>
      <c r="AI3" s="126">
        <f>'Расходы на ЗП ОТ'!AI3</f>
        <v>334.50858777195009</v>
      </c>
      <c r="AJ3" s="126">
        <f>'Расходы на ЗП ОТ'!AJ3</f>
        <v>357.92418891598663</v>
      </c>
      <c r="AK3" s="126">
        <f>'Расходы на ЗП ОТ'!AK3</f>
        <v>357.92418891598663</v>
      </c>
      <c r="AL3" s="126">
        <f>'Расходы на ЗП ОТ'!AL3</f>
        <v>357.92418891598663</v>
      </c>
      <c r="AM3" s="126">
        <f>'Расходы на ЗП ОТ'!AM3</f>
        <v>357.92418891598663</v>
      </c>
      <c r="AN3" s="126">
        <f>'Расходы на ЗП ОТ'!AN3</f>
        <v>382.97888214010572</v>
      </c>
      <c r="AO3" s="126">
        <f>'Расходы на ЗП ОТ'!AO3</f>
        <v>382.97888214010572</v>
      </c>
      <c r="AP3" s="126">
        <f>'Расходы на ЗП ОТ'!AP3</f>
        <v>382.97888214010572</v>
      </c>
      <c r="AQ3" s="126">
        <f>'Расходы на ЗП ОТ'!AQ3</f>
        <v>382.97888214010572</v>
      </c>
      <c r="AR3" s="126">
        <f>'Расходы на ЗП ОТ'!AR3</f>
        <v>409.78740388991315</v>
      </c>
      <c r="AS3" s="126">
        <f>'Расходы на ЗП ОТ'!AS3</f>
        <v>409.78740388991315</v>
      </c>
      <c r="AT3" s="126">
        <f>'Расходы на ЗП ОТ'!AT3</f>
        <v>409.78740388991315</v>
      </c>
      <c r="AU3" s="126">
        <f>'Расходы на ЗП ОТ'!AU3</f>
        <v>409.78740388991315</v>
      </c>
      <c r="AV3" s="126"/>
      <c r="AW3" s="126">
        <f>'Расходы на ЗП ОТ'!AW3</f>
        <v>0</v>
      </c>
      <c r="AX3" s="126">
        <f t="shared" si="1"/>
        <v>900</v>
      </c>
      <c r="AY3" s="126">
        <f t="shared" si="2"/>
        <v>963</v>
      </c>
      <c r="AZ3" s="126">
        <f t="shared" si="3"/>
        <v>1030.4100000000001</v>
      </c>
      <c r="BA3" s="126">
        <f t="shared" si="4"/>
        <v>1102.5387000000001</v>
      </c>
      <c r="BB3" s="126">
        <f t="shared" si="5"/>
        <v>1179.7164090000001</v>
      </c>
      <c r="BC3" s="126">
        <f t="shared" si="6"/>
        <v>1262.2965576300003</v>
      </c>
      <c r="BD3" s="126">
        <f t="shared" si="7"/>
        <v>1338.0343510878004</v>
      </c>
      <c r="BE3" s="126">
        <f t="shared" si="8"/>
        <v>1431.6967556639465</v>
      </c>
      <c r="BF3" s="126">
        <f t="shared" ref="BF3:BF58" si="9">SUM(AN3:AQ3)</f>
        <v>1531.9155285604229</v>
      </c>
      <c r="BG3" s="126">
        <f t="shared" ref="BG3:BG58" si="10">SUM(AR3:AU3)</f>
        <v>1639.1496155596526</v>
      </c>
    </row>
    <row r="4" spans="1:59" ht="32.25" customHeight="1" x14ac:dyDescent="0.3">
      <c r="A4" s="412" t="str">
        <f>'Расходы на ЗП ОТ'!A4</f>
        <v>Менеджер по продажам</v>
      </c>
      <c r="B4" s="124">
        <f>'Расходы на ЗП ОТ'!B4</f>
        <v>1</v>
      </c>
      <c r="C4" s="125">
        <f>'Расходы на ЗП ОТ'!C4</f>
        <v>50</v>
      </c>
      <c r="D4" s="126">
        <f>'Расходы на ЗП ОТ'!D4</f>
        <v>0</v>
      </c>
      <c r="E4" s="126">
        <f>'Расходы на ЗП ОТ'!E4</f>
        <v>0</v>
      </c>
      <c r="F4" s="126">
        <f>'Расходы на ЗП ОТ'!F4</f>
        <v>0</v>
      </c>
      <c r="G4" s="126">
        <v>0</v>
      </c>
      <c r="H4" s="126">
        <f>'Расходы на ЗП ОТ'!H4</f>
        <v>150</v>
      </c>
      <c r="I4" s="126">
        <f>'Расходы на ЗП ОТ'!I4</f>
        <v>150</v>
      </c>
      <c r="J4" s="126">
        <f>'Расходы на ЗП ОТ'!J4</f>
        <v>150</v>
      </c>
      <c r="K4" s="126">
        <f>'Расходы на ЗП ОТ'!K4</f>
        <v>150</v>
      </c>
      <c r="L4" s="126">
        <f>'Расходы на ЗП ОТ'!L4</f>
        <v>160.5</v>
      </c>
      <c r="M4" s="126">
        <f>'Расходы на ЗП ОТ'!M4</f>
        <v>160.5</v>
      </c>
      <c r="N4" s="126">
        <f>'Расходы на ЗП ОТ'!N4</f>
        <v>160.5</v>
      </c>
      <c r="O4" s="126">
        <f>'Расходы на ЗП ОТ'!O4</f>
        <v>160.5</v>
      </c>
      <c r="P4" s="126">
        <f>'Расходы на ЗП ОТ'!P4</f>
        <v>171.73500000000001</v>
      </c>
      <c r="Q4" s="126">
        <f>'Расходы на ЗП ОТ'!Q4</f>
        <v>171.73500000000001</v>
      </c>
      <c r="R4" s="126">
        <f>'Расходы на ЗП ОТ'!R4</f>
        <v>171.73500000000001</v>
      </c>
      <c r="S4" s="126">
        <f>'Расходы на ЗП ОТ'!S4</f>
        <v>171.73500000000001</v>
      </c>
      <c r="T4" s="126">
        <f>'Расходы на ЗП ОТ'!T4</f>
        <v>183.75645000000003</v>
      </c>
      <c r="U4" s="126">
        <f>'Расходы на ЗП ОТ'!U4</f>
        <v>183.75645000000003</v>
      </c>
      <c r="V4" s="126">
        <f>'Расходы на ЗП ОТ'!V4</f>
        <v>183.75645000000003</v>
      </c>
      <c r="W4" s="126">
        <f>'Расходы на ЗП ОТ'!W4</f>
        <v>183.75645000000003</v>
      </c>
      <c r="X4" s="126">
        <f>'Расходы на ЗП ОТ'!X4</f>
        <v>196.61940150000004</v>
      </c>
      <c r="Y4" s="126">
        <f>'Расходы на ЗП ОТ'!Y4</f>
        <v>196.61940150000004</v>
      </c>
      <c r="Z4" s="126">
        <f>'Расходы на ЗП ОТ'!Z4</f>
        <v>196.61940150000004</v>
      </c>
      <c r="AA4" s="126">
        <f>'Расходы на ЗП ОТ'!AA4</f>
        <v>196.61940150000004</v>
      </c>
      <c r="AB4" s="126">
        <f>'Расходы на ЗП ОТ'!AB4</f>
        <v>210.38275960500005</v>
      </c>
      <c r="AC4" s="126">
        <f>'Расходы на ЗП ОТ'!AC4</f>
        <v>210.38275960500005</v>
      </c>
      <c r="AD4" s="126">
        <f>'Расходы на ЗП ОТ'!AD4</f>
        <v>210.38275960500005</v>
      </c>
      <c r="AE4" s="126">
        <f>'Расходы на ЗП ОТ'!AE4</f>
        <v>210.38275960500005</v>
      </c>
      <c r="AF4" s="126">
        <f>'Расходы на ЗП ОТ'!AF4</f>
        <v>210.38275960500005</v>
      </c>
      <c r="AG4" s="126">
        <f>'Расходы на ЗП ОТ'!AG4</f>
        <v>210.38275960500005</v>
      </c>
      <c r="AH4" s="126">
        <f>'Расходы на ЗП ОТ'!AH4</f>
        <v>210.38275960500005</v>
      </c>
      <c r="AI4" s="126">
        <f>'Расходы на ЗП ОТ'!AI4</f>
        <v>210.38275960500005</v>
      </c>
      <c r="AJ4" s="126">
        <f>'Расходы на ЗП ОТ'!AJ4</f>
        <v>225.10955277735007</v>
      </c>
      <c r="AK4" s="126">
        <f>'Расходы на ЗП ОТ'!AK4</f>
        <v>225.10955277735007</v>
      </c>
      <c r="AL4" s="126">
        <f>'Расходы на ЗП ОТ'!AL4</f>
        <v>225.10955277735007</v>
      </c>
      <c r="AM4" s="126">
        <f>'Расходы на ЗП ОТ'!AM4</f>
        <v>225.10955277735007</v>
      </c>
      <c r="AN4" s="126">
        <f>'Расходы на ЗП ОТ'!AN4</f>
        <v>240.86722147176459</v>
      </c>
      <c r="AO4" s="126">
        <f>'Расходы на ЗП ОТ'!AO4</f>
        <v>240.86722147176459</v>
      </c>
      <c r="AP4" s="126">
        <f>'Расходы на ЗП ОТ'!AP4</f>
        <v>240.86722147176459</v>
      </c>
      <c r="AQ4" s="126">
        <f>'Расходы на ЗП ОТ'!AQ4</f>
        <v>240.86722147176459</v>
      </c>
      <c r="AR4" s="126">
        <f>'Расходы на ЗП ОТ'!AR4</f>
        <v>257.72792697478815</v>
      </c>
      <c r="AS4" s="126">
        <f>'Расходы на ЗП ОТ'!AS4</f>
        <v>257.72792697478815</v>
      </c>
      <c r="AT4" s="126">
        <f>'Расходы на ЗП ОТ'!AT4</f>
        <v>257.72792697478815</v>
      </c>
      <c r="AU4" s="126">
        <f>'Расходы на ЗП ОТ'!AU4</f>
        <v>257.72792697478815</v>
      </c>
      <c r="AV4" s="126"/>
      <c r="AW4" s="126">
        <f t="shared" si="0"/>
        <v>0</v>
      </c>
      <c r="AX4" s="126">
        <f t="shared" si="1"/>
        <v>600</v>
      </c>
      <c r="AY4" s="126">
        <f t="shared" si="2"/>
        <v>642</v>
      </c>
      <c r="AZ4" s="126">
        <f t="shared" si="3"/>
        <v>686.94</v>
      </c>
      <c r="BA4" s="126">
        <f t="shared" si="4"/>
        <v>735.02580000000012</v>
      </c>
      <c r="BB4" s="126">
        <f t="shared" si="5"/>
        <v>786.47760600000015</v>
      </c>
      <c r="BC4" s="126">
        <f t="shared" si="6"/>
        <v>841.53103842000019</v>
      </c>
      <c r="BD4" s="126">
        <f t="shared" si="7"/>
        <v>841.53103842000019</v>
      </c>
      <c r="BE4" s="126">
        <f t="shared" si="8"/>
        <v>900.4382111094003</v>
      </c>
      <c r="BF4" s="126">
        <f t="shared" si="9"/>
        <v>963.46888588705838</v>
      </c>
      <c r="BG4" s="126">
        <f t="shared" si="10"/>
        <v>1030.9117078991526</v>
      </c>
    </row>
    <row r="5" spans="1:59" ht="36" customHeight="1" x14ac:dyDescent="0.3">
      <c r="A5" s="412" t="str">
        <f>'Расходы на ЗП ОТ'!A5</f>
        <v>Бухгалтер</v>
      </c>
      <c r="B5" s="124">
        <f>'Расходы на ЗП ОТ'!B5</f>
        <v>1</v>
      </c>
      <c r="C5" s="125">
        <f>'Расходы на ЗП ОТ'!C5</f>
        <v>55</v>
      </c>
      <c r="D5" s="126">
        <f>'Расходы на ЗП ОТ'!D5</f>
        <v>0</v>
      </c>
      <c r="E5" s="126">
        <f>'Расходы на ЗП ОТ'!E5</f>
        <v>0</v>
      </c>
      <c r="F5" s="126">
        <f>'Расходы на ЗП ОТ'!F5</f>
        <v>0</v>
      </c>
      <c r="G5" s="126">
        <v>0</v>
      </c>
      <c r="H5" s="126">
        <f>'Расходы на ЗП ОТ'!H5</f>
        <v>165</v>
      </c>
      <c r="I5" s="126">
        <f>'Расходы на ЗП ОТ'!I5</f>
        <v>165</v>
      </c>
      <c r="J5" s="126">
        <f>'Расходы на ЗП ОТ'!J5</f>
        <v>165</v>
      </c>
      <c r="K5" s="126">
        <f>'Расходы на ЗП ОТ'!K5</f>
        <v>165</v>
      </c>
      <c r="L5" s="126">
        <f>'Расходы на ЗП ОТ'!L5</f>
        <v>176.55</v>
      </c>
      <c r="M5" s="126">
        <f>'Расходы на ЗП ОТ'!M5</f>
        <v>176.55</v>
      </c>
      <c r="N5" s="126">
        <f>'Расходы на ЗП ОТ'!N5</f>
        <v>176.55</v>
      </c>
      <c r="O5" s="126">
        <f>'Расходы на ЗП ОТ'!O5</f>
        <v>176.55</v>
      </c>
      <c r="P5" s="126">
        <f>'Расходы на ЗП ОТ'!P5</f>
        <v>188.90850000000003</v>
      </c>
      <c r="Q5" s="126">
        <f>'Расходы на ЗП ОТ'!Q5</f>
        <v>188.90850000000003</v>
      </c>
      <c r="R5" s="126">
        <f>'Расходы на ЗП ОТ'!R5</f>
        <v>188.90850000000003</v>
      </c>
      <c r="S5" s="126">
        <f>'Расходы на ЗП ОТ'!S5</f>
        <v>188.90850000000003</v>
      </c>
      <c r="T5" s="126">
        <f>'Расходы на ЗП ОТ'!T5</f>
        <v>202.13209500000005</v>
      </c>
      <c r="U5" s="126">
        <f>'Расходы на ЗП ОТ'!U5</f>
        <v>202.13209500000005</v>
      </c>
      <c r="V5" s="126">
        <f>'Расходы на ЗП ОТ'!V5</f>
        <v>202.13209500000005</v>
      </c>
      <c r="W5" s="126">
        <f>'Расходы на ЗП ОТ'!W5</f>
        <v>202.13209500000005</v>
      </c>
      <c r="X5" s="126">
        <f>'Расходы на ЗП ОТ'!X5</f>
        <v>216.28134165000006</v>
      </c>
      <c r="Y5" s="126">
        <f>'Расходы на ЗП ОТ'!Y5</f>
        <v>216.28134165000006</v>
      </c>
      <c r="Z5" s="126">
        <f>'Расходы на ЗП ОТ'!Z5</f>
        <v>216.28134165000006</v>
      </c>
      <c r="AA5" s="126">
        <f>'Расходы на ЗП ОТ'!AA5</f>
        <v>216.28134165000006</v>
      </c>
      <c r="AB5" s="126">
        <f>'Расходы на ЗП ОТ'!AB5</f>
        <v>231.42103556550006</v>
      </c>
      <c r="AC5" s="126">
        <f>'Расходы на ЗП ОТ'!AC5</f>
        <v>231.42103556550006</v>
      </c>
      <c r="AD5" s="126">
        <f>'Расходы на ЗП ОТ'!AD5</f>
        <v>231.42103556550006</v>
      </c>
      <c r="AE5" s="126">
        <f>'Расходы на ЗП ОТ'!AE5</f>
        <v>231.42103556550006</v>
      </c>
      <c r="AF5" s="126">
        <f>'Расходы на ЗП ОТ'!AF5</f>
        <v>245.30629769943008</v>
      </c>
      <c r="AG5" s="126">
        <f>'Расходы на ЗП ОТ'!AG5</f>
        <v>245.30629769943008</v>
      </c>
      <c r="AH5" s="126">
        <f>'Расходы на ЗП ОТ'!AH5</f>
        <v>245.30629769943008</v>
      </c>
      <c r="AI5" s="126">
        <f>'Расходы на ЗП ОТ'!AI5</f>
        <v>245.30629769943008</v>
      </c>
      <c r="AJ5" s="126">
        <f>'Расходы на ЗП ОТ'!AJ5</f>
        <v>262.47773853839021</v>
      </c>
      <c r="AK5" s="126">
        <f>'Расходы на ЗП ОТ'!AK5</f>
        <v>262.47773853839021</v>
      </c>
      <c r="AL5" s="126">
        <f>'Расходы на ЗП ОТ'!AL5</f>
        <v>262.47773853839021</v>
      </c>
      <c r="AM5" s="126">
        <f>'Расходы на ЗП ОТ'!AM5</f>
        <v>262.47773853839021</v>
      </c>
      <c r="AN5" s="126">
        <f>'Расходы на ЗП ОТ'!AN5</f>
        <v>280.85118023607754</v>
      </c>
      <c r="AO5" s="126">
        <f>'Расходы на ЗП ОТ'!AO5</f>
        <v>280.85118023607754</v>
      </c>
      <c r="AP5" s="126">
        <f>'Расходы на ЗП ОТ'!AP5</f>
        <v>280.85118023607754</v>
      </c>
      <c r="AQ5" s="126">
        <f>'Расходы на ЗП ОТ'!AQ5</f>
        <v>280.85118023607754</v>
      </c>
      <c r="AR5" s="126">
        <f>'Расходы на ЗП ОТ'!AR5</f>
        <v>300.51076285260297</v>
      </c>
      <c r="AS5" s="126">
        <f>'Расходы на ЗП ОТ'!AS5</f>
        <v>300.51076285260297</v>
      </c>
      <c r="AT5" s="126">
        <f>'Расходы на ЗП ОТ'!AT5</f>
        <v>300.51076285260297</v>
      </c>
      <c r="AU5" s="126">
        <f>'Расходы на ЗП ОТ'!AU5</f>
        <v>300.51076285260297</v>
      </c>
      <c r="AV5" s="126"/>
      <c r="AW5" s="126">
        <f t="shared" si="0"/>
        <v>0</v>
      </c>
      <c r="AX5" s="126">
        <f t="shared" si="1"/>
        <v>660</v>
      </c>
      <c r="AY5" s="126">
        <f t="shared" si="2"/>
        <v>706.2</v>
      </c>
      <c r="AZ5" s="126">
        <f t="shared" si="3"/>
        <v>755.63400000000013</v>
      </c>
      <c r="BA5" s="126">
        <f t="shared" si="4"/>
        <v>808.5283800000002</v>
      </c>
      <c r="BB5" s="126">
        <f t="shared" si="5"/>
        <v>865.12536660000023</v>
      </c>
      <c r="BC5" s="126">
        <f t="shared" si="6"/>
        <v>925.68414226200025</v>
      </c>
      <c r="BD5" s="126">
        <f t="shared" si="7"/>
        <v>981.2251907977203</v>
      </c>
      <c r="BE5" s="126">
        <f t="shared" si="8"/>
        <v>1049.9109541535609</v>
      </c>
      <c r="BF5" s="126">
        <f t="shared" si="9"/>
        <v>1123.4047209443102</v>
      </c>
      <c r="BG5" s="126">
        <f t="shared" si="10"/>
        <v>1202.0430514104119</v>
      </c>
    </row>
    <row r="6" spans="1:59" s="127" customFormat="1" ht="35.25" customHeight="1" x14ac:dyDescent="0.3">
      <c r="A6" s="128" t="s">
        <v>134</v>
      </c>
      <c r="B6" s="128">
        <f>'Расходы на ЗП ОТ'!B6</f>
        <v>4</v>
      </c>
      <c r="C6" s="129">
        <f>'Расходы на ЗП ОТ'!C6</f>
        <v>0</v>
      </c>
      <c r="D6" s="129">
        <f>SUM(D2:D5)</f>
        <v>0</v>
      </c>
      <c r="E6" s="129">
        <f t="shared" ref="E6:AQ6" si="11">SUM(E2:E5)</f>
        <v>0</v>
      </c>
      <c r="F6" s="129">
        <f t="shared" si="11"/>
        <v>0</v>
      </c>
      <c r="G6" s="129">
        <f t="shared" si="11"/>
        <v>0</v>
      </c>
      <c r="H6" s="129">
        <f t="shared" si="11"/>
        <v>825</v>
      </c>
      <c r="I6" s="129">
        <f t="shared" si="11"/>
        <v>825</v>
      </c>
      <c r="J6" s="129">
        <f t="shared" si="11"/>
        <v>825</v>
      </c>
      <c r="K6" s="129">
        <f t="shared" si="11"/>
        <v>825</v>
      </c>
      <c r="L6" s="129">
        <f t="shared" si="11"/>
        <v>882.75</v>
      </c>
      <c r="M6" s="129">
        <f t="shared" si="11"/>
        <v>882.75</v>
      </c>
      <c r="N6" s="129">
        <f t="shared" si="11"/>
        <v>882.75</v>
      </c>
      <c r="O6" s="129">
        <f t="shared" si="11"/>
        <v>882.75</v>
      </c>
      <c r="P6" s="129">
        <f t="shared" si="11"/>
        <v>944.54250000000013</v>
      </c>
      <c r="Q6" s="129">
        <f t="shared" si="11"/>
        <v>944.54250000000013</v>
      </c>
      <c r="R6" s="129">
        <f t="shared" si="11"/>
        <v>944.54250000000013</v>
      </c>
      <c r="S6" s="129">
        <f t="shared" si="11"/>
        <v>944.54250000000013</v>
      </c>
      <c r="T6" s="129">
        <f>SUM(T2:T5)</f>
        <v>1010.6604750000002</v>
      </c>
      <c r="U6" s="129">
        <f t="shared" si="11"/>
        <v>1010.6604750000002</v>
      </c>
      <c r="V6" s="129">
        <f t="shared" si="11"/>
        <v>1010.6604750000002</v>
      </c>
      <c r="W6" s="129">
        <f t="shared" si="11"/>
        <v>1010.6604750000002</v>
      </c>
      <c r="X6" s="129">
        <f t="shared" si="11"/>
        <v>1081.4067082500003</v>
      </c>
      <c r="Y6" s="129">
        <f t="shared" si="11"/>
        <v>1081.4067082500003</v>
      </c>
      <c r="Z6" s="129">
        <f t="shared" si="11"/>
        <v>1081.4067082500003</v>
      </c>
      <c r="AA6" s="129">
        <f t="shared" si="11"/>
        <v>1081.4067082500003</v>
      </c>
      <c r="AB6" s="129">
        <f t="shared" si="11"/>
        <v>1157.1051778275003</v>
      </c>
      <c r="AC6" s="129">
        <f t="shared" si="11"/>
        <v>1157.1051778275003</v>
      </c>
      <c r="AD6" s="129">
        <f t="shared" si="11"/>
        <v>1157.1051778275003</v>
      </c>
      <c r="AE6" s="129">
        <f t="shared" si="11"/>
        <v>1157.1051778275003</v>
      </c>
      <c r="AF6" s="129">
        <f t="shared" si="11"/>
        <v>1217.9057953533454</v>
      </c>
      <c r="AG6" s="129">
        <f t="shared" si="11"/>
        <v>1217.9057953533454</v>
      </c>
      <c r="AH6" s="129">
        <f t="shared" si="11"/>
        <v>1217.9057953533454</v>
      </c>
      <c r="AI6" s="129">
        <f t="shared" si="11"/>
        <v>1217.9057953533454</v>
      </c>
      <c r="AJ6" s="129">
        <f t="shared" si="11"/>
        <v>1303.1592010280797</v>
      </c>
      <c r="AK6" s="129">
        <f t="shared" si="11"/>
        <v>1303.1592010280797</v>
      </c>
      <c r="AL6" s="129">
        <f t="shared" si="11"/>
        <v>1303.1592010280797</v>
      </c>
      <c r="AM6" s="129">
        <f t="shared" si="11"/>
        <v>1303.1592010280797</v>
      </c>
      <c r="AN6" s="129">
        <f t="shared" si="11"/>
        <v>1394.3803451000454</v>
      </c>
      <c r="AO6" s="129">
        <f t="shared" si="11"/>
        <v>1394.3803451000454</v>
      </c>
      <c r="AP6" s="129">
        <f t="shared" si="11"/>
        <v>1394.3803451000454</v>
      </c>
      <c r="AQ6" s="129">
        <f t="shared" si="11"/>
        <v>1394.3803451000454</v>
      </c>
      <c r="AR6" s="129">
        <f t="shared" ref="AR6:AU6" si="12">SUM(AR2:AR5)</f>
        <v>1491.9869692570487</v>
      </c>
      <c r="AS6" s="129">
        <f t="shared" si="12"/>
        <v>1491.9869692570487</v>
      </c>
      <c r="AT6" s="129">
        <f t="shared" si="12"/>
        <v>1491.9869692570487</v>
      </c>
      <c r="AU6" s="129">
        <f t="shared" si="12"/>
        <v>1491.9869692570487</v>
      </c>
      <c r="AV6" s="129"/>
      <c r="AW6" s="129">
        <f t="shared" si="0"/>
        <v>0</v>
      </c>
      <c r="AX6" s="129">
        <f t="shared" si="1"/>
        <v>3300</v>
      </c>
      <c r="AY6" s="129">
        <f t="shared" si="2"/>
        <v>3531</v>
      </c>
      <c r="AZ6" s="129">
        <f t="shared" si="3"/>
        <v>3778.1700000000005</v>
      </c>
      <c r="BA6" s="129">
        <f t="shared" si="4"/>
        <v>4042.641900000001</v>
      </c>
      <c r="BB6" s="129">
        <f t="shared" si="5"/>
        <v>4325.6268330000012</v>
      </c>
      <c r="BC6" s="129">
        <f t="shared" si="6"/>
        <v>4628.420711310001</v>
      </c>
      <c r="BD6" s="129">
        <f t="shared" si="7"/>
        <v>4871.6231814133816</v>
      </c>
      <c r="BE6" s="129">
        <f t="shared" si="8"/>
        <v>5212.6368041123187</v>
      </c>
      <c r="BF6" s="129">
        <f t="shared" si="9"/>
        <v>5577.5213804001814</v>
      </c>
      <c r="BG6" s="610">
        <f t="shared" si="10"/>
        <v>5967.9478770281949</v>
      </c>
    </row>
    <row r="7" spans="1:59" s="130" customFormat="1" ht="30.75" customHeight="1" x14ac:dyDescent="0.3">
      <c r="A7" s="131" t="s">
        <v>135</v>
      </c>
      <c r="B7" s="131">
        <f>'Расходы на ЗП ОТ'!B7</f>
        <v>0</v>
      </c>
      <c r="C7" s="132">
        <f>'Расходы на ЗП ОТ'!C7</f>
        <v>0</v>
      </c>
      <c r="D7" s="132">
        <f>D6*$B$62</f>
        <v>0</v>
      </c>
      <c r="E7" s="132">
        <f t="shared" ref="E7:AQ7" si="13">E6*$B$62</f>
        <v>0</v>
      </c>
      <c r="F7" s="132">
        <f t="shared" si="13"/>
        <v>0</v>
      </c>
      <c r="G7" s="132">
        <f t="shared" si="13"/>
        <v>0</v>
      </c>
      <c r="H7" s="132">
        <f t="shared" si="13"/>
        <v>247.5</v>
      </c>
      <c r="I7" s="132">
        <f t="shared" si="13"/>
        <v>247.5</v>
      </c>
      <c r="J7" s="132">
        <f t="shared" si="13"/>
        <v>247.5</v>
      </c>
      <c r="K7" s="132">
        <f t="shared" si="13"/>
        <v>247.5</v>
      </c>
      <c r="L7" s="132">
        <f t="shared" si="13"/>
        <v>264.82499999999999</v>
      </c>
      <c r="M7" s="132">
        <f t="shared" si="13"/>
        <v>264.82499999999999</v>
      </c>
      <c r="N7" s="132">
        <f t="shared" si="13"/>
        <v>264.82499999999999</v>
      </c>
      <c r="O7" s="132">
        <f t="shared" si="13"/>
        <v>264.82499999999999</v>
      </c>
      <c r="P7" s="132">
        <f t="shared" si="13"/>
        <v>283.36275000000001</v>
      </c>
      <c r="Q7" s="132">
        <f t="shared" si="13"/>
        <v>283.36275000000001</v>
      </c>
      <c r="R7" s="132">
        <f t="shared" si="13"/>
        <v>283.36275000000001</v>
      </c>
      <c r="S7" s="132">
        <f t="shared" si="13"/>
        <v>283.36275000000001</v>
      </c>
      <c r="T7" s="132">
        <f>T6*$B$62</f>
        <v>303.19814250000007</v>
      </c>
      <c r="U7" s="132">
        <f t="shared" si="13"/>
        <v>303.19814250000007</v>
      </c>
      <c r="V7" s="132">
        <f t="shared" si="13"/>
        <v>303.19814250000007</v>
      </c>
      <c r="W7" s="132">
        <f t="shared" si="13"/>
        <v>303.19814250000007</v>
      </c>
      <c r="X7" s="132">
        <f t="shared" si="13"/>
        <v>324.42201247500009</v>
      </c>
      <c r="Y7" s="132">
        <f t="shared" si="13"/>
        <v>324.42201247500009</v>
      </c>
      <c r="Z7" s="132">
        <f t="shared" si="13"/>
        <v>324.42201247500009</v>
      </c>
      <c r="AA7" s="132">
        <f t="shared" si="13"/>
        <v>324.42201247500009</v>
      </c>
      <c r="AB7" s="132">
        <f t="shared" si="13"/>
        <v>347.13155334825007</v>
      </c>
      <c r="AC7" s="132">
        <f t="shared" si="13"/>
        <v>347.13155334825007</v>
      </c>
      <c r="AD7" s="132">
        <f t="shared" si="13"/>
        <v>347.13155334825007</v>
      </c>
      <c r="AE7" s="132">
        <f t="shared" si="13"/>
        <v>347.13155334825007</v>
      </c>
      <c r="AF7" s="132">
        <f t="shared" si="13"/>
        <v>365.37173860600359</v>
      </c>
      <c r="AG7" s="132">
        <f t="shared" si="13"/>
        <v>365.37173860600359</v>
      </c>
      <c r="AH7" s="132">
        <f t="shared" si="13"/>
        <v>365.37173860600359</v>
      </c>
      <c r="AI7" s="132">
        <f t="shared" si="13"/>
        <v>365.37173860600359</v>
      </c>
      <c r="AJ7" s="132">
        <f t="shared" si="13"/>
        <v>390.94776030842388</v>
      </c>
      <c r="AK7" s="132">
        <f t="shared" si="13"/>
        <v>390.94776030842388</v>
      </c>
      <c r="AL7" s="132">
        <f t="shared" si="13"/>
        <v>390.94776030842388</v>
      </c>
      <c r="AM7" s="132">
        <f t="shared" si="13"/>
        <v>390.94776030842388</v>
      </c>
      <c r="AN7" s="132">
        <f t="shared" si="13"/>
        <v>418.3141035300136</v>
      </c>
      <c r="AO7" s="132">
        <f t="shared" si="13"/>
        <v>418.3141035300136</v>
      </c>
      <c r="AP7" s="132">
        <f t="shared" si="13"/>
        <v>418.3141035300136</v>
      </c>
      <c r="AQ7" s="132">
        <f t="shared" si="13"/>
        <v>418.3141035300136</v>
      </c>
      <c r="AR7" s="132">
        <f t="shared" ref="AR7:AU7" si="14">AR6*$B$62</f>
        <v>447.59609077711463</v>
      </c>
      <c r="AS7" s="132">
        <f t="shared" si="14"/>
        <v>447.59609077711463</v>
      </c>
      <c r="AT7" s="132">
        <f t="shared" si="14"/>
        <v>447.59609077711463</v>
      </c>
      <c r="AU7" s="132">
        <f t="shared" si="14"/>
        <v>447.59609077711463</v>
      </c>
      <c r="AV7" s="132"/>
      <c r="AW7" s="132">
        <f t="shared" si="0"/>
        <v>0</v>
      </c>
      <c r="AX7" s="132">
        <f t="shared" si="1"/>
        <v>990</v>
      </c>
      <c r="AY7" s="132">
        <f t="shared" si="2"/>
        <v>1059.3</v>
      </c>
      <c r="AZ7" s="132">
        <f t="shared" si="3"/>
        <v>1133.451</v>
      </c>
      <c r="BA7" s="132">
        <f t="shared" si="4"/>
        <v>1212.7925700000003</v>
      </c>
      <c r="BB7" s="132">
        <f t="shared" si="5"/>
        <v>1297.6880499000004</v>
      </c>
      <c r="BC7" s="132">
        <f t="shared" si="6"/>
        <v>1388.5262133930003</v>
      </c>
      <c r="BD7" s="132">
        <f t="shared" si="7"/>
        <v>1461.4869544240144</v>
      </c>
      <c r="BE7" s="132">
        <f t="shared" si="8"/>
        <v>1563.7910412336955</v>
      </c>
      <c r="BF7" s="132">
        <f t="shared" si="9"/>
        <v>1673.2564141200544</v>
      </c>
      <c r="BG7" s="132">
        <f t="shared" si="10"/>
        <v>1790.3843631084585</v>
      </c>
    </row>
    <row r="8" spans="1:59" ht="21.75" customHeight="1" x14ac:dyDescent="0.3">
      <c r="A8" s="133" t="s">
        <v>136</v>
      </c>
      <c r="B8" s="123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>
        <f t="shared" si="0"/>
        <v>0</v>
      </c>
      <c r="AX8" s="126">
        <f t="shared" si="1"/>
        <v>0</v>
      </c>
      <c r="AY8" s="126">
        <f t="shared" si="2"/>
        <v>0</v>
      </c>
      <c r="AZ8" s="126">
        <f t="shared" si="3"/>
        <v>0</v>
      </c>
      <c r="BA8" s="126">
        <f t="shared" si="4"/>
        <v>0</v>
      </c>
      <c r="BB8" s="126">
        <f t="shared" si="5"/>
        <v>0</v>
      </c>
      <c r="BC8" s="126">
        <f t="shared" si="6"/>
        <v>0</v>
      </c>
      <c r="BD8" s="126">
        <f t="shared" si="7"/>
        <v>0</v>
      </c>
      <c r="BE8" s="126">
        <f t="shared" si="8"/>
        <v>0</v>
      </c>
      <c r="BF8" s="126">
        <f t="shared" si="9"/>
        <v>0</v>
      </c>
      <c r="BG8" s="126">
        <f t="shared" si="10"/>
        <v>0</v>
      </c>
    </row>
    <row r="9" spans="1:59" x14ac:dyDescent="0.3">
      <c r="A9" s="413" t="str">
        <f>'Расходы на ЗП ОТ'!A9</f>
        <v>Бригадир</v>
      </c>
      <c r="B9" s="124">
        <f>'Расходы на ЗП ОТ'!B9</f>
        <v>1</v>
      </c>
      <c r="C9" s="125">
        <f>'Расходы на ЗП ОТ'!C9</f>
        <v>55</v>
      </c>
      <c r="D9" s="126">
        <f>'Расходы на ЗП ОТ'!D9</f>
        <v>0</v>
      </c>
      <c r="E9" s="126">
        <f>'Расходы на ЗП ОТ'!E9</f>
        <v>0</v>
      </c>
      <c r="F9" s="126">
        <f>'Расходы на ЗП ОТ'!F9</f>
        <v>0</v>
      </c>
      <c r="G9" s="126">
        <v>0</v>
      </c>
      <c r="H9" s="126">
        <f>'Расходы на ЗП ОТ'!H9</f>
        <v>165</v>
      </c>
      <c r="I9" s="126">
        <f>'Расходы на ЗП ОТ'!I9</f>
        <v>165</v>
      </c>
      <c r="J9" s="126">
        <f>'Расходы на ЗП ОТ'!J9</f>
        <v>165</v>
      </c>
      <c r="K9" s="126">
        <f>'Расходы на ЗП ОТ'!K9</f>
        <v>165</v>
      </c>
      <c r="L9" s="126">
        <f>'Расходы на ЗП ОТ'!L9</f>
        <v>176.55</v>
      </c>
      <c r="M9" s="126">
        <f>'Расходы на ЗП ОТ'!M9</f>
        <v>176.55</v>
      </c>
      <c r="N9" s="126">
        <f>'Расходы на ЗП ОТ'!N9</f>
        <v>176.55</v>
      </c>
      <c r="O9" s="126">
        <f>'Расходы на ЗП ОТ'!O9</f>
        <v>176.55</v>
      </c>
      <c r="P9" s="126">
        <f>'Расходы на ЗП ОТ'!P9</f>
        <v>188.90850000000003</v>
      </c>
      <c r="Q9" s="126">
        <f>'Расходы на ЗП ОТ'!Q9</f>
        <v>188.90850000000003</v>
      </c>
      <c r="R9" s="126">
        <f>'Расходы на ЗП ОТ'!R9</f>
        <v>188.90850000000003</v>
      </c>
      <c r="S9" s="126">
        <f>'Расходы на ЗП ОТ'!S9</f>
        <v>188.90850000000003</v>
      </c>
      <c r="T9" s="126">
        <f>'Расходы на ЗП ОТ'!T9</f>
        <v>202.13209500000005</v>
      </c>
      <c r="U9" s="126">
        <f>'Расходы на ЗП ОТ'!U9</f>
        <v>202.13209500000005</v>
      </c>
      <c r="V9" s="126">
        <f>'Расходы на ЗП ОТ'!V9</f>
        <v>202.13209500000005</v>
      </c>
      <c r="W9" s="126">
        <f>'Расходы на ЗП ОТ'!W9</f>
        <v>202.13209500000005</v>
      </c>
      <c r="X9" s="126">
        <f>'Расходы на ЗП ОТ'!X9</f>
        <v>216.28134165000006</v>
      </c>
      <c r="Y9" s="126">
        <f>'Расходы на ЗП ОТ'!Y9</f>
        <v>216.28134165000006</v>
      </c>
      <c r="Z9" s="126">
        <f>'Расходы на ЗП ОТ'!Z9</f>
        <v>216.28134165000006</v>
      </c>
      <c r="AA9" s="126">
        <f>'Расходы на ЗП ОТ'!AA9</f>
        <v>216.28134165000006</v>
      </c>
      <c r="AB9" s="126">
        <f>'Расходы на ЗП ОТ'!AB9</f>
        <v>231.42103556550006</v>
      </c>
      <c r="AC9" s="126">
        <f>'Расходы на ЗП ОТ'!AC9</f>
        <v>231.42103556550006</v>
      </c>
      <c r="AD9" s="126">
        <f>'Расходы на ЗП ОТ'!AD9</f>
        <v>231.42103556550006</v>
      </c>
      <c r="AE9" s="126">
        <f>'Расходы на ЗП ОТ'!AE9</f>
        <v>231.42103556550006</v>
      </c>
      <c r="AF9" s="126">
        <f>'Расходы на ЗП ОТ'!AF9</f>
        <v>247.62050805508508</v>
      </c>
      <c r="AG9" s="126">
        <f>'Расходы на ЗП ОТ'!AG9</f>
        <v>247.62050805508508</v>
      </c>
      <c r="AH9" s="126">
        <f>'Расходы на ЗП ОТ'!AH9</f>
        <v>247.62050805508508</v>
      </c>
      <c r="AI9" s="126">
        <f>'Расходы на ЗП ОТ'!AI9</f>
        <v>247.62050805508508</v>
      </c>
      <c r="AJ9" s="126">
        <f>'Расходы на ЗП ОТ'!AJ9</f>
        <v>264.95394361894103</v>
      </c>
      <c r="AK9" s="126">
        <f>'Расходы на ЗП ОТ'!AK9</f>
        <v>264.95394361894103</v>
      </c>
      <c r="AL9" s="126">
        <f>'Расходы на ЗП ОТ'!AL9</f>
        <v>264.95394361894103</v>
      </c>
      <c r="AM9" s="126">
        <f>'Расходы на ЗП ОТ'!AM9</f>
        <v>264.95394361894103</v>
      </c>
      <c r="AN9" s="126">
        <f>'Расходы на ЗП ОТ'!AN9</f>
        <v>283.50071967226694</v>
      </c>
      <c r="AO9" s="126">
        <f>'Расходы на ЗП ОТ'!AO9</f>
        <v>283.50071967226694</v>
      </c>
      <c r="AP9" s="126">
        <f>'Расходы на ЗП ОТ'!AP9</f>
        <v>283.50071967226694</v>
      </c>
      <c r="AQ9" s="126">
        <f>'Расходы на ЗП ОТ'!AQ9</f>
        <v>283.50071967226694</v>
      </c>
      <c r="AR9" s="126">
        <f>'Расходы на ЗП ОТ'!AR9</f>
        <v>303.34577004932567</v>
      </c>
      <c r="AS9" s="126">
        <f>'Расходы на ЗП ОТ'!AS9</f>
        <v>303.34577004932567</v>
      </c>
      <c r="AT9" s="126">
        <f>'Расходы на ЗП ОТ'!AT9</f>
        <v>303.34577004932567</v>
      </c>
      <c r="AU9" s="126">
        <f>'Расходы на ЗП ОТ'!AU9</f>
        <v>303.34577004932567</v>
      </c>
      <c r="AV9" s="126"/>
      <c r="AW9" s="126">
        <f t="shared" si="0"/>
        <v>0</v>
      </c>
      <c r="AX9" s="126">
        <f t="shared" si="1"/>
        <v>660</v>
      </c>
      <c r="AY9" s="126">
        <f t="shared" si="2"/>
        <v>706.2</v>
      </c>
      <c r="AZ9" s="126">
        <f t="shared" si="3"/>
        <v>755.63400000000013</v>
      </c>
      <c r="BA9" s="126">
        <f t="shared" si="4"/>
        <v>808.5283800000002</v>
      </c>
      <c r="BB9" s="126">
        <f t="shared" si="5"/>
        <v>865.12536660000023</v>
      </c>
      <c r="BC9" s="126">
        <f t="shared" si="6"/>
        <v>925.68414226200025</v>
      </c>
      <c r="BD9" s="126">
        <f t="shared" si="7"/>
        <v>990.48203222034033</v>
      </c>
      <c r="BE9" s="126">
        <f t="shared" si="8"/>
        <v>1059.8157744757641</v>
      </c>
      <c r="BF9" s="126">
        <f t="shared" si="9"/>
        <v>1134.0028786890678</v>
      </c>
      <c r="BG9" s="126">
        <f t="shared" si="10"/>
        <v>1213.3830801973027</v>
      </c>
    </row>
    <row r="10" spans="1:59" ht="28.8" x14ac:dyDescent="0.3">
      <c r="A10" s="413" t="str">
        <f>'Расходы на ЗП ОТ'!A10</f>
        <v>Оператор линии, наладчик</v>
      </c>
      <c r="B10" s="124">
        <f>'Расходы на ЗП ОТ'!B10</f>
        <v>3</v>
      </c>
      <c r="C10" s="125">
        <f>'Расходы на ЗП ОТ'!C10</f>
        <v>46</v>
      </c>
      <c r="D10" s="126">
        <f>'Расходы на ЗП ОТ'!D10</f>
        <v>0</v>
      </c>
      <c r="E10" s="126">
        <f>'Расходы на ЗП ОТ'!E10</f>
        <v>0</v>
      </c>
      <c r="F10" s="126">
        <f>'Расходы на ЗП ОТ'!F10</f>
        <v>0</v>
      </c>
      <c r="G10" s="126">
        <v>0</v>
      </c>
      <c r="H10" s="126">
        <f>'Расходы на ЗП ОТ'!H10</f>
        <v>414</v>
      </c>
      <c r="I10" s="126">
        <f>'Расходы на ЗП ОТ'!I10</f>
        <v>414</v>
      </c>
      <c r="J10" s="126">
        <f>'Расходы на ЗП ОТ'!J10</f>
        <v>414</v>
      </c>
      <c r="K10" s="126">
        <f>'Расходы на ЗП ОТ'!K10</f>
        <v>414</v>
      </c>
      <c r="L10" s="126">
        <f>'Расходы на ЗП ОТ'!L10</f>
        <v>442.98</v>
      </c>
      <c r="M10" s="126">
        <f>'Расходы на ЗП ОТ'!M10</f>
        <v>442.98</v>
      </c>
      <c r="N10" s="126">
        <f>'Расходы на ЗП ОТ'!N10</f>
        <v>442.98</v>
      </c>
      <c r="O10" s="126">
        <f>'Расходы на ЗП ОТ'!O10</f>
        <v>442.98</v>
      </c>
      <c r="P10" s="126">
        <f>'Расходы на ЗП ОТ'!P10</f>
        <v>473.98860000000002</v>
      </c>
      <c r="Q10" s="126">
        <f>'Расходы на ЗП ОТ'!Q10</f>
        <v>473.98860000000002</v>
      </c>
      <c r="R10" s="126">
        <f>'Расходы на ЗП ОТ'!R10</f>
        <v>473.98860000000002</v>
      </c>
      <c r="S10" s="126">
        <f>'Расходы на ЗП ОТ'!S10</f>
        <v>473.98860000000002</v>
      </c>
      <c r="T10" s="126">
        <f>'Расходы на ЗП ОТ'!T10</f>
        <v>507.16780200000005</v>
      </c>
      <c r="U10" s="126">
        <f>'Расходы на ЗП ОТ'!U10</f>
        <v>507.16780200000005</v>
      </c>
      <c r="V10" s="126">
        <f>'Расходы на ЗП ОТ'!V10</f>
        <v>507.16780200000005</v>
      </c>
      <c r="W10" s="126">
        <f>'Расходы на ЗП ОТ'!W10</f>
        <v>507.16780200000005</v>
      </c>
      <c r="X10" s="126">
        <f>'Расходы на ЗП ОТ'!X10</f>
        <v>542.66954814000007</v>
      </c>
      <c r="Y10" s="126">
        <f>'Расходы на ЗП ОТ'!Y10</f>
        <v>542.66954814000007</v>
      </c>
      <c r="Z10" s="126">
        <f>'Расходы на ЗП ОТ'!Z10</f>
        <v>542.66954814000007</v>
      </c>
      <c r="AA10" s="126">
        <f>'Расходы на ЗП ОТ'!AA10</f>
        <v>542.66954814000007</v>
      </c>
      <c r="AB10" s="126">
        <f>'Расходы на ЗП ОТ'!AB10</f>
        <v>580.65641650980012</v>
      </c>
      <c r="AC10" s="126">
        <f>'Расходы на ЗП ОТ'!AC10</f>
        <v>580.65641650980012</v>
      </c>
      <c r="AD10" s="126">
        <f>'Расходы на ЗП ОТ'!AD10</f>
        <v>580.65641650980012</v>
      </c>
      <c r="AE10" s="126">
        <f>'Расходы на ЗП ОТ'!AE10</f>
        <v>580.65641650980012</v>
      </c>
      <c r="AF10" s="126">
        <f>'Расходы на ЗП ОТ'!AF10</f>
        <v>621.30236566548615</v>
      </c>
      <c r="AG10" s="126">
        <f>'Расходы на ЗП ОТ'!AG10</f>
        <v>621.30236566548615</v>
      </c>
      <c r="AH10" s="126">
        <f>'Расходы на ЗП ОТ'!AH10</f>
        <v>621.30236566548615</v>
      </c>
      <c r="AI10" s="126">
        <f>'Расходы на ЗП ОТ'!AI10</f>
        <v>621.30236566548615</v>
      </c>
      <c r="AJ10" s="126">
        <f>'Расходы на ЗП ОТ'!AJ10</f>
        <v>664.79353126207025</v>
      </c>
      <c r="AK10" s="126">
        <f>'Расходы на ЗП ОТ'!AK10</f>
        <v>664.79353126207025</v>
      </c>
      <c r="AL10" s="126">
        <f>'Расходы на ЗП ОТ'!AL10</f>
        <v>664.79353126207025</v>
      </c>
      <c r="AM10" s="126">
        <f>'Расходы на ЗП ОТ'!AM10</f>
        <v>664.79353126207025</v>
      </c>
      <c r="AN10" s="126">
        <f>'Расходы на ЗП ОТ'!AN10</f>
        <v>711.32907845041518</v>
      </c>
      <c r="AO10" s="126">
        <f>'Расходы на ЗП ОТ'!AO10</f>
        <v>711.32907845041518</v>
      </c>
      <c r="AP10" s="126">
        <f>'Расходы на ЗП ОТ'!AP10</f>
        <v>711.32907845041518</v>
      </c>
      <c r="AQ10" s="126">
        <f>'Расходы на ЗП ОТ'!AQ10</f>
        <v>711.32907845041518</v>
      </c>
      <c r="AR10" s="126">
        <f>'Расходы на ЗП ОТ'!AR10</f>
        <v>761.12211394194424</v>
      </c>
      <c r="AS10" s="126">
        <f>'Расходы на ЗП ОТ'!AS10</f>
        <v>761.12211394194424</v>
      </c>
      <c r="AT10" s="126">
        <f>'Расходы на ЗП ОТ'!AT10</f>
        <v>761.12211394194424</v>
      </c>
      <c r="AU10" s="126">
        <f>'Расходы на ЗП ОТ'!AU10</f>
        <v>761.12211394194424</v>
      </c>
      <c r="AV10" s="126"/>
      <c r="AW10" s="126">
        <f t="shared" si="0"/>
        <v>0</v>
      </c>
      <c r="AX10" s="126">
        <f t="shared" si="1"/>
        <v>1656</v>
      </c>
      <c r="AY10" s="126">
        <f t="shared" si="2"/>
        <v>1771.92</v>
      </c>
      <c r="AZ10" s="126">
        <f t="shared" si="3"/>
        <v>1895.9544000000001</v>
      </c>
      <c r="BA10" s="126">
        <f t="shared" si="4"/>
        <v>2028.6712080000002</v>
      </c>
      <c r="BB10" s="126">
        <f t="shared" si="5"/>
        <v>2170.6781925600003</v>
      </c>
      <c r="BC10" s="126">
        <f t="shared" si="6"/>
        <v>2322.6256660392005</v>
      </c>
      <c r="BD10" s="126">
        <f t="shared" si="7"/>
        <v>2485.2094626619446</v>
      </c>
      <c r="BE10" s="126">
        <f t="shared" si="8"/>
        <v>2659.174125048281</v>
      </c>
      <c r="BF10" s="126">
        <f t="shared" si="9"/>
        <v>2845.3163138016607</v>
      </c>
      <c r="BG10" s="126">
        <f t="shared" si="10"/>
        <v>3044.4884557677769</v>
      </c>
    </row>
    <row r="11" spans="1:59" ht="28.8" x14ac:dyDescent="0.3">
      <c r="A11" s="413" t="str">
        <f>'Расходы на ЗП ОТ'!A11</f>
        <v>Разнорабочий (грузчик, сторож, дворник)</v>
      </c>
      <c r="B11" s="124">
        <f>'Расходы на ЗП ОТ'!B11</f>
        <v>5</v>
      </c>
      <c r="C11" s="125">
        <f>'Расходы на ЗП ОТ'!C11</f>
        <v>45</v>
      </c>
      <c r="D11" s="126">
        <f>'Расходы на ЗП ОТ'!D11</f>
        <v>0</v>
      </c>
      <c r="E11" s="126">
        <f>'Расходы на ЗП ОТ'!E11</f>
        <v>0</v>
      </c>
      <c r="F11" s="126">
        <f>'Расходы на ЗП ОТ'!F11</f>
        <v>0</v>
      </c>
      <c r="G11" s="126">
        <v>0</v>
      </c>
      <c r="H11" s="126">
        <f>'Расходы на ЗП ОТ'!H11</f>
        <v>675</v>
      </c>
      <c r="I11" s="126">
        <f>'Расходы на ЗП ОТ'!I11</f>
        <v>675</v>
      </c>
      <c r="J11" s="126">
        <f>'Расходы на ЗП ОТ'!J11</f>
        <v>675</v>
      </c>
      <c r="K11" s="126">
        <f>'Расходы на ЗП ОТ'!K11</f>
        <v>675</v>
      </c>
      <c r="L11" s="126">
        <f>'Расходы на ЗП ОТ'!L11</f>
        <v>722.25</v>
      </c>
      <c r="M11" s="126">
        <f>'Расходы на ЗП ОТ'!M11</f>
        <v>722.25</v>
      </c>
      <c r="N11" s="126">
        <f>'Расходы на ЗП ОТ'!N11</f>
        <v>722.25</v>
      </c>
      <c r="O11" s="126">
        <f>'Расходы на ЗП ОТ'!O11</f>
        <v>722.25</v>
      </c>
      <c r="P11" s="126">
        <f>'Расходы на ЗП ОТ'!P11</f>
        <v>772.8075</v>
      </c>
      <c r="Q11" s="126">
        <f>'Расходы на ЗП ОТ'!Q11</f>
        <v>772.8075</v>
      </c>
      <c r="R11" s="126">
        <f>'Расходы на ЗП ОТ'!R11</f>
        <v>772.8075</v>
      </c>
      <c r="S11" s="126">
        <f>'Расходы на ЗП ОТ'!S11</f>
        <v>772.8075</v>
      </c>
      <c r="T11" s="126">
        <f>'Расходы на ЗП ОТ'!T11</f>
        <v>826.90402500000005</v>
      </c>
      <c r="U11" s="126">
        <f>'Расходы на ЗП ОТ'!U11</f>
        <v>826.90402500000005</v>
      </c>
      <c r="V11" s="126">
        <f>'Расходы на ЗП ОТ'!V11</f>
        <v>826.90402500000005</v>
      </c>
      <c r="W11" s="126">
        <f>'Расходы на ЗП ОТ'!W11</f>
        <v>826.90402500000005</v>
      </c>
      <c r="X11" s="126">
        <f>'Расходы на ЗП ОТ'!X11</f>
        <v>884.78730675000008</v>
      </c>
      <c r="Y11" s="126">
        <f>'Расходы на ЗП ОТ'!Y11</f>
        <v>884.78730675000008</v>
      </c>
      <c r="Z11" s="126">
        <f>'Расходы на ЗП ОТ'!Z11</f>
        <v>884.78730675000008</v>
      </c>
      <c r="AA11" s="126">
        <f>'Расходы на ЗП ОТ'!AA11</f>
        <v>884.78730675000008</v>
      </c>
      <c r="AB11" s="126">
        <f>'Расходы на ЗП ОТ'!AB11</f>
        <v>946.7224182225001</v>
      </c>
      <c r="AC11" s="126">
        <f>'Расходы на ЗП ОТ'!AC11</f>
        <v>946.7224182225001</v>
      </c>
      <c r="AD11" s="126">
        <f>'Расходы на ЗП ОТ'!AD11</f>
        <v>946.7224182225001</v>
      </c>
      <c r="AE11" s="126">
        <f>'Расходы на ЗП ОТ'!AE11</f>
        <v>946.7224182225001</v>
      </c>
      <c r="AF11" s="126">
        <f>'Расходы на ЗП ОТ'!AF11</f>
        <v>1012.9929874980752</v>
      </c>
      <c r="AG11" s="126">
        <f>'Расходы на ЗП ОТ'!AG11</f>
        <v>1012.9929874980752</v>
      </c>
      <c r="AH11" s="126">
        <f>'Расходы на ЗП ОТ'!AH11</f>
        <v>1012.9929874980752</v>
      </c>
      <c r="AI11" s="126">
        <f>'Расходы на ЗП ОТ'!AI11</f>
        <v>1012.9929874980752</v>
      </c>
      <c r="AJ11" s="126">
        <f>'Расходы на ЗП ОТ'!AJ11</f>
        <v>1083.9024966229406</v>
      </c>
      <c r="AK11" s="126">
        <f>'Расходы на ЗП ОТ'!AK11</f>
        <v>1083.9024966229406</v>
      </c>
      <c r="AL11" s="126">
        <f>'Расходы на ЗП ОТ'!AL11</f>
        <v>1083.9024966229406</v>
      </c>
      <c r="AM11" s="126">
        <f>'Расходы на ЗП ОТ'!AM11</f>
        <v>1083.9024966229406</v>
      </c>
      <c r="AN11" s="126">
        <f>'Расходы на ЗП ОТ'!AN11</f>
        <v>1159.7756713865465</v>
      </c>
      <c r="AO11" s="126">
        <f>'Расходы на ЗП ОТ'!AO11</f>
        <v>1159.7756713865465</v>
      </c>
      <c r="AP11" s="126">
        <f>'Расходы на ЗП ОТ'!AP11</f>
        <v>1159.7756713865465</v>
      </c>
      <c r="AQ11" s="126">
        <f>'Расходы на ЗП ОТ'!AQ11</f>
        <v>1159.7756713865465</v>
      </c>
      <c r="AR11" s="126">
        <f>'Расходы на ЗП ОТ'!AR11</f>
        <v>1240.9599683836047</v>
      </c>
      <c r="AS11" s="126">
        <f>'Расходы на ЗП ОТ'!AS11</f>
        <v>1240.9599683836047</v>
      </c>
      <c r="AT11" s="126">
        <f>'Расходы на ЗП ОТ'!AT11</f>
        <v>1240.9599683836047</v>
      </c>
      <c r="AU11" s="126">
        <f>'Расходы на ЗП ОТ'!AU11</f>
        <v>1240.9599683836047</v>
      </c>
      <c r="AV11" s="126"/>
      <c r="AW11" s="126">
        <f t="shared" si="0"/>
        <v>0</v>
      </c>
      <c r="AX11" s="126">
        <f t="shared" si="1"/>
        <v>2700</v>
      </c>
      <c r="AY11" s="126">
        <f t="shared" si="2"/>
        <v>2889</v>
      </c>
      <c r="AZ11" s="126">
        <f t="shared" si="3"/>
        <v>3091.23</v>
      </c>
      <c r="BA11" s="126">
        <f t="shared" si="4"/>
        <v>3307.6161000000002</v>
      </c>
      <c r="BB11" s="126">
        <f t="shared" si="5"/>
        <v>3539.1492270000003</v>
      </c>
      <c r="BC11" s="126">
        <f t="shared" si="6"/>
        <v>3786.8896728900004</v>
      </c>
      <c r="BD11" s="126">
        <f t="shared" si="7"/>
        <v>4051.9719499923008</v>
      </c>
      <c r="BE11" s="126">
        <f t="shared" si="8"/>
        <v>4335.6099864917624</v>
      </c>
      <c r="BF11" s="126">
        <f t="shared" si="9"/>
        <v>4639.102685546186</v>
      </c>
      <c r="BG11" s="126">
        <f t="shared" si="10"/>
        <v>4963.839873534419</v>
      </c>
    </row>
    <row r="12" spans="1:59" ht="28.8" x14ac:dyDescent="0.3">
      <c r="A12" s="413" t="str">
        <f>'Расходы на ЗП ОТ'!A12</f>
        <v>Зав. Складом (приемщик)</v>
      </c>
      <c r="B12" s="124">
        <f>'Расходы на ЗП ОТ'!B12</f>
        <v>1</v>
      </c>
      <c r="C12" s="125">
        <f>'Расходы на ЗП ОТ'!C12</f>
        <v>50</v>
      </c>
      <c r="D12" s="126">
        <f>'Расходы на ЗП ОТ'!D12</f>
        <v>0</v>
      </c>
      <c r="E12" s="126">
        <f>'Расходы на ЗП ОТ'!E12</f>
        <v>0</v>
      </c>
      <c r="F12" s="126">
        <f>'Расходы на ЗП ОТ'!F12</f>
        <v>0</v>
      </c>
      <c r="G12" s="126">
        <v>0</v>
      </c>
      <c r="H12" s="126">
        <f>'Расходы на ЗП ОТ'!H12</f>
        <v>150</v>
      </c>
      <c r="I12" s="126">
        <f>'Расходы на ЗП ОТ'!I12</f>
        <v>150</v>
      </c>
      <c r="J12" s="126">
        <f>'Расходы на ЗП ОТ'!J12</f>
        <v>150</v>
      </c>
      <c r="K12" s="126">
        <f>'Расходы на ЗП ОТ'!K12</f>
        <v>150</v>
      </c>
      <c r="L12" s="126">
        <f>'Расходы на ЗП ОТ'!L12</f>
        <v>160.5</v>
      </c>
      <c r="M12" s="126">
        <f>'Расходы на ЗП ОТ'!M12</f>
        <v>160.5</v>
      </c>
      <c r="N12" s="126">
        <f>'Расходы на ЗП ОТ'!N12</f>
        <v>160.5</v>
      </c>
      <c r="O12" s="126">
        <f>'Расходы на ЗП ОТ'!O12</f>
        <v>160.5</v>
      </c>
      <c r="P12" s="126">
        <f>'Расходы на ЗП ОТ'!P12</f>
        <v>171.73500000000001</v>
      </c>
      <c r="Q12" s="126">
        <f>'Расходы на ЗП ОТ'!Q12</f>
        <v>171.73500000000001</v>
      </c>
      <c r="R12" s="126">
        <f>'Расходы на ЗП ОТ'!R12</f>
        <v>171.73500000000001</v>
      </c>
      <c r="S12" s="126">
        <f>'Расходы на ЗП ОТ'!S12</f>
        <v>171.73500000000001</v>
      </c>
      <c r="T12" s="126">
        <f>'Расходы на ЗП ОТ'!T12</f>
        <v>183.75645000000003</v>
      </c>
      <c r="U12" s="126">
        <f>'Расходы на ЗП ОТ'!U12</f>
        <v>183.75645000000003</v>
      </c>
      <c r="V12" s="126">
        <f>'Расходы на ЗП ОТ'!V12</f>
        <v>183.75645000000003</v>
      </c>
      <c r="W12" s="126">
        <f>'Расходы на ЗП ОТ'!W12</f>
        <v>183.75645000000003</v>
      </c>
      <c r="X12" s="126">
        <f>'Расходы на ЗП ОТ'!X12</f>
        <v>196.61940150000004</v>
      </c>
      <c r="Y12" s="126">
        <f>'Расходы на ЗП ОТ'!Y12</f>
        <v>196.61940150000004</v>
      </c>
      <c r="Z12" s="126">
        <f>'Расходы на ЗП ОТ'!Z12</f>
        <v>196.61940150000004</v>
      </c>
      <c r="AA12" s="126">
        <f>'Расходы на ЗП ОТ'!AA12</f>
        <v>196.61940150000004</v>
      </c>
      <c r="AB12" s="126">
        <f>'Расходы на ЗП ОТ'!AB12</f>
        <v>210.38275960500005</v>
      </c>
      <c r="AC12" s="126">
        <f>'Расходы на ЗП ОТ'!AC12</f>
        <v>210.38275960500005</v>
      </c>
      <c r="AD12" s="126">
        <f>'Расходы на ЗП ОТ'!AD12</f>
        <v>210.38275960500005</v>
      </c>
      <c r="AE12" s="126">
        <f>'Расходы на ЗП ОТ'!AE12</f>
        <v>210.38275960500005</v>
      </c>
      <c r="AF12" s="126">
        <f>'Расходы на ЗП ОТ'!AF12</f>
        <v>225.10955277735007</v>
      </c>
      <c r="AG12" s="126">
        <f>'Расходы на ЗП ОТ'!AG12</f>
        <v>225.10955277735007</v>
      </c>
      <c r="AH12" s="126">
        <f>'Расходы на ЗП ОТ'!AH12</f>
        <v>225.10955277735007</v>
      </c>
      <c r="AI12" s="126">
        <f>'Расходы на ЗП ОТ'!AI12</f>
        <v>225.10955277735007</v>
      </c>
      <c r="AJ12" s="126">
        <f>'Расходы на ЗП ОТ'!AJ12</f>
        <v>240.86722147176459</v>
      </c>
      <c r="AK12" s="126">
        <f>'Расходы на ЗП ОТ'!AK12</f>
        <v>240.86722147176459</v>
      </c>
      <c r="AL12" s="126">
        <f>'Расходы на ЗП ОТ'!AL12</f>
        <v>240.86722147176459</v>
      </c>
      <c r="AM12" s="126">
        <f>'Расходы на ЗП ОТ'!AM12</f>
        <v>240.86722147176459</v>
      </c>
      <c r="AN12" s="126">
        <f>'Расходы на ЗП ОТ'!AN12</f>
        <v>257.72792697478815</v>
      </c>
      <c r="AO12" s="126">
        <f>'Расходы на ЗП ОТ'!AO12</f>
        <v>257.72792697478815</v>
      </c>
      <c r="AP12" s="126">
        <f>'Расходы на ЗП ОТ'!AP12</f>
        <v>257.72792697478815</v>
      </c>
      <c r="AQ12" s="126">
        <f>'Расходы на ЗП ОТ'!AQ12</f>
        <v>257.72792697478815</v>
      </c>
      <c r="AR12" s="126">
        <f>'Расходы на ЗП ОТ'!AR12</f>
        <v>275.76888186302335</v>
      </c>
      <c r="AS12" s="126">
        <f>'Расходы на ЗП ОТ'!AS12</f>
        <v>275.76888186302335</v>
      </c>
      <c r="AT12" s="126">
        <f>'Расходы на ЗП ОТ'!AT12</f>
        <v>275.76888186302335</v>
      </c>
      <c r="AU12" s="126">
        <f>'Расходы на ЗП ОТ'!AU12</f>
        <v>275.76888186302335</v>
      </c>
      <c r="AV12" s="126"/>
      <c r="AW12" s="126">
        <f t="shared" si="0"/>
        <v>0</v>
      </c>
      <c r="AX12" s="126">
        <f t="shared" si="1"/>
        <v>600</v>
      </c>
      <c r="AY12" s="126">
        <f t="shared" si="2"/>
        <v>642</v>
      </c>
      <c r="AZ12" s="126">
        <f t="shared" si="3"/>
        <v>686.94</v>
      </c>
      <c r="BA12" s="126">
        <f t="shared" si="4"/>
        <v>735.02580000000012</v>
      </c>
      <c r="BB12" s="126">
        <f t="shared" si="5"/>
        <v>786.47760600000015</v>
      </c>
      <c r="BC12" s="126">
        <f t="shared" si="6"/>
        <v>841.53103842000019</v>
      </c>
      <c r="BD12" s="126">
        <f t="shared" si="7"/>
        <v>900.4382111094003</v>
      </c>
      <c r="BE12" s="126">
        <f t="shared" si="8"/>
        <v>963.46888588705838</v>
      </c>
      <c r="BF12" s="126">
        <f t="shared" si="9"/>
        <v>1030.9117078991526</v>
      </c>
      <c r="BG12" s="126">
        <f t="shared" si="10"/>
        <v>1103.0755274520934</v>
      </c>
    </row>
    <row r="13" spans="1:59" ht="32.25" customHeight="1" x14ac:dyDescent="0.3">
      <c r="A13" s="413" t="str">
        <f>'Расходы на ЗП ОТ'!A13</f>
        <v>ИРС Разнорабочий (уборщик, дворник)</v>
      </c>
      <c r="B13" s="123">
        <f>'Расходы на ЗП ОТ'!B13</f>
        <v>0</v>
      </c>
      <c r="C13" s="126">
        <f>'Расходы на ЗП ОТ'!C13</f>
        <v>0</v>
      </c>
      <c r="D13" s="126">
        <f>'Расходы на ЗП ОТ'!D13</f>
        <v>0</v>
      </c>
      <c r="E13" s="126">
        <f>'Расходы на ЗП ОТ'!E13</f>
        <v>0</v>
      </c>
      <c r="F13" s="126">
        <f>'Расходы на ЗП ОТ'!F13</f>
        <v>0</v>
      </c>
      <c r="G13" s="126">
        <v>0</v>
      </c>
      <c r="H13" s="126">
        <f>'Расходы на ЗП ОТ'!H13</f>
        <v>0</v>
      </c>
      <c r="I13" s="126">
        <f>'Расходы на ЗП ОТ'!I13</f>
        <v>0</v>
      </c>
      <c r="J13" s="126">
        <f>'Расходы на ЗП ОТ'!J13</f>
        <v>0</v>
      </c>
      <c r="K13" s="126">
        <f>'Расходы на ЗП ОТ'!K13</f>
        <v>0</v>
      </c>
      <c r="L13" s="126">
        <f>'Расходы на ЗП ОТ'!L13</f>
        <v>0</v>
      </c>
      <c r="M13" s="126">
        <f>'Расходы на ЗП ОТ'!M13</f>
        <v>0</v>
      </c>
      <c r="N13" s="126">
        <f>'Расходы на ЗП ОТ'!N13</f>
        <v>0</v>
      </c>
      <c r="O13" s="126">
        <f>'Расходы на ЗП ОТ'!O13</f>
        <v>0</v>
      </c>
      <c r="P13" s="126">
        <f>'Расходы на ЗП ОТ'!P13</f>
        <v>0</v>
      </c>
      <c r="Q13" s="126">
        <f>'Расходы на ЗП ОТ'!Q13</f>
        <v>0</v>
      </c>
      <c r="R13" s="126">
        <f>'Расходы на ЗП ОТ'!R13</f>
        <v>0</v>
      </c>
      <c r="S13" s="126">
        <f>'Расходы на ЗП ОТ'!S13</f>
        <v>0</v>
      </c>
      <c r="T13" s="126">
        <f>'Расходы на ЗП ОТ'!T13</f>
        <v>0</v>
      </c>
      <c r="U13" s="126">
        <f t="shared" ref="U13:AE13" si="15">T13</f>
        <v>0</v>
      </c>
      <c r="V13" s="126">
        <f t="shared" si="15"/>
        <v>0</v>
      </c>
      <c r="W13" s="126">
        <f t="shared" si="15"/>
        <v>0</v>
      </c>
      <c r="X13" s="126">
        <f t="shared" si="15"/>
        <v>0</v>
      </c>
      <c r="Y13" s="126">
        <f t="shared" si="15"/>
        <v>0</v>
      </c>
      <c r="Z13" s="126">
        <f t="shared" si="15"/>
        <v>0</v>
      </c>
      <c r="AA13" s="126">
        <f t="shared" si="15"/>
        <v>0</v>
      </c>
      <c r="AB13" s="126">
        <f t="shared" si="15"/>
        <v>0</v>
      </c>
      <c r="AC13" s="126">
        <f t="shared" si="15"/>
        <v>0</v>
      </c>
      <c r="AD13" s="126">
        <f t="shared" si="15"/>
        <v>0</v>
      </c>
      <c r="AE13" s="126">
        <f t="shared" si="15"/>
        <v>0</v>
      </c>
      <c r="AF13" s="126">
        <f>AE13</f>
        <v>0</v>
      </c>
      <c r="AG13" s="126">
        <f t="shared" ref="AG13:AQ13" si="16">AF13</f>
        <v>0</v>
      </c>
      <c r="AH13" s="126">
        <f t="shared" si="16"/>
        <v>0</v>
      </c>
      <c r="AI13" s="126">
        <f t="shared" si="16"/>
        <v>0</v>
      </c>
      <c r="AJ13" s="126">
        <f t="shared" si="16"/>
        <v>0</v>
      </c>
      <c r="AK13" s="126">
        <f t="shared" si="16"/>
        <v>0</v>
      </c>
      <c r="AL13" s="126">
        <f t="shared" si="16"/>
        <v>0</v>
      </c>
      <c r="AM13" s="126">
        <f t="shared" si="16"/>
        <v>0</v>
      </c>
      <c r="AN13" s="126">
        <f t="shared" si="16"/>
        <v>0</v>
      </c>
      <c r="AO13" s="126">
        <f t="shared" si="16"/>
        <v>0</v>
      </c>
      <c r="AP13" s="126">
        <f t="shared" si="16"/>
        <v>0</v>
      </c>
      <c r="AQ13" s="126">
        <f t="shared" si="16"/>
        <v>0</v>
      </c>
      <c r="AR13" s="126">
        <f t="shared" ref="AR13" si="17">AQ13</f>
        <v>0</v>
      </c>
      <c r="AS13" s="126">
        <f t="shared" ref="AS13" si="18">AR13</f>
        <v>0</v>
      </c>
      <c r="AT13" s="126">
        <f t="shared" ref="AT13" si="19">AS13</f>
        <v>0</v>
      </c>
      <c r="AU13" s="126">
        <f t="shared" ref="AU13" si="20">AT13</f>
        <v>0</v>
      </c>
      <c r="AV13" s="126"/>
      <c r="AW13" s="126">
        <f t="shared" si="0"/>
        <v>0</v>
      </c>
      <c r="AX13" s="126">
        <f t="shared" si="1"/>
        <v>0</v>
      </c>
      <c r="AY13" s="126">
        <f t="shared" si="2"/>
        <v>0</v>
      </c>
      <c r="AZ13" s="126">
        <f t="shared" si="3"/>
        <v>0</v>
      </c>
      <c r="BA13" s="126">
        <f t="shared" si="4"/>
        <v>0</v>
      </c>
      <c r="BB13" s="126">
        <f t="shared" si="5"/>
        <v>0</v>
      </c>
      <c r="BC13" s="126">
        <f t="shared" si="6"/>
        <v>0</v>
      </c>
      <c r="BD13" s="126">
        <f t="shared" si="7"/>
        <v>0</v>
      </c>
      <c r="BE13" s="126">
        <f t="shared" si="8"/>
        <v>0</v>
      </c>
      <c r="BF13" s="126">
        <f t="shared" si="9"/>
        <v>0</v>
      </c>
      <c r="BG13" s="126">
        <f t="shared" si="10"/>
        <v>0</v>
      </c>
    </row>
    <row r="14" spans="1:59" x14ac:dyDescent="0.3">
      <c r="A14" s="413" t="str">
        <f>'Расходы на ЗП ОТ'!A14</f>
        <v>Водитель</v>
      </c>
      <c r="B14" s="124">
        <f>'Расходы на ЗП ОТ'!B14</f>
        <v>1</v>
      </c>
      <c r="C14" s="125">
        <f>'Расходы на ЗП ОТ'!C14</f>
        <v>45</v>
      </c>
      <c r="D14" s="126">
        <f>'Расходы на ЗП ОТ'!D14</f>
        <v>0</v>
      </c>
      <c r="E14" s="126">
        <f>'Расходы на ЗП ОТ'!E14</f>
        <v>0</v>
      </c>
      <c r="F14" s="126">
        <f>'Расходы на ЗП ОТ'!F14</f>
        <v>0</v>
      </c>
      <c r="G14" s="126">
        <f>'Расходы на ЗП ОТ'!G14</f>
        <v>0</v>
      </c>
      <c r="H14" s="126">
        <f>'Расходы на ЗП ОТ'!H14</f>
        <v>135</v>
      </c>
      <c r="I14" s="126">
        <f>'Расходы на ЗП ОТ'!I14</f>
        <v>135</v>
      </c>
      <c r="J14" s="126">
        <f>'Расходы на ЗП ОТ'!J14</f>
        <v>135</v>
      </c>
      <c r="K14" s="126">
        <f>'Расходы на ЗП ОТ'!K14</f>
        <v>135</v>
      </c>
      <c r="L14" s="126">
        <f>'Расходы на ЗП ОТ'!L14</f>
        <v>144.45000000000002</v>
      </c>
      <c r="M14" s="126">
        <f>'Расходы на ЗП ОТ'!M14</f>
        <v>144.45000000000002</v>
      </c>
      <c r="N14" s="126">
        <f>'Расходы на ЗП ОТ'!N14</f>
        <v>144.45000000000002</v>
      </c>
      <c r="O14" s="126">
        <f>'Расходы на ЗП ОТ'!O14</f>
        <v>144.45000000000002</v>
      </c>
      <c r="P14" s="126">
        <f>'Расходы на ЗП ОТ'!P14</f>
        <v>154.56150000000002</v>
      </c>
      <c r="Q14" s="126">
        <f>'Расходы на ЗП ОТ'!Q14</f>
        <v>154.56150000000002</v>
      </c>
      <c r="R14" s="126">
        <f>'Расходы на ЗП ОТ'!R14</f>
        <v>154.56150000000002</v>
      </c>
      <c r="S14" s="126">
        <f>'Расходы на ЗП ОТ'!S14</f>
        <v>154.56150000000002</v>
      </c>
      <c r="T14" s="126">
        <f>'Расходы на ЗП ОТ'!T14</f>
        <v>165.38080500000004</v>
      </c>
      <c r="U14" s="126">
        <f>'Расходы на ЗП ОТ'!U14</f>
        <v>165.38080500000004</v>
      </c>
      <c r="V14" s="126">
        <f>'Расходы на ЗП ОТ'!V14</f>
        <v>165.38080500000004</v>
      </c>
      <c r="W14" s="126">
        <f>'Расходы на ЗП ОТ'!W14</f>
        <v>165.38080500000004</v>
      </c>
      <c r="X14" s="126">
        <f>'Расходы на ЗП ОТ'!X14</f>
        <v>176.95746135000005</v>
      </c>
      <c r="Y14" s="126">
        <f>'Расходы на ЗП ОТ'!Y14</f>
        <v>176.95746135000005</v>
      </c>
      <c r="Z14" s="126">
        <f>'Расходы на ЗП ОТ'!Z14</f>
        <v>176.95746135000005</v>
      </c>
      <c r="AA14" s="126">
        <f>'Расходы на ЗП ОТ'!AA14</f>
        <v>176.95746135000005</v>
      </c>
      <c r="AB14" s="126">
        <f>'Расходы на ЗП ОТ'!AB14</f>
        <v>189.34448364450006</v>
      </c>
      <c r="AC14" s="126">
        <f>'Расходы на ЗП ОТ'!AC14</f>
        <v>189.34448364450006</v>
      </c>
      <c r="AD14" s="126">
        <f>'Расходы на ЗП ОТ'!AD14</f>
        <v>189.34448364450006</v>
      </c>
      <c r="AE14" s="126">
        <f>'Расходы на ЗП ОТ'!AE14</f>
        <v>189.34448364450006</v>
      </c>
      <c r="AF14" s="126">
        <f>'Расходы на ЗП ОТ'!AF14</f>
        <v>202.59859749961507</v>
      </c>
      <c r="AG14" s="126">
        <f>'Расходы на ЗП ОТ'!AG14</f>
        <v>202.59859749961507</v>
      </c>
      <c r="AH14" s="126">
        <f>'Расходы на ЗП ОТ'!AH14</f>
        <v>202.59859749961507</v>
      </c>
      <c r="AI14" s="126">
        <f>'Расходы на ЗП ОТ'!AI14</f>
        <v>202.59859749961507</v>
      </c>
      <c r="AJ14" s="126">
        <f>'Расходы на ЗП ОТ'!AJ14</f>
        <v>216.78049932458813</v>
      </c>
      <c r="AK14" s="126">
        <f>'Расходы на ЗП ОТ'!AK14</f>
        <v>216.78049932458813</v>
      </c>
      <c r="AL14" s="126">
        <f>'Расходы на ЗП ОТ'!AL14</f>
        <v>216.78049932458813</v>
      </c>
      <c r="AM14" s="126">
        <f>'Расходы на ЗП ОТ'!AM14</f>
        <v>216.78049932458813</v>
      </c>
      <c r="AN14" s="126">
        <f>'Расходы на ЗП ОТ'!AN14</f>
        <v>231.95513427730933</v>
      </c>
      <c r="AO14" s="126">
        <f>'Расходы на ЗП ОТ'!AO14</f>
        <v>231.95513427730933</v>
      </c>
      <c r="AP14" s="126">
        <f>'Расходы на ЗП ОТ'!AP14</f>
        <v>231.95513427730933</v>
      </c>
      <c r="AQ14" s="126">
        <f>'Расходы на ЗП ОТ'!AQ14</f>
        <v>231.95513427730933</v>
      </c>
      <c r="AR14" s="126">
        <f>'Расходы на ЗП ОТ'!AR14</f>
        <v>248.19199367672098</v>
      </c>
      <c r="AS14" s="126">
        <f>'Расходы на ЗП ОТ'!AS14</f>
        <v>248.19199367672098</v>
      </c>
      <c r="AT14" s="126">
        <f>'Расходы на ЗП ОТ'!AT14</f>
        <v>248.19199367672098</v>
      </c>
      <c r="AU14" s="126">
        <f>'Расходы на ЗП ОТ'!AU14</f>
        <v>248.19199367672098</v>
      </c>
      <c r="AV14" s="126"/>
      <c r="AW14" s="126">
        <f t="shared" si="0"/>
        <v>0</v>
      </c>
      <c r="AX14" s="126">
        <f t="shared" si="1"/>
        <v>540</v>
      </c>
      <c r="AY14" s="126">
        <f t="shared" si="2"/>
        <v>577.80000000000007</v>
      </c>
      <c r="AZ14" s="126">
        <f t="shared" si="3"/>
        <v>618.24600000000009</v>
      </c>
      <c r="BA14" s="126">
        <f t="shared" si="4"/>
        <v>661.52322000000015</v>
      </c>
      <c r="BB14" s="126">
        <f t="shared" si="5"/>
        <v>707.82984540000018</v>
      </c>
      <c r="BC14" s="126">
        <f t="shared" si="6"/>
        <v>757.37793457800024</v>
      </c>
      <c r="BD14" s="126">
        <f t="shared" si="7"/>
        <v>810.39438999846027</v>
      </c>
      <c r="BE14" s="126">
        <f t="shared" si="8"/>
        <v>867.12199729835254</v>
      </c>
      <c r="BF14" s="126">
        <f t="shared" si="9"/>
        <v>927.82053710923731</v>
      </c>
      <c r="BG14" s="126">
        <f t="shared" si="10"/>
        <v>992.76797470688393</v>
      </c>
    </row>
    <row r="15" spans="1:59" s="127" customFormat="1" ht="30" customHeight="1" x14ac:dyDescent="0.3">
      <c r="A15" s="128" t="s">
        <v>134</v>
      </c>
      <c r="B15" s="128">
        <f>'Расходы на ЗП ОТ'!B15</f>
        <v>11</v>
      </c>
      <c r="C15" s="129">
        <f>'Расходы на ЗП ОТ'!C15</f>
        <v>0</v>
      </c>
      <c r="D15" s="129">
        <f>SUM(D9:D14)</f>
        <v>0</v>
      </c>
      <c r="E15" s="129">
        <f t="shared" ref="E15:F15" si="21">SUM(E9:E14)</f>
        <v>0</v>
      </c>
      <c r="F15" s="129">
        <f t="shared" si="21"/>
        <v>0</v>
      </c>
      <c r="G15" s="129">
        <f t="shared" ref="G15:U15" si="22">SUM(G9:G14)</f>
        <v>0</v>
      </c>
      <c r="H15" s="129">
        <f>SUM(H9:H14)</f>
        <v>1539</v>
      </c>
      <c r="I15" s="129">
        <f t="shared" si="22"/>
        <v>1539</v>
      </c>
      <c r="J15" s="129">
        <f t="shared" si="22"/>
        <v>1539</v>
      </c>
      <c r="K15" s="129">
        <f t="shared" si="22"/>
        <v>1539</v>
      </c>
      <c r="L15" s="129">
        <f t="shared" si="22"/>
        <v>1646.73</v>
      </c>
      <c r="M15" s="129">
        <f t="shared" si="22"/>
        <v>1646.73</v>
      </c>
      <c r="N15" s="129">
        <f t="shared" si="22"/>
        <v>1646.73</v>
      </c>
      <c r="O15" s="129">
        <f t="shared" si="22"/>
        <v>1646.73</v>
      </c>
      <c r="P15" s="129">
        <f t="shared" si="22"/>
        <v>1762.0011000000002</v>
      </c>
      <c r="Q15" s="129">
        <f t="shared" si="22"/>
        <v>1762.0011000000002</v>
      </c>
      <c r="R15" s="129">
        <f t="shared" si="22"/>
        <v>1762.0011000000002</v>
      </c>
      <c r="S15" s="129">
        <f t="shared" si="22"/>
        <v>1762.0011000000002</v>
      </c>
      <c r="T15" s="129">
        <f t="shared" si="22"/>
        <v>1885.3411770000002</v>
      </c>
      <c r="U15" s="129">
        <f t="shared" si="22"/>
        <v>1885.3411770000002</v>
      </c>
      <c r="V15" s="129">
        <f>SUM(V9:V14)</f>
        <v>1885.3411770000002</v>
      </c>
      <c r="W15" s="129">
        <f t="shared" ref="W15:AI15" si="23">SUM(W9:W14)</f>
        <v>1885.3411770000002</v>
      </c>
      <c r="X15" s="129">
        <f t="shared" si="23"/>
        <v>2017.3150593900004</v>
      </c>
      <c r="Y15" s="129">
        <f t="shared" si="23"/>
        <v>2017.3150593900004</v>
      </c>
      <c r="Z15" s="129">
        <f t="shared" si="23"/>
        <v>2017.3150593900004</v>
      </c>
      <c r="AA15" s="129">
        <f t="shared" si="23"/>
        <v>2017.3150593900004</v>
      </c>
      <c r="AB15" s="129">
        <f t="shared" si="23"/>
        <v>2158.5271135473004</v>
      </c>
      <c r="AC15" s="129">
        <f t="shared" si="23"/>
        <v>2158.5271135473004</v>
      </c>
      <c r="AD15" s="129">
        <f t="shared" si="23"/>
        <v>2158.5271135473004</v>
      </c>
      <c r="AE15" s="129">
        <f t="shared" si="23"/>
        <v>2158.5271135473004</v>
      </c>
      <c r="AF15" s="129">
        <f t="shared" si="23"/>
        <v>2309.6240114956117</v>
      </c>
      <c r="AG15" s="129">
        <f t="shared" si="23"/>
        <v>2309.6240114956117</v>
      </c>
      <c r="AH15" s="129">
        <f t="shared" si="23"/>
        <v>2309.6240114956117</v>
      </c>
      <c r="AI15" s="129">
        <f t="shared" si="23"/>
        <v>2309.6240114956117</v>
      </c>
      <c r="AJ15" s="129">
        <f t="shared" ref="AJ15:AQ15" si="24">SUM(AJ9:AJ14)</f>
        <v>2471.2976923003043</v>
      </c>
      <c r="AK15" s="129">
        <f t="shared" si="24"/>
        <v>2471.2976923003043</v>
      </c>
      <c r="AL15" s="129">
        <f t="shared" si="24"/>
        <v>2471.2976923003043</v>
      </c>
      <c r="AM15" s="129">
        <f t="shared" si="24"/>
        <v>2471.2976923003043</v>
      </c>
      <c r="AN15" s="129">
        <f t="shared" si="24"/>
        <v>2644.2885307613265</v>
      </c>
      <c r="AO15" s="129">
        <f t="shared" si="24"/>
        <v>2644.2885307613265</v>
      </c>
      <c r="AP15" s="129">
        <f t="shared" si="24"/>
        <v>2644.2885307613265</v>
      </c>
      <c r="AQ15" s="129">
        <f t="shared" si="24"/>
        <v>2644.2885307613265</v>
      </c>
      <c r="AR15" s="129">
        <f t="shared" ref="AR15:AU15" si="25">SUM(AR9:AR14)</f>
        <v>2829.3887279146184</v>
      </c>
      <c r="AS15" s="129">
        <f t="shared" si="25"/>
        <v>2829.3887279146184</v>
      </c>
      <c r="AT15" s="129">
        <f t="shared" si="25"/>
        <v>2829.3887279146184</v>
      </c>
      <c r="AU15" s="129">
        <f t="shared" si="25"/>
        <v>2829.3887279146184</v>
      </c>
      <c r="AV15" s="129"/>
      <c r="AW15" s="129">
        <f t="shared" si="0"/>
        <v>0</v>
      </c>
      <c r="AX15" s="129">
        <f t="shared" si="1"/>
        <v>6156</v>
      </c>
      <c r="AY15" s="129">
        <f t="shared" si="2"/>
        <v>6586.92</v>
      </c>
      <c r="AZ15" s="129">
        <f t="shared" si="3"/>
        <v>7048.0044000000007</v>
      </c>
      <c r="BA15" s="129">
        <f t="shared" si="4"/>
        <v>7541.364708000001</v>
      </c>
      <c r="BB15" s="129">
        <f t="shared" si="5"/>
        <v>8069.2602375600018</v>
      </c>
      <c r="BC15" s="129">
        <f t="shared" si="6"/>
        <v>8634.1084541892014</v>
      </c>
      <c r="BD15" s="129">
        <f t="shared" si="7"/>
        <v>9238.496045982447</v>
      </c>
      <c r="BE15" s="129">
        <f t="shared" si="8"/>
        <v>9885.1907692012173</v>
      </c>
      <c r="BF15" s="129">
        <f t="shared" si="9"/>
        <v>10577.154123045306</v>
      </c>
      <c r="BG15" s="610">
        <f t="shared" si="10"/>
        <v>11317.554911658473</v>
      </c>
    </row>
    <row r="16" spans="1:59" s="130" customFormat="1" x14ac:dyDescent="0.3">
      <c r="A16" s="131" t="s">
        <v>135</v>
      </c>
      <c r="B16" s="131">
        <f>'Расходы на ЗП ОТ'!B16</f>
        <v>0</v>
      </c>
      <c r="C16" s="132">
        <f>'Расходы на ЗП ОТ'!C16</f>
        <v>0</v>
      </c>
      <c r="D16" s="132">
        <f>D15*$B$62</f>
        <v>0</v>
      </c>
      <c r="E16" s="132">
        <f t="shared" ref="E16:AQ16" si="26">E15*$B$62</f>
        <v>0</v>
      </c>
      <c r="F16" s="132">
        <f t="shared" si="26"/>
        <v>0</v>
      </c>
      <c r="G16" s="132">
        <f t="shared" si="26"/>
        <v>0</v>
      </c>
      <c r="H16" s="132">
        <f t="shared" si="26"/>
        <v>461.7</v>
      </c>
      <c r="I16" s="132">
        <f t="shared" si="26"/>
        <v>461.7</v>
      </c>
      <c r="J16" s="132">
        <f t="shared" si="26"/>
        <v>461.7</v>
      </c>
      <c r="K16" s="132">
        <f t="shared" si="26"/>
        <v>461.7</v>
      </c>
      <c r="L16" s="132">
        <f t="shared" si="26"/>
        <v>494.01900000000001</v>
      </c>
      <c r="M16" s="132">
        <f t="shared" si="26"/>
        <v>494.01900000000001</v>
      </c>
      <c r="N16" s="132">
        <f t="shared" si="26"/>
        <v>494.01900000000001</v>
      </c>
      <c r="O16" s="132">
        <f t="shared" si="26"/>
        <v>494.01900000000001</v>
      </c>
      <c r="P16" s="132">
        <f t="shared" si="26"/>
        <v>528.60032999999999</v>
      </c>
      <c r="Q16" s="132">
        <f t="shared" si="26"/>
        <v>528.60032999999999</v>
      </c>
      <c r="R16" s="132">
        <f t="shared" si="26"/>
        <v>528.60032999999999</v>
      </c>
      <c r="S16" s="132">
        <f t="shared" si="26"/>
        <v>528.60032999999999</v>
      </c>
      <c r="T16" s="132">
        <f t="shared" si="26"/>
        <v>565.60235310000007</v>
      </c>
      <c r="U16" s="132">
        <f t="shared" si="26"/>
        <v>565.60235310000007</v>
      </c>
      <c r="V16" s="132">
        <f t="shared" si="26"/>
        <v>565.60235310000007</v>
      </c>
      <c r="W16" s="132">
        <f t="shared" si="26"/>
        <v>565.60235310000007</v>
      </c>
      <c r="X16" s="132">
        <f t="shared" si="26"/>
        <v>605.19451781700013</v>
      </c>
      <c r="Y16" s="132">
        <f t="shared" si="26"/>
        <v>605.19451781700013</v>
      </c>
      <c r="Z16" s="132">
        <f t="shared" si="26"/>
        <v>605.19451781700013</v>
      </c>
      <c r="AA16" s="132">
        <f t="shared" si="26"/>
        <v>605.19451781700013</v>
      </c>
      <c r="AB16" s="132">
        <f t="shared" si="26"/>
        <v>647.55813406419009</v>
      </c>
      <c r="AC16" s="132">
        <f t="shared" si="26"/>
        <v>647.55813406419009</v>
      </c>
      <c r="AD16" s="132">
        <f t="shared" si="26"/>
        <v>647.55813406419009</v>
      </c>
      <c r="AE16" s="132">
        <f t="shared" si="26"/>
        <v>647.55813406419009</v>
      </c>
      <c r="AF16" s="132">
        <f t="shared" si="26"/>
        <v>692.88720344868352</v>
      </c>
      <c r="AG16" s="132">
        <f t="shared" si="26"/>
        <v>692.88720344868352</v>
      </c>
      <c r="AH16" s="132">
        <f t="shared" si="26"/>
        <v>692.88720344868352</v>
      </c>
      <c r="AI16" s="132">
        <f t="shared" si="26"/>
        <v>692.88720344868352</v>
      </c>
      <c r="AJ16" s="132">
        <f t="shared" si="26"/>
        <v>741.3893076900913</v>
      </c>
      <c r="AK16" s="132">
        <f t="shared" si="26"/>
        <v>741.3893076900913</v>
      </c>
      <c r="AL16" s="132">
        <f t="shared" si="26"/>
        <v>741.3893076900913</v>
      </c>
      <c r="AM16" s="132">
        <f t="shared" si="26"/>
        <v>741.3893076900913</v>
      </c>
      <c r="AN16" s="132">
        <f t="shared" si="26"/>
        <v>793.28655922839789</v>
      </c>
      <c r="AO16" s="132">
        <f t="shared" si="26"/>
        <v>793.28655922839789</v>
      </c>
      <c r="AP16" s="132">
        <f t="shared" si="26"/>
        <v>793.28655922839789</v>
      </c>
      <c r="AQ16" s="132">
        <f t="shared" si="26"/>
        <v>793.28655922839789</v>
      </c>
      <c r="AR16" s="132">
        <f t="shared" ref="AR16:AU16" si="27">AR15*$B$62</f>
        <v>848.81661837438548</v>
      </c>
      <c r="AS16" s="132">
        <f t="shared" si="27"/>
        <v>848.81661837438548</v>
      </c>
      <c r="AT16" s="132">
        <f t="shared" si="27"/>
        <v>848.81661837438548</v>
      </c>
      <c r="AU16" s="132">
        <f t="shared" si="27"/>
        <v>848.81661837438548</v>
      </c>
      <c r="AV16" s="132"/>
      <c r="AW16" s="132">
        <f t="shared" si="0"/>
        <v>0</v>
      </c>
      <c r="AX16" s="132">
        <f t="shared" si="1"/>
        <v>1846.8</v>
      </c>
      <c r="AY16" s="132">
        <f t="shared" si="2"/>
        <v>1976.076</v>
      </c>
      <c r="AZ16" s="132">
        <f t="shared" si="3"/>
        <v>2114.4013199999999</v>
      </c>
      <c r="BA16" s="132">
        <f t="shared" si="4"/>
        <v>2262.4094124000003</v>
      </c>
      <c r="BB16" s="132">
        <f t="shared" si="5"/>
        <v>2420.7780712680005</v>
      </c>
      <c r="BC16" s="132">
        <f t="shared" si="6"/>
        <v>2590.2325362567603</v>
      </c>
      <c r="BD16" s="132">
        <f t="shared" si="7"/>
        <v>2771.5488137947341</v>
      </c>
      <c r="BE16" s="132">
        <f t="shared" si="8"/>
        <v>2965.5572307603652</v>
      </c>
      <c r="BF16" s="132">
        <f t="shared" si="9"/>
        <v>3173.1462369135916</v>
      </c>
      <c r="BG16" s="132">
        <f t="shared" si="10"/>
        <v>3395.2664734975419</v>
      </c>
    </row>
    <row r="17" spans="1:59" ht="28.5" customHeight="1" x14ac:dyDescent="0.3">
      <c r="A17" s="133" t="s">
        <v>143</v>
      </c>
      <c r="B17" s="123">
        <f>'Расходы на ЗП ОТ'!B17</f>
        <v>0</v>
      </c>
      <c r="C17" s="126">
        <f>'Расходы на ЗП ОТ'!C17</f>
        <v>0</v>
      </c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>
        <f t="shared" si="0"/>
        <v>0</v>
      </c>
      <c r="AX17" s="126">
        <f t="shared" si="1"/>
        <v>0</v>
      </c>
      <c r="AY17" s="126">
        <f t="shared" si="2"/>
        <v>0</v>
      </c>
      <c r="AZ17" s="126">
        <f t="shared" si="3"/>
        <v>0</v>
      </c>
      <c r="BA17" s="126">
        <f t="shared" si="4"/>
        <v>0</v>
      </c>
      <c r="BB17" s="126">
        <f t="shared" si="5"/>
        <v>0</v>
      </c>
      <c r="BC17" s="126">
        <f t="shared" si="6"/>
        <v>0</v>
      </c>
      <c r="BD17" s="126">
        <f t="shared" si="7"/>
        <v>0</v>
      </c>
      <c r="BE17" s="126">
        <f t="shared" si="8"/>
        <v>0</v>
      </c>
      <c r="BF17" s="126">
        <f t="shared" si="9"/>
        <v>0</v>
      </c>
      <c r="BG17" s="126">
        <f t="shared" si="10"/>
        <v>0</v>
      </c>
    </row>
    <row r="18" spans="1:59" ht="17.25" customHeight="1" x14ac:dyDescent="0.3">
      <c r="A18" s="133" t="s">
        <v>144</v>
      </c>
      <c r="B18" s="123">
        <f>'Расходы на ЗП ОТ'!B18</f>
        <v>0</v>
      </c>
      <c r="C18" s="126">
        <f>'Расходы на ЗП ОТ'!C18</f>
        <v>0</v>
      </c>
      <c r="D18" s="126">
        <f>'Расходы на ЗП ОТ'!D18</f>
        <v>0</v>
      </c>
      <c r="E18" s="126">
        <f>'Расходы на ЗП ОТ'!E18</f>
        <v>0</v>
      </c>
      <c r="F18" s="126">
        <f>'Расходы на ЗП ОТ'!F18</f>
        <v>0</v>
      </c>
      <c r="G18" s="126">
        <f>'Расходы на ЗП ОТ'!G18</f>
        <v>0</v>
      </c>
      <c r="H18" s="126">
        <f>'Расходы на ЗП ОТ'!H18</f>
        <v>0</v>
      </c>
      <c r="I18" s="126">
        <f>'Расходы на ЗП ОТ'!I18</f>
        <v>0</v>
      </c>
      <c r="J18" s="126">
        <f>'Расходы на ЗП ОТ'!J18</f>
        <v>0</v>
      </c>
      <c r="K18" s="126">
        <f>'Расходы на ЗП ОТ'!K18</f>
        <v>0</v>
      </c>
      <c r="L18" s="126">
        <f>'Расходы на ЗП ОТ'!L18</f>
        <v>0</v>
      </c>
      <c r="M18" s="126">
        <f>'Расходы на ЗП ОТ'!M18</f>
        <v>0</v>
      </c>
      <c r="N18" s="126">
        <f>'Расходы на ЗП ОТ'!N18</f>
        <v>0</v>
      </c>
      <c r="O18" s="126">
        <f>'Расходы на ЗП ОТ'!O18</f>
        <v>0</v>
      </c>
      <c r="P18" s="126">
        <f>'Расходы на ЗП ОТ'!P18</f>
        <v>0</v>
      </c>
      <c r="Q18" s="126">
        <f>'Расходы на ЗП ОТ'!Q18</f>
        <v>0</v>
      </c>
      <c r="R18" s="126">
        <f>'Расходы на ЗП ОТ'!R18</f>
        <v>0</v>
      </c>
      <c r="S18" s="126">
        <f>'Расходы на ЗП ОТ'!S18</f>
        <v>0</v>
      </c>
      <c r="T18" s="126">
        <f>'Расходы на ЗП ОТ'!T18</f>
        <v>0</v>
      </c>
      <c r="U18" s="126">
        <f>'Расходы на ЗП ОТ'!U18</f>
        <v>0</v>
      </c>
      <c r="V18" s="126">
        <f>'Расходы на ЗП ОТ'!V18</f>
        <v>0</v>
      </c>
      <c r="W18" s="126">
        <f>'Расходы на ЗП ОТ'!W18</f>
        <v>0</v>
      </c>
      <c r="X18" s="126">
        <f>'Расходы на ЗП ОТ'!X18</f>
        <v>0</v>
      </c>
      <c r="Y18" s="126">
        <f>'Расходы на ЗП ОТ'!Y18</f>
        <v>0</v>
      </c>
      <c r="Z18" s="126">
        <f>'Расходы на ЗП ОТ'!Z18</f>
        <v>0</v>
      </c>
      <c r="AA18" s="126">
        <f>'Расходы на ЗП ОТ'!AA18</f>
        <v>0</v>
      </c>
      <c r="AB18" s="126">
        <f>'Расходы на ЗП ОТ'!AB18</f>
        <v>0</v>
      </c>
      <c r="AC18" s="126">
        <f>'Расходы на ЗП ОТ'!AC18</f>
        <v>0</v>
      </c>
      <c r="AD18" s="126">
        <f>'Расходы на ЗП ОТ'!AD18</f>
        <v>0</v>
      </c>
      <c r="AE18" s="126">
        <f>'Расходы на ЗП ОТ'!AE18</f>
        <v>0</v>
      </c>
      <c r="AF18" s="126">
        <f>'Расходы на ЗП ОТ'!AF18</f>
        <v>0</v>
      </c>
      <c r="AG18" s="126">
        <f>'Расходы на ЗП ОТ'!AG18</f>
        <v>0</v>
      </c>
      <c r="AH18" s="126">
        <f>'Расходы на ЗП ОТ'!AH18</f>
        <v>0</v>
      </c>
      <c r="AI18" s="126">
        <f>'Расходы на ЗП ОТ'!AI18</f>
        <v>0</v>
      </c>
      <c r="AJ18" s="126">
        <f>'Расходы на ЗП ОТ'!AJ18</f>
        <v>0</v>
      </c>
      <c r="AK18" s="126">
        <f>'Расходы на ЗП ОТ'!AK18</f>
        <v>0</v>
      </c>
      <c r="AL18" s="126">
        <f>'Расходы на ЗП ОТ'!AL18</f>
        <v>0</v>
      </c>
      <c r="AM18" s="126">
        <f>'Расходы на ЗП ОТ'!AM18</f>
        <v>0</v>
      </c>
      <c r="AN18" s="126">
        <f>'Расходы на ЗП ОТ'!AN18</f>
        <v>0</v>
      </c>
      <c r="AO18" s="126">
        <f>'Расходы на ЗП ОТ'!AO18</f>
        <v>0</v>
      </c>
      <c r="AP18" s="126">
        <f>'Расходы на ЗП ОТ'!AP18</f>
        <v>0</v>
      </c>
      <c r="AQ18" s="126">
        <f>'Расходы на ЗП ОТ'!AQ18</f>
        <v>0</v>
      </c>
      <c r="AR18" s="126">
        <f>'Расходы на ЗП ОТ'!AR18</f>
        <v>0</v>
      </c>
      <c r="AS18" s="126">
        <f>'Расходы на ЗП ОТ'!AS18</f>
        <v>0</v>
      </c>
      <c r="AT18" s="126">
        <f>'Расходы на ЗП ОТ'!AT18</f>
        <v>0</v>
      </c>
      <c r="AU18" s="126">
        <f>'Расходы на ЗП ОТ'!AU18</f>
        <v>0</v>
      </c>
      <c r="AV18" s="126"/>
      <c r="AW18" s="126">
        <f t="shared" si="0"/>
        <v>0</v>
      </c>
      <c r="AX18" s="126">
        <f t="shared" si="1"/>
        <v>0</v>
      </c>
      <c r="AY18" s="126">
        <f t="shared" si="2"/>
        <v>0</v>
      </c>
      <c r="AZ18" s="126">
        <f t="shared" si="3"/>
        <v>0</v>
      </c>
      <c r="BA18" s="126">
        <f t="shared" si="4"/>
        <v>0</v>
      </c>
      <c r="BB18" s="126">
        <f t="shared" si="5"/>
        <v>0</v>
      </c>
      <c r="BC18" s="126">
        <f t="shared" si="6"/>
        <v>0</v>
      </c>
      <c r="BD18" s="126">
        <f t="shared" si="7"/>
        <v>0</v>
      </c>
      <c r="BE18" s="126">
        <f t="shared" si="8"/>
        <v>0</v>
      </c>
      <c r="BF18" s="126">
        <f t="shared" si="9"/>
        <v>0</v>
      </c>
      <c r="BG18" s="126">
        <f t="shared" si="10"/>
        <v>0</v>
      </c>
    </row>
    <row r="19" spans="1:59" ht="23.25" customHeight="1" x14ac:dyDescent="0.3">
      <c r="A19" s="133" t="s">
        <v>145</v>
      </c>
      <c r="B19" s="123">
        <f>'Расходы на ЗП ОТ'!B19</f>
        <v>0</v>
      </c>
      <c r="C19" s="126">
        <f>'Расходы на ЗП ОТ'!C19</f>
        <v>0</v>
      </c>
      <c r="D19" s="126">
        <f>'Расходы на ЗП ОТ'!D19</f>
        <v>0</v>
      </c>
      <c r="E19" s="126">
        <f>'Расходы на ЗП ОТ'!E19</f>
        <v>0</v>
      </c>
      <c r="F19" s="126">
        <f>'Расходы на ЗП ОТ'!F19</f>
        <v>0</v>
      </c>
      <c r="G19" s="126" t="str">
        <f>'Расходы на ЗП ОТ'!G19</f>
        <v xml:space="preserve">  </v>
      </c>
      <c r="H19" s="126">
        <f>'Расходы на ЗП ОТ'!H19</f>
        <v>0</v>
      </c>
      <c r="I19" s="126">
        <f>'Расходы на ЗП ОТ'!I19</f>
        <v>0</v>
      </c>
      <c r="J19" s="126">
        <f>'Расходы на ЗП ОТ'!J19</f>
        <v>0</v>
      </c>
      <c r="K19" s="126">
        <f>'Расходы на ЗП ОТ'!K19</f>
        <v>0</v>
      </c>
      <c r="L19" s="126">
        <f>'Расходы на ЗП ОТ'!L19</f>
        <v>0</v>
      </c>
      <c r="M19" s="126">
        <f>'Расходы на ЗП ОТ'!M19</f>
        <v>0</v>
      </c>
      <c r="N19" s="126">
        <f>'Расходы на ЗП ОТ'!N19</f>
        <v>0</v>
      </c>
      <c r="O19" s="126">
        <f>'Расходы на ЗП ОТ'!O19</f>
        <v>0</v>
      </c>
      <c r="P19" s="126">
        <f>'Расходы на ЗП ОТ'!P19</f>
        <v>0</v>
      </c>
      <c r="Q19" s="126">
        <f>'Расходы на ЗП ОТ'!Q19</f>
        <v>0</v>
      </c>
      <c r="R19" s="126">
        <f>'Расходы на ЗП ОТ'!R19</f>
        <v>0</v>
      </c>
      <c r="S19" s="126">
        <f>'Расходы на ЗП ОТ'!S19</f>
        <v>0</v>
      </c>
      <c r="T19" s="126">
        <f>'Расходы на ЗП ОТ'!T19</f>
        <v>0</v>
      </c>
      <c r="U19" s="126">
        <f>'Расходы на ЗП ОТ'!U19</f>
        <v>0</v>
      </c>
      <c r="V19" s="126">
        <f>'Расходы на ЗП ОТ'!V19</f>
        <v>0</v>
      </c>
      <c r="W19" s="126">
        <f>'Расходы на ЗП ОТ'!W19</f>
        <v>0</v>
      </c>
      <c r="X19" s="126">
        <f>'Расходы на ЗП ОТ'!X19</f>
        <v>0</v>
      </c>
      <c r="Y19" s="126">
        <f>'Расходы на ЗП ОТ'!Y19</f>
        <v>0</v>
      </c>
      <c r="Z19" s="126">
        <f>'Расходы на ЗП ОТ'!Z19</f>
        <v>0</v>
      </c>
      <c r="AA19" s="126">
        <f>'Расходы на ЗП ОТ'!AA19</f>
        <v>0</v>
      </c>
      <c r="AB19" s="126">
        <f>'Расходы на ЗП ОТ'!AB19</f>
        <v>0</v>
      </c>
      <c r="AC19" s="126">
        <f>'Расходы на ЗП ОТ'!AC19</f>
        <v>0</v>
      </c>
      <c r="AD19" s="126">
        <f>'Расходы на ЗП ОТ'!AD19</f>
        <v>0</v>
      </c>
      <c r="AE19" s="126">
        <f>'Расходы на ЗП ОТ'!AE19</f>
        <v>0</v>
      </c>
      <c r="AF19" s="126">
        <f>'Расходы на ЗП ОТ'!AF19</f>
        <v>0</v>
      </c>
      <c r="AG19" s="126">
        <f>'Расходы на ЗП ОТ'!AG19</f>
        <v>0</v>
      </c>
      <c r="AH19" s="126">
        <f>'Расходы на ЗП ОТ'!AH19</f>
        <v>0</v>
      </c>
      <c r="AI19" s="126">
        <f>'Расходы на ЗП ОТ'!AI19</f>
        <v>0</v>
      </c>
      <c r="AJ19" s="126">
        <f>'Расходы на ЗП ОТ'!AJ19</f>
        <v>0</v>
      </c>
      <c r="AK19" s="126">
        <f>'Расходы на ЗП ОТ'!AK19</f>
        <v>0</v>
      </c>
      <c r="AL19" s="126">
        <f>'Расходы на ЗП ОТ'!AL19</f>
        <v>0</v>
      </c>
      <c r="AM19" s="126">
        <f>'Расходы на ЗП ОТ'!AM19</f>
        <v>0</v>
      </c>
      <c r="AN19" s="126">
        <f>'Расходы на ЗП ОТ'!AN19</f>
        <v>0</v>
      </c>
      <c r="AO19" s="126">
        <f>'Расходы на ЗП ОТ'!AO19</f>
        <v>0</v>
      </c>
      <c r="AP19" s="126">
        <f>'Расходы на ЗП ОТ'!AP19</f>
        <v>0</v>
      </c>
      <c r="AQ19" s="126">
        <f>'Расходы на ЗП ОТ'!AQ19</f>
        <v>0</v>
      </c>
      <c r="AR19" s="126">
        <f>'Расходы на ЗП ОТ'!AR19</f>
        <v>0</v>
      </c>
      <c r="AS19" s="126">
        <f>'Расходы на ЗП ОТ'!AS19</f>
        <v>0</v>
      </c>
      <c r="AT19" s="126">
        <f>'Расходы на ЗП ОТ'!AT19</f>
        <v>0</v>
      </c>
      <c r="AU19" s="126">
        <f>'Расходы на ЗП ОТ'!AU19</f>
        <v>0</v>
      </c>
      <c r="AV19" s="126"/>
      <c r="AW19" s="126">
        <f t="shared" si="0"/>
        <v>0</v>
      </c>
      <c r="AX19" s="126">
        <f t="shared" si="1"/>
        <v>0</v>
      </c>
      <c r="AY19" s="126">
        <f t="shared" si="2"/>
        <v>0</v>
      </c>
      <c r="AZ19" s="126">
        <f t="shared" si="3"/>
        <v>0</v>
      </c>
      <c r="BA19" s="126">
        <f t="shared" si="4"/>
        <v>0</v>
      </c>
      <c r="BB19" s="126">
        <f t="shared" si="5"/>
        <v>0</v>
      </c>
      <c r="BC19" s="126">
        <f t="shared" si="6"/>
        <v>0</v>
      </c>
      <c r="BD19" s="126">
        <f t="shared" si="7"/>
        <v>0</v>
      </c>
      <c r="BE19" s="126">
        <f t="shared" si="8"/>
        <v>0</v>
      </c>
      <c r="BF19" s="126">
        <f t="shared" si="9"/>
        <v>0</v>
      </c>
      <c r="BG19" s="126">
        <f t="shared" si="10"/>
        <v>0</v>
      </c>
    </row>
    <row r="20" spans="1:59" ht="19.5" customHeight="1" x14ac:dyDescent="0.3">
      <c r="A20" s="133" t="s">
        <v>147</v>
      </c>
      <c r="B20" s="123">
        <f>'Расходы на ЗП ОТ'!B20</f>
        <v>0</v>
      </c>
      <c r="C20" s="126">
        <f>'Расходы на ЗП ОТ'!C20</f>
        <v>0</v>
      </c>
      <c r="D20" s="126">
        <f>'Расходы на ЗП ОТ'!D20</f>
        <v>0</v>
      </c>
      <c r="E20" s="126">
        <f>'Расходы на ЗП ОТ'!E20</f>
        <v>0</v>
      </c>
      <c r="F20" s="126">
        <f>'Расходы на ЗП ОТ'!F20</f>
        <v>0</v>
      </c>
      <c r="G20" s="126">
        <f>'Расходы на ЗП ОТ'!G20</f>
        <v>0</v>
      </c>
      <c r="H20" s="126">
        <f>'Расходы на ЗП ОТ'!H20</f>
        <v>0</v>
      </c>
      <c r="I20" s="126">
        <f>'Расходы на ЗП ОТ'!I20</f>
        <v>0</v>
      </c>
      <c r="J20" s="126">
        <f>'Расходы на ЗП ОТ'!J20</f>
        <v>0</v>
      </c>
      <c r="K20" s="126">
        <f>'Расходы на ЗП ОТ'!K20</f>
        <v>0</v>
      </c>
      <c r="L20" s="126">
        <f>'Расходы на ЗП ОТ'!L20</f>
        <v>0</v>
      </c>
      <c r="M20" s="126">
        <f>'Расходы на ЗП ОТ'!M20</f>
        <v>0</v>
      </c>
      <c r="N20" s="126">
        <f>'Расходы на ЗП ОТ'!N20</f>
        <v>0</v>
      </c>
      <c r="O20" s="126">
        <f>'Расходы на ЗП ОТ'!O20</f>
        <v>0</v>
      </c>
      <c r="P20" s="126">
        <f>'Расходы на ЗП ОТ'!P20</f>
        <v>0</v>
      </c>
      <c r="Q20" s="126">
        <f>'Расходы на ЗП ОТ'!Q20</f>
        <v>0</v>
      </c>
      <c r="R20" s="126">
        <f>'Расходы на ЗП ОТ'!R20</f>
        <v>0</v>
      </c>
      <c r="S20" s="126">
        <f>'Расходы на ЗП ОТ'!S20</f>
        <v>0</v>
      </c>
      <c r="T20" s="126">
        <f>'Расходы на ЗП ОТ'!T20</f>
        <v>0</v>
      </c>
      <c r="U20" s="126">
        <f>'Расходы на ЗП ОТ'!U20</f>
        <v>0</v>
      </c>
      <c r="V20" s="126">
        <f>'Расходы на ЗП ОТ'!V20</f>
        <v>0</v>
      </c>
      <c r="W20" s="126">
        <f>'Расходы на ЗП ОТ'!W20</f>
        <v>0</v>
      </c>
      <c r="X20" s="126">
        <f>'Расходы на ЗП ОТ'!X20</f>
        <v>0</v>
      </c>
      <c r="Y20" s="126">
        <f>'Расходы на ЗП ОТ'!Y20</f>
        <v>0</v>
      </c>
      <c r="Z20" s="126">
        <f>'Расходы на ЗП ОТ'!Z20</f>
        <v>0</v>
      </c>
      <c r="AA20" s="126">
        <f>'Расходы на ЗП ОТ'!AA20</f>
        <v>0</v>
      </c>
      <c r="AB20" s="126">
        <f>'Расходы на ЗП ОТ'!AB20</f>
        <v>0</v>
      </c>
      <c r="AC20" s="126">
        <f>'Расходы на ЗП ОТ'!AC20</f>
        <v>0</v>
      </c>
      <c r="AD20" s="126">
        <f>'Расходы на ЗП ОТ'!AD20</f>
        <v>0</v>
      </c>
      <c r="AE20" s="126">
        <f>'Расходы на ЗП ОТ'!AE20</f>
        <v>0</v>
      </c>
      <c r="AF20" s="126">
        <f>'Расходы на ЗП ОТ'!AF20</f>
        <v>0</v>
      </c>
      <c r="AG20" s="126">
        <f>'Расходы на ЗП ОТ'!AG20</f>
        <v>0</v>
      </c>
      <c r="AH20" s="126">
        <f>'Расходы на ЗП ОТ'!AH20</f>
        <v>0</v>
      </c>
      <c r="AI20" s="126">
        <f>'Расходы на ЗП ОТ'!AI20</f>
        <v>0</v>
      </c>
      <c r="AJ20" s="126">
        <f>'Расходы на ЗП ОТ'!AJ20</f>
        <v>0</v>
      </c>
      <c r="AK20" s="126">
        <f>'Расходы на ЗП ОТ'!AK20</f>
        <v>0</v>
      </c>
      <c r="AL20" s="126">
        <f>'Расходы на ЗП ОТ'!AL20</f>
        <v>0</v>
      </c>
      <c r="AM20" s="126">
        <f>'Расходы на ЗП ОТ'!AM20</f>
        <v>0</v>
      </c>
      <c r="AN20" s="126">
        <f>'Расходы на ЗП ОТ'!AN20</f>
        <v>0</v>
      </c>
      <c r="AO20" s="126">
        <f>'Расходы на ЗП ОТ'!AO20</f>
        <v>0</v>
      </c>
      <c r="AP20" s="126">
        <f>'Расходы на ЗП ОТ'!AP20</f>
        <v>0</v>
      </c>
      <c r="AQ20" s="126">
        <f>'Расходы на ЗП ОТ'!AQ20</f>
        <v>0</v>
      </c>
      <c r="AR20" s="126">
        <f>'Расходы на ЗП ОТ'!AR20</f>
        <v>0</v>
      </c>
      <c r="AS20" s="126">
        <f>'Расходы на ЗП ОТ'!AS20</f>
        <v>0</v>
      </c>
      <c r="AT20" s="126">
        <f>'Расходы на ЗП ОТ'!AT20</f>
        <v>0</v>
      </c>
      <c r="AU20" s="126">
        <f>'Расходы на ЗП ОТ'!AU20</f>
        <v>0</v>
      </c>
      <c r="AV20" s="126"/>
      <c r="AW20" s="126">
        <f t="shared" si="0"/>
        <v>0</v>
      </c>
      <c r="AX20" s="126">
        <f t="shared" si="1"/>
        <v>0</v>
      </c>
      <c r="AY20" s="126">
        <f t="shared" si="2"/>
        <v>0</v>
      </c>
      <c r="AZ20" s="126">
        <f t="shared" si="3"/>
        <v>0</v>
      </c>
      <c r="BA20" s="126">
        <f t="shared" si="4"/>
        <v>0</v>
      </c>
      <c r="BB20" s="126">
        <f t="shared" si="5"/>
        <v>0</v>
      </c>
      <c r="BC20" s="126">
        <f t="shared" si="6"/>
        <v>0</v>
      </c>
      <c r="BD20" s="126">
        <f t="shared" si="7"/>
        <v>0</v>
      </c>
      <c r="BE20" s="126">
        <f t="shared" si="8"/>
        <v>0</v>
      </c>
      <c r="BF20" s="126">
        <f t="shared" si="9"/>
        <v>0</v>
      </c>
      <c r="BG20" s="126">
        <f t="shared" si="10"/>
        <v>0</v>
      </c>
    </row>
    <row r="21" spans="1:59" ht="19.5" customHeight="1" x14ac:dyDescent="0.3">
      <c r="A21" s="133" t="s">
        <v>148</v>
      </c>
      <c r="B21" s="123">
        <f>'Расходы на ЗП ОТ'!B21</f>
        <v>0</v>
      </c>
      <c r="C21" s="126">
        <f>'Расходы на ЗП ОТ'!C21</f>
        <v>0</v>
      </c>
      <c r="D21" s="126">
        <f>'Расходы на ЗП ОТ'!D21</f>
        <v>0</v>
      </c>
      <c r="E21" s="126">
        <f>'Расходы на ЗП ОТ'!E21</f>
        <v>0</v>
      </c>
      <c r="F21" s="126">
        <f>'Расходы на ЗП ОТ'!F21</f>
        <v>0</v>
      </c>
      <c r="G21" s="126">
        <f>'Расходы на ЗП ОТ'!G21</f>
        <v>0</v>
      </c>
      <c r="H21" s="126">
        <f>'Расходы на ЗП ОТ'!H21</f>
        <v>0</v>
      </c>
      <c r="I21" s="126">
        <f>'Расходы на ЗП ОТ'!I21</f>
        <v>0</v>
      </c>
      <c r="J21" s="126">
        <f>'Расходы на ЗП ОТ'!J21</f>
        <v>0</v>
      </c>
      <c r="K21" s="126">
        <f>'Расходы на ЗП ОТ'!K21</f>
        <v>0</v>
      </c>
      <c r="L21" s="126">
        <f>'Расходы на ЗП ОТ'!L21</f>
        <v>0</v>
      </c>
      <c r="M21" s="126">
        <f>'Расходы на ЗП ОТ'!M21</f>
        <v>0</v>
      </c>
      <c r="N21" s="126">
        <f>'Расходы на ЗП ОТ'!N21</f>
        <v>0</v>
      </c>
      <c r="O21" s="126">
        <f>'Расходы на ЗП ОТ'!O21</f>
        <v>0</v>
      </c>
      <c r="P21" s="126">
        <f>'Расходы на ЗП ОТ'!P21</f>
        <v>0</v>
      </c>
      <c r="Q21" s="126">
        <f>'Расходы на ЗП ОТ'!Q21</f>
        <v>0</v>
      </c>
      <c r="R21" s="126">
        <f>'Расходы на ЗП ОТ'!R21</f>
        <v>0</v>
      </c>
      <c r="S21" s="126">
        <f>'Расходы на ЗП ОТ'!S21</f>
        <v>0</v>
      </c>
      <c r="T21" s="126">
        <f>'Расходы на ЗП ОТ'!T21</f>
        <v>0</v>
      </c>
      <c r="U21" s="126">
        <f>'Расходы на ЗП ОТ'!U21</f>
        <v>0</v>
      </c>
      <c r="V21" s="126">
        <f>'Расходы на ЗП ОТ'!V21</f>
        <v>0</v>
      </c>
      <c r="W21" s="126">
        <f>'Расходы на ЗП ОТ'!W21</f>
        <v>0</v>
      </c>
      <c r="X21" s="126">
        <f>'Расходы на ЗП ОТ'!X21</f>
        <v>0</v>
      </c>
      <c r="Y21" s="126">
        <f>'Расходы на ЗП ОТ'!Y21</f>
        <v>0</v>
      </c>
      <c r="Z21" s="126">
        <f>'Расходы на ЗП ОТ'!Z21</f>
        <v>0</v>
      </c>
      <c r="AA21" s="126">
        <f>'Расходы на ЗП ОТ'!AA21</f>
        <v>0</v>
      </c>
      <c r="AB21" s="126">
        <f>'Расходы на ЗП ОТ'!AB21</f>
        <v>0</v>
      </c>
      <c r="AC21" s="126">
        <f>'Расходы на ЗП ОТ'!AC21</f>
        <v>0</v>
      </c>
      <c r="AD21" s="126">
        <f>'Расходы на ЗП ОТ'!AD21</f>
        <v>0</v>
      </c>
      <c r="AE21" s="126">
        <f>'Расходы на ЗП ОТ'!AE21</f>
        <v>0</v>
      </c>
      <c r="AF21" s="126">
        <f>'Расходы на ЗП ОТ'!AF21</f>
        <v>0</v>
      </c>
      <c r="AG21" s="126">
        <f>'Расходы на ЗП ОТ'!AG21</f>
        <v>0</v>
      </c>
      <c r="AH21" s="126">
        <f>'Расходы на ЗП ОТ'!AH21</f>
        <v>0</v>
      </c>
      <c r="AI21" s="126">
        <f>'Расходы на ЗП ОТ'!AI21</f>
        <v>0</v>
      </c>
      <c r="AJ21" s="126">
        <f>'Расходы на ЗП ОТ'!AJ21</f>
        <v>0</v>
      </c>
      <c r="AK21" s="126">
        <f>'Расходы на ЗП ОТ'!AK21</f>
        <v>0</v>
      </c>
      <c r="AL21" s="126">
        <f>'Расходы на ЗП ОТ'!AL21</f>
        <v>0</v>
      </c>
      <c r="AM21" s="126">
        <f>'Расходы на ЗП ОТ'!AM21</f>
        <v>0</v>
      </c>
      <c r="AN21" s="126">
        <f>'Расходы на ЗП ОТ'!AN21</f>
        <v>0</v>
      </c>
      <c r="AO21" s="126">
        <f>'Расходы на ЗП ОТ'!AO21</f>
        <v>0</v>
      </c>
      <c r="AP21" s="126">
        <f>'Расходы на ЗП ОТ'!AP21</f>
        <v>0</v>
      </c>
      <c r="AQ21" s="126">
        <f>'Расходы на ЗП ОТ'!AQ21</f>
        <v>0</v>
      </c>
      <c r="AR21" s="126">
        <f>'Расходы на ЗП ОТ'!AR21</f>
        <v>0</v>
      </c>
      <c r="AS21" s="126">
        <f>'Расходы на ЗП ОТ'!AS21</f>
        <v>0</v>
      </c>
      <c r="AT21" s="126">
        <f>'Расходы на ЗП ОТ'!AT21</f>
        <v>0</v>
      </c>
      <c r="AU21" s="126">
        <f>'Расходы на ЗП ОТ'!AU21</f>
        <v>0</v>
      </c>
      <c r="AV21" s="126"/>
      <c r="AW21" s="126">
        <f t="shared" si="0"/>
        <v>0</v>
      </c>
      <c r="AX21" s="126">
        <f t="shared" si="1"/>
        <v>0</v>
      </c>
      <c r="AY21" s="126">
        <f t="shared" si="2"/>
        <v>0</v>
      </c>
      <c r="AZ21" s="126">
        <f t="shared" si="3"/>
        <v>0</v>
      </c>
      <c r="BA21" s="126">
        <f t="shared" si="4"/>
        <v>0</v>
      </c>
      <c r="BB21" s="126">
        <f t="shared" si="5"/>
        <v>0</v>
      </c>
      <c r="BC21" s="126">
        <f t="shared" si="6"/>
        <v>0</v>
      </c>
      <c r="BD21" s="126">
        <f t="shared" si="7"/>
        <v>0</v>
      </c>
      <c r="BE21" s="126">
        <f t="shared" si="8"/>
        <v>0</v>
      </c>
      <c r="BF21" s="126">
        <f t="shared" si="9"/>
        <v>0</v>
      </c>
      <c r="BG21" s="126">
        <f t="shared" si="10"/>
        <v>0</v>
      </c>
    </row>
    <row r="22" spans="1:59" ht="15.75" customHeight="1" x14ac:dyDescent="0.3">
      <c r="A22" s="133" t="s">
        <v>149</v>
      </c>
      <c r="B22" s="123">
        <f>'Расходы на ЗП ОТ'!B22</f>
        <v>0</v>
      </c>
      <c r="C22" s="126">
        <f>'Расходы на ЗП ОТ'!C22</f>
        <v>0</v>
      </c>
      <c r="D22" s="126">
        <f>'Расходы на ЗП ОТ'!D22</f>
        <v>0</v>
      </c>
      <c r="E22" s="126">
        <f>'Расходы на ЗП ОТ'!E22</f>
        <v>0</v>
      </c>
      <c r="F22" s="126">
        <f>'Расходы на ЗП ОТ'!F22</f>
        <v>0</v>
      </c>
      <c r="G22" s="126">
        <f>'Расходы на ЗП ОТ'!G22</f>
        <v>0</v>
      </c>
      <c r="H22" s="126">
        <f>'Расходы на ЗП ОТ'!H22</f>
        <v>0</v>
      </c>
      <c r="I22" s="126">
        <f>'Расходы на ЗП ОТ'!I22</f>
        <v>0</v>
      </c>
      <c r="J22" s="126">
        <f>'Расходы на ЗП ОТ'!J22</f>
        <v>0</v>
      </c>
      <c r="K22" s="126">
        <f>'Расходы на ЗП ОТ'!K22</f>
        <v>0</v>
      </c>
      <c r="L22" s="126">
        <f>'Расходы на ЗП ОТ'!L22</f>
        <v>0</v>
      </c>
      <c r="M22" s="126">
        <f>'Расходы на ЗП ОТ'!M22</f>
        <v>0</v>
      </c>
      <c r="N22" s="126">
        <f>'Расходы на ЗП ОТ'!N22</f>
        <v>0</v>
      </c>
      <c r="O22" s="126">
        <f>'Расходы на ЗП ОТ'!O22</f>
        <v>0</v>
      </c>
      <c r="P22" s="126">
        <f>'Расходы на ЗП ОТ'!P22</f>
        <v>0</v>
      </c>
      <c r="Q22" s="126">
        <f>'Расходы на ЗП ОТ'!Q22</f>
        <v>0</v>
      </c>
      <c r="R22" s="126">
        <f>'Расходы на ЗП ОТ'!R22</f>
        <v>0</v>
      </c>
      <c r="S22" s="126">
        <f>'Расходы на ЗП ОТ'!S22</f>
        <v>0</v>
      </c>
      <c r="T22" s="126">
        <f>'Расходы на ЗП ОТ'!T22</f>
        <v>0</v>
      </c>
      <c r="U22" s="126">
        <f>'Расходы на ЗП ОТ'!U22</f>
        <v>0</v>
      </c>
      <c r="V22" s="126">
        <f>'Расходы на ЗП ОТ'!V22</f>
        <v>0</v>
      </c>
      <c r="W22" s="126">
        <f>'Расходы на ЗП ОТ'!W22</f>
        <v>0</v>
      </c>
      <c r="X22" s="126">
        <f>'Расходы на ЗП ОТ'!X22</f>
        <v>0</v>
      </c>
      <c r="Y22" s="126">
        <f>'Расходы на ЗП ОТ'!Y22</f>
        <v>0</v>
      </c>
      <c r="Z22" s="126">
        <f>'Расходы на ЗП ОТ'!Z22</f>
        <v>0</v>
      </c>
      <c r="AA22" s="126">
        <f>'Расходы на ЗП ОТ'!AA22</f>
        <v>0</v>
      </c>
      <c r="AB22" s="126">
        <f>'Расходы на ЗП ОТ'!AB22</f>
        <v>0</v>
      </c>
      <c r="AC22" s="126">
        <f>'Расходы на ЗП ОТ'!AC22</f>
        <v>0</v>
      </c>
      <c r="AD22" s="126">
        <f>'Расходы на ЗП ОТ'!AD22</f>
        <v>0</v>
      </c>
      <c r="AE22" s="126">
        <f>'Расходы на ЗП ОТ'!AE22</f>
        <v>0</v>
      </c>
      <c r="AF22" s="126">
        <f>'Расходы на ЗП ОТ'!AF22</f>
        <v>0</v>
      </c>
      <c r="AG22" s="126">
        <f>'Расходы на ЗП ОТ'!AG22</f>
        <v>0</v>
      </c>
      <c r="AH22" s="126">
        <f>'Расходы на ЗП ОТ'!AH22</f>
        <v>0</v>
      </c>
      <c r="AI22" s="126">
        <f>'Расходы на ЗП ОТ'!AI22</f>
        <v>0</v>
      </c>
      <c r="AJ22" s="126">
        <f>'Расходы на ЗП ОТ'!AJ22</f>
        <v>0</v>
      </c>
      <c r="AK22" s="126">
        <f>'Расходы на ЗП ОТ'!AK22</f>
        <v>0</v>
      </c>
      <c r="AL22" s="126">
        <f>'Расходы на ЗП ОТ'!AL22</f>
        <v>0</v>
      </c>
      <c r="AM22" s="126">
        <f>'Расходы на ЗП ОТ'!AM22</f>
        <v>0</v>
      </c>
      <c r="AN22" s="126">
        <f>'Расходы на ЗП ОТ'!AN22</f>
        <v>0</v>
      </c>
      <c r="AO22" s="126">
        <f>'Расходы на ЗП ОТ'!AO22</f>
        <v>0</v>
      </c>
      <c r="AP22" s="126">
        <f>'Расходы на ЗП ОТ'!AP22</f>
        <v>0</v>
      </c>
      <c r="AQ22" s="126">
        <f>'Расходы на ЗП ОТ'!AQ22</f>
        <v>0</v>
      </c>
      <c r="AR22" s="126">
        <f>'Расходы на ЗП ОТ'!AR22</f>
        <v>0</v>
      </c>
      <c r="AS22" s="126">
        <f>'Расходы на ЗП ОТ'!AS22</f>
        <v>0</v>
      </c>
      <c r="AT22" s="126">
        <f>'Расходы на ЗП ОТ'!AT22</f>
        <v>0</v>
      </c>
      <c r="AU22" s="126">
        <f>'Расходы на ЗП ОТ'!AU22</f>
        <v>0</v>
      </c>
      <c r="AV22" s="126"/>
      <c r="AW22" s="126">
        <f t="shared" si="0"/>
        <v>0</v>
      </c>
      <c r="AX22" s="126">
        <f t="shared" si="1"/>
        <v>0</v>
      </c>
      <c r="AY22" s="126">
        <f t="shared" si="2"/>
        <v>0</v>
      </c>
      <c r="AZ22" s="126">
        <f t="shared" si="3"/>
        <v>0</v>
      </c>
      <c r="BA22" s="126">
        <f t="shared" si="4"/>
        <v>0</v>
      </c>
      <c r="BB22" s="126">
        <f t="shared" si="5"/>
        <v>0</v>
      </c>
      <c r="BC22" s="126">
        <f t="shared" si="6"/>
        <v>0</v>
      </c>
      <c r="BD22" s="126">
        <f t="shared" si="7"/>
        <v>0</v>
      </c>
      <c r="BE22" s="126">
        <f t="shared" si="8"/>
        <v>0</v>
      </c>
      <c r="BF22" s="126">
        <f t="shared" si="9"/>
        <v>0</v>
      </c>
      <c r="BG22" s="126">
        <f t="shared" si="10"/>
        <v>0</v>
      </c>
    </row>
    <row r="23" spans="1:59" s="127" customFormat="1" ht="30" customHeight="1" x14ac:dyDescent="0.3">
      <c r="A23" s="128" t="s">
        <v>134</v>
      </c>
      <c r="B23" s="128">
        <f>'Расходы на ЗП ОТ'!B23</f>
        <v>0</v>
      </c>
      <c r="C23" s="129">
        <f>'Расходы на ЗП ОТ'!C23</f>
        <v>0</v>
      </c>
      <c r="D23" s="129">
        <f>SUM(D18:D22)</f>
        <v>0</v>
      </c>
      <c r="E23" s="129">
        <f t="shared" ref="E23:F23" si="28">SUM(E18:E22)</f>
        <v>0</v>
      </c>
      <c r="F23" s="129">
        <f t="shared" si="28"/>
        <v>0</v>
      </c>
      <c r="G23" s="129">
        <f t="shared" ref="G23:AI23" si="29">SUM(G18:G22)</f>
        <v>0</v>
      </c>
      <c r="H23" s="129">
        <f t="shared" si="29"/>
        <v>0</v>
      </c>
      <c r="I23" s="129">
        <f t="shared" si="29"/>
        <v>0</v>
      </c>
      <c r="J23" s="129">
        <f t="shared" si="29"/>
        <v>0</v>
      </c>
      <c r="K23" s="129">
        <f t="shared" si="29"/>
        <v>0</v>
      </c>
      <c r="L23" s="129">
        <f t="shared" si="29"/>
        <v>0</v>
      </c>
      <c r="M23" s="129">
        <f t="shared" si="29"/>
        <v>0</v>
      </c>
      <c r="N23" s="129">
        <f t="shared" si="29"/>
        <v>0</v>
      </c>
      <c r="O23" s="129">
        <f t="shared" si="29"/>
        <v>0</v>
      </c>
      <c r="P23" s="129">
        <f t="shared" si="29"/>
        <v>0</v>
      </c>
      <c r="Q23" s="129">
        <f t="shared" si="29"/>
        <v>0</v>
      </c>
      <c r="R23" s="129">
        <f t="shared" si="29"/>
        <v>0</v>
      </c>
      <c r="S23" s="129">
        <f t="shared" si="29"/>
        <v>0</v>
      </c>
      <c r="T23" s="129">
        <f t="shared" si="29"/>
        <v>0</v>
      </c>
      <c r="U23" s="129">
        <f t="shared" si="29"/>
        <v>0</v>
      </c>
      <c r="V23" s="129">
        <f t="shared" si="29"/>
        <v>0</v>
      </c>
      <c r="W23" s="129">
        <f t="shared" si="29"/>
        <v>0</v>
      </c>
      <c r="X23" s="129">
        <f t="shared" si="29"/>
        <v>0</v>
      </c>
      <c r="Y23" s="129">
        <f t="shared" si="29"/>
        <v>0</v>
      </c>
      <c r="Z23" s="129">
        <f t="shared" si="29"/>
        <v>0</v>
      </c>
      <c r="AA23" s="129">
        <f t="shared" si="29"/>
        <v>0</v>
      </c>
      <c r="AB23" s="129">
        <f t="shared" si="29"/>
        <v>0</v>
      </c>
      <c r="AC23" s="129">
        <f t="shared" si="29"/>
        <v>0</v>
      </c>
      <c r="AD23" s="129">
        <f t="shared" si="29"/>
        <v>0</v>
      </c>
      <c r="AE23" s="129">
        <f t="shared" si="29"/>
        <v>0</v>
      </c>
      <c r="AF23" s="129">
        <f t="shared" si="29"/>
        <v>0</v>
      </c>
      <c r="AG23" s="129">
        <f t="shared" si="29"/>
        <v>0</v>
      </c>
      <c r="AH23" s="129">
        <f t="shared" si="29"/>
        <v>0</v>
      </c>
      <c r="AI23" s="129">
        <f t="shared" si="29"/>
        <v>0</v>
      </c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>
        <f t="shared" si="0"/>
        <v>0</v>
      </c>
      <c r="AX23" s="129">
        <f t="shared" si="1"/>
        <v>0</v>
      </c>
      <c r="AY23" s="129">
        <f t="shared" si="2"/>
        <v>0</v>
      </c>
      <c r="AZ23" s="129">
        <f t="shared" si="3"/>
        <v>0</v>
      </c>
      <c r="BA23" s="129">
        <f t="shared" si="4"/>
        <v>0</v>
      </c>
      <c r="BB23" s="129">
        <f t="shared" si="5"/>
        <v>0</v>
      </c>
      <c r="BC23" s="129">
        <f t="shared" si="6"/>
        <v>0</v>
      </c>
      <c r="BD23" s="129">
        <f t="shared" si="7"/>
        <v>0</v>
      </c>
      <c r="BE23" s="129">
        <f t="shared" si="8"/>
        <v>0</v>
      </c>
      <c r="BF23" s="129">
        <f t="shared" si="9"/>
        <v>0</v>
      </c>
      <c r="BG23" s="610">
        <f t="shared" si="10"/>
        <v>0</v>
      </c>
    </row>
    <row r="24" spans="1:59" s="130" customFormat="1" x14ac:dyDescent="0.3">
      <c r="A24" s="131" t="s">
        <v>135</v>
      </c>
      <c r="B24" s="131">
        <f>'Расходы на ЗП ОТ'!B24</f>
        <v>0</v>
      </c>
      <c r="C24" s="132">
        <f>'Расходы на ЗП ОТ'!C24</f>
        <v>0</v>
      </c>
      <c r="D24" s="132">
        <f>D23*$B$62</f>
        <v>0</v>
      </c>
      <c r="E24" s="132">
        <f t="shared" ref="E24:AQ24" si="30">E23*$B$62</f>
        <v>0</v>
      </c>
      <c r="F24" s="132">
        <f t="shared" si="30"/>
        <v>0</v>
      </c>
      <c r="G24" s="132">
        <f t="shared" si="30"/>
        <v>0</v>
      </c>
      <c r="H24" s="132">
        <f t="shared" si="30"/>
        <v>0</v>
      </c>
      <c r="I24" s="132">
        <f t="shared" si="30"/>
        <v>0</v>
      </c>
      <c r="J24" s="132">
        <f t="shared" si="30"/>
        <v>0</v>
      </c>
      <c r="K24" s="132">
        <f t="shared" si="30"/>
        <v>0</v>
      </c>
      <c r="L24" s="132">
        <f t="shared" si="30"/>
        <v>0</v>
      </c>
      <c r="M24" s="132">
        <f t="shared" si="30"/>
        <v>0</v>
      </c>
      <c r="N24" s="132">
        <f t="shared" si="30"/>
        <v>0</v>
      </c>
      <c r="O24" s="132">
        <f t="shared" si="30"/>
        <v>0</v>
      </c>
      <c r="P24" s="132">
        <f t="shared" si="30"/>
        <v>0</v>
      </c>
      <c r="Q24" s="132">
        <f t="shared" si="30"/>
        <v>0</v>
      </c>
      <c r="R24" s="132">
        <f t="shared" si="30"/>
        <v>0</v>
      </c>
      <c r="S24" s="132">
        <f t="shared" si="30"/>
        <v>0</v>
      </c>
      <c r="T24" s="132">
        <f t="shared" si="30"/>
        <v>0</v>
      </c>
      <c r="U24" s="132">
        <f t="shared" si="30"/>
        <v>0</v>
      </c>
      <c r="V24" s="132">
        <f t="shared" si="30"/>
        <v>0</v>
      </c>
      <c r="W24" s="132">
        <f t="shared" si="30"/>
        <v>0</v>
      </c>
      <c r="X24" s="132">
        <f t="shared" si="30"/>
        <v>0</v>
      </c>
      <c r="Y24" s="132">
        <f t="shared" si="30"/>
        <v>0</v>
      </c>
      <c r="Z24" s="132">
        <f t="shared" si="30"/>
        <v>0</v>
      </c>
      <c r="AA24" s="132">
        <f t="shared" si="30"/>
        <v>0</v>
      </c>
      <c r="AB24" s="132">
        <f t="shared" si="30"/>
        <v>0</v>
      </c>
      <c r="AC24" s="132">
        <f t="shared" si="30"/>
        <v>0</v>
      </c>
      <c r="AD24" s="132">
        <f t="shared" si="30"/>
        <v>0</v>
      </c>
      <c r="AE24" s="132">
        <f t="shared" si="30"/>
        <v>0</v>
      </c>
      <c r="AF24" s="132">
        <f t="shared" si="30"/>
        <v>0</v>
      </c>
      <c r="AG24" s="132">
        <f t="shared" si="30"/>
        <v>0</v>
      </c>
      <c r="AH24" s="132">
        <f t="shared" si="30"/>
        <v>0</v>
      </c>
      <c r="AI24" s="132">
        <f t="shared" si="30"/>
        <v>0</v>
      </c>
      <c r="AJ24" s="132">
        <f t="shared" si="30"/>
        <v>0</v>
      </c>
      <c r="AK24" s="132">
        <f t="shared" si="30"/>
        <v>0</v>
      </c>
      <c r="AL24" s="132">
        <f t="shared" si="30"/>
        <v>0</v>
      </c>
      <c r="AM24" s="132">
        <f t="shared" si="30"/>
        <v>0</v>
      </c>
      <c r="AN24" s="132">
        <f t="shared" si="30"/>
        <v>0</v>
      </c>
      <c r="AO24" s="132">
        <f t="shared" si="30"/>
        <v>0</v>
      </c>
      <c r="AP24" s="132">
        <f t="shared" si="30"/>
        <v>0</v>
      </c>
      <c r="AQ24" s="132">
        <f t="shared" si="30"/>
        <v>0</v>
      </c>
      <c r="AR24" s="132">
        <f t="shared" ref="AR24:AU24" si="31">AR23*$B$62</f>
        <v>0</v>
      </c>
      <c r="AS24" s="132">
        <f t="shared" si="31"/>
        <v>0</v>
      </c>
      <c r="AT24" s="132">
        <f t="shared" si="31"/>
        <v>0</v>
      </c>
      <c r="AU24" s="132">
        <f t="shared" si="31"/>
        <v>0</v>
      </c>
      <c r="AV24" s="132"/>
      <c r="AW24" s="132">
        <f t="shared" si="0"/>
        <v>0</v>
      </c>
      <c r="AX24" s="132">
        <f t="shared" si="1"/>
        <v>0</v>
      </c>
      <c r="AY24" s="132">
        <f t="shared" si="2"/>
        <v>0</v>
      </c>
      <c r="AZ24" s="132">
        <f t="shared" si="3"/>
        <v>0</v>
      </c>
      <c r="BA24" s="132">
        <f t="shared" si="4"/>
        <v>0</v>
      </c>
      <c r="BB24" s="132">
        <f t="shared" si="5"/>
        <v>0</v>
      </c>
      <c r="BC24" s="132">
        <f t="shared" si="6"/>
        <v>0</v>
      </c>
      <c r="BD24" s="132">
        <f t="shared" si="7"/>
        <v>0</v>
      </c>
      <c r="BE24" s="132">
        <f t="shared" si="8"/>
        <v>0</v>
      </c>
      <c r="BF24" s="132">
        <f t="shared" si="9"/>
        <v>0</v>
      </c>
      <c r="BG24" s="132">
        <f t="shared" si="10"/>
        <v>0</v>
      </c>
    </row>
    <row r="25" spans="1:59" x14ac:dyDescent="0.3">
      <c r="A25" s="123" t="s">
        <v>150</v>
      </c>
      <c r="B25" s="123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>
        <f t="shared" si="0"/>
        <v>0</v>
      </c>
      <c r="AX25" s="126">
        <f t="shared" si="1"/>
        <v>0</v>
      </c>
      <c r="AY25" s="126">
        <f t="shared" si="2"/>
        <v>0</v>
      </c>
      <c r="AZ25" s="126">
        <f t="shared" si="3"/>
        <v>0</v>
      </c>
      <c r="BA25" s="126">
        <f t="shared" si="4"/>
        <v>0</v>
      </c>
      <c r="BB25" s="126">
        <f t="shared" si="5"/>
        <v>0</v>
      </c>
      <c r="BC25" s="126">
        <f t="shared" si="6"/>
        <v>0</v>
      </c>
      <c r="BD25" s="126">
        <f t="shared" si="7"/>
        <v>0</v>
      </c>
      <c r="BE25" s="126">
        <f t="shared" si="8"/>
        <v>0</v>
      </c>
      <c r="BF25" s="126">
        <f t="shared" si="9"/>
        <v>0</v>
      </c>
      <c r="BG25" s="126">
        <f t="shared" si="10"/>
        <v>0</v>
      </c>
    </row>
    <row r="26" spans="1:59" s="127" customFormat="1" ht="32.25" customHeight="1" x14ac:dyDescent="0.3">
      <c r="A26" s="128" t="s">
        <v>134</v>
      </c>
      <c r="B26" s="128">
        <f>'Расходы на ЗП ОТ'!B26</f>
        <v>0</v>
      </c>
      <c r="C26" s="129">
        <f>'Расходы на ЗП ОТ'!C26</f>
        <v>0</v>
      </c>
      <c r="D26" s="129">
        <f>'Расходы на ЗП ОТ'!D26</f>
        <v>0</v>
      </c>
      <c r="E26" s="129">
        <f>'Расходы на ЗП ОТ'!E26</f>
        <v>0</v>
      </c>
      <c r="F26" s="129">
        <f>'Расходы на ЗП ОТ'!F26</f>
        <v>0</v>
      </c>
      <c r="G26" s="129">
        <f>'Расходы на ЗП ОТ'!G26</f>
        <v>0</v>
      </c>
      <c r="H26" s="129">
        <f>'Расходы на ЗП ОТ'!H26</f>
        <v>0</v>
      </c>
      <c r="I26" s="129">
        <f>'Расходы на ЗП ОТ'!I26</f>
        <v>0</v>
      </c>
      <c r="J26" s="129">
        <f>'Расходы на ЗП ОТ'!J26</f>
        <v>0</v>
      </c>
      <c r="K26" s="129">
        <f>'Расходы на ЗП ОТ'!K26</f>
        <v>0</v>
      </c>
      <c r="L26" s="129">
        <f>'Расходы на ЗП ОТ'!L26</f>
        <v>0</v>
      </c>
      <c r="M26" s="129">
        <f>'Расходы на ЗП ОТ'!M26</f>
        <v>0</v>
      </c>
      <c r="N26" s="129">
        <f>'Расходы на ЗП ОТ'!N26</f>
        <v>0</v>
      </c>
      <c r="O26" s="129">
        <f>'Расходы на ЗП ОТ'!O26</f>
        <v>0</v>
      </c>
      <c r="P26" s="129">
        <f>'Расходы на ЗП ОТ'!P26</f>
        <v>0</v>
      </c>
      <c r="Q26" s="129">
        <f>'Расходы на ЗП ОТ'!Q26</f>
        <v>0</v>
      </c>
      <c r="R26" s="129">
        <f>'Расходы на ЗП ОТ'!R26</f>
        <v>0</v>
      </c>
      <c r="S26" s="129">
        <f>'Расходы на ЗП ОТ'!S26</f>
        <v>0</v>
      </c>
      <c r="T26" s="129">
        <f>'Расходы на ЗП ОТ'!T26</f>
        <v>0</v>
      </c>
      <c r="U26" s="129">
        <f>'Расходы на ЗП ОТ'!U26</f>
        <v>0</v>
      </c>
      <c r="V26" s="129">
        <f>'Расходы на ЗП ОТ'!V26</f>
        <v>0</v>
      </c>
      <c r="W26" s="129">
        <f>'Расходы на ЗП ОТ'!W26</f>
        <v>0</v>
      </c>
      <c r="X26" s="129">
        <f>'Расходы на ЗП ОТ'!X26</f>
        <v>0</v>
      </c>
      <c r="Y26" s="129">
        <f>'Расходы на ЗП ОТ'!Y26</f>
        <v>0</v>
      </c>
      <c r="Z26" s="129">
        <f>'Расходы на ЗП ОТ'!Z26</f>
        <v>0</v>
      </c>
      <c r="AA26" s="129">
        <f>'Расходы на ЗП ОТ'!AA26</f>
        <v>0</v>
      </c>
      <c r="AB26" s="129">
        <f>'Расходы на ЗП ОТ'!AB26</f>
        <v>0</v>
      </c>
      <c r="AC26" s="129">
        <f>'Расходы на ЗП ОТ'!AC26</f>
        <v>0</v>
      </c>
      <c r="AD26" s="129">
        <f>'Расходы на ЗП ОТ'!AD26</f>
        <v>0</v>
      </c>
      <c r="AE26" s="129">
        <f>'Расходы на ЗП ОТ'!AE26</f>
        <v>0</v>
      </c>
      <c r="AF26" s="129">
        <f>'Расходы на ЗП ОТ'!AF26</f>
        <v>0</v>
      </c>
      <c r="AG26" s="129">
        <f>'Расходы на ЗП ОТ'!AG26</f>
        <v>0</v>
      </c>
      <c r="AH26" s="129">
        <f>'Расходы на ЗП ОТ'!AH26</f>
        <v>0</v>
      </c>
      <c r="AI26" s="129">
        <f>'Расходы на ЗП ОТ'!AI26</f>
        <v>0</v>
      </c>
      <c r="AJ26" s="129">
        <f>'Расходы на ЗП ОТ'!AJ26</f>
        <v>0</v>
      </c>
      <c r="AK26" s="129">
        <f>'Расходы на ЗП ОТ'!AK26</f>
        <v>0</v>
      </c>
      <c r="AL26" s="129">
        <f>'Расходы на ЗП ОТ'!AL26</f>
        <v>0</v>
      </c>
      <c r="AM26" s="129">
        <f>'Расходы на ЗП ОТ'!AM26</f>
        <v>0</v>
      </c>
      <c r="AN26" s="129">
        <f>'Расходы на ЗП ОТ'!AN26</f>
        <v>0</v>
      </c>
      <c r="AO26" s="129">
        <f>'Расходы на ЗП ОТ'!AO26</f>
        <v>0</v>
      </c>
      <c r="AP26" s="129">
        <f>'Расходы на ЗП ОТ'!AP26</f>
        <v>0</v>
      </c>
      <c r="AQ26" s="129">
        <f>'Расходы на ЗП ОТ'!AQ26</f>
        <v>0</v>
      </c>
      <c r="AR26" s="129">
        <f>'Расходы на ЗП ОТ'!AR26</f>
        <v>0</v>
      </c>
      <c r="AS26" s="129">
        <f>'Расходы на ЗП ОТ'!AS26</f>
        <v>0</v>
      </c>
      <c r="AT26" s="129">
        <f>'Расходы на ЗП ОТ'!AT26</f>
        <v>0</v>
      </c>
      <c r="AU26" s="129">
        <f>'Расходы на ЗП ОТ'!AU26</f>
        <v>0</v>
      </c>
      <c r="AV26" s="129"/>
      <c r="AW26" s="129">
        <f t="shared" si="0"/>
        <v>0</v>
      </c>
      <c r="AX26" s="129">
        <f t="shared" si="1"/>
        <v>0</v>
      </c>
      <c r="AY26" s="129">
        <f t="shared" si="2"/>
        <v>0</v>
      </c>
      <c r="AZ26" s="129">
        <f t="shared" si="3"/>
        <v>0</v>
      </c>
      <c r="BA26" s="129">
        <f t="shared" si="4"/>
        <v>0</v>
      </c>
      <c r="BB26" s="129">
        <f t="shared" si="5"/>
        <v>0</v>
      </c>
      <c r="BC26" s="129">
        <f t="shared" si="6"/>
        <v>0</v>
      </c>
      <c r="BD26" s="129">
        <f t="shared" si="7"/>
        <v>0</v>
      </c>
      <c r="BE26" s="129">
        <f t="shared" si="8"/>
        <v>0</v>
      </c>
      <c r="BF26" s="129">
        <f t="shared" si="9"/>
        <v>0</v>
      </c>
      <c r="BG26" s="610">
        <f t="shared" si="10"/>
        <v>0</v>
      </c>
    </row>
    <row r="27" spans="1:59" s="130" customFormat="1" ht="29.25" customHeight="1" x14ac:dyDescent="0.3">
      <c r="A27" s="131" t="s">
        <v>135</v>
      </c>
      <c r="B27" s="131">
        <f>'Расходы на ЗП ОТ'!B27</f>
        <v>0</v>
      </c>
      <c r="C27" s="132">
        <f>'Расходы на ЗП ОТ'!C27</f>
        <v>0</v>
      </c>
      <c r="D27" s="132">
        <f>D26*$B$62</f>
        <v>0</v>
      </c>
      <c r="E27" s="132">
        <f t="shared" ref="E27:AQ27" si="32">E26*$B$62</f>
        <v>0</v>
      </c>
      <c r="F27" s="132">
        <f t="shared" si="32"/>
        <v>0</v>
      </c>
      <c r="G27" s="132">
        <f t="shared" si="32"/>
        <v>0</v>
      </c>
      <c r="H27" s="132">
        <f t="shared" si="32"/>
        <v>0</v>
      </c>
      <c r="I27" s="132">
        <f t="shared" si="32"/>
        <v>0</v>
      </c>
      <c r="J27" s="132">
        <f t="shared" si="32"/>
        <v>0</v>
      </c>
      <c r="K27" s="132">
        <f t="shared" si="32"/>
        <v>0</v>
      </c>
      <c r="L27" s="132">
        <f t="shared" si="32"/>
        <v>0</v>
      </c>
      <c r="M27" s="132">
        <f t="shared" si="32"/>
        <v>0</v>
      </c>
      <c r="N27" s="132">
        <f t="shared" si="32"/>
        <v>0</v>
      </c>
      <c r="O27" s="132">
        <f t="shared" si="32"/>
        <v>0</v>
      </c>
      <c r="P27" s="132">
        <f t="shared" si="32"/>
        <v>0</v>
      </c>
      <c r="Q27" s="132">
        <f t="shared" si="32"/>
        <v>0</v>
      </c>
      <c r="R27" s="132">
        <f t="shared" si="32"/>
        <v>0</v>
      </c>
      <c r="S27" s="132">
        <f t="shared" si="32"/>
        <v>0</v>
      </c>
      <c r="T27" s="132">
        <f t="shared" si="32"/>
        <v>0</v>
      </c>
      <c r="U27" s="132">
        <f t="shared" si="32"/>
        <v>0</v>
      </c>
      <c r="V27" s="132">
        <f t="shared" si="32"/>
        <v>0</v>
      </c>
      <c r="W27" s="132">
        <f t="shared" si="32"/>
        <v>0</v>
      </c>
      <c r="X27" s="132">
        <f t="shared" si="32"/>
        <v>0</v>
      </c>
      <c r="Y27" s="132">
        <f t="shared" si="32"/>
        <v>0</v>
      </c>
      <c r="Z27" s="132">
        <f t="shared" si="32"/>
        <v>0</v>
      </c>
      <c r="AA27" s="132">
        <f t="shared" si="32"/>
        <v>0</v>
      </c>
      <c r="AB27" s="132">
        <f t="shared" si="32"/>
        <v>0</v>
      </c>
      <c r="AC27" s="132">
        <f t="shared" si="32"/>
        <v>0</v>
      </c>
      <c r="AD27" s="132">
        <f t="shared" si="32"/>
        <v>0</v>
      </c>
      <c r="AE27" s="132">
        <f t="shared" si="32"/>
        <v>0</v>
      </c>
      <c r="AF27" s="132">
        <f t="shared" si="32"/>
        <v>0</v>
      </c>
      <c r="AG27" s="132">
        <f t="shared" si="32"/>
        <v>0</v>
      </c>
      <c r="AH27" s="132">
        <f t="shared" si="32"/>
        <v>0</v>
      </c>
      <c r="AI27" s="132">
        <f t="shared" si="32"/>
        <v>0</v>
      </c>
      <c r="AJ27" s="132">
        <f t="shared" si="32"/>
        <v>0</v>
      </c>
      <c r="AK27" s="132">
        <f t="shared" si="32"/>
        <v>0</v>
      </c>
      <c r="AL27" s="132">
        <f t="shared" si="32"/>
        <v>0</v>
      </c>
      <c r="AM27" s="132">
        <f t="shared" si="32"/>
        <v>0</v>
      </c>
      <c r="AN27" s="132">
        <f t="shared" si="32"/>
        <v>0</v>
      </c>
      <c r="AO27" s="132">
        <f t="shared" si="32"/>
        <v>0</v>
      </c>
      <c r="AP27" s="132">
        <f t="shared" si="32"/>
        <v>0</v>
      </c>
      <c r="AQ27" s="132">
        <f t="shared" si="32"/>
        <v>0</v>
      </c>
      <c r="AR27" s="132">
        <f t="shared" ref="AR27:AU27" si="33">AR26*$B$62</f>
        <v>0</v>
      </c>
      <c r="AS27" s="132">
        <f t="shared" si="33"/>
        <v>0</v>
      </c>
      <c r="AT27" s="132">
        <f t="shared" si="33"/>
        <v>0</v>
      </c>
      <c r="AU27" s="132">
        <f t="shared" si="33"/>
        <v>0</v>
      </c>
      <c r="AV27" s="132"/>
      <c r="AW27" s="132">
        <f t="shared" si="0"/>
        <v>0</v>
      </c>
      <c r="AX27" s="132">
        <f t="shared" si="1"/>
        <v>0</v>
      </c>
      <c r="AY27" s="132">
        <f t="shared" si="2"/>
        <v>0</v>
      </c>
      <c r="AZ27" s="132">
        <f t="shared" si="3"/>
        <v>0</v>
      </c>
      <c r="BA27" s="132">
        <f t="shared" si="4"/>
        <v>0</v>
      </c>
      <c r="BB27" s="132">
        <f t="shared" si="5"/>
        <v>0</v>
      </c>
      <c r="BC27" s="132">
        <f t="shared" si="6"/>
        <v>0</v>
      </c>
      <c r="BD27" s="132">
        <f t="shared" si="7"/>
        <v>0</v>
      </c>
      <c r="BE27" s="132">
        <f t="shared" si="8"/>
        <v>0</v>
      </c>
      <c r="BF27" s="132">
        <f t="shared" si="9"/>
        <v>0</v>
      </c>
      <c r="BG27" s="132">
        <f t="shared" si="10"/>
        <v>0</v>
      </c>
    </row>
    <row r="28" spans="1:59" ht="34.5" customHeight="1" x14ac:dyDescent="0.3">
      <c r="A28" s="123" t="s">
        <v>151</v>
      </c>
      <c r="B28" s="123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>
        <f t="shared" si="0"/>
        <v>0</v>
      </c>
      <c r="AX28" s="126">
        <f t="shared" si="1"/>
        <v>0</v>
      </c>
      <c r="AY28" s="126">
        <f t="shared" si="2"/>
        <v>0</v>
      </c>
      <c r="AZ28" s="126">
        <f t="shared" si="3"/>
        <v>0</v>
      </c>
      <c r="BA28" s="126">
        <f t="shared" si="4"/>
        <v>0</v>
      </c>
      <c r="BB28" s="126">
        <f t="shared" si="5"/>
        <v>0</v>
      </c>
      <c r="BC28" s="126">
        <f t="shared" si="6"/>
        <v>0</v>
      </c>
      <c r="BD28" s="126">
        <f t="shared" si="7"/>
        <v>0</v>
      </c>
      <c r="BE28" s="126">
        <f t="shared" si="8"/>
        <v>0</v>
      </c>
      <c r="BF28" s="126">
        <f t="shared" si="9"/>
        <v>0</v>
      </c>
      <c r="BG28" s="126">
        <f t="shared" si="10"/>
        <v>0</v>
      </c>
    </row>
    <row r="29" spans="1:59" ht="29.25" customHeight="1" x14ac:dyDescent="0.3">
      <c r="A29" s="123" t="s">
        <v>152</v>
      </c>
      <c r="B29" s="123">
        <f>'Расходы на ЗП ОТ'!B29</f>
        <v>0</v>
      </c>
      <c r="C29" s="126">
        <f>'Расходы на ЗП ОТ'!C29</f>
        <v>0</v>
      </c>
      <c r="D29" s="126">
        <f>'Расходы на ЗП ОТ'!D29</f>
        <v>0</v>
      </c>
      <c r="E29" s="126">
        <f>'Расходы на ЗП ОТ'!E29</f>
        <v>0</v>
      </c>
      <c r="F29" s="126">
        <f>'Расходы на ЗП ОТ'!F29</f>
        <v>0</v>
      </c>
      <c r="G29" s="126">
        <f>'Расходы на ЗП ОТ'!G29</f>
        <v>0</v>
      </c>
      <c r="H29" s="126">
        <f>'Расходы на ЗП ОТ'!H29</f>
        <v>0</v>
      </c>
      <c r="I29" s="126">
        <f>'Расходы на ЗП ОТ'!I29</f>
        <v>0</v>
      </c>
      <c r="J29" s="126">
        <f>'Расходы на ЗП ОТ'!J29</f>
        <v>0</v>
      </c>
      <c r="K29" s="126">
        <f>'Расходы на ЗП ОТ'!K29</f>
        <v>0</v>
      </c>
      <c r="L29" s="126">
        <f>'Расходы на ЗП ОТ'!L29</f>
        <v>0</v>
      </c>
      <c r="M29" s="126">
        <f>'Расходы на ЗП ОТ'!M29</f>
        <v>0</v>
      </c>
      <c r="N29" s="126">
        <f>'Расходы на ЗП ОТ'!N29</f>
        <v>0</v>
      </c>
      <c r="O29" s="126">
        <f>'Расходы на ЗП ОТ'!O29</f>
        <v>0</v>
      </c>
      <c r="P29" s="126">
        <f>'Расходы на ЗП ОТ'!P29</f>
        <v>0</v>
      </c>
      <c r="Q29" s="126">
        <f>'Расходы на ЗП ОТ'!Q29</f>
        <v>0</v>
      </c>
      <c r="R29" s="126">
        <f>'Расходы на ЗП ОТ'!R29</f>
        <v>0</v>
      </c>
      <c r="S29" s="126">
        <f>'Расходы на ЗП ОТ'!S29</f>
        <v>0</v>
      </c>
      <c r="T29" s="126">
        <f>'Расходы на ЗП ОТ'!T29</f>
        <v>0</v>
      </c>
      <c r="U29" s="126">
        <f>'Расходы на ЗП ОТ'!U29</f>
        <v>0</v>
      </c>
      <c r="V29" s="126">
        <f>'Расходы на ЗП ОТ'!V29</f>
        <v>0</v>
      </c>
      <c r="W29" s="126">
        <f>'Расходы на ЗП ОТ'!W29</f>
        <v>0</v>
      </c>
      <c r="X29" s="126">
        <f>'Расходы на ЗП ОТ'!X29</f>
        <v>0</v>
      </c>
      <c r="Y29" s="126">
        <f>'Расходы на ЗП ОТ'!Y29</f>
        <v>0</v>
      </c>
      <c r="Z29" s="126">
        <f>'Расходы на ЗП ОТ'!Z29</f>
        <v>0</v>
      </c>
      <c r="AA29" s="126">
        <f>'Расходы на ЗП ОТ'!AA29</f>
        <v>0</v>
      </c>
      <c r="AB29" s="126">
        <f>'Расходы на ЗП ОТ'!AB29</f>
        <v>0</v>
      </c>
      <c r="AC29" s="126">
        <f>'Расходы на ЗП ОТ'!AC29</f>
        <v>0</v>
      </c>
      <c r="AD29" s="126">
        <f>'Расходы на ЗП ОТ'!AD29</f>
        <v>0</v>
      </c>
      <c r="AE29" s="126">
        <f>'Расходы на ЗП ОТ'!AE29</f>
        <v>0</v>
      </c>
      <c r="AF29" s="126">
        <f>'Расходы на ЗП ОТ'!AF29</f>
        <v>0</v>
      </c>
      <c r="AG29" s="126">
        <f>'Расходы на ЗП ОТ'!AG29</f>
        <v>0</v>
      </c>
      <c r="AH29" s="126">
        <f>'Расходы на ЗП ОТ'!AH29</f>
        <v>0</v>
      </c>
      <c r="AI29" s="126">
        <f>'Расходы на ЗП ОТ'!AI29</f>
        <v>0</v>
      </c>
      <c r="AJ29" s="126">
        <f>'Расходы на ЗП ОТ'!AJ29</f>
        <v>0</v>
      </c>
      <c r="AK29" s="126">
        <f>'Расходы на ЗП ОТ'!AK29</f>
        <v>0</v>
      </c>
      <c r="AL29" s="126">
        <f>'Расходы на ЗП ОТ'!AL29</f>
        <v>0</v>
      </c>
      <c r="AM29" s="126">
        <f>'Расходы на ЗП ОТ'!AM29</f>
        <v>0</v>
      </c>
      <c r="AN29" s="126">
        <f>'Расходы на ЗП ОТ'!AN29</f>
        <v>0</v>
      </c>
      <c r="AO29" s="126">
        <f>'Расходы на ЗП ОТ'!AO29</f>
        <v>0</v>
      </c>
      <c r="AP29" s="126">
        <f>'Расходы на ЗП ОТ'!AP29</f>
        <v>0</v>
      </c>
      <c r="AQ29" s="126">
        <f>'Расходы на ЗП ОТ'!AQ29</f>
        <v>0</v>
      </c>
      <c r="AR29" s="126">
        <f>'Расходы на ЗП ОТ'!AR29</f>
        <v>0</v>
      </c>
      <c r="AS29" s="126">
        <f>'Расходы на ЗП ОТ'!AS29</f>
        <v>0</v>
      </c>
      <c r="AT29" s="126">
        <f>'Расходы на ЗП ОТ'!AT29</f>
        <v>0</v>
      </c>
      <c r="AU29" s="126">
        <f>'Расходы на ЗП ОТ'!AU29</f>
        <v>0</v>
      </c>
      <c r="AV29" s="126"/>
      <c r="AW29" s="126">
        <f t="shared" si="0"/>
        <v>0</v>
      </c>
      <c r="AX29" s="126">
        <f t="shared" si="1"/>
        <v>0</v>
      </c>
      <c r="AY29" s="126">
        <f t="shared" si="2"/>
        <v>0</v>
      </c>
      <c r="AZ29" s="126">
        <f t="shared" si="3"/>
        <v>0</v>
      </c>
      <c r="BA29" s="126">
        <f t="shared" si="4"/>
        <v>0</v>
      </c>
      <c r="BB29" s="126">
        <f t="shared" si="5"/>
        <v>0</v>
      </c>
      <c r="BC29" s="126">
        <f t="shared" si="6"/>
        <v>0</v>
      </c>
      <c r="BD29" s="126">
        <f t="shared" si="7"/>
        <v>0</v>
      </c>
      <c r="BE29" s="126">
        <f t="shared" si="8"/>
        <v>0</v>
      </c>
      <c r="BF29" s="126">
        <f t="shared" si="9"/>
        <v>0</v>
      </c>
      <c r="BG29" s="126">
        <f t="shared" si="10"/>
        <v>0</v>
      </c>
    </row>
    <row r="30" spans="1:59" ht="29.25" customHeight="1" x14ac:dyDescent="0.3">
      <c r="A30" s="123" t="s">
        <v>153</v>
      </c>
      <c r="B30" s="123">
        <f>'Расходы на ЗП ОТ'!B30</f>
        <v>0</v>
      </c>
      <c r="C30" s="126">
        <f>'Расходы на ЗП ОТ'!C30</f>
        <v>0</v>
      </c>
      <c r="D30" s="126">
        <f>'Расходы на ЗП ОТ'!D30</f>
        <v>0</v>
      </c>
      <c r="E30" s="126">
        <f>'Расходы на ЗП ОТ'!E30</f>
        <v>0</v>
      </c>
      <c r="F30" s="126">
        <f>'Расходы на ЗП ОТ'!F30</f>
        <v>0</v>
      </c>
      <c r="G30" s="126">
        <f>'Расходы на ЗП ОТ'!G30</f>
        <v>0</v>
      </c>
      <c r="H30" s="126">
        <f>'Расходы на ЗП ОТ'!H30</f>
        <v>0</v>
      </c>
      <c r="I30" s="126">
        <f>'Расходы на ЗП ОТ'!I30</f>
        <v>0</v>
      </c>
      <c r="J30" s="126">
        <f>'Расходы на ЗП ОТ'!J30</f>
        <v>0</v>
      </c>
      <c r="K30" s="126">
        <f>'Расходы на ЗП ОТ'!K30</f>
        <v>0</v>
      </c>
      <c r="L30" s="126">
        <f>'Расходы на ЗП ОТ'!L30</f>
        <v>0</v>
      </c>
      <c r="M30" s="126">
        <f>'Расходы на ЗП ОТ'!M30</f>
        <v>0</v>
      </c>
      <c r="N30" s="126">
        <f>'Расходы на ЗП ОТ'!N30</f>
        <v>0</v>
      </c>
      <c r="O30" s="126">
        <f>'Расходы на ЗП ОТ'!O30</f>
        <v>0</v>
      </c>
      <c r="P30" s="126">
        <f>'Расходы на ЗП ОТ'!P30</f>
        <v>0</v>
      </c>
      <c r="Q30" s="126">
        <f>'Расходы на ЗП ОТ'!Q30</f>
        <v>0</v>
      </c>
      <c r="R30" s="126">
        <f>'Расходы на ЗП ОТ'!R30</f>
        <v>0</v>
      </c>
      <c r="S30" s="126">
        <f>'Расходы на ЗП ОТ'!S30</f>
        <v>0</v>
      </c>
      <c r="T30" s="126">
        <f>'Расходы на ЗП ОТ'!T30</f>
        <v>0</v>
      </c>
      <c r="U30" s="126">
        <f>'Расходы на ЗП ОТ'!U30</f>
        <v>0</v>
      </c>
      <c r="V30" s="126">
        <f>'Расходы на ЗП ОТ'!V30</f>
        <v>0</v>
      </c>
      <c r="W30" s="126">
        <f>'Расходы на ЗП ОТ'!W30</f>
        <v>0</v>
      </c>
      <c r="X30" s="126">
        <f>'Расходы на ЗП ОТ'!X30</f>
        <v>0</v>
      </c>
      <c r="Y30" s="126">
        <f>'Расходы на ЗП ОТ'!Y30</f>
        <v>0</v>
      </c>
      <c r="Z30" s="126">
        <f>'Расходы на ЗП ОТ'!Z30</f>
        <v>0</v>
      </c>
      <c r="AA30" s="126">
        <f>'Расходы на ЗП ОТ'!AA30</f>
        <v>0</v>
      </c>
      <c r="AB30" s="126">
        <f>'Расходы на ЗП ОТ'!AB30</f>
        <v>0</v>
      </c>
      <c r="AC30" s="126">
        <f>'Расходы на ЗП ОТ'!AC30</f>
        <v>0</v>
      </c>
      <c r="AD30" s="126">
        <f>'Расходы на ЗП ОТ'!AD30</f>
        <v>0</v>
      </c>
      <c r="AE30" s="126">
        <f>'Расходы на ЗП ОТ'!AE30</f>
        <v>0</v>
      </c>
      <c r="AF30" s="126">
        <f>'Расходы на ЗП ОТ'!AF30</f>
        <v>0</v>
      </c>
      <c r="AG30" s="126">
        <f>'Расходы на ЗП ОТ'!AG30</f>
        <v>0</v>
      </c>
      <c r="AH30" s="126">
        <f>'Расходы на ЗП ОТ'!AH30</f>
        <v>0</v>
      </c>
      <c r="AI30" s="126">
        <f>'Расходы на ЗП ОТ'!AI30</f>
        <v>0</v>
      </c>
      <c r="AJ30" s="126">
        <f>'Расходы на ЗП ОТ'!AJ30</f>
        <v>0</v>
      </c>
      <c r="AK30" s="126">
        <f>'Расходы на ЗП ОТ'!AK30</f>
        <v>0</v>
      </c>
      <c r="AL30" s="126">
        <f>'Расходы на ЗП ОТ'!AL30</f>
        <v>0</v>
      </c>
      <c r="AM30" s="126">
        <f>'Расходы на ЗП ОТ'!AM30</f>
        <v>0</v>
      </c>
      <c r="AN30" s="126">
        <f>'Расходы на ЗП ОТ'!AN30</f>
        <v>0</v>
      </c>
      <c r="AO30" s="126">
        <f>'Расходы на ЗП ОТ'!AO30</f>
        <v>0</v>
      </c>
      <c r="AP30" s="126">
        <f>'Расходы на ЗП ОТ'!AP30</f>
        <v>0</v>
      </c>
      <c r="AQ30" s="126">
        <f>'Расходы на ЗП ОТ'!AQ30</f>
        <v>0</v>
      </c>
      <c r="AR30" s="126">
        <f>'Расходы на ЗП ОТ'!AR30</f>
        <v>0</v>
      </c>
      <c r="AS30" s="126">
        <f>'Расходы на ЗП ОТ'!AS30</f>
        <v>0</v>
      </c>
      <c r="AT30" s="126">
        <f>'Расходы на ЗП ОТ'!AT30</f>
        <v>0</v>
      </c>
      <c r="AU30" s="126">
        <f>'Расходы на ЗП ОТ'!AU30</f>
        <v>0</v>
      </c>
      <c r="AV30" s="126"/>
      <c r="AW30" s="126">
        <f t="shared" si="0"/>
        <v>0</v>
      </c>
      <c r="AX30" s="126">
        <f t="shared" si="1"/>
        <v>0</v>
      </c>
      <c r="AY30" s="126">
        <f t="shared" si="2"/>
        <v>0</v>
      </c>
      <c r="AZ30" s="126">
        <f t="shared" si="3"/>
        <v>0</v>
      </c>
      <c r="BA30" s="126">
        <f t="shared" si="4"/>
        <v>0</v>
      </c>
      <c r="BB30" s="126">
        <f t="shared" si="5"/>
        <v>0</v>
      </c>
      <c r="BC30" s="126">
        <f t="shared" si="6"/>
        <v>0</v>
      </c>
      <c r="BD30" s="126">
        <f t="shared" si="7"/>
        <v>0</v>
      </c>
      <c r="BE30" s="126">
        <f t="shared" si="8"/>
        <v>0</v>
      </c>
      <c r="BF30" s="126">
        <f t="shared" si="9"/>
        <v>0</v>
      </c>
      <c r="BG30" s="126">
        <f t="shared" si="10"/>
        <v>0</v>
      </c>
    </row>
    <row r="31" spans="1:59" ht="30.75" customHeight="1" x14ac:dyDescent="0.3">
      <c r="A31" s="123" t="s">
        <v>154</v>
      </c>
      <c r="B31" s="123">
        <f>'Расходы на ЗП ОТ'!B31</f>
        <v>0</v>
      </c>
      <c r="C31" s="126">
        <f>'Расходы на ЗП ОТ'!C31</f>
        <v>0</v>
      </c>
      <c r="D31" s="126">
        <f>'Расходы на ЗП ОТ'!D31</f>
        <v>0</v>
      </c>
      <c r="E31" s="126">
        <f>'Расходы на ЗП ОТ'!E31</f>
        <v>0</v>
      </c>
      <c r="F31" s="126">
        <f>'Расходы на ЗП ОТ'!F31</f>
        <v>0</v>
      </c>
      <c r="G31" s="126">
        <f>'Расходы на ЗП ОТ'!G31</f>
        <v>0</v>
      </c>
      <c r="H31" s="126">
        <f>'Расходы на ЗП ОТ'!H31</f>
        <v>0</v>
      </c>
      <c r="I31" s="126">
        <f>'Расходы на ЗП ОТ'!I31</f>
        <v>0</v>
      </c>
      <c r="J31" s="126">
        <f>'Расходы на ЗП ОТ'!J31</f>
        <v>0</v>
      </c>
      <c r="K31" s="126">
        <f>'Расходы на ЗП ОТ'!K31</f>
        <v>0</v>
      </c>
      <c r="L31" s="126">
        <f>'Расходы на ЗП ОТ'!L31</f>
        <v>0</v>
      </c>
      <c r="M31" s="126">
        <f>'Расходы на ЗП ОТ'!M31</f>
        <v>0</v>
      </c>
      <c r="N31" s="126">
        <f>'Расходы на ЗП ОТ'!N31</f>
        <v>0</v>
      </c>
      <c r="O31" s="126">
        <f>'Расходы на ЗП ОТ'!O31</f>
        <v>0</v>
      </c>
      <c r="P31" s="126">
        <f>'Расходы на ЗП ОТ'!P31</f>
        <v>0</v>
      </c>
      <c r="Q31" s="126">
        <f>'Расходы на ЗП ОТ'!Q31</f>
        <v>0</v>
      </c>
      <c r="R31" s="126">
        <f>'Расходы на ЗП ОТ'!R31</f>
        <v>0</v>
      </c>
      <c r="S31" s="126">
        <f>'Расходы на ЗП ОТ'!S31</f>
        <v>0</v>
      </c>
      <c r="T31" s="126">
        <f>'Расходы на ЗП ОТ'!T31</f>
        <v>0</v>
      </c>
      <c r="U31" s="126">
        <f>'Расходы на ЗП ОТ'!U31</f>
        <v>0</v>
      </c>
      <c r="V31" s="126">
        <f>'Расходы на ЗП ОТ'!V31</f>
        <v>0</v>
      </c>
      <c r="W31" s="126">
        <f>'Расходы на ЗП ОТ'!W31</f>
        <v>0</v>
      </c>
      <c r="X31" s="126">
        <f>'Расходы на ЗП ОТ'!X31</f>
        <v>0</v>
      </c>
      <c r="Y31" s="126">
        <f>'Расходы на ЗП ОТ'!Y31</f>
        <v>0</v>
      </c>
      <c r="Z31" s="126">
        <f>'Расходы на ЗП ОТ'!Z31</f>
        <v>0</v>
      </c>
      <c r="AA31" s="126">
        <f>'Расходы на ЗП ОТ'!AA31</f>
        <v>0</v>
      </c>
      <c r="AB31" s="126">
        <f>'Расходы на ЗП ОТ'!AB31</f>
        <v>0</v>
      </c>
      <c r="AC31" s="126">
        <f>'Расходы на ЗП ОТ'!AC31</f>
        <v>0</v>
      </c>
      <c r="AD31" s="126">
        <f>'Расходы на ЗП ОТ'!AD31</f>
        <v>0</v>
      </c>
      <c r="AE31" s="126">
        <f>'Расходы на ЗП ОТ'!AE31</f>
        <v>0</v>
      </c>
      <c r="AF31" s="126">
        <f>'Расходы на ЗП ОТ'!AF31</f>
        <v>0</v>
      </c>
      <c r="AG31" s="126">
        <f>'Расходы на ЗП ОТ'!AG31</f>
        <v>0</v>
      </c>
      <c r="AH31" s="126">
        <f>'Расходы на ЗП ОТ'!AH31</f>
        <v>0</v>
      </c>
      <c r="AI31" s="126">
        <f>'Расходы на ЗП ОТ'!AI31</f>
        <v>0</v>
      </c>
      <c r="AJ31" s="126">
        <f>'Расходы на ЗП ОТ'!AJ31</f>
        <v>0</v>
      </c>
      <c r="AK31" s="126">
        <f>'Расходы на ЗП ОТ'!AK31</f>
        <v>0</v>
      </c>
      <c r="AL31" s="126">
        <f>'Расходы на ЗП ОТ'!AL31</f>
        <v>0</v>
      </c>
      <c r="AM31" s="126">
        <f>'Расходы на ЗП ОТ'!AM31</f>
        <v>0</v>
      </c>
      <c r="AN31" s="126">
        <f>'Расходы на ЗП ОТ'!AN31</f>
        <v>0</v>
      </c>
      <c r="AO31" s="126">
        <f>'Расходы на ЗП ОТ'!AO31</f>
        <v>0</v>
      </c>
      <c r="AP31" s="126">
        <f>'Расходы на ЗП ОТ'!AP31</f>
        <v>0</v>
      </c>
      <c r="AQ31" s="126">
        <f>'Расходы на ЗП ОТ'!AQ31</f>
        <v>0</v>
      </c>
      <c r="AR31" s="126">
        <f>'Расходы на ЗП ОТ'!AR31</f>
        <v>0</v>
      </c>
      <c r="AS31" s="126">
        <f>'Расходы на ЗП ОТ'!AS31</f>
        <v>0</v>
      </c>
      <c r="AT31" s="126">
        <f>'Расходы на ЗП ОТ'!AT31</f>
        <v>0</v>
      </c>
      <c r="AU31" s="126">
        <f>'Расходы на ЗП ОТ'!AU31</f>
        <v>0</v>
      </c>
      <c r="AV31" s="126"/>
      <c r="AW31" s="126">
        <f t="shared" si="0"/>
        <v>0</v>
      </c>
      <c r="AX31" s="126">
        <f t="shared" si="1"/>
        <v>0</v>
      </c>
      <c r="AY31" s="126">
        <f t="shared" si="2"/>
        <v>0</v>
      </c>
      <c r="AZ31" s="126">
        <f t="shared" si="3"/>
        <v>0</v>
      </c>
      <c r="BA31" s="126">
        <f t="shared" si="4"/>
        <v>0</v>
      </c>
      <c r="BB31" s="126">
        <f t="shared" si="5"/>
        <v>0</v>
      </c>
      <c r="BC31" s="126">
        <f t="shared" si="6"/>
        <v>0</v>
      </c>
      <c r="BD31" s="126">
        <f t="shared" si="7"/>
        <v>0</v>
      </c>
      <c r="BE31" s="126">
        <f t="shared" si="8"/>
        <v>0</v>
      </c>
      <c r="BF31" s="126">
        <f t="shared" si="9"/>
        <v>0</v>
      </c>
      <c r="BG31" s="126">
        <f t="shared" si="10"/>
        <v>0</v>
      </c>
    </row>
    <row r="32" spans="1:59" ht="27.75" customHeight="1" x14ac:dyDescent="0.3">
      <c r="A32" s="123" t="s">
        <v>194</v>
      </c>
      <c r="B32" s="123">
        <f>'Расходы на ЗП ОТ'!B32</f>
        <v>0</v>
      </c>
      <c r="C32" s="126">
        <f>'Расходы на ЗП ОТ'!C32</f>
        <v>0</v>
      </c>
      <c r="D32" s="126">
        <f>'Расходы на ЗП ОТ'!D32</f>
        <v>0</v>
      </c>
      <c r="E32" s="126">
        <f>'Расходы на ЗП ОТ'!E32</f>
        <v>0</v>
      </c>
      <c r="F32" s="126">
        <f>'Расходы на ЗП ОТ'!F32</f>
        <v>0</v>
      </c>
      <c r="G32" s="126">
        <f>'Расходы на ЗП ОТ'!G32</f>
        <v>0</v>
      </c>
      <c r="H32" s="126">
        <f>'Расходы на ЗП ОТ'!H32</f>
        <v>0</v>
      </c>
      <c r="I32" s="126">
        <f>'Расходы на ЗП ОТ'!I32</f>
        <v>0</v>
      </c>
      <c r="J32" s="126">
        <f>'Расходы на ЗП ОТ'!J32</f>
        <v>0</v>
      </c>
      <c r="K32" s="126">
        <f>'Расходы на ЗП ОТ'!K32</f>
        <v>0</v>
      </c>
      <c r="L32" s="126">
        <f>'Расходы на ЗП ОТ'!L32</f>
        <v>0</v>
      </c>
      <c r="M32" s="126">
        <f>'Расходы на ЗП ОТ'!M32</f>
        <v>0</v>
      </c>
      <c r="N32" s="126">
        <f>'Расходы на ЗП ОТ'!N32</f>
        <v>0</v>
      </c>
      <c r="O32" s="126">
        <f>'Расходы на ЗП ОТ'!O32</f>
        <v>0</v>
      </c>
      <c r="P32" s="126">
        <f>'Расходы на ЗП ОТ'!P32</f>
        <v>0</v>
      </c>
      <c r="Q32" s="126">
        <f>'Расходы на ЗП ОТ'!Q32</f>
        <v>0</v>
      </c>
      <c r="R32" s="126">
        <f>'Расходы на ЗП ОТ'!R32</f>
        <v>0</v>
      </c>
      <c r="S32" s="126">
        <f>'Расходы на ЗП ОТ'!S32</f>
        <v>0</v>
      </c>
      <c r="T32" s="126">
        <f>'Расходы на ЗП ОТ'!T32</f>
        <v>0</v>
      </c>
      <c r="U32" s="126">
        <f>'Расходы на ЗП ОТ'!U32</f>
        <v>0</v>
      </c>
      <c r="V32" s="126">
        <f>'Расходы на ЗП ОТ'!V32</f>
        <v>0</v>
      </c>
      <c r="W32" s="126">
        <f>'Расходы на ЗП ОТ'!W32</f>
        <v>0</v>
      </c>
      <c r="X32" s="126">
        <f>'Расходы на ЗП ОТ'!X32</f>
        <v>0</v>
      </c>
      <c r="Y32" s="126">
        <f>'Расходы на ЗП ОТ'!Y32</f>
        <v>0</v>
      </c>
      <c r="Z32" s="126">
        <f>'Расходы на ЗП ОТ'!Z32</f>
        <v>0</v>
      </c>
      <c r="AA32" s="126">
        <f>'Расходы на ЗП ОТ'!AA32</f>
        <v>0</v>
      </c>
      <c r="AB32" s="126">
        <f>'Расходы на ЗП ОТ'!AB32</f>
        <v>0</v>
      </c>
      <c r="AC32" s="126">
        <f>'Расходы на ЗП ОТ'!AC32</f>
        <v>0</v>
      </c>
      <c r="AD32" s="126">
        <f>'Расходы на ЗП ОТ'!AD32</f>
        <v>0</v>
      </c>
      <c r="AE32" s="126">
        <f>'Расходы на ЗП ОТ'!AE32</f>
        <v>0</v>
      </c>
      <c r="AF32" s="126">
        <f>'Расходы на ЗП ОТ'!AF32</f>
        <v>0</v>
      </c>
      <c r="AG32" s="126">
        <f>'Расходы на ЗП ОТ'!AG32</f>
        <v>0</v>
      </c>
      <c r="AH32" s="126">
        <f>'Расходы на ЗП ОТ'!AH32</f>
        <v>0</v>
      </c>
      <c r="AI32" s="126">
        <f>'Расходы на ЗП ОТ'!AI32</f>
        <v>0</v>
      </c>
      <c r="AJ32" s="126">
        <f>'Расходы на ЗП ОТ'!AJ32</f>
        <v>0</v>
      </c>
      <c r="AK32" s="126">
        <f>'Расходы на ЗП ОТ'!AK32</f>
        <v>0</v>
      </c>
      <c r="AL32" s="126">
        <f>'Расходы на ЗП ОТ'!AL32</f>
        <v>0</v>
      </c>
      <c r="AM32" s="126">
        <f>'Расходы на ЗП ОТ'!AM32</f>
        <v>0</v>
      </c>
      <c r="AN32" s="126">
        <f>'Расходы на ЗП ОТ'!AN32</f>
        <v>0</v>
      </c>
      <c r="AO32" s="126">
        <f>'Расходы на ЗП ОТ'!AO32</f>
        <v>0</v>
      </c>
      <c r="AP32" s="126">
        <f>'Расходы на ЗП ОТ'!AP32</f>
        <v>0</v>
      </c>
      <c r="AQ32" s="126">
        <f>'Расходы на ЗП ОТ'!AQ32</f>
        <v>0</v>
      </c>
      <c r="AR32" s="126">
        <f>'Расходы на ЗП ОТ'!AR32</f>
        <v>0</v>
      </c>
      <c r="AS32" s="126">
        <f>'Расходы на ЗП ОТ'!AS32</f>
        <v>0</v>
      </c>
      <c r="AT32" s="126">
        <f>'Расходы на ЗП ОТ'!AT32</f>
        <v>0</v>
      </c>
      <c r="AU32" s="126">
        <f>'Расходы на ЗП ОТ'!AU32</f>
        <v>0</v>
      </c>
      <c r="AV32" s="126"/>
      <c r="AW32" s="126">
        <f t="shared" si="0"/>
        <v>0</v>
      </c>
      <c r="AX32" s="126">
        <f t="shared" si="1"/>
        <v>0</v>
      </c>
      <c r="AY32" s="126">
        <f t="shared" si="2"/>
        <v>0</v>
      </c>
      <c r="AZ32" s="126">
        <f t="shared" si="3"/>
        <v>0</v>
      </c>
      <c r="BA32" s="126">
        <f t="shared" si="4"/>
        <v>0</v>
      </c>
      <c r="BB32" s="126">
        <f t="shared" si="5"/>
        <v>0</v>
      </c>
      <c r="BC32" s="126">
        <f t="shared" si="6"/>
        <v>0</v>
      </c>
      <c r="BD32" s="126">
        <f t="shared" si="7"/>
        <v>0</v>
      </c>
      <c r="BE32" s="126">
        <f t="shared" si="8"/>
        <v>0</v>
      </c>
      <c r="BF32" s="126">
        <f t="shared" si="9"/>
        <v>0</v>
      </c>
      <c r="BG32" s="126">
        <f t="shared" si="10"/>
        <v>0</v>
      </c>
    </row>
    <row r="33" spans="1:59" ht="23.25" customHeight="1" x14ac:dyDescent="0.3">
      <c r="A33" s="123" t="s">
        <v>195</v>
      </c>
      <c r="B33" s="123">
        <f>'Расходы на ЗП ОТ'!B33</f>
        <v>0</v>
      </c>
      <c r="C33" s="126">
        <f>'Расходы на ЗП ОТ'!C33</f>
        <v>0</v>
      </c>
      <c r="D33" s="126">
        <f>'Расходы на ЗП ОТ'!D33</f>
        <v>0</v>
      </c>
      <c r="E33" s="126">
        <f>'Расходы на ЗП ОТ'!E33</f>
        <v>0</v>
      </c>
      <c r="F33" s="126">
        <f>'Расходы на ЗП ОТ'!F33</f>
        <v>0</v>
      </c>
      <c r="G33" s="126">
        <f>'Расходы на ЗП ОТ'!G33</f>
        <v>0</v>
      </c>
      <c r="H33" s="126">
        <f>'Расходы на ЗП ОТ'!H33</f>
        <v>0</v>
      </c>
      <c r="I33" s="126">
        <f>'Расходы на ЗП ОТ'!I33</f>
        <v>0</v>
      </c>
      <c r="J33" s="126">
        <f>'Расходы на ЗП ОТ'!J33</f>
        <v>0</v>
      </c>
      <c r="K33" s="126">
        <f>'Расходы на ЗП ОТ'!K33</f>
        <v>0</v>
      </c>
      <c r="L33" s="126">
        <f>'Расходы на ЗП ОТ'!L33</f>
        <v>0</v>
      </c>
      <c r="M33" s="126">
        <f>'Расходы на ЗП ОТ'!M33</f>
        <v>0</v>
      </c>
      <c r="N33" s="126">
        <f>'Расходы на ЗП ОТ'!N33</f>
        <v>0</v>
      </c>
      <c r="O33" s="126">
        <f>'Расходы на ЗП ОТ'!O33</f>
        <v>0</v>
      </c>
      <c r="P33" s="126">
        <f>'Расходы на ЗП ОТ'!P33</f>
        <v>0</v>
      </c>
      <c r="Q33" s="126">
        <f>'Расходы на ЗП ОТ'!Q33</f>
        <v>0</v>
      </c>
      <c r="R33" s="126">
        <f>'Расходы на ЗП ОТ'!R33</f>
        <v>0</v>
      </c>
      <c r="S33" s="126">
        <f>'Расходы на ЗП ОТ'!S33</f>
        <v>0</v>
      </c>
      <c r="T33" s="126">
        <f>'Расходы на ЗП ОТ'!T33</f>
        <v>0</v>
      </c>
      <c r="U33" s="126">
        <f>'Расходы на ЗП ОТ'!U33</f>
        <v>0</v>
      </c>
      <c r="V33" s="126">
        <f>'Расходы на ЗП ОТ'!V33</f>
        <v>0</v>
      </c>
      <c r="W33" s="126">
        <f>'Расходы на ЗП ОТ'!W33</f>
        <v>0</v>
      </c>
      <c r="X33" s="126">
        <f>'Расходы на ЗП ОТ'!X33</f>
        <v>0</v>
      </c>
      <c r="Y33" s="126">
        <f>'Расходы на ЗП ОТ'!Y33</f>
        <v>0</v>
      </c>
      <c r="Z33" s="126">
        <f>'Расходы на ЗП ОТ'!Z33</f>
        <v>0</v>
      </c>
      <c r="AA33" s="126">
        <f>'Расходы на ЗП ОТ'!AA33</f>
        <v>0</v>
      </c>
      <c r="AB33" s="126">
        <f>'Расходы на ЗП ОТ'!AB33</f>
        <v>0</v>
      </c>
      <c r="AC33" s="126">
        <f>'Расходы на ЗП ОТ'!AC33</f>
        <v>0</v>
      </c>
      <c r="AD33" s="126">
        <f>'Расходы на ЗП ОТ'!AD33</f>
        <v>0</v>
      </c>
      <c r="AE33" s="126">
        <f>'Расходы на ЗП ОТ'!AE33</f>
        <v>0</v>
      </c>
      <c r="AF33" s="126">
        <f>'Расходы на ЗП ОТ'!AF33</f>
        <v>0</v>
      </c>
      <c r="AG33" s="126">
        <f>'Расходы на ЗП ОТ'!AG33</f>
        <v>0</v>
      </c>
      <c r="AH33" s="126">
        <f>'Расходы на ЗП ОТ'!AH33</f>
        <v>0</v>
      </c>
      <c r="AI33" s="126">
        <f>'Расходы на ЗП ОТ'!AI33</f>
        <v>0</v>
      </c>
      <c r="AJ33" s="126">
        <f>'Расходы на ЗП ОТ'!AJ33</f>
        <v>0</v>
      </c>
      <c r="AK33" s="126">
        <f>'Расходы на ЗП ОТ'!AK33</f>
        <v>0</v>
      </c>
      <c r="AL33" s="126">
        <f>'Расходы на ЗП ОТ'!AL33</f>
        <v>0</v>
      </c>
      <c r="AM33" s="126">
        <f>'Расходы на ЗП ОТ'!AM33</f>
        <v>0</v>
      </c>
      <c r="AN33" s="126">
        <f>'Расходы на ЗП ОТ'!AN33</f>
        <v>0</v>
      </c>
      <c r="AO33" s="126">
        <f>'Расходы на ЗП ОТ'!AO33</f>
        <v>0</v>
      </c>
      <c r="AP33" s="126">
        <f>'Расходы на ЗП ОТ'!AP33</f>
        <v>0</v>
      </c>
      <c r="AQ33" s="126">
        <f>'Расходы на ЗП ОТ'!AQ33</f>
        <v>0</v>
      </c>
      <c r="AR33" s="126">
        <f>'Расходы на ЗП ОТ'!AR33</f>
        <v>0</v>
      </c>
      <c r="AS33" s="126">
        <f>'Расходы на ЗП ОТ'!AS33</f>
        <v>0</v>
      </c>
      <c r="AT33" s="126">
        <f>'Расходы на ЗП ОТ'!AT33</f>
        <v>0</v>
      </c>
      <c r="AU33" s="126">
        <f>'Расходы на ЗП ОТ'!AU33</f>
        <v>0</v>
      </c>
      <c r="AV33" s="126"/>
      <c r="AW33" s="126">
        <f t="shared" si="0"/>
        <v>0</v>
      </c>
      <c r="AX33" s="126">
        <f t="shared" si="1"/>
        <v>0</v>
      </c>
      <c r="AY33" s="126">
        <f t="shared" si="2"/>
        <v>0</v>
      </c>
      <c r="AZ33" s="126">
        <f t="shared" si="3"/>
        <v>0</v>
      </c>
      <c r="BA33" s="126">
        <f t="shared" si="4"/>
        <v>0</v>
      </c>
      <c r="BB33" s="126">
        <f t="shared" si="5"/>
        <v>0</v>
      </c>
      <c r="BC33" s="126">
        <f t="shared" si="6"/>
        <v>0</v>
      </c>
      <c r="BD33" s="126">
        <f t="shared" si="7"/>
        <v>0</v>
      </c>
      <c r="BE33" s="126">
        <f t="shared" si="8"/>
        <v>0</v>
      </c>
      <c r="BF33" s="126">
        <f t="shared" si="9"/>
        <v>0</v>
      </c>
      <c r="BG33" s="126">
        <f t="shared" si="10"/>
        <v>0</v>
      </c>
    </row>
    <row r="34" spans="1:59" s="127" customFormat="1" ht="32.25" customHeight="1" x14ac:dyDescent="0.3">
      <c r="A34" s="128" t="s">
        <v>134</v>
      </c>
      <c r="B34" s="128">
        <f>'Расходы на ЗП ОТ'!B34</f>
        <v>0</v>
      </c>
      <c r="C34" s="129">
        <f>'Расходы на ЗП ОТ'!C34</f>
        <v>0</v>
      </c>
      <c r="D34" s="129">
        <f t="shared" ref="D34:F34" si="34">SUM(D29:D33)</f>
        <v>0</v>
      </c>
      <c r="E34" s="129">
        <f>SUM(E29:E33)</f>
        <v>0</v>
      </c>
      <c r="F34" s="129">
        <f t="shared" si="34"/>
        <v>0</v>
      </c>
      <c r="G34" s="129">
        <f t="shared" ref="G34:AQ34" si="35">SUM(G29:G33)</f>
        <v>0</v>
      </c>
      <c r="H34" s="129">
        <f t="shared" si="35"/>
        <v>0</v>
      </c>
      <c r="I34" s="129">
        <f t="shared" si="35"/>
        <v>0</v>
      </c>
      <c r="J34" s="129">
        <f t="shared" si="35"/>
        <v>0</v>
      </c>
      <c r="K34" s="129">
        <f t="shared" si="35"/>
        <v>0</v>
      </c>
      <c r="L34" s="129">
        <f t="shared" si="35"/>
        <v>0</v>
      </c>
      <c r="M34" s="129">
        <f t="shared" si="35"/>
        <v>0</v>
      </c>
      <c r="N34" s="129">
        <f t="shared" si="35"/>
        <v>0</v>
      </c>
      <c r="O34" s="129">
        <f t="shared" si="35"/>
        <v>0</v>
      </c>
      <c r="P34" s="129">
        <f t="shared" si="35"/>
        <v>0</v>
      </c>
      <c r="Q34" s="129">
        <f t="shared" si="35"/>
        <v>0</v>
      </c>
      <c r="R34" s="129">
        <f t="shared" si="35"/>
        <v>0</v>
      </c>
      <c r="S34" s="129">
        <f t="shared" si="35"/>
        <v>0</v>
      </c>
      <c r="T34" s="129">
        <f t="shared" si="35"/>
        <v>0</v>
      </c>
      <c r="U34" s="129">
        <f t="shared" si="35"/>
        <v>0</v>
      </c>
      <c r="V34" s="129">
        <f t="shared" si="35"/>
        <v>0</v>
      </c>
      <c r="W34" s="129">
        <f t="shared" si="35"/>
        <v>0</v>
      </c>
      <c r="X34" s="129">
        <f t="shared" si="35"/>
        <v>0</v>
      </c>
      <c r="Y34" s="129">
        <f t="shared" si="35"/>
        <v>0</v>
      </c>
      <c r="Z34" s="129">
        <f t="shared" si="35"/>
        <v>0</v>
      </c>
      <c r="AA34" s="129">
        <f t="shared" si="35"/>
        <v>0</v>
      </c>
      <c r="AB34" s="129">
        <f t="shared" si="35"/>
        <v>0</v>
      </c>
      <c r="AC34" s="129">
        <f t="shared" si="35"/>
        <v>0</v>
      </c>
      <c r="AD34" s="129">
        <f t="shared" si="35"/>
        <v>0</v>
      </c>
      <c r="AE34" s="129">
        <f t="shared" si="35"/>
        <v>0</v>
      </c>
      <c r="AF34" s="129">
        <f t="shared" si="35"/>
        <v>0</v>
      </c>
      <c r="AG34" s="129">
        <f t="shared" si="35"/>
        <v>0</v>
      </c>
      <c r="AH34" s="129">
        <f t="shared" si="35"/>
        <v>0</v>
      </c>
      <c r="AI34" s="129">
        <f t="shared" si="35"/>
        <v>0</v>
      </c>
      <c r="AJ34" s="129">
        <f t="shared" si="35"/>
        <v>0</v>
      </c>
      <c r="AK34" s="129">
        <f t="shared" si="35"/>
        <v>0</v>
      </c>
      <c r="AL34" s="129">
        <f t="shared" si="35"/>
        <v>0</v>
      </c>
      <c r="AM34" s="129">
        <f t="shared" si="35"/>
        <v>0</v>
      </c>
      <c r="AN34" s="129">
        <f t="shared" si="35"/>
        <v>0</v>
      </c>
      <c r="AO34" s="129">
        <f t="shared" si="35"/>
        <v>0</v>
      </c>
      <c r="AP34" s="129">
        <f t="shared" si="35"/>
        <v>0</v>
      </c>
      <c r="AQ34" s="129">
        <f t="shared" si="35"/>
        <v>0</v>
      </c>
      <c r="AR34" s="129">
        <f t="shared" ref="AR34:AU34" si="36">SUM(AR29:AR33)</f>
        <v>0</v>
      </c>
      <c r="AS34" s="129">
        <f t="shared" si="36"/>
        <v>0</v>
      </c>
      <c r="AT34" s="129">
        <f t="shared" si="36"/>
        <v>0</v>
      </c>
      <c r="AU34" s="129">
        <f t="shared" si="36"/>
        <v>0</v>
      </c>
      <c r="AV34" s="129"/>
      <c r="AW34" s="129">
        <f t="shared" si="0"/>
        <v>0</v>
      </c>
      <c r="AX34" s="129">
        <f t="shared" si="1"/>
        <v>0</v>
      </c>
      <c r="AY34" s="129">
        <f t="shared" si="2"/>
        <v>0</v>
      </c>
      <c r="AZ34" s="129">
        <f t="shared" si="3"/>
        <v>0</v>
      </c>
      <c r="BA34" s="129">
        <f t="shared" si="4"/>
        <v>0</v>
      </c>
      <c r="BB34" s="129">
        <f t="shared" si="5"/>
        <v>0</v>
      </c>
      <c r="BC34" s="129">
        <f t="shared" si="6"/>
        <v>0</v>
      </c>
      <c r="BD34" s="129">
        <f t="shared" si="7"/>
        <v>0</v>
      </c>
      <c r="BE34" s="129">
        <f t="shared" si="8"/>
        <v>0</v>
      </c>
      <c r="BF34" s="129">
        <f t="shared" si="9"/>
        <v>0</v>
      </c>
      <c r="BG34" s="610">
        <f t="shared" si="10"/>
        <v>0</v>
      </c>
    </row>
    <row r="35" spans="1:59" s="130" customFormat="1" ht="28.5" customHeight="1" x14ac:dyDescent="0.3">
      <c r="A35" s="131" t="s">
        <v>135</v>
      </c>
      <c r="B35" s="131">
        <f>'Расходы на ЗП ОТ'!B35</f>
        <v>0</v>
      </c>
      <c r="C35" s="132">
        <f>'Расходы на ЗП ОТ'!C35</f>
        <v>0</v>
      </c>
      <c r="D35" s="132">
        <f>D34*$B$62</f>
        <v>0</v>
      </c>
      <c r="E35" s="132">
        <f t="shared" ref="E35:AQ35" si="37">E34*$B$62</f>
        <v>0</v>
      </c>
      <c r="F35" s="132">
        <f t="shared" si="37"/>
        <v>0</v>
      </c>
      <c r="G35" s="132">
        <f t="shared" si="37"/>
        <v>0</v>
      </c>
      <c r="H35" s="132">
        <f t="shared" si="37"/>
        <v>0</v>
      </c>
      <c r="I35" s="132">
        <f t="shared" si="37"/>
        <v>0</v>
      </c>
      <c r="J35" s="132">
        <f t="shared" si="37"/>
        <v>0</v>
      </c>
      <c r="K35" s="132">
        <f t="shared" si="37"/>
        <v>0</v>
      </c>
      <c r="L35" s="132">
        <f t="shared" si="37"/>
        <v>0</v>
      </c>
      <c r="M35" s="132">
        <f t="shared" si="37"/>
        <v>0</v>
      </c>
      <c r="N35" s="132">
        <f t="shared" si="37"/>
        <v>0</v>
      </c>
      <c r="O35" s="132">
        <f t="shared" si="37"/>
        <v>0</v>
      </c>
      <c r="P35" s="132">
        <f t="shared" si="37"/>
        <v>0</v>
      </c>
      <c r="Q35" s="132">
        <f t="shared" si="37"/>
        <v>0</v>
      </c>
      <c r="R35" s="132">
        <f t="shared" si="37"/>
        <v>0</v>
      </c>
      <c r="S35" s="132">
        <f t="shared" si="37"/>
        <v>0</v>
      </c>
      <c r="T35" s="132">
        <f t="shared" si="37"/>
        <v>0</v>
      </c>
      <c r="U35" s="132">
        <f t="shared" si="37"/>
        <v>0</v>
      </c>
      <c r="V35" s="132">
        <f t="shared" si="37"/>
        <v>0</v>
      </c>
      <c r="W35" s="132">
        <f t="shared" si="37"/>
        <v>0</v>
      </c>
      <c r="X35" s="132">
        <f t="shared" si="37"/>
        <v>0</v>
      </c>
      <c r="Y35" s="132">
        <f t="shared" si="37"/>
        <v>0</v>
      </c>
      <c r="Z35" s="132">
        <f t="shared" si="37"/>
        <v>0</v>
      </c>
      <c r="AA35" s="132">
        <f t="shared" si="37"/>
        <v>0</v>
      </c>
      <c r="AB35" s="132">
        <f t="shared" si="37"/>
        <v>0</v>
      </c>
      <c r="AC35" s="132">
        <f t="shared" si="37"/>
        <v>0</v>
      </c>
      <c r="AD35" s="132">
        <f t="shared" si="37"/>
        <v>0</v>
      </c>
      <c r="AE35" s="132">
        <f t="shared" si="37"/>
        <v>0</v>
      </c>
      <c r="AF35" s="132">
        <f t="shared" si="37"/>
        <v>0</v>
      </c>
      <c r="AG35" s="132">
        <f t="shared" si="37"/>
        <v>0</v>
      </c>
      <c r="AH35" s="132">
        <f t="shared" si="37"/>
        <v>0</v>
      </c>
      <c r="AI35" s="132">
        <f t="shared" si="37"/>
        <v>0</v>
      </c>
      <c r="AJ35" s="132">
        <f t="shared" si="37"/>
        <v>0</v>
      </c>
      <c r="AK35" s="132">
        <f t="shared" si="37"/>
        <v>0</v>
      </c>
      <c r="AL35" s="132">
        <f t="shared" si="37"/>
        <v>0</v>
      </c>
      <c r="AM35" s="132">
        <f t="shared" si="37"/>
        <v>0</v>
      </c>
      <c r="AN35" s="132">
        <f t="shared" si="37"/>
        <v>0</v>
      </c>
      <c r="AO35" s="132">
        <f t="shared" si="37"/>
        <v>0</v>
      </c>
      <c r="AP35" s="132">
        <f t="shared" si="37"/>
        <v>0</v>
      </c>
      <c r="AQ35" s="132">
        <f t="shared" si="37"/>
        <v>0</v>
      </c>
      <c r="AR35" s="132">
        <f t="shared" ref="AR35:AU35" si="38">AR34*$B$62</f>
        <v>0</v>
      </c>
      <c r="AS35" s="132">
        <f t="shared" si="38"/>
        <v>0</v>
      </c>
      <c r="AT35" s="132">
        <f t="shared" si="38"/>
        <v>0</v>
      </c>
      <c r="AU35" s="132">
        <f t="shared" si="38"/>
        <v>0</v>
      </c>
      <c r="AV35" s="132"/>
      <c r="AW35" s="132">
        <f t="shared" si="0"/>
        <v>0</v>
      </c>
      <c r="AX35" s="132">
        <f t="shared" si="1"/>
        <v>0</v>
      </c>
      <c r="AY35" s="132">
        <f t="shared" si="2"/>
        <v>0</v>
      </c>
      <c r="AZ35" s="132">
        <f t="shared" si="3"/>
        <v>0</v>
      </c>
      <c r="BA35" s="132">
        <f t="shared" si="4"/>
        <v>0</v>
      </c>
      <c r="BB35" s="132">
        <f t="shared" si="5"/>
        <v>0</v>
      </c>
      <c r="BC35" s="132">
        <f t="shared" si="6"/>
        <v>0</v>
      </c>
      <c r="BD35" s="132">
        <f t="shared" si="7"/>
        <v>0</v>
      </c>
      <c r="BE35" s="132">
        <f t="shared" si="8"/>
        <v>0</v>
      </c>
      <c r="BF35" s="132">
        <f t="shared" si="9"/>
        <v>0</v>
      </c>
      <c r="BG35" s="132">
        <f t="shared" si="10"/>
        <v>0</v>
      </c>
    </row>
    <row r="36" spans="1:59" ht="48" customHeight="1" x14ac:dyDescent="0.3">
      <c r="A36" s="123" t="s">
        <v>157</v>
      </c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>
        <f t="shared" si="0"/>
        <v>0</v>
      </c>
      <c r="AX36" s="123">
        <f t="shared" si="1"/>
        <v>0</v>
      </c>
      <c r="AY36" s="123">
        <f t="shared" si="2"/>
        <v>0</v>
      </c>
      <c r="AZ36" s="123">
        <f t="shared" si="3"/>
        <v>0</v>
      </c>
      <c r="BA36" s="123">
        <f t="shared" si="4"/>
        <v>0</v>
      </c>
      <c r="BB36" s="123">
        <f t="shared" si="5"/>
        <v>0</v>
      </c>
      <c r="BC36" s="123">
        <f t="shared" si="6"/>
        <v>0</v>
      </c>
      <c r="BD36" s="123">
        <f t="shared" si="7"/>
        <v>0</v>
      </c>
      <c r="BE36" s="123">
        <f t="shared" si="8"/>
        <v>0</v>
      </c>
      <c r="BF36" s="123">
        <f t="shared" si="9"/>
        <v>0</v>
      </c>
      <c r="BG36" s="126">
        <f t="shared" si="10"/>
        <v>0</v>
      </c>
    </row>
    <row r="37" spans="1:59" x14ac:dyDescent="0.3">
      <c r="A37" s="123" t="s">
        <v>158</v>
      </c>
      <c r="B37" s="123">
        <f>'Расходы на ЗП ОТ'!B37</f>
        <v>0</v>
      </c>
      <c r="C37" s="123">
        <f>'Расходы на ЗП ОТ'!C37</f>
        <v>0</v>
      </c>
      <c r="D37" s="123">
        <f>'Расходы на ЗП ОТ'!D37</f>
        <v>0</v>
      </c>
      <c r="E37" s="123">
        <f>'Расходы на ЗП ОТ'!E37</f>
        <v>0</v>
      </c>
      <c r="F37" s="123">
        <f>'Расходы на ЗП ОТ'!F37</f>
        <v>0</v>
      </c>
      <c r="G37" s="123">
        <f>'Расходы на ЗП ОТ'!G37</f>
        <v>0</v>
      </c>
      <c r="H37" s="123">
        <f>'Расходы на ЗП ОТ'!H37</f>
        <v>0</v>
      </c>
      <c r="I37" s="123">
        <f>'Расходы на ЗП ОТ'!I37</f>
        <v>0</v>
      </c>
      <c r="J37" s="123">
        <f>'Расходы на ЗП ОТ'!J37</f>
        <v>0</v>
      </c>
      <c r="K37" s="123">
        <f>'Расходы на ЗП ОТ'!K37</f>
        <v>0</v>
      </c>
      <c r="L37" s="123">
        <f>'Расходы на ЗП ОТ'!L37</f>
        <v>0</v>
      </c>
      <c r="M37" s="123">
        <f>'Расходы на ЗП ОТ'!M37</f>
        <v>0</v>
      </c>
      <c r="N37" s="123">
        <f>'Расходы на ЗП ОТ'!N37</f>
        <v>0</v>
      </c>
      <c r="O37" s="123">
        <f>'Расходы на ЗП ОТ'!O37</f>
        <v>0</v>
      </c>
      <c r="P37" s="123">
        <f>'Расходы на ЗП ОТ'!P37</f>
        <v>0</v>
      </c>
      <c r="Q37" s="123">
        <f>'Расходы на ЗП ОТ'!Q37</f>
        <v>0</v>
      </c>
      <c r="R37" s="123">
        <f>'Расходы на ЗП ОТ'!R37</f>
        <v>0</v>
      </c>
      <c r="S37" s="123">
        <f>'Расходы на ЗП ОТ'!S37</f>
        <v>0</v>
      </c>
      <c r="T37" s="123">
        <f>'Расходы на ЗП ОТ'!T37</f>
        <v>0</v>
      </c>
      <c r="U37" s="123">
        <f>'Расходы на ЗП ОТ'!U37</f>
        <v>0</v>
      </c>
      <c r="V37" s="123">
        <f>'Расходы на ЗП ОТ'!V37</f>
        <v>0</v>
      </c>
      <c r="W37" s="123">
        <f>'Расходы на ЗП ОТ'!W37</f>
        <v>0</v>
      </c>
      <c r="X37" s="123">
        <f>'Расходы на ЗП ОТ'!X37</f>
        <v>0</v>
      </c>
      <c r="Y37" s="123">
        <f>'Расходы на ЗП ОТ'!Y37</f>
        <v>0</v>
      </c>
      <c r="Z37" s="123">
        <f>'Расходы на ЗП ОТ'!Z37</f>
        <v>0</v>
      </c>
      <c r="AA37" s="123">
        <f>'Расходы на ЗП ОТ'!AA37</f>
        <v>0</v>
      </c>
      <c r="AB37" s="123">
        <f>'Расходы на ЗП ОТ'!AB37</f>
        <v>0</v>
      </c>
      <c r="AC37" s="123">
        <f>'Расходы на ЗП ОТ'!AC37</f>
        <v>0</v>
      </c>
      <c r="AD37" s="123">
        <f>'Расходы на ЗП ОТ'!AD37</f>
        <v>0</v>
      </c>
      <c r="AE37" s="123">
        <f>'Расходы на ЗП ОТ'!AE37</f>
        <v>0</v>
      </c>
      <c r="AF37" s="123">
        <f>'Расходы на ЗП ОТ'!AF37</f>
        <v>0</v>
      </c>
      <c r="AG37" s="123">
        <f>'Расходы на ЗП ОТ'!AG37</f>
        <v>0</v>
      </c>
      <c r="AH37" s="123">
        <f>'Расходы на ЗП ОТ'!AH37</f>
        <v>0</v>
      </c>
      <c r="AI37" s="123">
        <f>'Расходы на ЗП ОТ'!AI37</f>
        <v>0</v>
      </c>
      <c r="AJ37" s="123">
        <f>'Расходы на ЗП ОТ'!AJ37</f>
        <v>0</v>
      </c>
      <c r="AK37" s="123">
        <f>'Расходы на ЗП ОТ'!AK37</f>
        <v>0</v>
      </c>
      <c r="AL37" s="123">
        <f>'Расходы на ЗП ОТ'!AL37</f>
        <v>0</v>
      </c>
      <c r="AM37" s="123">
        <f>'Расходы на ЗП ОТ'!AM37</f>
        <v>0</v>
      </c>
      <c r="AN37" s="123">
        <f>'Расходы на ЗП ОТ'!AN37</f>
        <v>0</v>
      </c>
      <c r="AO37" s="123">
        <f>'Расходы на ЗП ОТ'!AO37</f>
        <v>0</v>
      </c>
      <c r="AP37" s="123">
        <f>'Расходы на ЗП ОТ'!AP37</f>
        <v>0</v>
      </c>
      <c r="AQ37" s="123">
        <f>'Расходы на ЗП ОТ'!AQ37</f>
        <v>0</v>
      </c>
      <c r="AR37" s="123">
        <f>'Расходы на ЗП ОТ'!AR37</f>
        <v>0</v>
      </c>
      <c r="AS37" s="123">
        <f>'Расходы на ЗП ОТ'!AS37</f>
        <v>0</v>
      </c>
      <c r="AT37" s="123">
        <f>'Расходы на ЗП ОТ'!AT37</f>
        <v>0</v>
      </c>
      <c r="AU37" s="123">
        <f>'Расходы на ЗП ОТ'!AU37</f>
        <v>0</v>
      </c>
      <c r="AV37" s="123"/>
      <c r="AW37" s="123">
        <f t="shared" si="0"/>
        <v>0</v>
      </c>
      <c r="AX37" s="123">
        <f t="shared" si="1"/>
        <v>0</v>
      </c>
      <c r="AY37" s="123">
        <f t="shared" si="2"/>
        <v>0</v>
      </c>
      <c r="AZ37" s="123">
        <f t="shared" si="3"/>
        <v>0</v>
      </c>
      <c r="BA37" s="123">
        <f t="shared" si="4"/>
        <v>0</v>
      </c>
      <c r="BB37" s="123">
        <f t="shared" si="5"/>
        <v>0</v>
      </c>
      <c r="BC37" s="123">
        <f t="shared" si="6"/>
        <v>0</v>
      </c>
      <c r="BD37" s="123">
        <f t="shared" si="7"/>
        <v>0</v>
      </c>
      <c r="BE37" s="123">
        <f t="shared" si="8"/>
        <v>0</v>
      </c>
      <c r="BF37" s="123">
        <f t="shared" si="9"/>
        <v>0</v>
      </c>
      <c r="BG37" s="126">
        <f t="shared" si="10"/>
        <v>0</v>
      </c>
    </row>
    <row r="38" spans="1:59" x14ac:dyDescent="0.3">
      <c r="A38" s="123" t="s">
        <v>159</v>
      </c>
      <c r="B38" s="123">
        <f>'Расходы на ЗП ОТ'!B38</f>
        <v>0</v>
      </c>
      <c r="C38" s="123">
        <f>'Расходы на ЗП ОТ'!C38</f>
        <v>0</v>
      </c>
      <c r="D38" s="123">
        <f>'Расходы на ЗП ОТ'!D38</f>
        <v>0</v>
      </c>
      <c r="E38" s="123">
        <f>'Расходы на ЗП ОТ'!E38</f>
        <v>0</v>
      </c>
      <c r="F38" s="123">
        <f>'Расходы на ЗП ОТ'!F38</f>
        <v>0</v>
      </c>
      <c r="G38" s="123">
        <f>'Расходы на ЗП ОТ'!G38</f>
        <v>0</v>
      </c>
      <c r="H38" s="123">
        <f>'Расходы на ЗП ОТ'!H38</f>
        <v>0</v>
      </c>
      <c r="I38" s="123">
        <f>'Расходы на ЗП ОТ'!I38</f>
        <v>0</v>
      </c>
      <c r="J38" s="123">
        <f>'Расходы на ЗП ОТ'!J38</f>
        <v>0</v>
      </c>
      <c r="K38" s="123">
        <f>'Расходы на ЗП ОТ'!K38</f>
        <v>0</v>
      </c>
      <c r="L38" s="123">
        <f>'Расходы на ЗП ОТ'!L38</f>
        <v>0</v>
      </c>
      <c r="M38" s="123">
        <f>'Расходы на ЗП ОТ'!M38</f>
        <v>0</v>
      </c>
      <c r="N38" s="123">
        <f>'Расходы на ЗП ОТ'!N38</f>
        <v>0</v>
      </c>
      <c r="O38" s="123">
        <f>'Расходы на ЗП ОТ'!O38</f>
        <v>0</v>
      </c>
      <c r="P38" s="123">
        <f>'Расходы на ЗП ОТ'!P38</f>
        <v>0</v>
      </c>
      <c r="Q38" s="123">
        <f>'Расходы на ЗП ОТ'!Q38</f>
        <v>0</v>
      </c>
      <c r="R38" s="123">
        <f>'Расходы на ЗП ОТ'!R38</f>
        <v>0</v>
      </c>
      <c r="S38" s="123">
        <f>'Расходы на ЗП ОТ'!S38</f>
        <v>0</v>
      </c>
      <c r="T38" s="123">
        <f>'Расходы на ЗП ОТ'!T38</f>
        <v>0</v>
      </c>
      <c r="U38" s="123">
        <f>'Расходы на ЗП ОТ'!U38</f>
        <v>0</v>
      </c>
      <c r="V38" s="123">
        <f>'Расходы на ЗП ОТ'!V38</f>
        <v>0</v>
      </c>
      <c r="W38" s="123">
        <f>'Расходы на ЗП ОТ'!W38</f>
        <v>0</v>
      </c>
      <c r="X38" s="123">
        <f>'Расходы на ЗП ОТ'!X38</f>
        <v>0</v>
      </c>
      <c r="Y38" s="123">
        <f>'Расходы на ЗП ОТ'!Y38</f>
        <v>0</v>
      </c>
      <c r="Z38" s="123">
        <f>'Расходы на ЗП ОТ'!Z38</f>
        <v>0</v>
      </c>
      <c r="AA38" s="123">
        <f>'Расходы на ЗП ОТ'!AA38</f>
        <v>0</v>
      </c>
      <c r="AB38" s="123">
        <f>'Расходы на ЗП ОТ'!AB38</f>
        <v>0</v>
      </c>
      <c r="AC38" s="123">
        <f>'Расходы на ЗП ОТ'!AC38</f>
        <v>0</v>
      </c>
      <c r="AD38" s="123">
        <f>'Расходы на ЗП ОТ'!AD38</f>
        <v>0</v>
      </c>
      <c r="AE38" s="123">
        <f>'Расходы на ЗП ОТ'!AE38</f>
        <v>0</v>
      </c>
      <c r="AF38" s="123">
        <f>'Расходы на ЗП ОТ'!AF38</f>
        <v>0</v>
      </c>
      <c r="AG38" s="123">
        <f>'Расходы на ЗП ОТ'!AG38</f>
        <v>0</v>
      </c>
      <c r="AH38" s="123">
        <f>'Расходы на ЗП ОТ'!AH38</f>
        <v>0</v>
      </c>
      <c r="AI38" s="123">
        <f>'Расходы на ЗП ОТ'!AI38</f>
        <v>0</v>
      </c>
      <c r="AJ38" s="123">
        <f>'Расходы на ЗП ОТ'!AJ38</f>
        <v>0</v>
      </c>
      <c r="AK38" s="123">
        <f>'Расходы на ЗП ОТ'!AK38</f>
        <v>0</v>
      </c>
      <c r="AL38" s="123">
        <f>'Расходы на ЗП ОТ'!AL38</f>
        <v>0</v>
      </c>
      <c r="AM38" s="123">
        <f>'Расходы на ЗП ОТ'!AM38</f>
        <v>0</v>
      </c>
      <c r="AN38" s="123">
        <f>'Расходы на ЗП ОТ'!AN38</f>
        <v>0</v>
      </c>
      <c r="AO38" s="123">
        <f>'Расходы на ЗП ОТ'!AO38</f>
        <v>0</v>
      </c>
      <c r="AP38" s="123">
        <f>'Расходы на ЗП ОТ'!AP38</f>
        <v>0</v>
      </c>
      <c r="AQ38" s="123">
        <f>'Расходы на ЗП ОТ'!AQ38</f>
        <v>0</v>
      </c>
      <c r="AR38" s="123">
        <f>'Расходы на ЗП ОТ'!AR38</f>
        <v>0</v>
      </c>
      <c r="AS38" s="123">
        <f>'Расходы на ЗП ОТ'!AS38</f>
        <v>0</v>
      </c>
      <c r="AT38" s="123">
        <f>'Расходы на ЗП ОТ'!AT38</f>
        <v>0</v>
      </c>
      <c r="AU38" s="123">
        <f>'Расходы на ЗП ОТ'!AU38</f>
        <v>0</v>
      </c>
      <c r="AV38" s="123"/>
      <c r="AW38" s="123">
        <f t="shared" si="0"/>
        <v>0</v>
      </c>
      <c r="AX38" s="123">
        <f t="shared" si="1"/>
        <v>0</v>
      </c>
      <c r="AY38" s="123">
        <f t="shared" si="2"/>
        <v>0</v>
      </c>
      <c r="AZ38" s="123">
        <f t="shared" si="3"/>
        <v>0</v>
      </c>
      <c r="BA38" s="123">
        <f t="shared" si="4"/>
        <v>0</v>
      </c>
      <c r="BB38" s="123">
        <f t="shared" si="5"/>
        <v>0</v>
      </c>
      <c r="BC38" s="123">
        <f t="shared" si="6"/>
        <v>0</v>
      </c>
      <c r="BD38" s="123">
        <f t="shared" si="7"/>
        <v>0</v>
      </c>
      <c r="BE38" s="123">
        <f t="shared" si="8"/>
        <v>0</v>
      </c>
      <c r="BF38" s="123">
        <f t="shared" si="9"/>
        <v>0</v>
      </c>
      <c r="BG38" s="126">
        <f t="shared" si="10"/>
        <v>0</v>
      </c>
    </row>
    <row r="39" spans="1:59" x14ac:dyDescent="0.3">
      <c r="A39" s="123" t="s">
        <v>160</v>
      </c>
      <c r="B39" s="123">
        <f>'Расходы на ЗП ОТ'!B39</f>
        <v>0</v>
      </c>
      <c r="C39" s="123">
        <f>'Расходы на ЗП ОТ'!C39</f>
        <v>0</v>
      </c>
      <c r="D39" s="123">
        <f>'Расходы на ЗП ОТ'!D39</f>
        <v>0</v>
      </c>
      <c r="E39" s="123">
        <f>'Расходы на ЗП ОТ'!E39</f>
        <v>0</v>
      </c>
      <c r="F39" s="123">
        <f>'Расходы на ЗП ОТ'!F39</f>
        <v>0</v>
      </c>
      <c r="G39" s="123">
        <f>'Расходы на ЗП ОТ'!G39</f>
        <v>0</v>
      </c>
      <c r="H39" s="123">
        <f>'Расходы на ЗП ОТ'!H39</f>
        <v>0</v>
      </c>
      <c r="I39" s="123">
        <f>'Расходы на ЗП ОТ'!I39</f>
        <v>0</v>
      </c>
      <c r="J39" s="123">
        <f>'Расходы на ЗП ОТ'!J39</f>
        <v>0</v>
      </c>
      <c r="K39" s="123">
        <f>'Расходы на ЗП ОТ'!K39</f>
        <v>0</v>
      </c>
      <c r="L39" s="123">
        <f>'Расходы на ЗП ОТ'!L39</f>
        <v>0</v>
      </c>
      <c r="M39" s="123">
        <f>'Расходы на ЗП ОТ'!M39</f>
        <v>0</v>
      </c>
      <c r="N39" s="123">
        <f>'Расходы на ЗП ОТ'!N39</f>
        <v>0</v>
      </c>
      <c r="O39" s="123">
        <f>'Расходы на ЗП ОТ'!O39</f>
        <v>0</v>
      </c>
      <c r="P39" s="123">
        <f>'Расходы на ЗП ОТ'!P39</f>
        <v>0</v>
      </c>
      <c r="Q39" s="123">
        <f>'Расходы на ЗП ОТ'!Q39</f>
        <v>0</v>
      </c>
      <c r="R39" s="123">
        <f>'Расходы на ЗП ОТ'!R39</f>
        <v>0</v>
      </c>
      <c r="S39" s="123">
        <f>'Расходы на ЗП ОТ'!S39</f>
        <v>0</v>
      </c>
      <c r="T39" s="123">
        <f>'Расходы на ЗП ОТ'!T39</f>
        <v>0</v>
      </c>
      <c r="U39" s="123">
        <f>'Расходы на ЗП ОТ'!U39</f>
        <v>0</v>
      </c>
      <c r="V39" s="123">
        <f>'Расходы на ЗП ОТ'!V39</f>
        <v>0</v>
      </c>
      <c r="W39" s="123">
        <f>'Расходы на ЗП ОТ'!W39</f>
        <v>0</v>
      </c>
      <c r="X39" s="123">
        <f>'Расходы на ЗП ОТ'!X39</f>
        <v>0</v>
      </c>
      <c r="Y39" s="123">
        <f>'Расходы на ЗП ОТ'!Y39</f>
        <v>0</v>
      </c>
      <c r="Z39" s="123">
        <f>'Расходы на ЗП ОТ'!Z39</f>
        <v>0</v>
      </c>
      <c r="AA39" s="123">
        <f>'Расходы на ЗП ОТ'!AA39</f>
        <v>0</v>
      </c>
      <c r="AB39" s="123">
        <f>'Расходы на ЗП ОТ'!AB39</f>
        <v>0</v>
      </c>
      <c r="AC39" s="123">
        <f>'Расходы на ЗП ОТ'!AC39</f>
        <v>0</v>
      </c>
      <c r="AD39" s="123">
        <f>'Расходы на ЗП ОТ'!AD39</f>
        <v>0</v>
      </c>
      <c r="AE39" s="123">
        <f>'Расходы на ЗП ОТ'!AE39</f>
        <v>0</v>
      </c>
      <c r="AF39" s="123">
        <f>'Расходы на ЗП ОТ'!AF39</f>
        <v>0</v>
      </c>
      <c r="AG39" s="123">
        <f>'Расходы на ЗП ОТ'!AG39</f>
        <v>0</v>
      </c>
      <c r="AH39" s="123">
        <f>'Расходы на ЗП ОТ'!AH39</f>
        <v>0</v>
      </c>
      <c r="AI39" s="123">
        <f>'Расходы на ЗП ОТ'!AI39</f>
        <v>0</v>
      </c>
      <c r="AJ39" s="123">
        <f>'Расходы на ЗП ОТ'!AJ39</f>
        <v>0</v>
      </c>
      <c r="AK39" s="123">
        <f>'Расходы на ЗП ОТ'!AK39</f>
        <v>0</v>
      </c>
      <c r="AL39" s="123">
        <f>'Расходы на ЗП ОТ'!AL39</f>
        <v>0</v>
      </c>
      <c r="AM39" s="123">
        <f>'Расходы на ЗП ОТ'!AM39</f>
        <v>0</v>
      </c>
      <c r="AN39" s="123">
        <f>'Расходы на ЗП ОТ'!AN39</f>
        <v>0</v>
      </c>
      <c r="AO39" s="123">
        <f>'Расходы на ЗП ОТ'!AO39</f>
        <v>0</v>
      </c>
      <c r="AP39" s="123">
        <f>'Расходы на ЗП ОТ'!AP39</f>
        <v>0</v>
      </c>
      <c r="AQ39" s="123">
        <f>'Расходы на ЗП ОТ'!AQ39</f>
        <v>0</v>
      </c>
      <c r="AR39" s="123">
        <f>'Расходы на ЗП ОТ'!AR39</f>
        <v>0</v>
      </c>
      <c r="AS39" s="123">
        <f>'Расходы на ЗП ОТ'!AS39</f>
        <v>0</v>
      </c>
      <c r="AT39" s="123">
        <f>'Расходы на ЗП ОТ'!AT39</f>
        <v>0</v>
      </c>
      <c r="AU39" s="123">
        <f>'Расходы на ЗП ОТ'!AU39</f>
        <v>0</v>
      </c>
      <c r="AV39" s="123"/>
      <c r="AW39" s="123">
        <f t="shared" si="0"/>
        <v>0</v>
      </c>
      <c r="AX39" s="123">
        <f t="shared" si="1"/>
        <v>0</v>
      </c>
      <c r="AY39" s="123">
        <f t="shared" si="2"/>
        <v>0</v>
      </c>
      <c r="AZ39" s="123">
        <f t="shared" si="3"/>
        <v>0</v>
      </c>
      <c r="BA39" s="123">
        <f t="shared" si="4"/>
        <v>0</v>
      </c>
      <c r="BB39" s="123">
        <f t="shared" si="5"/>
        <v>0</v>
      </c>
      <c r="BC39" s="123">
        <f t="shared" si="6"/>
        <v>0</v>
      </c>
      <c r="BD39" s="123">
        <f t="shared" si="7"/>
        <v>0</v>
      </c>
      <c r="BE39" s="123">
        <f t="shared" si="8"/>
        <v>0</v>
      </c>
      <c r="BF39" s="123">
        <f t="shared" si="9"/>
        <v>0</v>
      </c>
      <c r="BG39" s="126">
        <f t="shared" si="10"/>
        <v>0</v>
      </c>
    </row>
    <row r="40" spans="1:59" x14ac:dyDescent="0.3">
      <c r="A40" s="123" t="s">
        <v>161</v>
      </c>
      <c r="B40" s="123">
        <f>'Расходы на ЗП ОТ'!B40</f>
        <v>0</v>
      </c>
      <c r="C40" s="123">
        <f>'Расходы на ЗП ОТ'!C40</f>
        <v>0</v>
      </c>
      <c r="D40" s="123">
        <f>'Расходы на ЗП ОТ'!D40</f>
        <v>0</v>
      </c>
      <c r="E40" s="123">
        <f>'Расходы на ЗП ОТ'!E40</f>
        <v>0</v>
      </c>
      <c r="F40" s="123">
        <f>'Расходы на ЗП ОТ'!F40</f>
        <v>0</v>
      </c>
      <c r="G40" s="123">
        <f>'Расходы на ЗП ОТ'!G40</f>
        <v>0</v>
      </c>
      <c r="H40" s="123">
        <f>'Расходы на ЗП ОТ'!H40</f>
        <v>0</v>
      </c>
      <c r="I40" s="123">
        <f>'Расходы на ЗП ОТ'!I40</f>
        <v>0</v>
      </c>
      <c r="J40" s="123">
        <f>'Расходы на ЗП ОТ'!J40</f>
        <v>0</v>
      </c>
      <c r="K40" s="123">
        <f>'Расходы на ЗП ОТ'!K40</f>
        <v>0</v>
      </c>
      <c r="L40" s="123">
        <f>'Расходы на ЗП ОТ'!L40</f>
        <v>0</v>
      </c>
      <c r="M40" s="123">
        <f>'Расходы на ЗП ОТ'!M40</f>
        <v>0</v>
      </c>
      <c r="N40" s="123">
        <f>'Расходы на ЗП ОТ'!N40</f>
        <v>0</v>
      </c>
      <c r="O40" s="123">
        <f>'Расходы на ЗП ОТ'!O40</f>
        <v>0</v>
      </c>
      <c r="P40" s="123">
        <f>'Расходы на ЗП ОТ'!P40</f>
        <v>0</v>
      </c>
      <c r="Q40" s="123">
        <f>'Расходы на ЗП ОТ'!Q40</f>
        <v>0</v>
      </c>
      <c r="R40" s="123">
        <f>'Расходы на ЗП ОТ'!R40</f>
        <v>0</v>
      </c>
      <c r="S40" s="123">
        <f>'Расходы на ЗП ОТ'!S40</f>
        <v>0</v>
      </c>
      <c r="T40" s="123">
        <f>'Расходы на ЗП ОТ'!T40</f>
        <v>0</v>
      </c>
      <c r="U40" s="123">
        <f>'Расходы на ЗП ОТ'!U40</f>
        <v>0</v>
      </c>
      <c r="V40" s="123">
        <f>'Расходы на ЗП ОТ'!V40</f>
        <v>0</v>
      </c>
      <c r="W40" s="123">
        <f>'Расходы на ЗП ОТ'!W40</f>
        <v>0</v>
      </c>
      <c r="X40" s="123">
        <f>'Расходы на ЗП ОТ'!X40</f>
        <v>0</v>
      </c>
      <c r="Y40" s="123">
        <f>'Расходы на ЗП ОТ'!Y40</f>
        <v>0</v>
      </c>
      <c r="Z40" s="123">
        <f>'Расходы на ЗП ОТ'!Z40</f>
        <v>0</v>
      </c>
      <c r="AA40" s="123">
        <f>'Расходы на ЗП ОТ'!AA40</f>
        <v>0</v>
      </c>
      <c r="AB40" s="123">
        <f>'Расходы на ЗП ОТ'!AB40</f>
        <v>0</v>
      </c>
      <c r="AC40" s="123">
        <f>'Расходы на ЗП ОТ'!AC40</f>
        <v>0</v>
      </c>
      <c r="AD40" s="123">
        <f>'Расходы на ЗП ОТ'!AD40</f>
        <v>0</v>
      </c>
      <c r="AE40" s="123">
        <f>'Расходы на ЗП ОТ'!AE40</f>
        <v>0</v>
      </c>
      <c r="AF40" s="123">
        <f>'Расходы на ЗП ОТ'!AF40</f>
        <v>0</v>
      </c>
      <c r="AG40" s="123">
        <f>'Расходы на ЗП ОТ'!AG40</f>
        <v>0</v>
      </c>
      <c r="AH40" s="123">
        <f>'Расходы на ЗП ОТ'!AH40</f>
        <v>0</v>
      </c>
      <c r="AI40" s="123">
        <f>'Расходы на ЗП ОТ'!AI40</f>
        <v>0</v>
      </c>
      <c r="AJ40" s="123">
        <f>'Расходы на ЗП ОТ'!AJ40</f>
        <v>0</v>
      </c>
      <c r="AK40" s="123">
        <f>'Расходы на ЗП ОТ'!AK40</f>
        <v>0</v>
      </c>
      <c r="AL40" s="123">
        <f>'Расходы на ЗП ОТ'!AL40</f>
        <v>0</v>
      </c>
      <c r="AM40" s="123">
        <f>'Расходы на ЗП ОТ'!AM40</f>
        <v>0</v>
      </c>
      <c r="AN40" s="123">
        <f>'Расходы на ЗП ОТ'!AN40</f>
        <v>0</v>
      </c>
      <c r="AO40" s="123">
        <f>'Расходы на ЗП ОТ'!AO40</f>
        <v>0</v>
      </c>
      <c r="AP40" s="123">
        <f>'Расходы на ЗП ОТ'!AP40</f>
        <v>0</v>
      </c>
      <c r="AQ40" s="123">
        <f>'Расходы на ЗП ОТ'!AQ40</f>
        <v>0</v>
      </c>
      <c r="AR40" s="123">
        <f>'Расходы на ЗП ОТ'!AR40</f>
        <v>0</v>
      </c>
      <c r="AS40" s="123">
        <f>'Расходы на ЗП ОТ'!AS40</f>
        <v>0</v>
      </c>
      <c r="AT40" s="123">
        <f>'Расходы на ЗП ОТ'!AT40</f>
        <v>0</v>
      </c>
      <c r="AU40" s="123">
        <f>'Расходы на ЗП ОТ'!AU40</f>
        <v>0</v>
      </c>
      <c r="AV40" s="123"/>
      <c r="AW40" s="123">
        <f t="shared" si="0"/>
        <v>0</v>
      </c>
      <c r="AX40" s="123">
        <f t="shared" si="1"/>
        <v>0</v>
      </c>
      <c r="AY40" s="123">
        <f t="shared" si="2"/>
        <v>0</v>
      </c>
      <c r="AZ40" s="123">
        <f t="shared" si="3"/>
        <v>0</v>
      </c>
      <c r="BA40" s="123">
        <f t="shared" si="4"/>
        <v>0</v>
      </c>
      <c r="BB40" s="123">
        <f t="shared" si="5"/>
        <v>0</v>
      </c>
      <c r="BC40" s="123">
        <f t="shared" si="6"/>
        <v>0</v>
      </c>
      <c r="BD40" s="123">
        <f t="shared" si="7"/>
        <v>0</v>
      </c>
      <c r="BE40" s="123">
        <f t="shared" si="8"/>
        <v>0</v>
      </c>
      <c r="BF40" s="123">
        <f t="shared" si="9"/>
        <v>0</v>
      </c>
      <c r="BG40" s="126">
        <f t="shared" si="10"/>
        <v>0</v>
      </c>
    </row>
    <row r="41" spans="1:59" x14ac:dyDescent="0.3">
      <c r="A41" s="123" t="s">
        <v>162</v>
      </c>
      <c r="B41" s="123">
        <f>'Расходы на ЗП ОТ'!B41</f>
        <v>0</v>
      </c>
      <c r="C41" s="123">
        <f>'Расходы на ЗП ОТ'!C41</f>
        <v>0</v>
      </c>
      <c r="D41" s="123">
        <f>'Расходы на ЗП ОТ'!D41</f>
        <v>0</v>
      </c>
      <c r="E41" s="123">
        <f>'Расходы на ЗП ОТ'!E41</f>
        <v>0</v>
      </c>
      <c r="F41" s="123">
        <f>'Расходы на ЗП ОТ'!F41</f>
        <v>0</v>
      </c>
      <c r="G41" s="123">
        <f>'Расходы на ЗП ОТ'!G41</f>
        <v>0</v>
      </c>
      <c r="H41" s="123">
        <f>'Расходы на ЗП ОТ'!H41</f>
        <v>0</v>
      </c>
      <c r="I41" s="123">
        <f>'Расходы на ЗП ОТ'!I41</f>
        <v>0</v>
      </c>
      <c r="J41" s="123">
        <f>'Расходы на ЗП ОТ'!J41</f>
        <v>0</v>
      </c>
      <c r="K41" s="123">
        <f>'Расходы на ЗП ОТ'!K41</f>
        <v>0</v>
      </c>
      <c r="L41" s="123">
        <f>'Расходы на ЗП ОТ'!L41</f>
        <v>0</v>
      </c>
      <c r="M41" s="123">
        <f>'Расходы на ЗП ОТ'!M41</f>
        <v>0</v>
      </c>
      <c r="N41" s="123">
        <f>'Расходы на ЗП ОТ'!N41</f>
        <v>0</v>
      </c>
      <c r="O41" s="123">
        <f>'Расходы на ЗП ОТ'!O41</f>
        <v>0</v>
      </c>
      <c r="P41" s="123">
        <f>'Расходы на ЗП ОТ'!P41</f>
        <v>0</v>
      </c>
      <c r="Q41" s="123">
        <f>'Расходы на ЗП ОТ'!Q41</f>
        <v>0</v>
      </c>
      <c r="R41" s="123">
        <f>'Расходы на ЗП ОТ'!R41</f>
        <v>0</v>
      </c>
      <c r="S41" s="123">
        <f>'Расходы на ЗП ОТ'!S41</f>
        <v>0</v>
      </c>
      <c r="T41" s="123">
        <f>'Расходы на ЗП ОТ'!T41</f>
        <v>0</v>
      </c>
      <c r="U41" s="123">
        <f>'Расходы на ЗП ОТ'!U41</f>
        <v>0</v>
      </c>
      <c r="V41" s="123">
        <f>'Расходы на ЗП ОТ'!V41</f>
        <v>0</v>
      </c>
      <c r="W41" s="123">
        <f>'Расходы на ЗП ОТ'!W41</f>
        <v>0</v>
      </c>
      <c r="X41" s="123">
        <f>'Расходы на ЗП ОТ'!X41</f>
        <v>0</v>
      </c>
      <c r="Y41" s="123">
        <f>'Расходы на ЗП ОТ'!Y41</f>
        <v>0</v>
      </c>
      <c r="Z41" s="123">
        <f>'Расходы на ЗП ОТ'!Z41</f>
        <v>0</v>
      </c>
      <c r="AA41" s="123">
        <f>'Расходы на ЗП ОТ'!AA41</f>
        <v>0</v>
      </c>
      <c r="AB41" s="123">
        <f>'Расходы на ЗП ОТ'!AB41</f>
        <v>0</v>
      </c>
      <c r="AC41" s="123">
        <f>'Расходы на ЗП ОТ'!AC41</f>
        <v>0</v>
      </c>
      <c r="AD41" s="123">
        <f>'Расходы на ЗП ОТ'!AD41</f>
        <v>0</v>
      </c>
      <c r="AE41" s="123">
        <f>'Расходы на ЗП ОТ'!AE41</f>
        <v>0</v>
      </c>
      <c r="AF41" s="123">
        <f>'Расходы на ЗП ОТ'!AF41</f>
        <v>0</v>
      </c>
      <c r="AG41" s="123">
        <f>'Расходы на ЗП ОТ'!AG41</f>
        <v>0</v>
      </c>
      <c r="AH41" s="123">
        <f>'Расходы на ЗП ОТ'!AH41</f>
        <v>0</v>
      </c>
      <c r="AI41" s="123">
        <f>'Расходы на ЗП ОТ'!AI41</f>
        <v>0</v>
      </c>
      <c r="AJ41" s="123">
        <f>'Расходы на ЗП ОТ'!AJ41</f>
        <v>0</v>
      </c>
      <c r="AK41" s="123">
        <f>'Расходы на ЗП ОТ'!AK41</f>
        <v>0</v>
      </c>
      <c r="AL41" s="123">
        <f>'Расходы на ЗП ОТ'!AL41</f>
        <v>0</v>
      </c>
      <c r="AM41" s="123">
        <f>'Расходы на ЗП ОТ'!AM41</f>
        <v>0</v>
      </c>
      <c r="AN41" s="123">
        <f>'Расходы на ЗП ОТ'!AN41</f>
        <v>0</v>
      </c>
      <c r="AO41" s="123">
        <f>'Расходы на ЗП ОТ'!AO41</f>
        <v>0</v>
      </c>
      <c r="AP41" s="123">
        <f>'Расходы на ЗП ОТ'!AP41</f>
        <v>0</v>
      </c>
      <c r="AQ41" s="123">
        <f>'Расходы на ЗП ОТ'!AQ41</f>
        <v>0</v>
      </c>
      <c r="AR41" s="123">
        <f>'Расходы на ЗП ОТ'!AR41</f>
        <v>0</v>
      </c>
      <c r="AS41" s="123">
        <f>'Расходы на ЗП ОТ'!AS41</f>
        <v>0</v>
      </c>
      <c r="AT41" s="123">
        <f>'Расходы на ЗП ОТ'!AT41</f>
        <v>0</v>
      </c>
      <c r="AU41" s="123">
        <f>'Расходы на ЗП ОТ'!AU41</f>
        <v>0</v>
      </c>
      <c r="AV41" s="123"/>
      <c r="AW41" s="123">
        <f t="shared" si="0"/>
        <v>0</v>
      </c>
      <c r="AX41" s="123">
        <f t="shared" si="1"/>
        <v>0</v>
      </c>
      <c r="AY41" s="123">
        <f t="shared" si="2"/>
        <v>0</v>
      </c>
      <c r="AZ41" s="123">
        <f t="shared" si="3"/>
        <v>0</v>
      </c>
      <c r="BA41" s="123">
        <f t="shared" si="4"/>
        <v>0</v>
      </c>
      <c r="BB41" s="123">
        <f t="shared" si="5"/>
        <v>0</v>
      </c>
      <c r="BC41" s="123">
        <f t="shared" si="6"/>
        <v>0</v>
      </c>
      <c r="BD41" s="123">
        <f t="shared" si="7"/>
        <v>0</v>
      </c>
      <c r="BE41" s="123">
        <f t="shared" si="8"/>
        <v>0</v>
      </c>
      <c r="BF41" s="123">
        <f t="shared" si="9"/>
        <v>0</v>
      </c>
      <c r="BG41" s="126">
        <f t="shared" si="10"/>
        <v>0</v>
      </c>
    </row>
    <row r="42" spans="1:59" x14ac:dyDescent="0.3">
      <c r="A42" s="123" t="s">
        <v>163</v>
      </c>
      <c r="B42" s="123">
        <f>'Расходы на ЗП ОТ'!B42</f>
        <v>0</v>
      </c>
      <c r="C42" s="123">
        <f>'Расходы на ЗП ОТ'!C42</f>
        <v>0</v>
      </c>
      <c r="D42" s="123">
        <f>'Расходы на ЗП ОТ'!D42</f>
        <v>0</v>
      </c>
      <c r="E42" s="123">
        <f>'Расходы на ЗП ОТ'!E42</f>
        <v>0</v>
      </c>
      <c r="F42" s="123">
        <f>'Расходы на ЗП ОТ'!F42</f>
        <v>0</v>
      </c>
      <c r="G42" s="123">
        <f>'Расходы на ЗП ОТ'!G42</f>
        <v>0</v>
      </c>
      <c r="H42" s="123">
        <f>'Расходы на ЗП ОТ'!H42</f>
        <v>0</v>
      </c>
      <c r="I42" s="123">
        <f>'Расходы на ЗП ОТ'!I42</f>
        <v>0</v>
      </c>
      <c r="J42" s="123">
        <f>'Расходы на ЗП ОТ'!J42</f>
        <v>0</v>
      </c>
      <c r="K42" s="123">
        <f>'Расходы на ЗП ОТ'!K42</f>
        <v>0</v>
      </c>
      <c r="L42" s="123">
        <f>'Расходы на ЗП ОТ'!L42</f>
        <v>0</v>
      </c>
      <c r="M42" s="123">
        <f>'Расходы на ЗП ОТ'!M42</f>
        <v>0</v>
      </c>
      <c r="N42" s="123">
        <f>'Расходы на ЗП ОТ'!N42</f>
        <v>0</v>
      </c>
      <c r="O42" s="123">
        <f>'Расходы на ЗП ОТ'!O42</f>
        <v>0</v>
      </c>
      <c r="P42" s="123">
        <f>'Расходы на ЗП ОТ'!P42</f>
        <v>0</v>
      </c>
      <c r="Q42" s="123">
        <f>'Расходы на ЗП ОТ'!Q42</f>
        <v>0</v>
      </c>
      <c r="R42" s="123">
        <f>'Расходы на ЗП ОТ'!R42</f>
        <v>0</v>
      </c>
      <c r="S42" s="123">
        <f>'Расходы на ЗП ОТ'!S42</f>
        <v>0</v>
      </c>
      <c r="T42" s="123">
        <f>'Расходы на ЗП ОТ'!T42</f>
        <v>0</v>
      </c>
      <c r="U42" s="123">
        <f>'Расходы на ЗП ОТ'!U42</f>
        <v>0</v>
      </c>
      <c r="V42" s="123">
        <f>'Расходы на ЗП ОТ'!V42</f>
        <v>0</v>
      </c>
      <c r="W42" s="123">
        <f>'Расходы на ЗП ОТ'!W42</f>
        <v>0</v>
      </c>
      <c r="X42" s="123">
        <f>'Расходы на ЗП ОТ'!X42</f>
        <v>0</v>
      </c>
      <c r="Y42" s="123">
        <f>'Расходы на ЗП ОТ'!Y42</f>
        <v>0</v>
      </c>
      <c r="Z42" s="123">
        <f>'Расходы на ЗП ОТ'!Z42</f>
        <v>0</v>
      </c>
      <c r="AA42" s="123">
        <f>'Расходы на ЗП ОТ'!AA42</f>
        <v>0</v>
      </c>
      <c r="AB42" s="123">
        <f>'Расходы на ЗП ОТ'!AB42</f>
        <v>0</v>
      </c>
      <c r="AC42" s="123">
        <f>'Расходы на ЗП ОТ'!AC42</f>
        <v>0</v>
      </c>
      <c r="AD42" s="123">
        <f>'Расходы на ЗП ОТ'!AD42</f>
        <v>0</v>
      </c>
      <c r="AE42" s="123">
        <f>'Расходы на ЗП ОТ'!AE42</f>
        <v>0</v>
      </c>
      <c r="AF42" s="123">
        <f>'Расходы на ЗП ОТ'!AF42</f>
        <v>0</v>
      </c>
      <c r="AG42" s="123">
        <f>'Расходы на ЗП ОТ'!AG42</f>
        <v>0</v>
      </c>
      <c r="AH42" s="123">
        <f>'Расходы на ЗП ОТ'!AH42</f>
        <v>0</v>
      </c>
      <c r="AI42" s="123">
        <f>'Расходы на ЗП ОТ'!AI42</f>
        <v>0</v>
      </c>
      <c r="AJ42" s="123">
        <f>'Расходы на ЗП ОТ'!AJ42</f>
        <v>0</v>
      </c>
      <c r="AK42" s="123">
        <f>'Расходы на ЗП ОТ'!AK42</f>
        <v>0</v>
      </c>
      <c r="AL42" s="123">
        <f>'Расходы на ЗП ОТ'!AL42</f>
        <v>0</v>
      </c>
      <c r="AM42" s="123">
        <f>'Расходы на ЗП ОТ'!AM42</f>
        <v>0</v>
      </c>
      <c r="AN42" s="123">
        <f>'Расходы на ЗП ОТ'!AN42</f>
        <v>0</v>
      </c>
      <c r="AO42" s="123">
        <f>'Расходы на ЗП ОТ'!AO42</f>
        <v>0</v>
      </c>
      <c r="AP42" s="123">
        <f>'Расходы на ЗП ОТ'!AP42</f>
        <v>0</v>
      </c>
      <c r="AQ42" s="123">
        <f>'Расходы на ЗП ОТ'!AQ42</f>
        <v>0</v>
      </c>
      <c r="AR42" s="123">
        <f>'Расходы на ЗП ОТ'!AR42</f>
        <v>0</v>
      </c>
      <c r="AS42" s="123">
        <f>'Расходы на ЗП ОТ'!AS42</f>
        <v>0</v>
      </c>
      <c r="AT42" s="123">
        <f>'Расходы на ЗП ОТ'!AT42</f>
        <v>0</v>
      </c>
      <c r="AU42" s="123">
        <f>'Расходы на ЗП ОТ'!AU42</f>
        <v>0</v>
      </c>
      <c r="AV42" s="123"/>
      <c r="AW42" s="123">
        <f t="shared" si="0"/>
        <v>0</v>
      </c>
      <c r="AX42" s="123">
        <f t="shared" si="1"/>
        <v>0</v>
      </c>
      <c r="AY42" s="123">
        <f t="shared" si="2"/>
        <v>0</v>
      </c>
      <c r="AZ42" s="123">
        <f t="shared" si="3"/>
        <v>0</v>
      </c>
      <c r="BA42" s="123">
        <f t="shared" si="4"/>
        <v>0</v>
      </c>
      <c r="BB42" s="123">
        <f t="shared" si="5"/>
        <v>0</v>
      </c>
      <c r="BC42" s="123">
        <f t="shared" si="6"/>
        <v>0</v>
      </c>
      <c r="BD42" s="123">
        <f t="shared" si="7"/>
        <v>0</v>
      </c>
      <c r="BE42" s="123">
        <f t="shared" si="8"/>
        <v>0</v>
      </c>
      <c r="BF42" s="123">
        <f t="shared" si="9"/>
        <v>0</v>
      </c>
      <c r="BG42" s="126">
        <f t="shared" si="10"/>
        <v>0</v>
      </c>
    </row>
    <row r="43" spans="1:59" x14ac:dyDescent="0.3">
      <c r="A43" s="123" t="s">
        <v>164</v>
      </c>
      <c r="B43" s="123">
        <f>'Расходы на ЗП ОТ'!B43</f>
        <v>0</v>
      </c>
      <c r="C43" s="123">
        <f>'Расходы на ЗП ОТ'!C43</f>
        <v>0</v>
      </c>
      <c r="D43" s="123">
        <f>'Расходы на ЗП ОТ'!D43</f>
        <v>0</v>
      </c>
      <c r="E43" s="123">
        <f>'Расходы на ЗП ОТ'!E43</f>
        <v>0</v>
      </c>
      <c r="F43" s="123">
        <f>'Расходы на ЗП ОТ'!F43</f>
        <v>0</v>
      </c>
      <c r="G43" s="123">
        <f>'Расходы на ЗП ОТ'!G43</f>
        <v>0</v>
      </c>
      <c r="H43" s="123">
        <f>'Расходы на ЗП ОТ'!H43</f>
        <v>0</v>
      </c>
      <c r="I43" s="123">
        <f>'Расходы на ЗП ОТ'!I43</f>
        <v>0</v>
      </c>
      <c r="J43" s="123">
        <f>'Расходы на ЗП ОТ'!J43</f>
        <v>0</v>
      </c>
      <c r="K43" s="123">
        <f>'Расходы на ЗП ОТ'!K43</f>
        <v>0</v>
      </c>
      <c r="L43" s="123">
        <f>'Расходы на ЗП ОТ'!L43</f>
        <v>0</v>
      </c>
      <c r="M43" s="123">
        <f>'Расходы на ЗП ОТ'!M43</f>
        <v>0</v>
      </c>
      <c r="N43" s="123">
        <f>'Расходы на ЗП ОТ'!N43</f>
        <v>0</v>
      </c>
      <c r="O43" s="123">
        <f>'Расходы на ЗП ОТ'!O43</f>
        <v>0</v>
      </c>
      <c r="P43" s="123">
        <f>'Расходы на ЗП ОТ'!P43</f>
        <v>0</v>
      </c>
      <c r="Q43" s="123">
        <f>'Расходы на ЗП ОТ'!Q43</f>
        <v>0</v>
      </c>
      <c r="R43" s="123">
        <f>'Расходы на ЗП ОТ'!R43</f>
        <v>0</v>
      </c>
      <c r="S43" s="123">
        <f>'Расходы на ЗП ОТ'!S43</f>
        <v>0</v>
      </c>
      <c r="T43" s="123">
        <f>'Расходы на ЗП ОТ'!T43</f>
        <v>0</v>
      </c>
      <c r="U43" s="123">
        <f>'Расходы на ЗП ОТ'!U43</f>
        <v>0</v>
      </c>
      <c r="V43" s="123">
        <f>'Расходы на ЗП ОТ'!V43</f>
        <v>0</v>
      </c>
      <c r="W43" s="123">
        <f>'Расходы на ЗП ОТ'!W43</f>
        <v>0</v>
      </c>
      <c r="X43" s="123">
        <f>'Расходы на ЗП ОТ'!X43</f>
        <v>0</v>
      </c>
      <c r="Y43" s="123">
        <f>'Расходы на ЗП ОТ'!Y43</f>
        <v>0</v>
      </c>
      <c r="Z43" s="123">
        <f>'Расходы на ЗП ОТ'!Z43</f>
        <v>0</v>
      </c>
      <c r="AA43" s="123">
        <f>'Расходы на ЗП ОТ'!AA43</f>
        <v>0</v>
      </c>
      <c r="AB43" s="123">
        <f>'Расходы на ЗП ОТ'!AB43</f>
        <v>0</v>
      </c>
      <c r="AC43" s="123">
        <f>'Расходы на ЗП ОТ'!AC43</f>
        <v>0</v>
      </c>
      <c r="AD43" s="123">
        <f>'Расходы на ЗП ОТ'!AD43</f>
        <v>0</v>
      </c>
      <c r="AE43" s="123">
        <f>'Расходы на ЗП ОТ'!AE43</f>
        <v>0</v>
      </c>
      <c r="AF43" s="123">
        <f>'Расходы на ЗП ОТ'!AF43</f>
        <v>0</v>
      </c>
      <c r="AG43" s="123">
        <f>'Расходы на ЗП ОТ'!AG43</f>
        <v>0</v>
      </c>
      <c r="AH43" s="123">
        <f>'Расходы на ЗП ОТ'!AH43</f>
        <v>0</v>
      </c>
      <c r="AI43" s="123">
        <f>'Расходы на ЗП ОТ'!AI43</f>
        <v>0</v>
      </c>
      <c r="AJ43" s="123">
        <f>'Расходы на ЗП ОТ'!AJ43</f>
        <v>0</v>
      </c>
      <c r="AK43" s="123">
        <f>'Расходы на ЗП ОТ'!AK43</f>
        <v>0</v>
      </c>
      <c r="AL43" s="123">
        <f>'Расходы на ЗП ОТ'!AL43</f>
        <v>0</v>
      </c>
      <c r="AM43" s="123">
        <f>'Расходы на ЗП ОТ'!AM43</f>
        <v>0</v>
      </c>
      <c r="AN43" s="123">
        <f>'Расходы на ЗП ОТ'!AN43</f>
        <v>0</v>
      </c>
      <c r="AO43" s="123">
        <f>'Расходы на ЗП ОТ'!AO43</f>
        <v>0</v>
      </c>
      <c r="AP43" s="123">
        <f>'Расходы на ЗП ОТ'!AP43</f>
        <v>0</v>
      </c>
      <c r="AQ43" s="123">
        <f>'Расходы на ЗП ОТ'!AQ43</f>
        <v>0</v>
      </c>
      <c r="AR43" s="123">
        <f>'Расходы на ЗП ОТ'!AR43</f>
        <v>0</v>
      </c>
      <c r="AS43" s="123">
        <f>'Расходы на ЗП ОТ'!AS43</f>
        <v>0</v>
      </c>
      <c r="AT43" s="123">
        <f>'Расходы на ЗП ОТ'!AT43</f>
        <v>0</v>
      </c>
      <c r="AU43" s="123">
        <f>'Расходы на ЗП ОТ'!AU43</f>
        <v>0</v>
      </c>
      <c r="AV43" s="123"/>
      <c r="AW43" s="123">
        <f t="shared" si="0"/>
        <v>0</v>
      </c>
      <c r="AX43" s="123">
        <f t="shared" si="1"/>
        <v>0</v>
      </c>
      <c r="AY43" s="123">
        <f t="shared" si="2"/>
        <v>0</v>
      </c>
      <c r="AZ43" s="123">
        <f t="shared" si="3"/>
        <v>0</v>
      </c>
      <c r="BA43" s="123">
        <f t="shared" si="4"/>
        <v>0</v>
      </c>
      <c r="BB43" s="123">
        <f t="shared" si="5"/>
        <v>0</v>
      </c>
      <c r="BC43" s="123">
        <f t="shared" si="6"/>
        <v>0</v>
      </c>
      <c r="BD43" s="123">
        <f t="shared" si="7"/>
        <v>0</v>
      </c>
      <c r="BE43" s="123">
        <f t="shared" si="8"/>
        <v>0</v>
      </c>
      <c r="BF43" s="123">
        <f t="shared" si="9"/>
        <v>0</v>
      </c>
      <c r="BG43" s="126">
        <f t="shared" si="10"/>
        <v>0</v>
      </c>
    </row>
    <row r="44" spans="1:59" x14ac:dyDescent="0.3">
      <c r="A44" s="123" t="s">
        <v>165</v>
      </c>
      <c r="B44" s="123">
        <f>'Расходы на ЗП ОТ'!B44</f>
        <v>0</v>
      </c>
      <c r="C44" s="123">
        <f>'Расходы на ЗП ОТ'!C44</f>
        <v>0</v>
      </c>
      <c r="D44" s="123">
        <f>'Расходы на ЗП ОТ'!D44</f>
        <v>0</v>
      </c>
      <c r="E44" s="123">
        <f>'Расходы на ЗП ОТ'!E44</f>
        <v>0</v>
      </c>
      <c r="F44" s="123">
        <f>'Расходы на ЗП ОТ'!F44</f>
        <v>0</v>
      </c>
      <c r="G44" s="123">
        <f>'Расходы на ЗП ОТ'!G44</f>
        <v>0</v>
      </c>
      <c r="H44" s="123">
        <f>'Расходы на ЗП ОТ'!H44</f>
        <v>0</v>
      </c>
      <c r="I44" s="123">
        <f>'Расходы на ЗП ОТ'!I44</f>
        <v>0</v>
      </c>
      <c r="J44" s="123">
        <f>'Расходы на ЗП ОТ'!J44</f>
        <v>0</v>
      </c>
      <c r="K44" s="123">
        <f>'Расходы на ЗП ОТ'!K44</f>
        <v>0</v>
      </c>
      <c r="L44" s="123">
        <f>'Расходы на ЗП ОТ'!L44</f>
        <v>0</v>
      </c>
      <c r="M44" s="123">
        <f>'Расходы на ЗП ОТ'!M44</f>
        <v>0</v>
      </c>
      <c r="N44" s="123">
        <f>'Расходы на ЗП ОТ'!N44</f>
        <v>0</v>
      </c>
      <c r="O44" s="123">
        <f>'Расходы на ЗП ОТ'!O44</f>
        <v>0</v>
      </c>
      <c r="P44" s="123">
        <f>'Расходы на ЗП ОТ'!P44</f>
        <v>0</v>
      </c>
      <c r="Q44" s="123">
        <f>'Расходы на ЗП ОТ'!Q44</f>
        <v>0</v>
      </c>
      <c r="R44" s="123">
        <f>'Расходы на ЗП ОТ'!R44</f>
        <v>0</v>
      </c>
      <c r="S44" s="123">
        <f>'Расходы на ЗП ОТ'!S44</f>
        <v>0</v>
      </c>
      <c r="T44" s="123">
        <f>'Расходы на ЗП ОТ'!T44</f>
        <v>0</v>
      </c>
      <c r="U44" s="123">
        <f>'Расходы на ЗП ОТ'!U44</f>
        <v>0</v>
      </c>
      <c r="V44" s="123">
        <f>'Расходы на ЗП ОТ'!V44</f>
        <v>0</v>
      </c>
      <c r="W44" s="123">
        <f>'Расходы на ЗП ОТ'!W44</f>
        <v>0</v>
      </c>
      <c r="X44" s="123">
        <f>'Расходы на ЗП ОТ'!X44</f>
        <v>0</v>
      </c>
      <c r="Y44" s="123">
        <f>'Расходы на ЗП ОТ'!Y44</f>
        <v>0</v>
      </c>
      <c r="Z44" s="123">
        <f>'Расходы на ЗП ОТ'!Z44</f>
        <v>0</v>
      </c>
      <c r="AA44" s="123">
        <f>'Расходы на ЗП ОТ'!AA44</f>
        <v>0</v>
      </c>
      <c r="AB44" s="123">
        <f>'Расходы на ЗП ОТ'!AB44</f>
        <v>0</v>
      </c>
      <c r="AC44" s="123">
        <f>'Расходы на ЗП ОТ'!AC44</f>
        <v>0</v>
      </c>
      <c r="AD44" s="123">
        <f>'Расходы на ЗП ОТ'!AD44</f>
        <v>0</v>
      </c>
      <c r="AE44" s="123">
        <f>'Расходы на ЗП ОТ'!AE44</f>
        <v>0</v>
      </c>
      <c r="AF44" s="123">
        <f>'Расходы на ЗП ОТ'!AF44</f>
        <v>0</v>
      </c>
      <c r="AG44" s="123">
        <f>'Расходы на ЗП ОТ'!AG44</f>
        <v>0</v>
      </c>
      <c r="AH44" s="123">
        <f>'Расходы на ЗП ОТ'!AH44</f>
        <v>0</v>
      </c>
      <c r="AI44" s="123">
        <f>'Расходы на ЗП ОТ'!AI44</f>
        <v>0</v>
      </c>
      <c r="AJ44" s="123">
        <f>'Расходы на ЗП ОТ'!AJ44</f>
        <v>0</v>
      </c>
      <c r="AK44" s="123">
        <f>'Расходы на ЗП ОТ'!AK44</f>
        <v>0</v>
      </c>
      <c r="AL44" s="123">
        <f>'Расходы на ЗП ОТ'!AL44</f>
        <v>0</v>
      </c>
      <c r="AM44" s="123">
        <f>'Расходы на ЗП ОТ'!AM44</f>
        <v>0</v>
      </c>
      <c r="AN44" s="123">
        <f>'Расходы на ЗП ОТ'!AN44</f>
        <v>0</v>
      </c>
      <c r="AO44" s="123">
        <f>'Расходы на ЗП ОТ'!AO44</f>
        <v>0</v>
      </c>
      <c r="AP44" s="123">
        <f>'Расходы на ЗП ОТ'!AP44</f>
        <v>0</v>
      </c>
      <c r="AQ44" s="123">
        <f>'Расходы на ЗП ОТ'!AQ44</f>
        <v>0</v>
      </c>
      <c r="AR44" s="123">
        <f>'Расходы на ЗП ОТ'!AR44</f>
        <v>0</v>
      </c>
      <c r="AS44" s="123">
        <f>'Расходы на ЗП ОТ'!AS44</f>
        <v>0</v>
      </c>
      <c r="AT44" s="123">
        <f>'Расходы на ЗП ОТ'!AT44</f>
        <v>0</v>
      </c>
      <c r="AU44" s="123">
        <f>'Расходы на ЗП ОТ'!AU44</f>
        <v>0</v>
      </c>
      <c r="AV44" s="123"/>
      <c r="AW44" s="123">
        <f t="shared" si="0"/>
        <v>0</v>
      </c>
      <c r="AX44" s="123">
        <f t="shared" si="1"/>
        <v>0</v>
      </c>
      <c r="AY44" s="123">
        <f t="shared" si="2"/>
        <v>0</v>
      </c>
      <c r="AZ44" s="123">
        <f t="shared" si="3"/>
        <v>0</v>
      </c>
      <c r="BA44" s="123">
        <f t="shared" si="4"/>
        <v>0</v>
      </c>
      <c r="BB44" s="123">
        <f t="shared" si="5"/>
        <v>0</v>
      </c>
      <c r="BC44" s="123">
        <f t="shared" si="6"/>
        <v>0</v>
      </c>
      <c r="BD44" s="123">
        <f t="shared" si="7"/>
        <v>0</v>
      </c>
      <c r="BE44" s="123">
        <f t="shared" si="8"/>
        <v>0</v>
      </c>
      <c r="BF44" s="123">
        <f t="shared" si="9"/>
        <v>0</v>
      </c>
      <c r="BG44" s="126">
        <f t="shared" si="10"/>
        <v>0</v>
      </c>
    </row>
    <row r="45" spans="1:59" x14ac:dyDescent="0.3">
      <c r="A45" s="123" t="s">
        <v>166</v>
      </c>
      <c r="B45" s="123">
        <f>'Расходы на ЗП ОТ'!B45</f>
        <v>0</v>
      </c>
      <c r="C45" s="123">
        <f>'Расходы на ЗП ОТ'!C45</f>
        <v>0</v>
      </c>
      <c r="D45" s="123">
        <f>'Расходы на ЗП ОТ'!D45</f>
        <v>0</v>
      </c>
      <c r="E45" s="123">
        <f>'Расходы на ЗП ОТ'!E45</f>
        <v>0</v>
      </c>
      <c r="F45" s="123">
        <f>'Расходы на ЗП ОТ'!F45</f>
        <v>0</v>
      </c>
      <c r="G45" s="123">
        <f>'Расходы на ЗП ОТ'!G45</f>
        <v>0</v>
      </c>
      <c r="H45" s="123">
        <f>'Расходы на ЗП ОТ'!H45</f>
        <v>0</v>
      </c>
      <c r="I45" s="123">
        <f>'Расходы на ЗП ОТ'!I45</f>
        <v>0</v>
      </c>
      <c r="J45" s="123">
        <f>'Расходы на ЗП ОТ'!J45</f>
        <v>0</v>
      </c>
      <c r="K45" s="123">
        <f>'Расходы на ЗП ОТ'!K45</f>
        <v>0</v>
      </c>
      <c r="L45" s="123">
        <f>'Расходы на ЗП ОТ'!L45</f>
        <v>0</v>
      </c>
      <c r="M45" s="123">
        <f>'Расходы на ЗП ОТ'!M45</f>
        <v>0</v>
      </c>
      <c r="N45" s="123">
        <f>'Расходы на ЗП ОТ'!N45</f>
        <v>0</v>
      </c>
      <c r="O45" s="123">
        <f>'Расходы на ЗП ОТ'!O45</f>
        <v>0</v>
      </c>
      <c r="P45" s="123">
        <f>'Расходы на ЗП ОТ'!P45</f>
        <v>0</v>
      </c>
      <c r="Q45" s="123">
        <f>'Расходы на ЗП ОТ'!Q45</f>
        <v>0</v>
      </c>
      <c r="R45" s="123">
        <f>'Расходы на ЗП ОТ'!R45</f>
        <v>0</v>
      </c>
      <c r="S45" s="123">
        <f>'Расходы на ЗП ОТ'!S45</f>
        <v>0</v>
      </c>
      <c r="T45" s="123">
        <f>'Расходы на ЗП ОТ'!T45</f>
        <v>0</v>
      </c>
      <c r="U45" s="123">
        <f>'Расходы на ЗП ОТ'!U45</f>
        <v>0</v>
      </c>
      <c r="V45" s="123">
        <f>'Расходы на ЗП ОТ'!V45</f>
        <v>0</v>
      </c>
      <c r="W45" s="123">
        <f>'Расходы на ЗП ОТ'!W45</f>
        <v>0</v>
      </c>
      <c r="X45" s="123">
        <f>'Расходы на ЗП ОТ'!X45</f>
        <v>0</v>
      </c>
      <c r="Y45" s="123">
        <f>'Расходы на ЗП ОТ'!Y45</f>
        <v>0</v>
      </c>
      <c r="Z45" s="123">
        <f>'Расходы на ЗП ОТ'!Z45</f>
        <v>0</v>
      </c>
      <c r="AA45" s="123">
        <f>'Расходы на ЗП ОТ'!AA45</f>
        <v>0</v>
      </c>
      <c r="AB45" s="123">
        <f>'Расходы на ЗП ОТ'!AB45</f>
        <v>0</v>
      </c>
      <c r="AC45" s="123">
        <f>'Расходы на ЗП ОТ'!AC45</f>
        <v>0</v>
      </c>
      <c r="AD45" s="123">
        <f>'Расходы на ЗП ОТ'!AD45</f>
        <v>0</v>
      </c>
      <c r="AE45" s="123">
        <f>'Расходы на ЗП ОТ'!AE45</f>
        <v>0</v>
      </c>
      <c r="AF45" s="123">
        <f>'Расходы на ЗП ОТ'!AF45</f>
        <v>0</v>
      </c>
      <c r="AG45" s="123">
        <f>'Расходы на ЗП ОТ'!AG45</f>
        <v>0</v>
      </c>
      <c r="AH45" s="123">
        <f>'Расходы на ЗП ОТ'!AH45</f>
        <v>0</v>
      </c>
      <c r="AI45" s="123">
        <f>'Расходы на ЗП ОТ'!AI45</f>
        <v>0</v>
      </c>
      <c r="AJ45" s="123">
        <f>'Расходы на ЗП ОТ'!AJ45</f>
        <v>0</v>
      </c>
      <c r="AK45" s="123">
        <f>'Расходы на ЗП ОТ'!AK45</f>
        <v>0</v>
      </c>
      <c r="AL45" s="123">
        <f>'Расходы на ЗП ОТ'!AL45</f>
        <v>0</v>
      </c>
      <c r="AM45" s="123">
        <f>'Расходы на ЗП ОТ'!AM45</f>
        <v>0</v>
      </c>
      <c r="AN45" s="123">
        <f>'Расходы на ЗП ОТ'!AN45</f>
        <v>0</v>
      </c>
      <c r="AO45" s="123">
        <f>'Расходы на ЗП ОТ'!AO45</f>
        <v>0</v>
      </c>
      <c r="AP45" s="123">
        <f>'Расходы на ЗП ОТ'!AP45</f>
        <v>0</v>
      </c>
      <c r="AQ45" s="123">
        <f>'Расходы на ЗП ОТ'!AQ45</f>
        <v>0</v>
      </c>
      <c r="AR45" s="123">
        <f>'Расходы на ЗП ОТ'!AR45</f>
        <v>0</v>
      </c>
      <c r="AS45" s="123">
        <f>'Расходы на ЗП ОТ'!AS45</f>
        <v>0</v>
      </c>
      <c r="AT45" s="123">
        <f>'Расходы на ЗП ОТ'!AT45</f>
        <v>0</v>
      </c>
      <c r="AU45" s="123">
        <f>'Расходы на ЗП ОТ'!AU45</f>
        <v>0</v>
      </c>
      <c r="AV45" s="123"/>
      <c r="AW45" s="123">
        <f t="shared" si="0"/>
        <v>0</v>
      </c>
      <c r="AX45" s="123">
        <f t="shared" si="1"/>
        <v>0</v>
      </c>
      <c r="AY45" s="123">
        <f t="shared" si="2"/>
        <v>0</v>
      </c>
      <c r="AZ45" s="123">
        <f t="shared" si="3"/>
        <v>0</v>
      </c>
      <c r="BA45" s="123">
        <f t="shared" si="4"/>
        <v>0</v>
      </c>
      <c r="BB45" s="123">
        <f t="shared" si="5"/>
        <v>0</v>
      </c>
      <c r="BC45" s="123">
        <f t="shared" si="6"/>
        <v>0</v>
      </c>
      <c r="BD45" s="123">
        <f t="shared" si="7"/>
        <v>0</v>
      </c>
      <c r="BE45" s="123">
        <f t="shared" si="8"/>
        <v>0</v>
      </c>
      <c r="BF45" s="123">
        <f t="shared" si="9"/>
        <v>0</v>
      </c>
      <c r="BG45" s="126">
        <f t="shared" si="10"/>
        <v>0</v>
      </c>
    </row>
    <row r="46" spans="1:59" ht="28.8" x14ac:dyDescent="0.3">
      <c r="A46" s="123" t="s">
        <v>167</v>
      </c>
      <c r="B46" s="123">
        <f>'Расходы на ЗП ОТ'!B46</f>
        <v>0</v>
      </c>
      <c r="C46" s="123">
        <f>'Расходы на ЗП ОТ'!C46</f>
        <v>0</v>
      </c>
      <c r="D46" s="123">
        <f>'Расходы на ЗП ОТ'!D46</f>
        <v>0</v>
      </c>
      <c r="E46" s="123">
        <f>'Расходы на ЗП ОТ'!E46</f>
        <v>0</v>
      </c>
      <c r="F46" s="123">
        <f>'Расходы на ЗП ОТ'!F46</f>
        <v>0</v>
      </c>
      <c r="G46" s="123">
        <f>'Расходы на ЗП ОТ'!G46</f>
        <v>0</v>
      </c>
      <c r="H46" s="123">
        <f>'Расходы на ЗП ОТ'!H46</f>
        <v>0</v>
      </c>
      <c r="I46" s="123">
        <f>'Расходы на ЗП ОТ'!I46</f>
        <v>0</v>
      </c>
      <c r="J46" s="123">
        <f>'Расходы на ЗП ОТ'!J46</f>
        <v>0</v>
      </c>
      <c r="K46" s="123">
        <f>'Расходы на ЗП ОТ'!K46</f>
        <v>0</v>
      </c>
      <c r="L46" s="123">
        <f>'Расходы на ЗП ОТ'!L46</f>
        <v>0</v>
      </c>
      <c r="M46" s="123">
        <f>'Расходы на ЗП ОТ'!M46</f>
        <v>0</v>
      </c>
      <c r="N46" s="123">
        <f>'Расходы на ЗП ОТ'!N46</f>
        <v>0</v>
      </c>
      <c r="O46" s="123">
        <f>'Расходы на ЗП ОТ'!O46</f>
        <v>0</v>
      </c>
      <c r="P46" s="123">
        <f>'Расходы на ЗП ОТ'!P46</f>
        <v>0</v>
      </c>
      <c r="Q46" s="123">
        <f>'Расходы на ЗП ОТ'!Q46</f>
        <v>0</v>
      </c>
      <c r="R46" s="123">
        <f>'Расходы на ЗП ОТ'!R46</f>
        <v>0</v>
      </c>
      <c r="S46" s="123">
        <f>'Расходы на ЗП ОТ'!S46</f>
        <v>0</v>
      </c>
      <c r="T46" s="123">
        <f>'Расходы на ЗП ОТ'!T46</f>
        <v>0</v>
      </c>
      <c r="U46" s="123">
        <f>'Расходы на ЗП ОТ'!U46</f>
        <v>0</v>
      </c>
      <c r="V46" s="123">
        <f>'Расходы на ЗП ОТ'!V46</f>
        <v>0</v>
      </c>
      <c r="W46" s="123">
        <f>'Расходы на ЗП ОТ'!W46</f>
        <v>0</v>
      </c>
      <c r="X46" s="123">
        <f>'Расходы на ЗП ОТ'!X46</f>
        <v>0</v>
      </c>
      <c r="Y46" s="123">
        <f>'Расходы на ЗП ОТ'!Y46</f>
        <v>0</v>
      </c>
      <c r="Z46" s="123">
        <f>'Расходы на ЗП ОТ'!Z46</f>
        <v>0</v>
      </c>
      <c r="AA46" s="123">
        <f>'Расходы на ЗП ОТ'!AA46</f>
        <v>0</v>
      </c>
      <c r="AB46" s="123">
        <f>'Расходы на ЗП ОТ'!AB46</f>
        <v>0</v>
      </c>
      <c r="AC46" s="123">
        <f>'Расходы на ЗП ОТ'!AC46</f>
        <v>0</v>
      </c>
      <c r="AD46" s="123">
        <f>'Расходы на ЗП ОТ'!AD46</f>
        <v>0</v>
      </c>
      <c r="AE46" s="123">
        <f>'Расходы на ЗП ОТ'!AE46</f>
        <v>0</v>
      </c>
      <c r="AF46" s="123">
        <f>'Расходы на ЗП ОТ'!AF46</f>
        <v>0</v>
      </c>
      <c r="AG46" s="123">
        <f>'Расходы на ЗП ОТ'!AG46</f>
        <v>0</v>
      </c>
      <c r="AH46" s="123">
        <f>'Расходы на ЗП ОТ'!AH46</f>
        <v>0</v>
      </c>
      <c r="AI46" s="123">
        <f>'Расходы на ЗП ОТ'!AI46</f>
        <v>0</v>
      </c>
      <c r="AJ46" s="123">
        <f>'Расходы на ЗП ОТ'!AJ46</f>
        <v>0</v>
      </c>
      <c r="AK46" s="123">
        <f>'Расходы на ЗП ОТ'!AK46</f>
        <v>0</v>
      </c>
      <c r="AL46" s="123">
        <f>'Расходы на ЗП ОТ'!AL46</f>
        <v>0</v>
      </c>
      <c r="AM46" s="123">
        <f>'Расходы на ЗП ОТ'!AM46</f>
        <v>0</v>
      </c>
      <c r="AN46" s="123">
        <f>'Расходы на ЗП ОТ'!AN46</f>
        <v>0</v>
      </c>
      <c r="AO46" s="123">
        <f>'Расходы на ЗП ОТ'!AO46</f>
        <v>0</v>
      </c>
      <c r="AP46" s="123">
        <f>'Расходы на ЗП ОТ'!AP46</f>
        <v>0</v>
      </c>
      <c r="AQ46" s="123">
        <f>'Расходы на ЗП ОТ'!AQ46</f>
        <v>0</v>
      </c>
      <c r="AR46" s="123">
        <f>'Расходы на ЗП ОТ'!AR46</f>
        <v>0</v>
      </c>
      <c r="AS46" s="123">
        <f>'Расходы на ЗП ОТ'!AS46</f>
        <v>0</v>
      </c>
      <c r="AT46" s="123">
        <f>'Расходы на ЗП ОТ'!AT46</f>
        <v>0</v>
      </c>
      <c r="AU46" s="123">
        <f>'Расходы на ЗП ОТ'!AU46</f>
        <v>0</v>
      </c>
      <c r="AV46" s="123"/>
      <c r="AW46" s="123">
        <f t="shared" si="0"/>
        <v>0</v>
      </c>
      <c r="AX46" s="123">
        <f t="shared" si="1"/>
        <v>0</v>
      </c>
      <c r="AY46" s="123">
        <f t="shared" si="2"/>
        <v>0</v>
      </c>
      <c r="AZ46" s="123">
        <f t="shared" si="3"/>
        <v>0</v>
      </c>
      <c r="BA46" s="123">
        <f t="shared" si="4"/>
        <v>0</v>
      </c>
      <c r="BB46" s="123">
        <f t="shared" si="5"/>
        <v>0</v>
      </c>
      <c r="BC46" s="123">
        <f t="shared" si="6"/>
        <v>0</v>
      </c>
      <c r="BD46" s="123">
        <f t="shared" si="7"/>
        <v>0</v>
      </c>
      <c r="BE46" s="123">
        <f t="shared" si="8"/>
        <v>0</v>
      </c>
      <c r="BF46" s="123">
        <f t="shared" si="9"/>
        <v>0</v>
      </c>
      <c r="BG46" s="126">
        <f t="shared" si="10"/>
        <v>0</v>
      </c>
    </row>
    <row r="47" spans="1:59" s="416" customFormat="1" ht="28.8" x14ac:dyDescent="0.3">
      <c r="A47" s="414" t="s">
        <v>134</v>
      </c>
      <c r="B47" s="415">
        <f>'Расходы на ЗП ОТ'!B47</f>
        <v>0</v>
      </c>
      <c r="C47" s="415">
        <f>'Расходы на ЗП ОТ'!C47</f>
        <v>0</v>
      </c>
      <c r="D47" s="414">
        <f>SUM(D37:D46)</f>
        <v>0</v>
      </c>
      <c r="E47" s="414">
        <f t="shared" ref="E47:AQ47" si="39">SUM(E37:E46)</f>
        <v>0</v>
      </c>
      <c r="F47" s="414">
        <f t="shared" si="39"/>
        <v>0</v>
      </c>
      <c r="G47" s="414">
        <f t="shared" si="39"/>
        <v>0</v>
      </c>
      <c r="H47" s="414">
        <f t="shared" si="39"/>
        <v>0</v>
      </c>
      <c r="I47" s="414">
        <f t="shared" si="39"/>
        <v>0</v>
      </c>
      <c r="J47" s="414">
        <f t="shared" si="39"/>
        <v>0</v>
      </c>
      <c r="K47" s="414">
        <f t="shared" si="39"/>
        <v>0</v>
      </c>
      <c r="L47" s="414">
        <f t="shared" si="39"/>
        <v>0</v>
      </c>
      <c r="M47" s="414">
        <f t="shared" si="39"/>
        <v>0</v>
      </c>
      <c r="N47" s="414">
        <f t="shared" si="39"/>
        <v>0</v>
      </c>
      <c r="O47" s="414">
        <f t="shared" si="39"/>
        <v>0</v>
      </c>
      <c r="P47" s="414">
        <f t="shared" si="39"/>
        <v>0</v>
      </c>
      <c r="Q47" s="414">
        <f t="shared" si="39"/>
        <v>0</v>
      </c>
      <c r="R47" s="414">
        <f t="shared" si="39"/>
        <v>0</v>
      </c>
      <c r="S47" s="414">
        <f t="shared" si="39"/>
        <v>0</v>
      </c>
      <c r="T47" s="414">
        <f t="shared" si="39"/>
        <v>0</v>
      </c>
      <c r="U47" s="414">
        <f t="shared" si="39"/>
        <v>0</v>
      </c>
      <c r="V47" s="414">
        <f t="shared" si="39"/>
        <v>0</v>
      </c>
      <c r="W47" s="414">
        <f t="shared" si="39"/>
        <v>0</v>
      </c>
      <c r="X47" s="414">
        <f t="shared" si="39"/>
        <v>0</v>
      </c>
      <c r="Y47" s="414">
        <f t="shared" si="39"/>
        <v>0</v>
      </c>
      <c r="Z47" s="414">
        <f t="shared" si="39"/>
        <v>0</v>
      </c>
      <c r="AA47" s="414">
        <f t="shared" si="39"/>
        <v>0</v>
      </c>
      <c r="AB47" s="414">
        <f t="shared" si="39"/>
        <v>0</v>
      </c>
      <c r="AC47" s="414">
        <f t="shared" si="39"/>
        <v>0</v>
      </c>
      <c r="AD47" s="414">
        <f t="shared" si="39"/>
        <v>0</v>
      </c>
      <c r="AE47" s="414">
        <f t="shared" si="39"/>
        <v>0</v>
      </c>
      <c r="AF47" s="414">
        <f t="shared" si="39"/>
        <v>0</v>
      </c>
      <c r="AG47" s="414">
        <f t="shared" si="39"/>
        <v>0</v>
      </c>
      <c r="AH47" s="414">
        <f t="shared" si="39"/>
        <v>0</v>
      </c>
      <c r="AI47" s="414">
        <f t="shared" si="39"/>
        <v>0</v>
      </c>
      <c r="AJ47" s="414">
        <f t="shared" si="39"/>
        <v>0</v>
      </c>
      <c r="AK47" s="414">
        <f t="shared" si="39"/>
        <v>0</v>
      </c>
      <c r="AL47" s="414">
        <f t="shared" si="39"/>
        <v>0</v>
      </c>
      <c r="AM47" s="414">
        <f t="shared" si="39"/>
        <v>0</v>
      </c>
      <c r="AN47" s="414">
        <f t="shared" si="39"/>
        <v>0</v>
      </c>
      <c r="AO47" s="414">
        <f t="shared" si="39"/>
        <v>0</v>
      </c>
      <c r="AP47" s="414">
        <f t="shared" si="39"/>
        <v>0</v>
      </c>
      <c r="AQ47" s="414">
        <f t="shared" si="39"/>
        <v>0</v>
      </c>
      <c r="AR47" s="414">
        <f t="shared" ref="AR47:AU47" si="40">SUM(AR37:AR46)</f>
        <v>0</v>
      </c>
      <c r="AS47" s="414">
        <f t="shared" si="40"/>
        <v>0</v>
      </c>
      <c r="AT47" s="414">
        <f t="shared" si="40"/>
        <v>0</v>
      </c>
      <c r="AU47" s="414">
        <f t="shared" si="40"/>
        <v>0</v>
      </c>
      <c r="AV47" s="414"/>
      <c r="AW47" s="414">
        <f t="shared" si="0"/>
        <v>0</v>
      </c>
      <c r="AX47" s="414">
        <f t="shared" si="1"/>
        <v>0</v>
      </c>
      <c r="AY47" s="414">
        <f t="shared" si="2"/>
        <v>0</v>
      </c>
      <c r="AZ47" s="414">
        <f t="shared" si="3"/>
        <v>0</v>
      </c>
      <c r="BA47" s="414">
        <f t="shared" si="4"/>
        <v>0</v>
      </c>
      <c r="BB47" s="414">
        <f t="shared" si="5"/>
        <v>0</v>
      </c>
      <c r="BC47" s="414">
        <f t="shared" si="6"/>
        <v>0</v>
      </c>
      <c r="BD47" s="414">
        <f t="shared" si="7"/>
        <v>0</v>
      </c>
      <c r="BE47" s="414">
        <f t="shared" si="8"/>
        <v>0</v>
      </c>
      <c r="BF47" s="414">
        <f t="shared" si="9"/>
        <v>0</v>
      </c>
      <c r="BG47" s="610">
        <f t="shared" si="10"/>
        <v>0</v>
      </c>
    </row>
    <row r="48" spans="1:59" s="130" customFormat="1" ht="28.8" x14ac:dyDescent="0.3">
      <c r="A48" s="131" t="s">
        <v>168</v>
      </c>
      <c r="B48" s="134"/>
      <c r="C48" s="131"/>
      <c r="D48" s="131">
        <f>D47*$B$62</f>
        <v>0</v>
      </c>
      <c r="E48" s="131">
        <f t="shared" ref="E48:AQ48" si="41">E47*$B$62</f>
        <v>0</v>
      </c>
      <c r="F48" s="131">
        <f t="shared" si="41"/>
        <v>0</v>
      </c>
      <c r="G48" s="131">
        <f t="shared" si="41"/>
        <v>0</v>
      </c>
      <c r="H48" s="131">
        <f t="shared" si="41"/>
        <v>0</v>
      </c>
      <c r="I48" s="131">
        <f t="shared" si="41"/>
        <v>0</v>
      </c>
      <c r="J48" s="131">
        <f t="shared" si="41"/>
        <v>0</v>
      </c>
      <c r="K48" s="131">
        <f t="shared" si="41"/>
        <v>0</v>
      </c>
      <c r="L48" s="131">
        <f t="shared" si="41"/>
        <v>0</v>
      </c>
      <c r="M48" s="131">
        <f t="shared" si="41"/>
        <v>0</v>
      </c>
      <c r="N48" s="131">
        <f t="shared" si="41"/>
        <v>0</v>
      </c>
      <c r="O48" s="131">
        <f t="shared" si="41"/>
        <v>0</v>
      </c>
      <c r="P48" s="131">
        <f t="shared" si="41"/>
        <v>0</v>
      </c>
      <c r="Q48" s="131">
        <f t="shared" si="41"/>
        <v>0</v>
      </c>
      <c r="R48" s="131">
        <f t="shared" si="41"/>
        <v>0</v>
      </c>
      <c r="S48" s="131">
        <f t="shared" si="41"/>
        <v>0</v>
      </c>
      <c r="T48" s="131">
        <f t="shared" si="41"/>
        <v>0</v>
      </c>
      <c r="U48" s="131">
        <f t="shared" si="41"/>
        <v>0</v>
      </c>
      <c r="V48" s="131">
        <f t="shared" si="41"/>
        <v>0</v>
      </c>
      <c r="W48" s="131">
        <f t="shared" si="41"/>
        <v>0</v>
      </c>
      <c r="X48" s="131">
        <f t="shared" si="41"/>
        <v>0</v>
      </c>
      <c r="Y48" s="131">
        <f t="shared" si="41"/>
        <v>0</v>
      </c>
      <c r="Z48" s="131">
        <f t="shared" si="41"/>
        <v>0</v>
      </c>
      <c r="AA48" s="131">
        <f t="shared" si="41"/>
        <v>0</v>
      </c>
      <c r="AB48" s="131">
        <f t="shared" si="41"/>
        <v>0</v>
      </c>
      <c r="AC48" s="131">
        <f t="shared" si="41"/>
        <v>0</v>
      </c>
      <c r="AD48" s="131">
        <f t="shared" si="41"/>
        <v>0</v>
      </c>
      <c r="AE48" s="131">
        <f t="shared" si="41"/>
        <v>0</v>
      </c>
      <c r="AF48" s="131">
        <f t="shared" si="41"/>
        <v>0</v>
      </c>
      <c r="AG48" s="131">
        <f t="shared" si="41"/>
        <v>0</v>
      </c>
      <c r="AH48" s="131">
        <f t="shared" si="41"/>
        <v>0</v>
      </c>
      <c r="AI48" s="131">
        <f t="shared" si="41"/>
        <v>0</v>
      </c>
      <c r="AJ48" s="131">
        <f t="shared" si="41"/>
        <v>0</v>
      </c>
      <c r="AK48" s="131">
        <f t="shared" si="41"/>
        <v>0</v>
      </c>
      <c r="AL48" s="131">
        <f t="shared" si="41"/>
        <v>0</v>
      </c>
      <c r="AM48" s="131">
        <f t="shared" si="41"/>
        <v>0</v>
      </c>
      <c r="AN48" s="131">
        <f t="shared" si="41"/>
        <v>0</v>
      </c>
      <c r="AO48" s="131">
        <f t="shared" si="41"/>
        <v>0</v>
      </c>
      <c r="AP48" s="131">
        <f t="shared" si="41"/>
        <v>0</v>
      </c>
      <c r="AQ48" s="131">
        <f t="shared" si="41"/>
        <v>0</v>
      </c>
      <c r="AR48" s="131">
        <f t="shared" ref="AR48:AU48" si="42">AR47*$B$62</f>
        <v>0</v>
      </c>
      <c r="AS48" s="131">
        <f t="shared" si="42"/>
        <v>0</v>
      </c>
      <c r="AT48" s="131">
        <f t="shared" si="42"/>
        <v>0</v>
      </c>
      <c r="AU48" s="131">
        <f t="shared" si="42"/>
        <v>0</v>
      </c>
      <c r="AV48" s="131"/>
      <c r="AW48" s="131">
        <f t="shared" si="0"/>
        <v>0</v>
      </c>
      <c r="AX48" s="131">
        <f t="shared" si="1"/>
        <v>0</v>
      </c>
      <c r="AY48" s="131">
        <f t="shared" si="2"/>
        <v>0</v>
      </c>
      <c r="AZ48" s="131">
        <f t="shared" si="3"/>
        <v>0</v>
      </c>
      <c r="BA48" s="131">
        <f t="shared" si="4"/>
        <v>0</v>
      </c>
      <c r="BB48" s="131">
        <f t="shared" si="5"/>
        <v>0</v>
      </c>
      <c r="BC48" s="131">
        <f t="shared" si="6"/>
        <v>0</v>
      </c>
      <c r="BD48" s="131">
        <f t="shared" si="7"/>
        <v>0</v>
      </c>
      <c r="BE48" s="131">
        <f t="shared" si="8"/>
        <v>0</v>
      </c>
      <c r="BF48" s="131">
        <f t="shared" si="9"/>
        <v>0</v>
      </c>
      <c r="BG48" s="131">
        <f t="shared" si="10"/>
        <v>0</v>
      </c>
    </row>
    <row r="49" spans="1:59" s="419" customFormat="1" ht="43.2" x14ac:dyDescent="0.3">
      <c r="A49" s="417" t="s">
        <v>169</v>
      </c>
      <c r="B49" s="417"/>
      <c r="C49" s="417"/>
      <c r="D49" s="417">
        <f>D6+D15+D23+D26+D34+D47</f>
        <v>0</v>
      </c>
      <c r="E49" s="417">
        <f>E6+E15+E23+E26+E34+E47</f>
        <v>0</v>
      </c>
      <c r="F49" s="417">
        <f>F6+F15+F23+F26+F34+F47</f>
        <v>0</v>
      </c>
      <c r="G49" s="417">
        <f t="shared" ref="G49:R49" si="43">G6+G15+G23+G26+G34+G47</f>
        <v>0</v>
      </c>
      <c r="H49" s="418">
        <f t="shared" si="43"/>
        <v>2364</v>
      </c>
      <c r="I49" s="418">
        <f t="shared" si="43"/>
        <v>2364</v>
      </c>
      <c r="J49" s="418">
        <f t="shared" si="43"/>
        <v>2364</v>
      </c>
      <c r="K49" s="418">
        <f t="shared" si="43"/>
        <v>2364</v>
      </c>
      <c r="L49" s="418">
        <f t="shared" si="43"/>
        <v>2529.48</v>
      </c>
      <c r="M49" s="418">
        <f t="shared" si="43"/>
        <v>2529.48</v>
      </c>
      <c r="N49" s="418">
        <f t="shared" si="43"/>
        <v>2529.48</v>
      </c>
      <c r="O49" s="418">
        <f t="shared" si="43"/>
        <v>2529.48</v>
      </c>
      <c r="P49" s="418">
        <f t="shared" si="43"/>
        <v>2706.5436000000004</v>
      </c>
      <c r="Q49" s="418">
        <f t="shared" si="43"/>
        <v>2706.5436000000004</v>
      </c>
      <c r="R49" s="418">
        <f t="shared" si="43"/>
        <v>2706.5436000000004</v>
      </c>
      <c r="S49" s="418">
        <f>S6+S15+S23+S26+S34+S47</f>
        <v>2706.5436000000004</v>
      </c>
      <c r="T49" s="418">
        <f>T6+T15+T23+T26+T34+T47</f>
        <v>2896.0016520000004</v>
      </c>
      <c r="U49" s="418">
        <f>U6+U15+U23+U26+U34+U47</f>
        <v>2896.0016520000004</v>
      </c>
      <c r="V49" s="418">
        <f>V6+V15+V23+V26+V34+V47</f>
        <v>2896.0016520000004</v>
      </c>
      <c r="W49" s="418">
        <f t="shared" ref="W49:AQ49" si="44">W6+W15+W23+W26+W34+W47</f>
        <v>2896.0016520000004</v>
      </c>
      <c r="X49" s="418">
        <f t="shared" si="44"/>
        <v>3098.7217676400005</v>
      </c>
      <c r="Y49" s="418">
        <f t="shared" si="44"/>
        <v>3098.7217676400005</v>
      </c>
      <c r="Z49" s="418">
        <f t="shared" si="44"/>
        <v>3098.7217676400005</v>
      </c>
      <c r="AA49" s="418">
        <f t="shared" si="44"/>
        <v>3098.7217676400005</v>
      </c>
      <c r="AB49" s="418">
        <f t="shared" si="44"/>
        <v>3315.6322913748008</v>
      </c>
      <c r="AC49" s="418">
        <f t="shared" si="44"/>
        <v>3315.6322913748008</v>
      </c>
      <c r="AD49" s="418">
        <f t="shared" si="44"/>
        <v>3315.6322913748008</v>
      </c>
      <c r="AE49" s="418">
        <f t="shared" si="44"/>
        <v>3315.6322913748008</v>
      </c>
      <c r="AF49" s="418">
        <f t="shared" si="44"/>
        <v>3527.5298068489574</v>
      </c>
      <c r="AG49" s="418">
        <f t="shared" si="44"/>
        <v>3527.5298068489574</v>
      </c>
      <c r="AH49" s="418">
        <f t="shared" si="44"/>
        <v>3527.5298068489574</v>
      </c>
      <c r="AI49" s="418">
        <f t="shared" si="44"/>
        <v>3527.5298068489574</v>
      </c>
      <c r="AJ49" s="418">
        <f t="shared" si="44"/>
        <v>3774.456893328384</v>
      </c>
      <c r="AK49" s="418">
        <f t="shared" si="44"/>
        <v>3774.456893328384</v>
      </c>
      <c r="AL49" s="418">
        <f t="shared" si="44"/>
        <v>3774.456893328384</v>
      </c>
      <c r="AM49" s="418">
        <f t="shared" si="44"/>
        <v>3774.456893328384</v>
      </c>
      <c r="AN49" s="418">
        <f t="shared" si="44"/>
        <v>4038.6688758613718</v>
      </c>
      <c r="AO49" s="418">
        <f t="shared" si="44"/>
        <v>4038.6688758613718</v>
      </c>
      <c r="AP49" s="418">
        <f t="shared" si="44"/>
        <v>4038.6688758613718</v>
      </c>
      <c r="AQ49" s="418">
        <f t="shared" si="44"/>
        <v>4038.6688758613718</v>
      </c>
      <c r="AR49" s="418">
        <f t="shared" ref="AR49:AU49" si="45">AR6+AR15+AR23+AR26+AR34+AR47</f>
        <v>4321.3756971716666</v>
      </c>
      <c r="AS49" s="418">
        <f t="shared" si="45"/>
        <v>4321.3756971716666</v>
      </c>
      <c r="AT49" s="418">
        <f t="shared" si="45"/>
        <v>4321.3756971716666</v>
      </c>
      <c r="AU49" s="418">
        <f t="shared" si="45"/>
        <v>4321.3756971716666</v>
      </c>
      <c r="AV49" s="418" t="str">
        <f t="shared" ref="AV49:AV58" si="46">A49</f>
        <v>Всего расходов на ЗП:</v>
      </c>
      <c r="AW49" s="418">
        <f t="shared" si="0"/>
        <v>0</v>
      </c>
      <c r="AX49" s="418">
        <f t="shared" si="1"/>
        <v>9456</v>
      </c>
      <c r="AY49" s="418">
        <f t="shared" si="2"/>
        <v>10117.92</v>
      </c>
      <c r="AZ49" s="418">
        <f t="shared" si="3"/>
        <v>10826.174400000002</v>
      </c>
      <c r="BA49" s="418">
        <f t="shared" si="4"/>
        <v>11584.006608000002</v>
      </c>
      <c r="BB49" s="418">
        <f t="shared" si="5"/>
        <v>12394.887070560002</v>
      </c>
      <c r="BC49" s="418">
        <f t="shared" si="6"/>
        <v>13262.529165499203</v>
      </c>
      <c r="BD49" s="418">
        <f t="shared" si="7"/>
        <v>14110.11922739583</v>
      </c>
      <c r="BE49" s="418">
        <f t="shared" si="8"/>
        <v>15097.827573313536</v>
      </c>
      <c r="BF49" s="418">
        <f t="shared" si="9"/>
        <v>16154.675503445487</v>
      </c>
      <c r="BG49" s="418">
        <f t="shared" si="10"/>
        <v>17285.502788686666</v>
      </c>
    </row>
    <row r="50" spans="1:59" s="137" customFormat="1" ht="28.8" x14ac:dyDescent="0.3">
      <c r="A50" s="123" t="s">
        <v>170</v>
      </c>
      <c r="B50" s="123"/>
      <c r="C50" s="123"/>
      <c r="D50" s="123"/>
      <c r="E50" s="123"/>
      <c r="F50" s="123"/>
      <c r="G50" s="123">
        <f>SUM(D49:G49)</f>
        <v>0</v>
      </c>
      <c r="H50" s="126"/>
      <c r="I50" s="126"/>
      <c r="J50" s="126"/>
      <c r="K50" s="126">
        <f>SUM(H49:K49)</f>
        <v>9456</v>
      </c>
      <c r="L50" s="126"/>
      <c r="M50" s="126"/>
      <c r="N50" s="126"/>
      <c r="O50" s="126">
        <f>SUM(L49:O49)</f>
        <v>10117.92</v>
      </c>
      <c r="P50" s="126"/>
      <c r="Q50" s="126"/>
      <c r="R50" s="126"/>
      <c r="S50" s="126">
        <f>SUM(P49:S49)</f>
        <v>10826.174400000002</v>
      </c>
      <c r="T50" s="126"/>
      <c r="U50" s="126"/>
      <c r="V50" s="126"/>
      <c r="W50" s="126">
        <f>SUM(T49:W49)</f>
        <v>11584.006608000002</v>
      </c>
      <c r="X50" s="126"/>
      <c r="Y50" s="126"/>
      <c r="Z50" s="126"/>
      <c r="AA50" s="126">
        <f>SUM(X49:AA49)</f>
        <v>12394.887070560002</v>
      </c>
      <c r="AB50" s="126"/>
      <c r="AC50" s="126"/>
      <c r="AD50" s="126"/>
      <c r="AE50" s="126">
        <f>SUM(AB49:AE49)</f>
        <v>13262.529165499203</v>
      </c>
      <c r="AF50" s="126"/>
      <c r="AG50" s="126"/>
      <c r="AH50" s="126"/>
      <c r="AI50" s="126">
        <f>SUM(AF49:AI49)</f>
        <v>14110.11922739583</v>
      </c>
      <c r="AJ50" s="126"/>
      <c r="AK50" s="126"/>
      <c r="AL50" s="126"/>
      <c r="AM50" s="126">
        <f t="shared" ref="AM50:AQ50" si="47">SUM(AJ49:AM49)</f>
        <v>15097.827573313536</v>
      </c>
      <c r="AN50" s="126"/>
      <c r="AO50" s="126"/>
      <c r="AP50" s="126"/>
      <c r="AQ50" s="126">
        <f t="shared" si="47"/>
        <v>16154.675503445487</v>
      </c>
      <c r="AR50" s="126">
        <f t="shared" ref="AR50" si="48">SUM(AO49:AR49)</f>
        <v>16437.382324755781</v>
      </c>
      <c r="AS50" s="126">
        <f t="shared" ref="AS50" si="49">SUM(AP49:AS49)</f>
        <v>16720.089146066079</v>
      </c>
      <c r="AT50" s="126">
        <f t="shared" ref="AT50" si="50">SUM(AQ49:AT49)</f>
        <v>17002.795967376373</v>
      </c>
      <c r="AU50" s="126">
        <f t="shared" ref="AU50" si="51">SUM(AR49:AU49)</f>
        <v>17285.502788686666</v>
      </c>
      <c r="AV50" s="136" t="str">
        <f t="shared" si="46"/>
        <v>Расходы на ЗП в год:</v>
      </c>
      <c r="AW50" s="126">
        <f t="shared" si="0"/>
        <v>0</v>
      </c>
      <c r="AX50" s="126">
        <f t="shared" si="1"/>
        <v>9456</v>
      </c>
      <c r="AY50" s="126">
        <f t="shared" si="2"/>
        <v>10117.92</v>
      </c>
      <c r="AZ50" s="126">
        <f t="shared" si="3"/>
        <v>10826.174400000002</v>
      </c>
      <c r="BA50" s="126">
        <f t="shared" si="4"/>
        <v>11584.006608000002</v>
      </c>
      <c r="BB50" s="126">
        <f t="shared" si="5"/>
        <v>12394.887070560002</v>
      </c>
      <c r="BC50" s="126">
        <f t="shared" si="6"/>
        <v>13262.529165499203</v>
      </c>
      <c r="BD50" s="126">
        <f t="shared" si="7"/>
        <v>14110.11922739583</v>
      </c>
      <c r="BE50" s="126">
        <f t="shared" si="8"/>
        <v>15097.827573313536</v>
      </c>
      <c r="BF50" s="126">
        <f t="shared" si="9"/>
        <v>16154.675503445487</v>
      </c>
      <c r="BG50" s="126">
        <f t="shared" si="10"/>
        <v>67445.770226884895</v>
      </c>
    </row>
    <row r="51" spans="1:59" s="419" customFormat="1" ht="43.2" x14ac:dyDescent="0.3">
      <c r="A51" s="417" t="s">
        <v>196</v>
      </c>
      <c r="B51" s="417"/>
      <c r="C51" s="417"/>
      <c r="D51" s="417">
        <f>D7+D16+D24+D27+D35+D48</f>
        <v>0</v>
      </c>
      <c r="E51" s="417">
        <f>E7+E16+E24+E27+E35+E48</f>
        <v>0</v>
      </c>
      <c r="F51" s="417">
        <f>F7+F16+F24+F27+F35+F48</f>
        <v>0</v>
      </c>
      <c r="G51" s="417">
        <f t="shared" ref="G51:R51" si="52">G7+G16+G24+G27+G35+G48</f>
        <v>0</v>
      </c>
      <c r="H51" s="418">
        <f t="shared" si="52"/>
        <v>709.2</v>
      </c>
      <c r="I51" s="418">
        <f>I7+I16+I24+I27+I35+I48</f>
        <v>709.2</v>
      </c>
      <c r="J51" s="418">
        <f t="shared" si="52"/>
        <v>709.2</v>
      </c>
      <c r="K51" s="418">
        <f t="shared" si="52"/>
        <v>709.2</v>
      </c>
      <c r="L51" s="418">
        <f t="shared" si="52"/>
        <v>758.84400000000005</v>
      </c>
      <c r="M51" s="418">
        <f t="shared" si="52"/>
        <v>758.84400000000005</v>
      </c>
      <c r="N51" s="418">
        <f t="shared" si="52"/>
        <v>758.84400000000005</v>
      </c>
      <c r="O51" s="418">
        <f t="shared" si="52"/>
        <v>758.84400000000005</v>
      </c>
      <c r="P51" s="418">
        <f t="shared" si="52"/>
        <v>811.96307999999999</v>
      </c>
      <c r="Q51" s="418">
        <f t="shared" si="52"/>
        <v>811.96307999999999</v>
      </c>
      <c r="R51" s="418">
        <f t="shared" si="52"/>
        <v>811.96307999999999</v>
      </c>
      <c r="S51" s="418">
        <f>S7+S16+S24+S27+S35+S48</f>
        <v>811.96307999999999</v>
      </c>
      <c r="T51" s="418">
        <f>T7+T16+T24+T27+T35+T48</f>
        <v>868.8004956000002</v>
      </c>
      <c r="U51" s="418">
        <f>U7+U16+U24+U27+U35+U48</f>
        <v>868.8004956000002</v>
      </c>
      <c r="V51" s="418">
        <f>V7+V16+V24+V27+V35+V48</f>
        <v>868.8004956000002</v>
      </c>
      <c r="W51" s="418">
        <f t="shared" ref="W51:AQ51" si="53">W7+W16+W24+W27+W35+W48</f>
        <v>868.8004956000002</v>
      </c>
      <c r="X51" s="418">
        <f t="shared" si="53"/>
        <v>929.61653029200022</v>
      </c>
      <c r="Y51" s="418">
        <f t="shared" si="53"/>
        <v>929.61653029200022</v>
      </c>
      <c r="Z51" s="418">
        <f t="shared" si="53"/>
        <v>929.61653029200022</v>
      </c>
      <c r="AA51" s="418">
        <f t="shared" si="53"/>
        <v>929.61653029200022</v>
      </c>
      <c r="AB51" s="418">
        <f t="shared" si="53"/>
        <v>994.68968741244021</v>
      </c>
      <c r="AC51" s="418">
        <f t="shared" si="53"/>
        <v>994.68968741244021</v>
      </c>
      <c r="AD51" s="418">
        <f t="shared" si="53"/>
        <v>994.68968741244021</v>
      </c>
      <c r="AE51" s="418">
        <f t="shared" si="53"/>
        <v>994.68968741244021</v>
      </c>
      <c r="AF51" s="418">
        <f t="shared" si="53"/>
        <v>1058.2589420546872</v>
      </c>
      <c r="AG51" s="418">
        <f t="shared" si="53"/>
        <v>1058.2589420546872</v>
      </c>
      <c r="AH51" s="418">
        <f t="shared" si="53"/>
        <v>1058.2589420546872</v>
      </c>
      <c r="AI51" s="418">
        <f t="shared" si="53"/>
        <v>1058.2589420546872</v>
      </c>
      <c r="AJ51" s="418">
        <f t="shared" si="53"/>
        <v>1132.3370679985151</v>
      </c>
      <c r="AK51" s="418">
        <f t="shared" si="53"/>
        <v>1132.3370679985151</v>
      </c>
      <c r="AL51" s="418">
        <f t="shared" si="53"/>
        <v>1132.3370679985151</v>
      </c>
      <c r="AM51" s="418">
        <f t="shared" si="53"/>
        <v>1132.3370679985151</v>
      </c>
      <c r="AN51" s="418">
        <f t="shared" si="53"/>
        <v>1211.6006627584115</v>
      </c>
      <c r="AO51" s="418">
        <f t="shared" si="53"/>
        <v>1211.6006627584115</v>
      </c>
      <c r="AP51" s="418">
        <f t="shared" si="53"/>
        <v>1211.6006627584115</v>
      </c>
      <c r="AQ51" s="418">
        <f t="shared" si="53"/>
        <v>1211.6006627584115</v>
      </c>
      <c r="AR51" s="418">
        <f t="shared" ref="AR51:AU51" si="54">AR7+AR16+AR24+AR27+AR35+AR48</f>
        <v>1296.4127091515002</v>
      </c>
      <c r="AS51" s="418">
        <f t="shared" si="54"/>
        <v>1296.4127091515002</v>
      </c>
      <c r="AT51" s="418">
        <f t="shared" si="54"/>
        <v>1296.4127091515002</v>
      </c>
      <c r="AU51" s="418">
        <f t="shared" si="54"/>
        <v>1296.4127091515002</v>
      </c>
      <c r="AV51" s="418" t="str">
        <f t="shared" si="46"/>
        <v>Расходы на страховые взносы ФНС:</v>
      </c>
      <c r="AW51" s="418">
        <f t="shared" si="0"/>
        <v>0</v>
      </c>
      <c r="AX51" s="418">
        <f t="shared" si="1"/>
        <v>2836.8</v>
      </c>
      <c r="AY51" s="418">
        <f t="shared" si="2"/>
        <v>3035.3760000000002</v>
      </c>
      <c r="AZ51" s="418">
        <f t="shared" si="3"/>
        <v>3247.85232</v>
      </c>
      <c r="BA51" s="418">
        <f t="shared" si="4"/>
        <v>3475.2019824000008</v>
      </c>
      <c r="BB51" s="418">
        <f t="shared" si="5"/>
        <v>3718.4661211680009</v>
      </c>
      <c r="BC51" s="418">
        <f t="shared" si="6"/>
        <v>3978.7587496497608</v>
      </c>
      <c r="BD51" s="418">
        <f t="shared" si="7"/>
        <v>4233.0357682187487</v>
      </c>
      <c r="BE51" s="418">
        <f t="shared" si="8"/>
        <v>4529.3482719940603</v>
      </c>
      <c r="BF51" s="418">
        <f t="shared" si="9"/>
        <v>4846.4026510336462</v>
      </c>
      <c r="BG51" s="418">
        <f t="shared" si="10"/>
        <v>5185.6508366060007</v>
      </c>
    </row>
    <row r="52" spans="1:59" ht="28.8" x14ac:dyDescent="0.3">
      <c r="A52" s="123" t="s">
        <v>172</v>
      </c>
      <c r="B52" s="123"/>
      <c r="C52" s="123"/>
      <c r="D52" s="123">
        <f>D49+D51</f>
        <v>0</v>
      </c>
      <c r="E52" s="123">
        <f t="shared" ref="E52:AI52" si="55">E49+E51</f>
        <v>0</v>
      </c>
      <c r="F52" s="123">
        <f t="shared" si="55"/>
        <v>0</v>
      </c>
      <c r="G52" s="123">
        <f t="shared" si="55"/>
        <v>0</v>
      </c>
      <c r="H52" s="126">
        <f>H49+H51</f>
        <v>3073.2</v>
      </c>
      <c r="I52" s="126">
        <f t="shared" si="55"/>
        <v>3073.2</v>
      </c>
      <c r="J52" s="126">
        <f t="shared" si="55"/>
        <v>3073.2</v>
      </c>
      <c r="K52" s="126">
        <f t="shared" si="55"/>
        <v>3073.2</v>
      </c>
      <c r="L52" s="126">
        <f t="shared" si="55"/>
        <v>3288.3240000000001</v>
      </c>
      <c r="M52" s="126">
        <f t="shared" si="55"/>
        <v>3288.3240000000001</v>
      </c>
      <c r="N52" s="126">
        <f t="shared" si="55"/>
        <v>3288.3240000000001</v>
      </c>
      <c r="O52" s="126">
        <f t="shared" si="55"/>
        <v>3288.3240000000001</v>
      </c>
      <c r="P52" s="126">
        <f t="shared" si="55"/>
        <v>3518.5066800000004</v>
      </c>
      <c r="Q52" s="126">
        <f t="shared" si="55"/>
        <v>3518.5066800000004</v>
      </c>
      <c r="R52" s="126">
        <f t="shared" si="55"/>
        <v>3518.5066800000004</v>
      </c>
      <c r="S52" s="126">
        <f t="shared" si="55"/>
        <v>3518.5066800000004</v>
      </c>
      <c r="T52" s="126">
        <f t="shared" si="55"/>
        <v>3764.8021476000004</v>
      </c>
      <c r="U52" s="126">
        <f t="shared" si="55"/>
        <v>3764.8021476000004</v>
      </c>
      <c r="V52" s="126">
        <f t="shared" si="55"/>
        <v>3764.8021476000004</v>
      </c>
      <c r="W52" s="126">
        <f t="shared" si="55"/>
        <v>3764.8021476000004</v>
      </c>
      <c r="X52" s="126">
        <f t="shared" si="55"/>
        <v>4028.3382979320008</v>
      </c>
      <c r="Y52" s="126">
        <f t="shared" si="55"/>
        <v>4028.3382979320008</v>
      </c>
      <c r="Z52" s="126">
        <f t="shared" si="55"/>
        <v>4028.3382979320008</v>
      </c>
      <c r="AA52" s="126">
        <f t="shared" si="55"/>
        <v>4028.3382979320008</v>
      </c>
      <c r="AB52" s="126">
        <f t="shared" si="55"/>
        <v>4310.3219787872413</v>
      </c>
      <c r="AC52" s="126">
        <f t="shared" si="55"/>
        <v>4310.3219787872413</v>
      </c>
      <c r="AD52" s="126">
        <f t="shared" si="55"/>
        <v>4310.3219787872413</v>
      </c>
      <c r="AE52" s="126">
        <f t="shared" si="55"/>
        <v>4310.3219787872413</v>
      </c>
      <c r="AF52" s="126">
        <f t="shared" si="55"/>
        <v>4585.7887489036448</v>
      </c>
      <c r="AG52" s="126">
        <f t="shared" si="55"/>
        <v>4585.7887489036448</v>
      </c>
      <c r="AH52" s="126">
        <f t="shared" si="55"/>
        <v>4585.7887489036448</v>
      </c>
      <c r="AI52" s="126">
        <f t="shared" si="55"/>
        <v>4585.7887489036448</v>
      </c>
      <c r="AJ52" s="126">
        <f t="shared" ref="AJ52:AQ52" si="56">AJ49+AJ51</f>
        <v>4906.7939613268991</v>
      </c>
      <c r="AK52" s="126">
        <f t="shared" si="56"/>
        <v>4906.7939613268991</v>
      </c>
      <c r="AL52" s="126">
        <f t="shared" si="56"/>
        <v>4906.7939613268991</v>
      </c>
      <c r="AM52" s="126">
        <f t="shared" si="56"/>
        <v>4906.7939613268991</v>
      </c>
      <c r="AN52" s="126">
        <f t="shared" si="56"/>
        <v>5250.2695386197829</v>
      </c>
      <c r="AO52" s="126">
        <f t="shared" si="56"/>
        <v>5250.2695386197829</v>
      </c>
      <c r="AP52" s="126">
        <f t="shared" si="56"/>
        <v>5250.2695386197829</v>
      </c>
      <c r="AQ52" s="126">
        <f t="shared" si="56"/>
        <v>5250.2695386197829</v>
      </c>
      <c r="AR52" s="126">
        <f t="shared" ref="AR52:AU52" si="57">AR49+AR51</f>
        <v>5617.7884063231668</v>
      </c>
      <c r="AS52" s="126">
        <f t="shared" si="57"/>
        <v>5617.7884063231668</v>
      </c>
      <c r="AT52" s="126">
        <f t="shared" si="57"/>
        <v>5617.7884063231668</v>
      </c>
      <c r="AU52" s="126">
        <f t="shared" si="57"/>
        <v>5617.7884063231668</v>
      </c>
      <c r="AV52" s="136" t="str">
        <f t="shared" si="46"/>
        <v>ЗП и взносы ФНС:</v>
      </c>
      <c r="AW52" s="126">
        <f t="shared" si="0"/>
        <v>0</v>
      </c>
      <c r="AX52" s="126">
        <f t="shared" si="1"/>
        <v>12292.8</v>
      </c>
      <c r="AY52" s="126">
        <f t="shared" si="2"/>
        <v>13153.296</v>
      </c>
      <c r="AZ52" s="126">
        <f t="shared" si="3"/>
        <v>14074.026720000002</v>
      </c>
      <c r="BA52" s="126">
        <f t="shared" si="4"/>
        <v>15059.208590400001</v>
      </c>
      <c r="BB52" s="126">
        <f t="shared" si="5"/>
        <v>16113.353191728003</v>
      </c>
      <c r="BC52" s="126">
        <f t="shared" si="6"/>
        <v>17241.287915148965</v>
      </c>
      <c r="BD52" s="126">
        <f t="shared" si="7"/>
        <v>18343.154995614579</v>
      </c>
      <c r="BE52" s="126">
        <f t="shared" si="8"/>
        <v>19627.175845307596</v>
      </c>
      <c r="BF52" s="126">
        <f t="shared" si="9"/>
        <v>21001.078154479132</v>
      </c>
      <c r="BG52" s="126">
        <f t="shared" si="10"/>
        <v>22471.153625292667</v>
      </c>
    </row>
    <row r="53" spans="1:59" s="422" customFormat="1" ht="43.2" x14ac:dyDescent="0.3">
      <c r="A53" s="420" t="s">
        <v>173</v>
      </c>
      <c r="B53" s="420"/>
      <c r="C53" s="420"/>
      <c r="D53" s="420">
        <f>D49*0.014</f>
        <v>0</v>
      </c>
      <c r="E53" s="420">
        <f t="shared" ref="E53:G53" si="58">E49*0.014</f>
        <v>0</v>
      </c>
      <c r="F53" s="420">
        <f t="shared" si="58"/>
        <v>0</v>
      </c>
      <c r="G53" s="420">
        <f t="shared" si="58"/>
        <v>0</v>
      </c>
      <c r="H53" s="421">
        <f>H49*$B$61</f>
        <v>7.0920000000000005</v>
      </c>
      <c r="I53" s="421">
        <f t="shared" ref="I53:S53" si="59">I49*$B$61</f>
        <v>7.0920000000000005</v>
      </c>
      <c r="J53" s="421">
        <f t="shared" si="59"/>
        <v>7.0920000000000005</v>
      </c>
      <c r="K53" s="421">
        <f t="shared" si="59"/>
        <v>7.0920000000000005</v>
      </c>
      <c r="L53" s="421">
        <f t="shared" si="59"/>
        <v>7.5884400000000003</v>
      </c>
      <c r="M53" s="421">
        <f t="shared" si="59"/>
        <v>7.5884400000000003</v>
      </c>
      <c r="N53" s="421">
        <f t="shared" si="59"/>
        <v>7.5884400000000003</v>
      </c>
      <c r="O53" s="421">
        <f t="shared" si="59"/>
        <v>7.5884400000000003</v>
      </c>
      <c r="P53" s="421">
        <f t="shared" si="59"/>
        <v>8.1196308000000013</v>
      </c>
      <c r="Q53" s="421">
        <f t="shared" si="59"/>
        <v>8.1196308000000013</v>
      </c>
      <c r="R53" s="421">
        <f t="shared" si="59"/>
        <v>8.1196308000000013</v>
      </c>
      <c r="S53" s="421">
        <f t="shared" si="59"/>
        <v>8.1196308000000013</v>
      </c>
      <c r="T53" s="421">
        <f>T49*$B$61</f>
        <v>8.6880049560000021</v>
      </c>
      <c r="U53" s="421">
        <f t="shared" ref="U53:AQ53" si="60">U49*$B$61</f>
        <v>8.6880049560000021</v>
      </c>
      <c r="V53" s="421">
        <f t="shared" si="60"/>
        <v>8.6880049560000021</v>
      </c>
      <c r="W53" s="421">
        <f t="shared" si="60"/>
        <v>8.6880049560000021</v>
      </c>
      <c r="X53" s="421">
        <f t="shared" si="60"/>
        <v>9.2961653029200022</v>
      </c>
      <c r="Y53" s="421">
        <f t="shared" si="60"/>
        <v>9.2961653029200022</v>
      </c>
      <c r="Z53" s="421">
        <f t="shared" si="60"/>
        <v>9.2961653029200022</v>
      </c>
      <c r="AA53" s="421">
        <f t="shared" si="60"/>
        <v>9.2961653029200022</v>
      </c>
      <c r="AB53" s="421">
        <f t="shared" si="60"/>
        <v>9.9468968741244019</v>
      </c>
      <c r="AC53" s="421">
        <f t="shared" si="60"/>
        <v>9.9468968741244019</v>
      </c>
      <c r="AD53" s="421">
        <f t="shared" si="60"/>
        <v>9.9468968741244019</v>
      </c>
      <c r="AE53" s="421">
        <f t="shared" si="60"/>
        <v>9.9468968741244019</v>
      </c>
      <c r="AF53" s="421">
        <f t="shared" si="60"/>
        <v>10.582589420546872</v>
      </c>
      <c r="AG53" s="421">
        <f t="shared" si="60"/>
        <v>10.582589420546872</v>
      </c>
      <c r="AH53" s="421">
        <f t="shared" si="60"/>
        <v>10.582589420546872</v>
      </c>
      <c r="AI53" s="421">
        <f t="shared" si="60"/>
        <v>10.582589420546872</v>
      </c>
      <c r="AJ53" s="421">
        <f t="shared" si="60"/>
        <v>11.323370679985151</v>
      </c>
      <c r="AK53" s="421">
        <f t="shared" si="60"/>
        <v>11.323370679985151</v>
      </c>
      <c r="AL53" s="421">
        <f t="shared" si="60"/>
        <v>11.323370679985151</v>
      </c>
      <c r="AM53" s="421">
        <f t="shared" si="60"/>
        <v>11.323370679985151</v>
      </c>
      <c r="AN53" s="421">
        <f t="shared" si="60"/>
        <v>12.116006627584115</v>
      </c>
      <c r="AO53" s="421">
        <f t="shared" si="60"/>
        <v>12.116006627584115</v>
      </c>
      <c r="AP53" s="421">
        <f t="shared" si="60"/>
        <v>12.116006627584115</v>
      </c>
      <c r="AQ53" s="421">
        <f t="shared" si="60"/>
        <v>12.116006627584115</v>
      </c>
      <c r="AR53" s="421">
        <f t="shared" ref="AR53:AU53" si="61">AR49*$B$61</f>
        <v>12.964127091515</v>
      </c>
      <c r="AS53" s="421">
        <f t="shared" si="61"/>
        <v>12.964127091515</v>
      </c>
      <c r="AT53" s="421">
        <f t="shared" si="61"/>
        <v>12.964127091515</v>
      </c>
      <c r="AU53" s="421">
        <f t="shared" si="61"/>
        <v>12.964127091515</v>
      </c>
      <c r="AV53" s="418" t="str">
        <f t="shared" si="46"/>
        <v>Страховые взносы ФСС (НС и ПЗ)</v>
      </c>
      <c r="AW53" s="421">
        <f t="shared" si="0"/>
        <v>0</v>
      </c>
      <c r="AX53" s="421">
        <f t="shared" si="1"/>
        <v>28.368000000000002</v>
      </c>
      <c r="AY53" s="421">
        <f t="shared" si="2"/>
        <v>30.353760000000001</v>
      </c>
      <c r="AZ53" s="421">
        <f t="shared" si="3"/>
        <v>32.478523200000005</v>
      </c>
      <c r="BA53" s="421">
        <f t="shared" si="4"/>
        <v>34.752019824000008</v>
      </c>
      <c r="BB53" s="421">
        <f t="shared" si="5"/>
        <v>37.184661211680009</v>
      </c>
      <c r="BC53" s="421">
        <f t="shared" si="6"/>
        <v>39.787587496497608</v>
      </c>
      <c r="BD53" s="421">
        <f t="shared" si="7"/>
        <v>42.33035768218749</v>
      </c>
      <c r="BE53" s="421">
        <f t="shared" si="8"/>
        <v>45.293482719940606</v>
      </c>
      <c r="BF53" s="421">
        <f t="shared" si="9"/>
        <v>48.46402651033646</v>
      </c>
      <c r="BG53" s="421">
        <f t="shared" si="10"/>
        <v>51.856508366059998</v>
      </c>
    </row>
    <row r="54" spans="1:59" ht="28.8" x14ac:dyDescent="0.3">
      <c r="A54" s="123" t="s">
        <v>174</v>
      </c>
      <c r="B54" s="123"/>
      <c r="C54" s="123"/>
      <c r="D54" s="123">
        <f>D52+D53</f>
        <v>0</v>
      </c>
      <c r="E54" s="123">
        <f t="shared" ref="E54:AH54" si="62">E52+E53</f>
        <v>0</v>
      </c>
      <c r="F54" s="123">
        <f t="shared" si="62"/>
        <v>0</v>
      </c>
      <c r="G54" s="123">
        <f t="shared" si="62"/>
        <v>0</v>
      </c>
      <c r="H54" s="126">
        <f>H52+H53</f>
        <v>3080.2919999999999</v>
      </c>
      <c r="I54" s="126">
        <f t="shared" si="62"/>
        <v>3080.2919999999999</v>
      </c>
      <c r="J54" s="126">
        <f t="shared" si="62"/>
        <v>3080.2919999999999</v>
      </c>
      <c r="K54" s="126">
        <f t="shared" si="62"/>
        <v>3080.2919999999999</v>
      </c>
      <c r="L54" s="126">
        <f t="shared" si="62"/>
        <v>3295.9124400000001</v>
      </c>
      <c r="M54" s="126">
        <f t="shared" si="62"/>
        <v>3295.9124400000001</v>
      </c>
      <c r="N54" s="126">
        <f t="shared" si="62"/>
        <v>3295.9124400000001</v>
      </c>
      <c r="O54" s="126">
        <f t="shared" si="62"/>
        <v>3295.9124400000001</v>
      </c>
      <c r="P54" s="126">
        <f t="shared" si="62"/>
        <v>3526.6263108000003</v>
      </c>
      <c r="Q54" s="126">
        <f t="shared" si="62"/>
        <v>3526.6263108000003</v>
      </c>
      <c r="R54" s="126">
        <f t="shared" si="62"/>
        <v>3526.6263108000003</v>
      </c>
      <c r="S54" s="126">
        <f t="shared" si="62"/>
        <v>3526.6263108000003</v>
      </c>
      <c r="T54" s="126">
        <f t="shared" si="62"/>
        <v>3773.4901525560003</v>
      </c>
      <c r="U54" s="126">
        <f t="shared" si="62"/>
        <v>3773.4901525560003</v>
      </c>
      <c r="V54" s="126">
        <f t="shared" si="62"/>
        <v>3773.4901525560003</v>
      </c>
      <c r="W54" s="126">
        <f t="shared" si="62"/>
        <v>3773.4901525560003</v>
      </c>
      <c r="X54" s="126">
        <f t="shared" si="62"/>
        <v>4037.634463234921</v>
      </c>
      <c r="Y54" s="126">
        <f t="shared" si="62"/>
        <v>4037.634463234921</v>
      </c>
      <c r="Z54" s="126">
        <f t="shared" si="62"/>
        <v>4037.634463234921</v>
      </c>
      <c r="AA54" s="126">
        <f t="shared" si="62"/>
        <v>4037.634463234921</v>
      </c>
      <c r="AB54" s="126">
        <f t="shared" si="62"/>
        <v>4320.2688756613661</v>
      </c>
      <c r="AC54" s="126">
        <f t="shared" si="62"/>
        <v>4320.2688756613661</v>
      </c>
      <c r="AD54" s="126">
        <f t="shared" si="62"/>
        <v>4320.2688756613661</v>
      </c>
      <c r="AE54" s="126">
        <f t="shared" si="62"/>
        <v>4320.2688756613661</v>
      </c>
      <c r="AF54" s="126">
        <f t="shared" si="62"/>
        <v>4596.371338324192</v>
      </c>
      <c r="AG54" s="126">
        <f t="shared" si="62"/>
        <v>4596.371338324192</v>
      </c>
      <c r="AH54" s="126">
        <f t="shared" si="62"/>
        <v>4596.371338324192</v>
      </c>
      <c r="AI54" s="126">
        <f>AI52+AI53</f>
        <v>4596.371338324192</v>
      </c>
      <c r="AJ54" s="126">
        <f t="shared" ref="AJ54:AQ54" si="63">AJ52+AJ53</f>
        <v>4918.1173320068847</v>
      </c>
      <c r="AK54" s="126">
        <f t="shared" si="63"/>
        <v>4918.1173320068847</v>
      </c>
      <c r="AL54" s="126">
        <f t="shared" si="63"/>
        <v>4918.1173320068847</v>
      </c>
      <c r="AM54" s="126">
        <f t="shared" si="63"/>
        <v>4918.1173320068847</v>
      </c>
      <c r="AN54" s="126">
        <f t="shared" si="63"/>
        <v>5262.3855452473672</v>
      </c>
      <c r="AO54" s="126">
        <f t="shared" si="63"/>
        <v>5262.3855452473672</v>
      </c>
      <c r="AP54" s="126">
        <f t="shared" si="63"/>
        <v>5262.3855452473672</v>
      </c>
      <c r="AQ54" s="126">
        <f t="shared" si="63"/>
        <v>5262.3855452473672</v>
      </c>
      <c r="AR54" s="126">
        <f t="shared" ref="AR54:AU54" si="64">AR52+AR53</f>
        <v>5630.7525334146821</v>
      </c>
      <c r="AS54" s="126">
        <f t="shared" si="64"/>
        <v>5630.7525334146821</v>
      </c>
      <c r="AT54" s="126">
        <f t="shared" si="64"/>
        <v>5630.7525334146821</v>
      </c>
      <c r="AU54" s="126">
        <f t="shared" si="64"/>
        <v>5630.7525334146821</v>
      </c>
      <c r="AV54" s="136" t="str">
        <f t="shared" si="46"/>
        <v>ЗП и все взносы</v>
      </c>
      <c r="AW54" s="126">
        <f t="shared" si="0"/>
        <v>0</v>
      </c>
      <c r="AX54" s="126">
        <f t="shared" si="1"/>
        <v>12321.168</v>
      </c>
      <c r="AY54" s="126">
        <f t="shared" si="2"/>
        <v>13183.64976</v>
      </c>
      <c r="AZ54" s="126">
        <f t="shared" si="3"/>
        <v>14106.505243200001</v>
      </c>
      <c r="BA54" s="126">
        <f t="shared" si="4"/>
        <v>15093.960610224001</v>
      </c>
      <c r="BB54" s="126">
        <f t="shared" si="5"/>
        <v>16150.537852939684</v>
      </c>
      <c r="BC54" s="126">
        <f t="shared" si="6"/>
        <v>17281.075502645464</v>
      </c>
      <c r="BD54" s="126">
        <f t="shared" si="7"/>
        <v>18385.485353296768</v>
      </c>
      <c r="BE54" s="126">
        <f t="shared" si="8"/>
        <v>19672.469328027539</v>
      </c>
      <c r="BF54" s="425">
        <f t="shared" si="9"/>
        <v>21049.542180989469</v>
      </c>
      <c r="BG54" s="126">
        <f t="shared" si="10"/>
        <v>22523.010133658729</v>
      </c>
    </row>
    <row r="55" spans="1:59" x14ac:dyDescent="0.3">
      <c r="A55" s="123" t="s">
        <v>175</v>
      </c>
      <c r="B55" s="123"/>
      <c r="C55" s="123"/>
      <c r="D55" s="123"/>
      <c r="E55" s="123"/>
      <c r="F55" s="123"/>
      <c r="G55" s="123">
        <f>SUM(D54:G54)</f>
        <v>0</v>
      </c>
      <c r="H55" s="126"/>
      <c r="I55" s="126"/>
      <c r="J55" s="126"/>
      <c r="K55" s="126">
        <f>SUM(H54:K54)</f>
        <v>12321.168</v>
      </c>
      <c r="L55" s="126"/>
      <c r="M55" s="126"/>
      <c r="N55" s="126"/>
      <c r="O55" s="126">
        <f>SUM(L54:O54)</f>
        <v>13183.64976</v>
      </c>
      <c r="P55" s="126"/>
      <c r="Q55" s="126"/>
      <c r="R55" s="126"/>
      <c r="S55" s="126">
        <f>SUM(P54:S54)</f>
        <v>14106.505243200001</v>
      </c>
      <c r="T55" s="126"/>
      <c r="U55" s="126"/>
      <c r="V55" s="126"/>
      <c r="W55" s="126">
        <f>SUM(T54:W54)</f>
        <v>15093.960610224001</v>
      </c>
      <c r="X55" s="126"/>
      <c r="Y55" s="126"/>
      <c r="Z55" s="126"/>
      <c r="AA55" s="126">
        <f t="shared" ref="AA55:AI55" si="65">SUM(X54:AA54)</f>
        <v>16150.537852939684</v>
      </c>
      <c r="AB55" s="126"/>
      <c r="AC55" s="126"/>
      <c r="AD55" s="126"/>
      <c r="AE55" s="126">
        <f t="shared" si="65"/>
        <v>17281.075502645464</v>
      </c>
      <c r="AF55" s="126"/>
      <c r="AG55" s="126"/>
      <c r="AH55" s="126"/>
      <c r="AI55" s="126">
        <f t="shared" si="65"/>
        <v>18385.485353296768</v>
      </c>
      <c r="AJ55" s="126"/>
      <c r="AK55" s="126"/>
      <c r="AL55" s="126"/>
      <c r="AM55" s="126">
        <f>SUM(AJ54:AM54)</f>
        <v>19672.469328027539</v>
      </c>
      <c r="AN55" s="126"/>
      <c r="AO55" s="126"/>
      <c r="AP55" s="126"/>
      <c r="AQ55" s="126">
        <f>SUM(AN54:AQ54)</f>
        <v>21049.542180989469</v>
      </c>
      <c r="AR55" s="126">
        <f t="shared" ref="AR55:AU55" si="66">SUM(AO54:AR54)</f>
        <v>21417.909169156785</v>
      </c>
      <c r="AS55" s="126">
        <f t="shared" si="66"/>
        <v>21786.276157324097</v>
      </c>
      <c r="AT55" s="126">
        <f t="shared" si="66"/>
        <v>22154.643145491413</v>
      </c>
      <c r="AU55" s="126">
        <f t="shared" si="66"/>
        <v>22523.010133658729</v>
      </c>
      <c r="AV55" s="126" t="s">
        <v>197</v>
      </c>
      <c r="AW55" s="126">
        <f t="shared" si="0"/>
        <v>0</v>
      </c>
      <c r="AX55" s="126">
        <f t="shared" si="1"/>
        <v>12321.168</v>
      </c>
      <c r="AY55" s="126">
        <f t="shared" si="2"/>
        <v>13183.64976</v>
      </c>
      <c r="AZ55" s="126">
        <f t="shared" si="3"/>
        <v>14106.505243200001</v>
      </c>
      <c r="BA55" s="126">
        <f t="shared" si="4"/>
        <v>15093.960610224001</v>
      </c>
      <c r="BB55" s="126">
        <f t="shared" si="5"/>
        <v>16150.537852939684</v>
      </c>
      <c r="BC55" s="126">
        <f t="shared" si="6"/>
        <v>17281.075502645464</v>
      </c>
      <c r="BD55" s="126">
        <f t="shared" si="7"/>
        <v>18385.485353296768</v>
      </c>
      <c r="BE55" s="126">
        <f t="shared" si="8"/>
        <v>19672.469328027539</v>
      </c>
      <c r="BF55" s="126">
        <f t="shared" si="9"/>
        <v>21049.542180989469</v>
      </c>
      <c r="BG55" s="126">
        <f t="shared" si="10"/>
        <v>87881.838605631026</v>
      </c>
    </row>
    <row r="56" spans="1:59" x14ac:dyDescent="0.3">
      <c r="A56" s="123" t="str">
        <f>'Расходы на ЗП ОТ'!A56</f>
        <v>НДФЛ РФ</v>
      </c>
      <c r="B56" s="138">
        <f>'Расходы на ЗП ОТ'!B56</f>
        <v>0.13</v>
      </c>
      <c r="C56" s="123">
        <f>'Расходы на ЗП ОТ'!C56</f>
        <v>0</v>
      </c>
      <c r="D56" s="123">
        <f>'Расходы на ЗП ОТ'!D56</f>
        <v>0</v>
      </c>
      <c r="E56" s="123">
        <f>'Расходы на ЗП ОТ'!E56</f>
        <v>0</v>
      </c>
      <c r="F56" s="123">
        <f>'Расходы на ЗП ОТ'!F56</f>
        <v>0</v>
      </c>
      <c r="G56" s="123">
        <f>'Расходы на ЗП ОТ'!G56</f>
        <v>0</v>
      </c>
      <c r="H56" s="126">
        <f>'Расходы на ЗП ОТ'!H56</f>
        <v>307.32</v>
      </c>
      <c r="I56" s="126">
        <f>'Расходы на ЗП ОТ'!I56</f>
        <v>307.32</v>
      </c>
      <c r="J56" s="126">
        <f>'Расходы на ЗП ОТ'!J56</f>
        <v>307.32</v>
      </c>
      <c r="K56" s="126">
        <f>'Расходы на ЗП ОТ'!K56</f>
        <v>307.32</v>
      </c>
      <c r="L56" s="126">
        <f>'Расходы на ЗП ОТ'!L56</f>
        <v>328.83240000000001</v>
      </c>
      <c r="M56" s="126">
        <f>'Расходы на ЗП ОТ'!M56</f>
        <v>328.83240000000001</v>
      </c>
      <c r="N56" s="126">
        <f>'Расходы на ЗП ОТ'!N56</f>
        <v>328.83240000000001</v>
      </c>
      <c r="O56" s="126">
        <f>'Расходы на ЗП ОТ'!O56</f>
        <v>328.83240000000001</v>
      </c>
      <c r="P56" s="126">
        <f>'Расходы на ЗП ОТ'!P56</f>
        <v>351.85066800000004</v>
      </c>
      <c r="Q56" s="126">
        <f>'Расходы на ЗП ОТ'!Q56</f>
        <v>351.85066800000004</v>
      </c>
      <c r="R56" s="126">
        <f>'Расходы на ЗП ОТ'!R56</f>
        <v>351.85066800000004</v>
      </c>
      <c r="S56" s="126">
        <f>'Расходы на ЗП ОТ'!S56</f>
        <v>351.85066800000004</v>
      </c>
      <c r="T56" s="126">
        <f>'Расходы на ЗП ОТ'!T56</f>
        <v>376.48021476000008</v>
      </c>
      <c r="U56" s="126">
        <f>'Расходы на ЗП ОТ'!U56</f>
        <v>376.48021476000008</v>
      </c>
      <c r="V56" s="126">
        <f>'Расходы на ЗП ОТ'!V56</f>
        <v>376.48021476000008</v>
      </c>
      <c r="W56" s="126">
        <f>'Расходы на ЗП ОТ'!W56</f>
        <v>376.48021476000008</v>
      </c>
      <c r="X56" s="126">
        <f>'Расходы на ЗП ОТ'!X56</f>
        <v>402.8338297932001</v>
      </c>
      <c r="Y56" s="126">
        <f>'Расходы на ЗП ОТ'!Y56</f>
        <v>402.8338297932001</v>
      </c>
      <c r="Z56" s="126">
        <f>'Расходы на ЗП ОТ'!Z56</f>
        <v>402.8338297932001</v>
      </c>
      <c r="AA56" s="126">
        <f>'Расходы на ЗП ОТ'!AA56</f>
        <v>402.8338297932001</v>
      </c>
      <c r="AB56" s="126">
        <f>'Расходы на ЗП ОТ'!AB56</f>
        <v>431.03219787872411</v>
      </c>
      <c r="AC56" s="126">
        <f>'Расходы на ЗП ОТ'!AC56</f>
        <v>431.03219787872411</v>
      </c>
      <c r="AD56" s="126">
        <f>'Расходы на ЗП ОТ'!AD56</f>
        <v>431.03219787872411</v>
      </c>
      <c r="AE56" s="126">
        <f>'Расходы на ЗП ОТ'!AE56</f>
        <v>431.03219787872411</v>
      </c>
      <c r="AF56" s="126">
        <f>'Расходы на ЗП ОТ'!AF56</f>
        <v>458.57887489036449</v>
      </c>
      <c r="AG56" s="126">
        <f>'Расходы на ЗП ОТ'!AG56</f>
        <v>458.57887489036449</v>
      </c>
      <c r="AH56" s="126">
        <f>'Расходы на ЗП ОТ'!AH56</f>
        <v>458.57887489036449</v>
      </c>
      <c r="AI56" s="126">
        <f>'Расходы на ЗП ОТ'!AI56</f>
        <v>458.57887489036449</v>
      </c>
      <c r="AJ56" s="126">
        <f>'Расходы на ЗП ОТ'!AJ56</f>
        <v>490.67939613268993</v>
      </c>
      <c r="AK56" s="126">
        <f>'Расходы на ЗП ОТ'!AK56</f>
        <v>490.67939613268993</v>
      </c>
      <c r="AL56" s="126">
        <f>'Расходы на ЗП ОТ'!AL56</f>
        <v>490.67939613268993</v>
      </c>
      <c r="AM56" s="126">
        <f>'Расходы на ЗП ОТ'!AM56</f>
        <v>490.67939613268993</v>
      </c>
      <c r="AN56" s="126">
        <f>'Расходы на ЗП ОТ'!AN56</f>
        <v>525.02695386197831</v>
      </c>
      <c r="AO56" s="126">
        <f>'Расходы на ЗП ОТ'!AO56</f>
        <v>525.02695386197831</v>
      </c>
      <c r="AP56" s="126">
        <f>'Расходы на ЗП ОТ'!AP56</f>
        <v>525.02695386197831</v>
      </c>
      <c r="AQ56" s="126">
        <f>'Расходы на ЗП ОТ'!AQ56</f>
        <v>525.02695386197831</v>
      </c>
      <c r="AR56" s="126">
        <f>'Расходы на ЗП ОТ'!AR56</f>
        <v>561.77884063231693</v>
      </c>
      <c r="AS56" s="126">
        <f>'Расходы на ЗП ОТ'!AS56</f>
        <v>561.77884063231693</v>
      </c>
      <c r="AT56" s="126">
        <f>'Расходы на ЗП ОТ'!AT56</f>
        <v>561.77884063231693</v>
      </c>
      <c r="AU56" s="126">
        <f>'Расходы на ЗП ОТ'!AU56</f>
        <v>561.77884063231693</v>
      </c>
      <c r="AV56" s="126" t="str">
        <f t="shared" si="46"/>
        <v>НДФЛ РФ</v>
      </c>
      <c r="AW56" s="126">
        <f t="shared" si="0"/>
        <v>0</v>
      </c>
      <c r="AX56" s="126">
        <f t="shared" si="1"/>
        <v>1229.28</v>
      </c>
      <c r="AY56" s="126">
        <f t="shared" si="2"/>
        <v>1315.3296</v>
      </c>
      <c r="AZ56" s="126">
        <f t="shared" si="3"/>
        <v>1407.4026720000002</v>
      </c>
      <c r="BA56" s="126">
        <f t="shared" si="4"/>
        <v>1505.9208590400003</v>
      </c>
      <c r="BB56" s="126">
        <f t="shared" si="5"/>
        <v>1611.3353191728004</v>
      </c>
      <c r="BC56" s="126">
        <f t="shared" si="6"/>
        <v>1724.1287915148964</v>
      </c>
      <c r="BD56" s="126">
        <f t="shared" si="7"/>
        <v>1834.315499561458</v>
      </c>
      <c r="BE56" s="126">
        <f t="shared" si="8"/>
        <v>1962.7175845307597</v>
      </c>
      <c r="BF56" s="126">
        <f t="shared" si="9"/>
        <v>2100.1078154479133</v>
      </c>
      <c r="BG56" s="126">
        <f t="shared" si="10"/>
        <v>2247.1153625292677</v>
      </c>
    </row>
    <row r="57" spans="1:59" x14ac:dyDescent="0.3">
      <c r="A57" s="123" t="str">
        <f>'Расходы на ЗП ОТ'!A57</f>
        <v>НДФЛ ИРС</v>
      </c>
      <c r="B57" s="138">
        <f>'Расходы на ЗП ОТ'!B57</f>
        <v>0.3</v>
      </c>
      <c r="C57" s="123">
        <f>'Расходы на ЗП ОТ'!C57</f>
        <v>0</v>
      </c>
      <c r="D57" s="123">
        <f>'Расходы на ЗП ОТ'!D57</f>
        <v>0</v>
      </c>
      <c r="E57" s="123">
        <f>'Расходы на ЗП ОТ'!E57</f>
        <v>0</v>
      </c>
      <c r="F57" s="123">
        <f>'Расходы на ЗП ОТ'!F57</f>
        <v>0</v>
      </c>
      <c r="G57" s="123">
        <f>'Расходы на ЗП ОТ'!G57</f>
        <v>0</v>
      </c>
      <c r="H57" s="126">
        <f>'Расходы на ЗП ОТ'!H57</f>
        <v>0</v>
      </c>
      <c r="I57" s="126">
        <f>'Расходы на ЗП ОТ'!I57</f>
        <v>0</v>
      </c>
      <c r="J57" s="126">
        <f>'Расходы на ЗП ОТ'!J57</f>
        <v>0</v>
      </c>
      <c r="K57" s="126">
        <f>'Расходы на ЗП ОТ'!K57</f>
        <v>0</v>
      </c>
      <c r="L57" s="126">
        <f>'Расходы на ЗП ОТ'!L57</f>
        <v>0</v>
      </c>
      <c r="M57" s="126">
        <f>'Расходы на ЗП ОТ'!M57</f>
        <v>0</v>
      </c>
      <c r="N57" s="126">
        <f>'Расходы на ЗП ОТ'!N57</f>
        <v>0</v>
      </c>
      <c r="O57" s="126">
        <f>'Расходы на ЗП ОТ'!O57</f>
        <v>0</v>
      </c>
      <c r="P57" s="126">
        <f>'Расходы на ЗП ОТ'!P57</f>
        <v>0</v>
      </c>
      <c r="Q57" s="126">
        <f>'Расходы на ЗП ОТ'!Q57</f>
        <v>0</v>
      </c>
      <c r="R57" s="126">
        <f>'Расходы на ЗП ОТ'!R57</f>
        <v>0</v>
      </c>
      <c r="S57" s="126">
        <f>'Расходы на ЗП ОТ'!S57</f>
        <v>0</v>
      </c>
      <c r="T57" s="126">
        <f>'Расходы на ЗП ОТ'!T57</f>
        <v>0</v>
      </c>
      <c r="U57" s="126">
        <f>'Расходы на ЗП ОТ'!U57</f>
        <v>0</v>
      </c>
      <c r="V57" s="126">
        <f>'Расходы на ЗП ОТ'!V57</f>
        <v>0</v>
      </c>
      <c r="W57" s="126">
        <f>'Расходы на ЗП ОТ'!W57</f>
        <v>0</v>
      </c>
      <c r="X57" s="126">
        <f>'Расходы на ЗП ОТ'!X57</f>
        <v>0</v>
      </c>
      <c r="Y57" s="126">
        <f>'Расходы на ЗП ОТ'!Y57</f>
        <v>0</v>
      </c>
      <c r="Z57" s="126">
        <f>'Расходы на ЗП ОТ'!Z57</f>
        <v>0</v>
      </c>
      <c r="AA57" s="126">
        <f>'Расходы на ЗП ОТ'!AA57</f>
        <v>0</v>
      </c>
      <c r="AB57" s="126">
        <f>'Расходы на ЗП ОТ'!AB57</f>
        <v>0</v>
      </c>
      <c r="AC57" s="126">
        <f>'Расходы на ЗП ОТ'!AC57</f>
        <v>0</v>
      </c>
      <c r="AD57" s="126">
        <f>'Расходы на ЗП ОТ'!AD57</f>
        <v>0</v>
      </c>
      <c r="AE57" s="126">
        <f>'Расходы на ЗП ОТ'!AE57</f>
        <v>0</v>
      </c>
      <c r="AF57" s="126">
        <f>'Расходы на ЗП ОТ'!AF57</f>
        <v>0</v>
      </c>
      <c r="AG57" s="126">
        <f>'Расходы на ЗП ОТ'!AG57</f>
        <v>0</v>
      </c>
      <c r="AH57" s="126">
        <f>'Расходы на ЗП ОТ'!AH57</f>
        <v>0</v>
      </c>
      <c r="AI57" s="126">
        <f>'Расходы на ЗП ОТ'!AI57</f>
        <v>0</v>
      </c>
      <c r="AJ57" s="126">
        <f>'Расходы на ЗП ОТ'!AJ57</f>
        <v>0</v>
      </c>
      <c r="AK57" s="126">
        <f>'Расходы на ЗП ОТ'!AK57</f>
        <v>0</v>
      </c>
      <c r="AL57" s="126">
        <f>'Расходы на ЗП ОТ'!AL57</f>
        <v>0</v>
      </c>
      <c r="AM57" s="126">
        <f>'Расходы на ЗП ОТ'!AM57</f>
        <v>0</v>
      </c>
      <c r="AN57" s="126">
        <f>'Расходы на ЗП ОТ'!AN57</f>
        <v>0</v>
      </c>
      <c r="AO57" s="126">
        <f>'Расходы на ЗП ОТ'!AO57</f>
        <v>0</v>
      </c>
      <c r="AP57" s="126">
        <f>'Расходы на ЗП ОТ'!AP57</f>
        <v>0</v>
      </c>
      <c r="AQ57" s="126">
        <f>'Расходы на ЗП ОТ'!AQ57</f>
        <v>0</v>
      </c>
      <c r="AR57" s="126">
        <f>'Расходы на ЗП ОТ'!AR57</f>
        <v>0</v>
      </c>
      <c r="AS57" s="126">
        <f>'Расходы на ЗП ОТ'!AS57</f>
        <v>0</v>
      </c>
      <c r="AT57" s="126">
        <f>'Расходы на ЗП ОТ'!AT57</f>
        <v>0</v>
      </c>
      <c r="AU57" s="126">
        <f>'Расходы на ЗП ОТ'!AU57</f>
        <v>0</v>
      </c>
      <c r="AV57" s="126" t="str">
        <f t="shared" si="46"/>
        <v>НДФЛ ИРС</v>
      </c>
      <c r="AW57" s="126">
        <f t="shared" si="0"/>
        <v>0</v>
      </c>
      <c r="AX57" s="126">
        <f t="shared" si="1"/>
        <v>0</v>
      </c>
      <c r="AY57" s="126">
        <f t="shared" si="2"/>
        <v>0</v>
      </c>
      <c r="AZ57" s="126">
        <f t="shared" si="3"/>
        <v>0</v>
      </c>
      <c r="BA57" s="126">
        <f t="shared" si="4"/>
        <v>0</v>
      </c>
      <c r="BB57" s="126">
        <f t="shared" si="5"/>
        <v>0</v>
      </c>
      <c r="BC57" s="126">
        <f t="shared" si="6"/>
        <v>0</v>
      </c>
      <c r="BD57" s="126">
        <f t="shared" si="7"/>
        <v>0</v>
      </c>
      <c r="BE57" s="126">
        <f t="shared" si="8"/>
        <v>0</v>
      </c>
      <c r="BF57" s="126">
        <f t="shared" si="9"/>
        <v>0</v>
      </c>
      <c r="BG57" s="126">
        <f t="shared" si="10"/>
        <v>0</v>
      </c>
    </row>
    <row r="58" spans="1:59" x14ac:dyDescent="0.3">
      <c r="A58" s="123" t="str">
        <f>'Расходы на ЗП ОТ'!A58</f>
        <v>НДФЛ итого</v>
      </c>
      <c r="B58" s="123"/>
      <c r="C58" s="123">
        <f>'Расходы на ЗП ОТ'!C58</f>
        <v>0</v>
      </c>
      <c r="D58" s="123">
        <f>'Расходы на ЗП ОТ'!D58</f>
        <v>0</v>
      </c>
      <c r="E58" s="123">
        <f>'Расходы на ЗП ОТ'!E58</f>
        <v>0</v>
      </c>
      <c r="F58" s="123">
        <f>'Расходы на ЗП ОТ'!F58</f>
        <v>0</v>
      </c>
      <c r="G58" s="123">
        <f>'Расходы на ЗП ОТ'!G58</f>
        <v>0</v>
      </c>
      <c r="H58" s="126">
        <f>'Расходы на ЗП ОТ'!H58</f>
        <v>307.32</v>
      </c>
      <c r="I58" s="126">
        <f>'Расходы на ЗП ОТ'!I58</f>
        <v>307.32</v>
      </c>
      <c r="J58" s="126">
        <f>'Расходы на ЗП ОТ'!J58</f>
        <v>307.32</v>
      </c>
      <c r="K58" s="126">
        <f>'Расходы на ЗП ОТ'!K58</f>
        <v>307.32</v>
      </c>
      <c r="L58" s="126">
        <f>'Расходы на ЗП ОТ'!L58</f>
        <v>328.83240000000001</v>
      </c>
      <c r="M58" s="126">
        <f>'Расходы на ЗП ОТ'!M58</f>
        <v>328.83240000000001</v>
      </c>
      <c r="N58" s="126">
        <f>'Расходы на ЗП ОТ'!N58</f>
        <v>328.83240000000001</v>
      </c>
      <c r="O58" s="126">
        <f>'Расходы на ЗП ОТ'!O58</f>
        <v>328.83240000000001</v>
      </c>
      <c r="P58" s="126">
        <f>'Расходы на ЗП ОТ'!P58</f>
        <v>351.85066800000004</v>
      </c>
      <c r="Q58" s="126">
        <f>'Расходы на ЗП ОТ'!Q58</f>
        <v>351.85066800000004</v>
      </c>
      <c r="R58" s="126">
        <f>'Расходы на ЗП ОТ'!R58</f>
        <v>351.85066800000004</v>
      </c>
      <c r="S58" s="126">
        <f>'Расходы на ЗП ОТ'!S58</f>
        <v>351.85066800000004</v>
      </c>
      <c r="T58" s="126">
        <f>'Расходы на ЗП ОТ'!T58</f>
        <v>376.48021476000008</v>
      </c>
      <c r="U58" s="126">
        <f>'Расходы на ЗП ОТ'!U58</f>
        <v>376.48021476000008</v>
      </c>
      <c r="V58" s="126">
        <f>'Расходы на ЗП ОТ'!V58</f>
        <v>376.48021476000008</v>
      </c>
      <c r="W58" s="126">
        <f>'Расходы на ЗП ОТ'!W58</f>
        <v>376.48021476000008</v>
      </c>
      <c r="X58" s="126">
        <f>'Расходы на ЗП ОТ'!X58</f>
        <v>402.8338297932001</v>
      </c>
      <c r="Y58" s="126">
        <f>'Расходы на ЗП ОТ'!Y58</f>
        <v>402.8338297932001</v>
      </c>
      <c r="Z58" s="126">
        <f>'Расходы на ЗП ОТ'!Z58</f>
        <v>402.8338297932001</v>
      </c>
      <c r="AA58" s="126">
        <f>'Расходы на ЗП ОТ'!AA58</f>
        <v>402.8338297932001</v>
      </c>
      <c r="AB58" s="126">
        <f>'Расходы на ЗП ОТ'!AB58</f>
        <v>431.03219787872411</v>
      </c>
      <c r="AC58" s="126">
        <f>'Расходы на ЗП ОТ'!AC58</f>
        <v>431.03219787872411</v>
      </c>
      <c r="AD58" s="126">
        <f>'Расходы на ЗП ОТ'!AD58</f>
        <v>431.03219787872411</v>
      </c>
      <c r="AE58" s="126">
        <f>'Расходы на ЗП ОТ'!AE58</f>
        <v>431.03219787872411</v>
      </c>
      <c r="AF58" s="126">
        <f>'Расходы на ЗП ОТ'!AF58</f>
        <v>458.57887489036449</v>
      </c>
      <c r="AG58" s="126">
        <f>'Расходы на ЗП ОТ'!AG58</f>
        <v>458.57887489036449</v>
      </c>
      <c r="AH58" s="126">
        <f>'Расходы на ЗП ОТ'!AH58</f>
        <v>458.57887489036449</v>
      </c>
      <c r="AI58" s="126">
        <f>'Расходы на ЗП ОТ'!AI58</f>
        <v>458.57887489036449</v>
      </c>
      <c r="AJ58" s="126">
        <f>'Расходы на ЗП ОТ'!AJ58</f>
        <v>490.67939613268993</v>
      </c>
      <c r="AK58" s="126">
        <f>'Расходы на ЗП ОТ'!AK58</f>
        <v>490.67939613268993</v>
      </c>
      <c r="AL58" s="126">
        <f>'Расходы на ЗП ОТ'!AL58</f>
        <v>490.67939613268993</v>
      </c>
      <c r="AM58" s="126">
        <f>'Расходы на ЗП ОТ'!AM58</f>
        <v>490.67939613268993</v>
      </c>
      <c r="AN58" s="126">
        <f>'Расходы на ЗП ОТ'!AN58</f>
        <v>525.02695386197831</v>
      </c>
      <c r="AO58" s="126">
        <f>'Расходы на ЗП ОТ'!AO58</f>
        <v>525.02695386197831</v>
      </c>
      <c r="AP58" s="126">
        <f>'Расходы на ЗП ОТ'!AP58</f>
        <v>525.02695386197831</v>
      </c>
      <c r="AQ58" s="126">
        <f>'Расходы на ЗП ОТ'!AQ58</f>
        <v>525.02695386197831</v>
      </c>
      <c r="AR58" s="126">
        <f>'Расходы на ЗП ОТ'!AR58</f>
        <v>561.77884063231693</v>
      </c>
      <c r="AS58" s="126">
        <f>'Расходы на ЗП ОТ'!AS58</f>
        <v>561.77884063231693</v>
      </c>
      <c r="AT58" s="126">
        <f>'Расходы на ЗП ОТ'!AT58</f>
        <v>561.77884063231693</v>
      </c>
      <c r="AU58" s="126">
        <f>'Расходы на ЗП ОТ'!AU58</f>
        <v>561.77884063231693</v>
      </c>
      <c r="AV58" s="126" t="str">
        <f t="shared" si="46"/>
        <v>НДФЛ итого</v>
      </c>
      <c r="AW58" s="126">
        <f t="shared" si="0"/>
        <v>0</v>
      </c>
      <c r="AX58" s="126">
        <f t="shared" si="1"/>
        <v>1229.28</v>
      </c>
      <c r="AY58" s="126">
        <f t="shared" si="2"/>
        <v>1315.3296</v>
      </c>
      <c r="AZ58" s="126">
        <f t="shared" si="3"/>
        <v>1407.4026720000002</v>
      </c>
      <c r="BA58" s="126">
        <f t="shared" si="4"/>
        <v>1505.9208590400003</v>
      </c>
      <c r="BB58" s="126">
        <f t="shared" si="5"/>
        <v>1611.3353191728004</v>
      </c>
      <c r="BC58" s="126">
        <f t="shared" si="6"/>
        <v>1724.1287915148964</v>
      </c>
      <c r="BD58" s="126">
        <f t="shared" si="7"/>
        <v>1834.315499561458</v>
      </c>
      <c r="BE58" s="126">
        <f t="shared" si="8"/>
        <v>1962.7175845307597</v>
      </c>
      <c r="BF58" s="126">
        <f t="shared" si="9"/>
        <v>2100.1078154479133</v>
      </c>
      <c r="BG58" s="126">
        <f t="shared" si="10"/>
        <v>2247.1153625292677</v>
      </c>
    </row>
    <row r="59" spans="1:59" x14ac:dyDescent="0.3">
      <c r="BF59" s="139"/>
    </row>
    <row r="60" spans="1:59" s="135" customFormat="1" x14ac:dyDescent="0.3">
      <c r="A60" s="140" t="s">
        <v>179</v>
      </c>
      <c r="B60" s="140"/>
      <c r="C60" s="140"/>
      <c r="D60" s="105" t="str">
        <f>D1</f>
        <v>I кв. 1 г.</v>
      </c>
      <c r="E60" s="105" t="str">
        <f t="shared" ref="E60:AQ60" si="67">E1</f>
        <v>II кв. 1 г.</v>
      </c>
      <c r="F60" s="105" t="str">
        <f t="shared" si="67"/>
        <v>III кв. 1 г.</v>
      </c>
      <c r="G60" s="105" t="str">
        <f t="shared" si="67"/>
        <v>IV кв. 1 г.</v>
      </c>
      <c r="H60" s="105" t="str">
        <f t="shared" si="67"/>
        <v>I кв. 2 г.</v>
      </c>
      <c r="I60" s="105" t="str">
        <f t="shared" si="67"/>
        <v>II кв. 2 г.</v>
      </c>
      <c r="J60" s="105" t="str">
        <f t="shared" si="67"/>
        <v>III кв. 2 г.</v>
      </c>
      <c r="K60" s="105" t="str">
        <f t="shared" si="67"/>
        <v>IV кв. 2 г.</v>
      </c>
      <c r="L60" s="105" t="str">
        <f t="shared" si="67"/>
        <v>I кв. 3 г.</v>
      </c>
      <c r="M60" s="105" t="str">
        <f t="shared" si="67"/>
        <v>II кв. 3 г.</v>
      </c>
      <c r="N60" s="105" t="str">
        <f t="shared" si="67"/>
        <v>III кв. 3 г.</v>
      </c>
      <c r="O60" s="105" t="str">
        <f t="shared" si="67"/>
        <v>IV кв. 3 г.</v>
      </c>
      <c r="P60" s="105" t="str">
        <f t="shared" si="67"/>
        <v>I кв. 4 г.</v>
      </c>
      <c r="Q60" s="105" t="str">
        <f t="shared" si="67"/>
        <v>II кв. 4 г.</v>
      </c>
      <c r="R60" s="105" t="str">
        <f t="shared" si="67"/>
        <v>III кв. 4 г.</v>
      </c>
      <c r="S60" s="105" t="str">
        <f t="shared" si="67"/>
        <v>IV кв. 4 г.</v>
      </c>
      <c r="T60" s="105" t="str">
        <f t="shared" si="67"/>
        <v>I кв. 5 г.</v>
      </c>
      <c r="U60" s="105" t="str">
        <f t="shared" si="67"/>
        <v>II кв. 5 г.</v>
      </c>
      <c r="V60" s="105" t="str">
        <f t="shared" si="67"/>
        <v>III кв. 5 г.</v>
      </c>
      <c r="W60" s="105" t="str">
        <f t="shared" si="67"/>
        <v>IV кв. 5 г.</v>
      </c>
      <c r="X60" s="105" t="str">
        <f t="shared" si="67"/>
        <v>I кв. 6 г.</v>
      </c>
      <c r="Y60" s="105" t="str">
        <f t="shared" si="67"/>
        <v>II кв. 6 г.</v>
      </c>
      <c r="Z60" s="105" t="str">
        <f t="shared" si="67"/>
        <v>III кв. 6 г.</v>
      </c>
      <c r="AA60" s="105" t="str">
        <f t="shared" si="67"/>
        <v>IV кв. 6 г.</v>
      </c>
      <c r="AB60" s="105" t="str">
        <f t="shared" si="67"/>
        <v>I кв. 7 г.</v>
      </c>
      <c r="AC60" s="105" t="str">
        <f t="shared" si="67"/>
        <v>II кв. 7 г.</v>
      </c>
      <c r="AD60" s="105" t="str">
        <f t="shared" si="67"/>
        <v>III кв. 7 г.</v>
      </c>
      <c r="AE60" s="105" t="str">
        <f t="shared" si="67"/>
        <v>IV кв. 7 г.</v>
      </c>
      <c r="AF60" s="105" t="str">
        <f t="shared" si="67"/>
        <v>I кв. 8 г.</v>
      </c>
      <c r="AG60" s="105" t="str">
        <f t="shared" si="67"/>
        <v>II кв. 8 г.</v>
      </c>
      <c r="AH60" s="105" t="str">
        <f t="shared" si="67"/>
        <v>III кв. 8 г.</v>
      </c>
      <c r="AI60" s="105" t="str">
        <f t="shared" si="67"/>
        <v>IV кв. 8 г.</v>
      </c>
      <c r="AJ60" s="105" t="str">
        <f t="shared" si="67"/>
        <v>I кв. 9 г.</v>
      </c>
      <c r="AK60" s="105" t="str">
        <f t="shared" si="67"/>
        <v>II кв. 9 г.</v>
      </c>
      <c r="AL60" s="105" t="str">
        <f t="shared" si="67"/>
        <v>III кв. 9 г.</v>
      </c>
      <c r="AM60" s="105" t="str">
        <f t="shared" si="67"/>
        <v>IV кв. 9 г.</v>
      </c>
      <c r="AN60" s="105" t="str">
        <f t="shared" si="67"/>
        <v>I кв. 10 г.</v>
      </c>
      <c r="AO60" s="105" t="str">
        <f t="shared" si="67"/>
        <v>II кв. 10 г.</v>
      </c>
      <c r="AP60" s="105" t="str">
        <f t="shared" si="67"/>
        <v>III кв. 10 г.</v>
      </c>
      <c r="AQ60" s="105" t="str">
        <f t="shared" si="67"/>
        <v>IV кв. 10 г.</v>
      </c>
      <c r="AR60" s="105" t="str">
        <f t="shared" ref="AR60:AU60" si="68">AR1</f>
        <v>I кв. 11 г.</v>
      </c>
      <c r="AS60" s="105" t="str">
        <f t="shared" si="68"/>
        <v>II кв. 11 г.</v>
      </c>
      <c r="AT60" s="105" t="str">
        <f t="shared" si="68"/>
        <v>III кв. 11 г.</v>
      </c>
      <c r="AU60" s="105" t="str">
        <f t="shared" si="68"/>
        <v>IV кв. 11 г.</v>
      </c>
    </row>
    <row r="61" spans="1:59" x14ac:dyDescent="0.3">
      <c r="A61" s="141" t="s">
        <v>198</v>
      </c>
      <c r="B61" s="142">
        <f>'Расходы на ЗП ОТ'!B60</f>
        <v>3.0000000000000001E-3</v>
      </c>
      <c r="C61" s="143"/>
      <c r="D61" s="141">
        <f>D53</f>
        <v>0</v>
      </c>
      <c r="E61" s="141">
        <f t="shared" ref="E61:AQ61" si="69">E53</f>
        <v>0</v>
      </c>
      <c r="F61" s="141">
        <f t="shared" si="69"/>
        <v>0</v>
      </c>
      <c r="G61" s="141">
        <f t="shared" si="69"/>
        <v>0</v>
      </c>
      <c r="H61" s="144">
        <f t="shared" si="69"/>
        <v>7.0920000000000005</v>
      </c>
      <c r="I61" s="144">
        <f t="shared" si="69"/>
        <v>7.0920000000000005</v>
      </c>
      <c r="J61" s="144">
        <f t="shared" si="69"/>
        <v>7.0920000000000005</v>
      </c>
      <c r="K61" s="144">
        <f t="shared" si="69"/>
        <v>7.0920000000000005</v>
      </c>
      <c r="L61" s="144">
        <f t="shared" si="69"/>
        <v>7.5884400000000003</v>
      </c>
      <c r="M61" s="144">
        <f t="shared" si="69"/>
        <v>7.5884400000000003</v>
      </c>
      <c r="N61" s="144">
        <f t="shared" si="69"/>
        <v>7.5884400000000003</v>
      </c>
      <c r="O61" s="144">
        <f t="shared" si="69"/>
        <v>7.5884400000000003</v>
      </c>
      <c r="P61" s="144">
        <f t="shared" si="69"/>
        <v>8.1196308000000013</v>
      </c>
      <c r="Q61" s="144">
        <f t="shared" si="69"/>
        <v>8.1196308000000013</v>
      </c>
      <c r="R61" s="144">
        <f t="shared" si="69"/>
        <v>8.1196308000000013</v>
      </c>
      <c r="S61" s="144">
        <f t="shared" si="69"/>
        <v>8.1196308000000013</v>
      </c>
      <c r="T61" s="144">
        <f t="shared" si="69"/>
        <v>8.6880049560000021</v>
      </c>
      <c r="U61" s="144">
        <f t="shared" si="69"/>
        <v>8.6880049560000021</v>
      </c>
      <c r="V61" s="144">
        <f t="shared" si="69"/>
        <v>8.6880049560000021</v>
      </c>
      <c r="W61" s="144">
        <f t="shared" si="69"/>
        <v>8.6880049560000021</v>
      </c>
      <c r="X61" s="144">
        <f t="shared" si="69"/>
        <v>9.2961653029200022</v>
      </c>
      <c r="Y61" s="144">
        <f t="shared" si="69"/>
        <v>9.2961653029200022</v>
      </c>
      <c r="Z61" s="144">
        <f t="shared" si="69"/>
        <v>9.2961653029200022</v>
      </c>
      <c r="AA61" s="144">
        <f t="shared" si="69"/>
        <v>9.2961653029200022</v>
      </c>
      <c r="AB61" s="144">
        <f t="shared" si="69"/>
        <v>9.9468968741244019</v>
      </c>
      <c r="AC61" s="144">
        <f t="shared" si="69"/>
        <v>9.9468968741244019</v>
      </c>
      <c r="AD61" s="144">
        <f t="shared" si="69"/>
        <v>9.9468968741244019</v>
      </c>
      <c r="AE61" s="144">
        <f t="shared" si="69"/>
        <v>9.9468968741244019</v>
      </c>
      <c r="AF61" s="144">
        <f t="shared" si="69"/>
        <v>10.582589420546872</v>
      </c>
      <c r="AG61" s="144">
        <f t="shared" si="69"/>
        <v>10.582589420546872</v>
      </c>
      <c r="AH61" s="144">
        <f t="shared" si="69"/>
        <v>10.582589420546872</v>
      </c>
      <c r="AI61" s="144">
        <f t="shared" si="69"/>
        <v>10.582589420546872</v>
      </c>
      <c r="AJ61" s="144">
        <f t="shared" si="69"/>
        <v>11.323370679985151</v>
      </c>
      <c r="AK61" s="144">
        <f t="shared" si="69"/>
        <v>11.323370679985151</v>
      </c>
      <c r="AL61" s="144">
        <f t="shared" si="69"/>
        <v>11.323370679985151</v>
      </c>
      <c r="AM61" s="144">
        <f t="shared" si="69"/>
        <v>11.323370679985151</v>
      </c>
      <c r="AN61" s="144">
        <f t="shared" si="69"/>
        <v>12.116006627584115</v>
      </c>
      <c r="AO61" s="144">
        <f t="shared" si="69"/>
        <v>12.116006627584115</v>
      </c>
      <c r="AP61" s="144">
        <f t="shared" si="69"/>
        <v>12.116006627584115</v>
      </c>
      <c r="AQ61" s="144">
        <f t="shared" si="69"/>
        <v>12.116006627584115</v>
      </c>
      <c r="AR61" s="144">
        <f t="shared" ref="AR61:AU61" si="70">AR53</f>
        <v>12.964127091515</v>
      </c>
      <c r="AS61" s="144">
        <f t="shared" si="70"/>
        <v>12.964127091515</v>
      </c>
      <c r="AT61" s="144">
        <f t="shared" si="70"/>
        <v>12.964127091515</v>
      </c>
      <c r="AU61" s="144">
        <f t="shared" si="70"/>
        <v>12.964127091515</v>
      </c>
    </row>
    <row r="62" spans="1:59" x14ac:dyDescent="0.3">
      <c r="A62" s="141" t="s">
        <v>182</v>
      </c>
      <c r="B62" s="145">
        <f>SUM(B64:B66)</f>
        <v>0.3</v>
      </c>
      <c r="C62" s="143"/>
      <c r="D62" s="141">
        <f>D51</f>
        <v>0</v>
      </c>
      <c r="E62" s="141">
        <f t="shared" ref="E62:AI62" si="71">E51</f>
        <v>0</v>
      </c>
      <c r="F62" s="141">
        <f t="shared" si="71"/>
        <v>0</v>
      </c>
      <c r="G62" s="141">
        <f t="shared" si="71"/>
        <v>0</v>
      </c>
      <c r="H62" s="144">
        <f t="shared" si="71"/>
        <v>709.2</v>
      </c>
      <c r="I62" s="144">
        <f t="shared" si="71"/>
        <v>709.2</v>
      </c>
      <c r="J62" s="144">
        <f t="shared" si="71"/>
        <v>709.2</v>
      </c>
      <c r="K62" s="144">
        <f t="shared" si="71"/>
        <v>709.2</v>
      </c>
      <c r="L62" s="144">
        <f t="shared" si="71"/>
        <v>758.84400000000005</v>
      </c>
      <c r="M62" s="144">
        <f t="shared" si="71"/>
        <v>758.84400000000005</v>
      </c>
      <c r="N62" s="144">
        <f t="shared" si="71"/>
        <v>758.84400000000005</v>
      </c>
      <c r="O62" s="144">
        <f t="shared" si="71"/>
        <v>758.84400000000005</v>
      </c>
      <c r="P62" s="144">
        <f t="shared" si="71"/>
        <v>811.96307999999999</v>
      </c>
      <c r="Q62" s="144">
        <f t="shared" si="71"/>
        <v>811.96307999999999</v>
      </c>
      <c r="R62" s="144">
        <f t="shared" si="71"/>
        <v>811.96307999999999</v>
      </c>
      <c r="S62" s="144">
        <f t="shared" si="71"/>
        <v>811.96307999999999</v>
      </c>
      <c r="T62" s="144">
        <f t="shared" si="71"/>
        <v>868.8004956000002</v>
      </c>
      <c r="U62" s="144">
        <f t="shared" si="71"/>
        <v>868.8004956000002</v>
      </c>
      <c r="V62" s="144">
        <f t="shared" si="71"/>
        <v>868.8004956000002</v>
      </c>
      <c r="W62" s="144">
        <f t="shared" si="71"/>
        <v>868.8004956000002</v>
      </c>
      <c r="X62" s="144">
        <f t="shared" si="71"/>
        <v>929.61653029200022</v>
      </c>
      <c r="Y62" s="144">
        <f t="shared" si="71"/>
        <v>929.61653029200022</v>
      </c>
      <c r="Z62" s="144">
        <f t="shared" si="71"/>
        <v>929.61653029200022</v>
      </c>
      <c r="AA62" s="144">
        <f t="shared" si="71"/>
        <v>929.61653029200022</v>
      </c>
      <c r="AB62" s="144">
        <f t="shared" si="71"/>
        <v>994.68968741244021</v>
      </c>
      <c r="AC62" s="144">
        <f t="shared" si="71"/>
        <v>994.68968741244021</v>
      </c>
      <c r="AD62" s="144">
        <f t="shared" si="71"/>
        <v>994.68968741244021</v>
      </c>
      <c r="AE62" s="144">
        <f t="shared" si="71"/>
        <v>994.68968741244021</v>
      </c>
      <c r="AF62" s="144">
        <f t="shared" si="71"/>
        <v>1058.2589420546872</v>
      </c>
      <c r="AG62" s="144">
        <f t="shared" si="71"/>
        <v>1058.2589420546872</v>
      </c>
      <c r="AH62" s="144">
        <f t="shared" si="71"/>
        <v>1058.2589420546872</v>
      </c>
      <c r="AI62" s="144">
        <f t="shared" si="71"/>
        <v>1058.2589420546872</v>
      </c>
      <c r="AJ62" s="144">
        <f>AJ51</f>
        <v>1132.3370679985151</v>
      </c>
      <c r="AK62" s="144">
        <f t="shared" ref="AK62:AQ62" si="72">AK51</f>
        <v>1132.3370679985151</v>
      </c>
      <c r="AL62" s="144">
        <f t="shared" si="72"/>
        <v>1132.3370679985151</v>
      </c>
      <c r="AM62" s="144">
        <f t="shared" si="72"/>
        <v>1132.3370679985151</v>
      </c>
      <c r="AN62" s="144">
        <f t="shared" si="72"/>
        <v>1211.6006627584115</v>
      </c>
      <c r="AO62" s="144">
        <f t="shared" si="72"/>
        <v>1211.6006627584115</v>
      </c>
      <c r="AP62" s="144">
        <f t="shared" si="72"/>
        <v>1211.6006627584115</v>
      </c>
      <c r="AQ62" s="144">
        <f t="shared" si="72"/>
        <v>1211.6006627584115</v>
      </c>
      <c r="AR62" s="144">
        <f t="shared" ref="AR62:AU62" si="73">AR51</f>
        <v>1296.4127091515002</v>
      </c>
      <c r="AS62" s="144">
        <f t="shared" si="73"/>
        <v>1296.4127091515002</v>
      </c>
      <c r="AT62" s="144">
        <f t="shared" si="73"/>
        <v>1296.4127091515002</v>
      </c>
      <c r="AU62" s="144">
        <f t="shared" si="73"/>
        <v>1296.4127091515002</v>
      </c>
    </row>
    <row r="63" spans="1:59" x14ac:dyDescent="0.3">
      <c r="A63" s="141" t="s">
        <v>183</v>
      </c>
      <c r="B63" s="141"/>
      <c r="C63" s="143" t="s">
        <v>199</v>
      </c>
      <c r="D63" s="141">
        <f>SUM(D64:D66)</f>
        <v>0</v>
      </c>
      <c r="E63" s="141">
        <f t="shared" ref="E63:AL63" si="74">SUM(E64:E66)</f>
        <v>0</v>
      </c>
      <c r="F63" s="141">
        <f t="shared" si="74"/>
        <v>0</v>
      </c>
      <c r="G63" s="141">
        <f t="shared" si="74"/>
        <v>0</v>
      </c>
      <c r="H63" s="144">
        <f t="shared" si="74"/>
        <v>709.2</v>
      </c>
      <c r="I63" s="144">
        <f t="shared" si="74"/>
        <v>709.2</v>
      </c>
      <c r="J63" s="144">
        <f t="shared" si="74"/>
        <v>709.2</v>
      </c>
      <c r="K63" s="144">
        <f t="shared" si="74"/>
        <v>709.2</v>
      </c>
      <c r="L63" s="144">
        <f t="shared" si="74"/>
        <v>758.84399999999994</v>
      </c>
      <c r="M63" s="144">
        <f t="shared" si="74"/>
        <v>758.84399999999994</v>
      </c>
      <c r="N63" s="144">
        <f t="shared" si="74"/>
        <v>758.84399999999994</v>
      </c>
      <c r="O63" s="144">
        <f t="shared" si="74"/>
        <v>758.84399999999994</v>
      </c>
      <c r="P63" s="144">
        <f t="shared" si="74"/>
        <v>811.9630800000001</v>
      </c>
      <c r="Q63" s="144">
        <f t="shared" si="74"/>
        <v>811.9630800000001</v>
      </c>
      <c r="R63" s="144">
        <f t="shared" si="74"/>
        <v>811.9630800000001</v>
      </c>
      <c r="S63" s="144">
        <f t="shared" si="74"/>
        <v>811.9630800000001</v>
      </c>
      <c r="T63" s="144">
        <f t="shared" si="74"/>
        <v>868.80049560000009</v>
      </c>
      <c r="U63" s="144">
        <f t="shared" si="74"/>
        <v>868.80049560000009</v>
      </c>
      <c r="V63" s="144">
        <f t="shared" si="74"/>
        <v>868.80049560000009</v>
      </c>
      <c r="W63" s="144">
        <f t="shared" si="74"/>
        <v>868.80049560000009</v>
      </c>
      <c r="X63" s="144">
        <f t="shared" si="74"/>
        <v>929.61653029200011</v>
      </c>
      <c r="Y63" s="144">
        <f t="shared" si="74"/>
        <v>929.61653029200011</v>
      </c>
      <c r="Z63" s="144">
        <f t="shared" si="74"/>
        <v>929.61653029200011</v>
      </c>
      <c r="AA63" s="144">
        <f t="shared" si="74"/>
        <v>929.61653029200011</v>
      </c>
      <c r="AB63" s="144">
        <f t="shared" si="74"/>
        <v>994.68968741244032</v>
      </c>
      <c r="AC63" s="144">
        <f t="shared" si="74"/>
        <v>994.68968741244032</v>
      </c>
      <c r="AD63" s="144">
        <f t="shared" si="74"/>
        <v>994.68968741244032</v>
      </c>
      <c r="AE63" s="144">
        <f t="shared" si="74"/>
        <v>994.68968741244032</v>
      </c>
      <c r="AF63" s="144">
        <f t="shared" si="74"/>
        <v>1058.2589420546874</v>
      </c>
      <c r="AG63" s="144">
        <f t="shared" si="74"/>
        <v>1058.2589420546874</v>
      </c>
      <c r="AH63" s="144">
        <f t="shared" si="74"/>
        <v>1058.2589420546874</v>
      </c>
      <c r="AI63" s="144">
        <f t="shared" si="74"/>
        <v>1058.2589420546874</v>
      </c>
      <c r="AJ63" s="146">
        <f t="shared" si="74"/>
        <v>1132.3370679985153</v>
      </c>
      <c r="AK63" s="146">
        <f t="shared" si="74"/>
        <v>1132.3370679985153</v>
      </c>
      <c r="AL63" s="146">
        <f t="shared" si="74"/>
        <v>1132.3370679985153</v>
      </c>
      <c r="AM63" s="146">
        <f>SUM(AM64:AM66)</f>
        <v>1132.3370679985153</v>
      </c>
      <c r="AN63" s="146">
        <f>SUM(AN64:AN66)</f>
        <v>1211.6006627584115</v>
      </c>
      <c r="AO63" s="146">
        <f t="shared" ref="AO63:AQ63" si="75">SUM(AO64:AO66)</f>
        <v>1211.6006627584115</v>
      </c>
      <c r="AP63" s="146">
        <f t="shared" si="75"/>
        <v>1211.6006627584115</v>
      </c>
      <c r="AQ63" s="144">
        <f t="shared" si="75"/>
        <v>1211.6006627584115</v>
      </c>
      <c r="AR63" s="144">
        <f t="shared" ref="AR63:AU63" si="76">SUM(AR64:AR66)</f>
        <v>1296.4127091514999</v>
      </c>
      <c r="AS63" s="144">
        <f t="shared" si="76"/>
        <v>1296.4127091514999</v>
      </c>
      <c r="AT63" s="144">
        <f t="shared" si="76"/>
        <v>1296.4127091514999</v>
      </c>
      <c r="AU63" s="144">
        <f t="shared" si="76"/>
        <v>1296.4127091514999</v>
      </c>
    </row>
    <row r="64" spans="1:59" x14ac:dyDescent="0.3">
      <c r="A64" s="141" t="s">
        <v>200</v>
      </c>
      <c r="B64" s="147">
        <v>0.22</v>
      </c>
      <c r="C64" s="143"/>
      <c r="D64" s="141">
        <f>D49*0.06</f>
        <v>0</v>
      </c>
      <c r="E64" s="141">
        <f t="shared" ref="E64:G64" si="77">E49*0.06</f>
        <v>0</v>
      </c>
      <c r="F64" s="141">
        <f t="shared" si="77"/>
        <v>0</v>
      </c>
      <c r="G64" s="141">
        <f t="shared" si="77"/>
        <v>0</v>
      </c>
      <c r="H64" s="144">
        <f>H49*$B$64</f>
        <v>520.08000000000004</v>
      </c>
      <c r="I64" s="144">
        <f t="shared" ref="I64:AU64" si="78">I49*$B$64</f>
        <v>520.08000000000004</v>
      </c>
      <c r="J64" s="144">
        <f t="shared" si="78"/>
        <v>520.08000000000004</v>
      </c>
      <c r="K64" s="144">
        <f t="shared" si="78"/>
        <v>520.08000000000004</v>
      </c>
      <c r="L64" s="144">
        <f t="shared" si="78"/>
        <v>556.48559999999998</v>
      </c>
      <c r="M64" s="144">
        <f t="shared" si="78"/>
        <v>556.48559999999998</v>
      </c>
      <c r="N64" s="144">
        <f t="shared" si="78"/>
        <v>556.48559999999998</v>
      </c>
      <c r="O64" s="144">
        <f t="shared" si="78"/>
        <v>556.48559999999998</v>
      </c>
      <c r="P64" s="144">
        <f t="shared" si="78"/>
        <v>595.43959200000006</v>
      </c>
      <c r="Q64" s="144">
        <f t="shared" si="78"/>
        <v>595.43959200000006</v>
      </c>
      <c r="R64" s="144">
        <f t="shared" si="78"/>
        <v>595.43959200000006</v>
      </c>
      <c r="S64" s="144">
        <f t="shared" si="78"/>
        <v>595.43959200000006</v>
      </c>
      <c r="T64" s="144">
        <f t="shared" si="78"/>
        <v>637.12036344000012</v>
      </c>
      <c r="U64" s="144">
        <f t="shared" si="78"/>
        <v>637.12036344000012</v>
      </c>
      <c r="V64" s="144">
        <f t="shared" si="78"/>
        <v>637.12036344000012</v>
      </c>
      <c r="W64" s="144">
        <f t="shared" si="78"/>
        <v>637.12036344000012</v>
      </c>
      <c r="X64" s="144">
        <f t="shared" si="78"/>
        <v>681.71878888080016</v>
      </c>
      <c r="Y64" s="144">
        <f t="shared" si="78"/>
        <v>681.71878888080016</v>
      </c>
      <c r="Z64" s="144">
        <f t="shared" si="78"/>
        <v>681.71878888080016</v>
      </c>
      <c r="AA64" s="144">
        <f t="shared" si="78"/>
        <v>681.71878888080016</v>
      </c>
      <c r="AB64" s="144">
        <f t="shared" si="78"/>
        <v>729.43910410245621</v>
      </c>
      <c r="AC64" s="144">
        <f t="shared" si="78"/>
        <v>729.43910410245621</v>
      </c>
      <c r="AD64" s="144">
        <f t="shared" si="78"/>
        <v>729.43910410245621</v>
      </c>
      <c r="AE64" s="144">
        <f t="shared" si="78"/>
        <v>729.43910410245621</v>
      </c>
      <c r="AF64" s="144">
        <f t="shared" si="78"/>
        <v>776.05655750677067</v>
      </c>
      <c r="AG64" s="144">
        <f t="shared" si="78"/>
        <v>776.05655750677067</v>
      </c>
      <c r="AH64" s="144">
        <f t="shared" si="78"/>
        <v>776.05655750677067</v>
      </c>
      <c r="AI64" s="144">
        <f t="shared" si="78"/>
        <v>776.05655750677067</v>
      </c>
      <c r="AJ64" s="144">
        <f t="shared" si="78"/>
        <v>830.38051653224454</v>
      </c>
      <c r="AK64" s="144">
        <f t="shared" si="78"/>
        <v>830.38051653224454</v>
      </c>
      <c r="AL64" s="144">
        <f t="shared" si="78"/>
        <v>830.38051653224454</v>
      </c>
      <c r="AM64" s="144">
        <f t="shared" si="78"/>
        <v>830.38051653224454</v>
      </c>
      <c r="AN64" s="144">
        <f t="shared" si="78"/>
        <v>888.50715268950182</v>
      </c>
      <c r="AO64" s="144">
        <f t="shared" si="78"/>
        <v>888.50715268950182</v>
      </c>
      <c r="AP64" s="144">
        <f t="shared" si="78"/>
        <v>888.50715268950182</v>
      </c>
      <c r="AQ64" s="144">
        <f t="shared" si="78"/>
        <v>888.50715268950182</v>
      </c>
      <c r="AR64" s="144">
        <f t="shared" si="78"/>
        <v>950.70265337776664</v>
      </c>
      <c r="AS64" s="144">
        <f t="shared" si="78"/>
        <v>950.70265337776664</v>
      </c>
      <c r="AT64" s="144">
        <f t="shared" si="78"/>
        <v>950.70265337776664</v>
      </c>
      <c r="AU64" s="144">
        <f t="shared" si="78"/>
        <v>950.70265337776664</v>
      </c>
    </row>
    <row r="65" spans="1:47" ht="43.2" x14ac:dyDescent="0.3">
      <c r="A65" s="141" t="s">
        <v>201</v>
      </c>
      <c r="B65" s="142">
        <v>2.9000000000000001E-2</v>
      </c>
      <c r="C65" s="143"/>
      <c r="D65" s="141">
        <f>D49*$B$65</f>
        <v>0</v>
      </c>
      <c r="E65" s="141">
        <f t="shared" ref="E65:AQ65" si="79">E49*$B$65</f>
        <v>0</v>
      </c>
      <c r="F65" s="141">
        <f t="shared" si="79"/>
        <v>0</v>
      </c>
      <c r="G65" s="141">
        <f t="shared" si="79"/>
        <v>0</v>
      </c>
      <c r="H65" s="141">
        <f t="shared" si="79"/>
        <v>68.555999999999997</v>
      </c>
      <c r="I65" s="148">
        <f t="shared" si="79"/>
        <v>68.555999999999997</v>
      </c>
      <c r="J65" s="148">
        <f t="shared" si="79"/>
        <v>68.555999999999997</v>
      </c>
      <c r="K65" s="148">
        <f t="shared" si="79"/>
        <v>68.555999999999997</v>
      </c>
      <c r="L65" s="148">
        <f t="shared" si="79"/>
        <v>73.354920000000007</v>
      </c>
      <c r="M65" s="148">
        <f t="shared" si="79"/>
        <v>73.354920000000007</v>
      </c>
      <c r="N65" s="148">
        <f t="shared" si="79"/>
        <v>73.354920000000007</v>
      </c>
      <c r="O65" s="148">
        <f t="shared" si="79"/>
        <v>73.354920000000007</v>
      </c>
      <c r="P65" s="148">
        <f t="shared" si="79"/>
        <v>78.489764400000013</v>
      </c>
      <c r="Q65" s="148">
        <f t="shared" si="79"/>
        <v>78.489764400000013</v>
      </c>
      <c r="R65" s="148">
        <f t="shared" si="79"/>
        <v>78.489764400000013</v>
      </c>
      <c r="S65" s="148">
        <f t="shared" si="79"/>
        <v>78.489764400000013</v>
      </c>
      <c r="T65" s="148">
        <f t="shared" si="79"/>
        <v>83.984047908000022</v>
      </c>
      <c r="U65" s="148">
        <f t="shared" si="79"/>
        <v>83.984047908000022</v>
      </c>
      <c r="V65" s="148">
        <f t="shared" si="79"/>
        <v>83.984047908000022</v>
      </c>
      <c r="W65" s="148">
        <f t="shared" si="79"/>
        <v>83.984047908000022</v>
      </c>
      <c r="X65" s="148">
        <f t="shared" si="79"/>
        <v>89.862931261560021</v>
      </c>
      <c r="Y65" s="148">
        <f t="shared" si="79"/>
        <v>89.862931261560021</v>
      </c>
      <c r="Z65" s="148">
        <f t="shared" si="79"/>
        <v>89.862931261560021</v>
      </c>
      <c r="AA65" s="148">
        <f t="shared" si="79"/>
        <v>89.862931261560021</v>
      </c>
      <c r="AB65" s="148">
        <f t="shared" si="79"/>
        <v>96.153336449869229</v>
      </c>
      <c r="AC65" s="148">
        <f t="shared" si="79"/>
        <v>96.153336449869229</v>
      </c>
      <c r="AD65" s="148">
        <f t="shared" si="79"/>
        <v>96.153336449869229</v>
      </c>
      <c r="AE65" s="148">
        <f t="shared" si="79"/>
        <v>96.153336449869229</v>
      </c>
      <c r="AF65" s="148">
        <f t="shared" si="79"/>
        <v>102.29836439861977</v>
      </c>
      <c r="AG65" s="148">
        <f t="shared" si="79"/>
        <v>102.29836439861977</v>
      </c>
      <c r="AH65" s="148">
        <f t="shared" si="79"/>
        <v>102.29836439861977</v>
      </c>
      <c r="AI65" s="148">
        <f t="shared" si="79"/>
        <v>102.29836439861977</v>
      </c>
      <c r="AJ65" s="148">
        <f t="shared" si="79"/>
        <v>109.45924990652314</v>
      </c>
      <c r="AK65" s="148">
        <f t="shared" si="79"/>
        <v>109.45924990652314</v>
      </c>
      <c r="AL65" s="148">
        <f t="shared" si="79"/>
        <v>109.45924990652314</v>
      </c>
      <c r="AM65" s="148">
        <f t="shared" si="79"/>
        <v>109.45924990652314</v>
      </c>
      <c r="AN65" s="148">
        <f t="shared" si="79"/>
        <v>117.12139739997978</v>
      </c>
      <c r="AO65" s="148">
        <f t="shared" si="79"/>
        <v>117.12139739997978</v>
      </c>
      <c r="AP65" s="148">
        <f t="shared" si="79"/>
        <v>117.12139739997978</v>
      </c>
      <c r="AQ65" s="148">
        <f t="shared" si="79"/>
        <v>117.12139739997978</v>
      </c>
      <c r="AR65" s="148">
        <f t="shared" ref="AR65:AU65" si="80">AR49*$B$65</f>
        <v>125.31989521797834</v>
      </c>
      <c r="AS65" s="148">
        <f t="shared" si="80"/>
        <v>125.31989521797834</v>
      </c>
      <c r="AT65" s="148">
        <f t="shared" si="80"/>
        <v>125.31989521797834</v>
      </c>
      <c r="AU65" s="148">
        <f t="shared" si="80"/>
        <v>125.31989521797834</v>
      </c>
    </row>
    <row r="66" spans="1:47" ht="28.8" x14ac:dyDescent="0.3">
      <c r="A66" s="141" t="s">
        <v>202</v>
      </c>
      <c r="B66" s="142">
        <v>5.0999999999999997E-2</v>
      </c>
      <c r="C66" s="143"/>
      <c r="D66" s="141">
        <f>D49*0.001</f>
        <v>0</v>
      </c>
      <c r="E66" s="141">
        <f t="shared" ref="E66:G66" si="81">E49*0.001</f>
        <v>0</v>
      </c>
      <c r="F66" s="141">
        <f t="shared" si="81"/>
        <v>0</v>
      </c>
      <c r="G66" s="141">
        <f t="shared" si="81"/>
        <v>0</v>
      </c>
      <c r="H66" s="144">
        <f>H49*$B$66</f>
        <v>120.56399999999999</v>
      </c>
      <c r="I66" s="144">
        <f t="shared" ref="I66:AU66" si="82">I49*$B$66</f>
        <v>120.56399999999999</v>
      </c>
      <c r="J66" s="144">
        <f t="shared" si="82"/>
        <v>120.56399999999999</v>
      </c>
      <c r="K66" s="144">
        <f t="shared" si="82"/>
        <v>120.56399999999999</v>
      </c>
      <c r="L66" s="144">
        <f t="shared" si="82"/>
        <v>129.00348</v>
      </c>
      <c r="M66" s="144">
        <f t="shared" si="82"/>
        <v>129.00348</v>
      </c>
      <c r="N66" s="144">
        <f t="shared" si="82"/>
        <v>129.00348</v>
      </c>
      <c r="O66" s="144">
        <f t="shared" si="82"/>
        <v>129.00348</v>
      </c>
      <c r="P66" s="144">
        <f t="shared" si="82"/>
        <v>138.0337236</v>
      </c>
      <c r="Q66" s="144">
        <f t="shared" si="82"/>
        <v>138.0337236</v>
      </c>
      <c r="R66" s="144">
        <f t="shared" si="82"/>
        <v>138.0337236</v>
      </c>
      <c r="S66" s="144">
        <f t="shared" si="82"/>
        <v>138.0337236</v>
      </c>
      <c r="T66" s="144">
        <f t="shared" si="82"/>
        <v>147.69608425200002</v>
      </c>
      <c r="U66" s="144">
        <f t="shared" si="82"/>
        <v>147.69608425200002</v>
      </c>
      <c r="V66" s="144">
        <f t="shared" si="82"/>
        <v>147.69608425200002</v>
      </c>
      <c r="W66" s="144">
        <f t="shared" si="82"/>
        <v>147.69608425200002</v>
      </c>
      <c r="X66" s="144">
        <f t="shared" si="82"/>
        <v>158.03481014964001</v>
      </c>
      <c r="Y66" s="144">
        <f t="shared" si="82"/>
        <v>158.03481014964001</v>
      </c>
      <c r="Z66" s="144">
        <f t="shared" si="82"/>
        <v>158.03481014964001</v>
      </c>
      <c r="AA66" s="144">
        <f t="shared" si="82"/>
        <v>158.03481014964001</v>
      </c>
      <c r="AB66" s="144">
        <f t="shared" si="82"/>
        <v>169.09724686011484</v>
      </c>
      <c r="AC66" s="144">
        <f t="shared" si="82"/>
        <v>169.09724686011484</v>
      </c>
      <c r="AD66" s="144">
        <f t="shared" si="82"/>
        <v>169.09724686011484</v>
      </c>
      <c r="AE66" s="144">
        <f t="shared" si="82"/>
        <v>169.09724686011484</v>
      </c>
      <c r="AF66" s="144">
        <f t="shared" si="82"/>
        <v>179.90402014929683</v>
      </c>
      <c r="AG66" s="144">
        <f t="shared" si="82"/>
        <v>179.90402014929683</v>
      </c>
      <c r="AH66" s="144">
        <f t="shared" si="82"/>
        <v>179.90402014929683</v>
      </c>
      <c r="AI66" s="144">
        <f t="shared" si="82"/>
        <v>179.90402014929683</v>
      </c>
      <c r="AJ66" s="144">
        <f t="shared" si="82"/>
        <v>192.49730155974757</v>
      </c>
      <c r="AK66" s="144">
        <f t="shared" si="82"/>
        <v>192.49730155974757</v>
      </c>
      <c r="AL66" s="144">
        <f t="shared" si="82"/>
        <v>192.49730155974757</v>
      </c>
      <c r="AM66" s="144">
        <f t="shared" si="82"/>
        <v>192.49730155974757</v>
      </c>
      <c r="AN66" s="144">
        <f t="shared" si="82"/>
        <v>205.97211266892995</v>
      </c>
      <c r="AO66" s="144">
        <f t="shared" si="82"/>
        <v>205.97211266892995</v>
      </c>
      <c r="AP66" s="144">
        <f t="shared" si="82"/>
        <v>205.97211266892995</v>
      </c>
      <c r="AQ66" s="144">
        <f t="shared" si="82"/>
        <v>205.97211266892995</v>
      </c>
      <c r="AR66" s="144">
        <f t="shared" si="82"/>
        <v>220.39016055575499</v>
      </c>
      <c r="AS66" s="144">
        <f t="shared" si="82"/>
        <v>220.39016055575499</v>
      </c>
      <c r="AT66" s="144">
        <f t="shared" si="82"/>
        <v>220.39016055575499</v>
      </c>
      <c r="AU66" s="144">
        <f t="shared" si="82"/>
        <v>220.39016055575499</v>
      </c>
    </row>
    <row r="68" spans="1:47" x14ac:dyDescent="0.3">
      <c r="A68" s="611" t="s">
        <v>179</v>
      </c>
      <c r="B68" s="605" t="str">
        <f>AW1</f>
        <v>1 год</v>
      </c>
      <c r="C68" s="605" t="str">
        <f t="shared" ref="C68:L68" si="83">AX1</f>
        <v>2 год</v>
      </c>
      <c r="D68" s="605" t="str">
        <f t="shared" si="83"/>
        <v>3 год</v>
      </c>
      <c r="E68" s="605" t="str">
        <f t="shared" si="83"/>
        <v>4 год</v>
      </c>
      <c r="F68" s="605" t="str">
        <f t="shared" si="83"/>
        <v>5 год</v>
      </c>
      <c r="G68" s="605" t="str">
        <f t="shared" si="83"/>
        <v>6 год</v>
      </c>
      <c r="H68" s="605" t="str">
        <f t="shared" si="83"/>
        <v>7 год</v>
      </c>
      <c r="I68" s="605" t="str">
        <f t="shared" si="83"/>
        <v>8 год</v>
      </c>
      <c r="J68" s="605" t="str">
        <f t="shared" si="83"/>
        <v>9 год</v>
      </c>
      <c r="K68" s="605" t="str">
        <f t="shared" si="83"/>
        <v>10 год</v>
      </c>
      <c r="L68" s="605" t="str">
        <f t="shared" si="83"/>
        <v>11 год</v>
      </c>
      <c r="M68" s="67"/>
      <c r="N68" s="67"/>
    </row>
    <row r="69" spans="1:47" x14ac:dyDescent="0.3">
      <c r="A69" s="292" t="s">
        <v>203</v>
      </c>
      <c r="B69" s="292">
        <f t="shared" ref="B69:B74" si="84">SUM(D61:G61)</f>
        <v>0</v>
      </c>
      <c r="C69" s="292">
        <f t="shared" ref="C69:C74" si="85">SUM(H61:K61)</f>
        <v>28.368000000000002</v>
      </c>
      <c r="D69" s="612">
        <f t="shared" ref="D69:D74" si="86">SUM(L61:O61)</f>
        <v>30.353760000000001</v>
      </c>
      <c r="E69" s="292">
        <f t="shared" ref="E69:E74" si="87">SUM(P61:S61)</f>
        <v>32.478523200000005</v>
      </c>
      <c r="F69" s="292">
        <f t="shared" ref="F69:F74" si="88">SUM(T61:W61)</f>
        <v>34.752019824000008</v>
      </c>
      <c r="G69" s="292">
        <f t="shared" ref="G69:G74" si="89">SUM(X61:AA61)</f>
        <v>37.184661211680009</v>
      </c>
      <c r="H69" s="292">
        <f t="shared" ref="H69:H74" si="90">SUM(AB61:AE61)</f>
        <v>39.787587496497608</v>
      </c>
      <c r="I69" s="292">
        <f t="shared" ref="I69:I74" si="91">SUM(AF61:AI61)</f>
        <v>42.33035768218749</v>
      </c>
      <c r="J69" s="292">
        <f>SUM(AJ61:AM61)</f>
        <v>45.293482719940606</v>
      </c>
      <c r="K69" s="292">
        <f>SUM(AN61:AQ61)</f>
        <v>48.46402651033646</v>
      </c>
      <c r="L69" s="292">
        <f>SUM(AR61:AU61)</f>
        <v>51.856508366059998</v>
      </c>
      <c r="M69" s="67"/>
      <c r="N69" s="67"/>
      <c r="P69" s="149"/>
    </row>
    <row r="70" spans="1:47" x14ac:dyDescent="0.3">
      <c r="A70" s="292" t="s">
        <v>182</v>
      </c>
      <c r="B70" s="292">
        <f t="shared" si="84"/>
        <v>0</v>
      </c>
      <c r="C70" s="292">
        <f t="shared" si="85"/>
        <v>2836.8</v>
      </c>
      <c r="D70" s="612">
        <f t="shared" si="86"/>
        <v>3035.3760000000002</v>
      </c>
      <c r="E70" s="292">
        <f t="shared" si="87"/>
        <v>3247.85232</v>
      </c>
      <c r="F70" s="292">
        <f t="shared" si="88"/>
        <v>3475.2019824000008</v>
      </c>
      <c r="G70" s="292">
        <f t="shared" si="89"/>
        <v>3718.4661211680009</v>
      </c>
      <c r="H70" s="292">
        <f t="shared" si="90"/>
        <v>3978.7587496497608</v>
      </c>
      <c r="I70" s="292">
        <f t="shared" si="91"/>
        <v>4233.0357682187487</v>
      </c>
      <c r="J70" s="292">
        <f>SUM(J72:J74)</f>
        <v>4529.3482719940612</v>
      </c>
      <c r="K70" s="292">
        <f>SUM(K72:K74)</f>
        <v>4846.4026510336462</v>
      </c>
      <c r="L70" s="292">
        <f t="shared" ref="L70:L74" si="92">SUM(AR62:AU62)</f>
        <v>5185.6508366060007</v>
      </c>
      <c r="M70" s="67"/>
      <c r="N70" s="67"/>
    </row>
    <row r="71" spans="1:47" x14ac:dyDescent="0.3">
      <c r="A71" s="292" t="s">
        <v>183</v>
      </c>
      <c r="B71" s="292"/>
      <c r="C71" s="292"/>
      <c r="D71" s="612"/>
      <c r="E71" s="292"/>
      <c r="F71" s="292"/>
      <c r="G71" s="292"/>
      <c r="H71" s="292"/>
      <c r="I71" s="292"/>
      <c r="J71" s="292"/>
      <c r="K71" s="292"/>
      <c r="L71" s="292">
        <f t="shared" si="92"/>
        <v>5185.6508366059998</v>
      </c>
      <c r="M71" s="67"/>
      <c r="N71" s="67"/>
    </row>
    <row r="72" spans="1:47" x14ac:dyDescent="0.3">
      <c r="A72" s="292" t="s">
        <v>204</v>
      </c>
      <c r="B72" s="292">
        <f t="shared" si="84"/>
        <v>0</v>
      </c>
      <c r="C72" s="292">
        <f t="shared" si="85"/>
        <v>2080.3200000000002</v>
      </c>
      <c r="D72" s="612">
        <f t="shared" si="86"/>
        <v>2225.9423999999999</v>
      </c>
      <c r="E72" s="292">
        <f t="shared" si="87"/>
        <v>2381.7583680000002</v>
      </c>
      <c r="F72" s="292">
        <f t="shared" si="88"/>
        <v>2548.4814537600005</v>
      </c>
      <c r="G72" s="292">
        <f t="shared" si="89"/>
        <v>2726.8751555232006</v>
      </c>
      <c r="H72" s="292">
        <f t="shared" si="90"/>
        <v>2917.7564164098249</v>
      </c>
      <c r="I72" s="292">
        <f t="shared" si="91"/>
        <v>3104.2262300270827</v>
      </c>
      <c r="J72" s="292">
        <f t="shared" ref="J72:J74" si="93">SUM(AJ64:AM64)</f>
        <v>3321.5220661289782</v>
      </c>
      <c r="K72" s="292">
        <f t="shared" ref="K72:K74" si="94">SUM(AN64:AQ64)</f>
        <v>3554.0286107580073</v>
      </c>
      <c r="L72" s="292">
        <f t="shared" si="92"/>
        <v>3802.8106135110665</v>
      </c>
      <c r="M72" s="67"/>
      <c r="N72" s="67"/>
    </row>
    <row r="73" spans="1:47" ht="43.2" x14ac:dyDescent="0.3">
      <c r="A73" s="292" t="s">
        <v>205</v>
      </c>
      <c r="B73" s="292">
        <f t="shared" si="84"/>
        <v>0</v>
      </c>
      <c r="C73" s="292">
        <f t="shared" si="85"/>
        <v>274.22399999999999</v>
      </c>
      <c r="D73" s="612">
        <f t="shared" si="86"/>
        <v>293.41968000000003</v>
      </c>
      <c r="E73" s="292">
        <f t="shared" si="87"/>
        <v>313.95905760000005</v>
      </c>
      <c r="F73" s="292">
        <f t="shared" si="88"/>
        <v>335.93619163200009</v>
      </c>
      <c r="G73" s="292">
        <f t="shared" si="89"/>
        <v>359.45172504624009</v>
      </c>
      <c r="H73" s="292">
        <f t="shared" si="90"/>
        <v>384.61334579947692</v>
      </c>
      <c r="I73" s="292">
        <f t="shared" si="91"/>
        <v>409.19345759447907</v>
      </c>
      <c r="J73" s="292">
        <f t="shared" si="93"/>
        <v>437.83699962609256</v>
      </c>
      <c r="K73" s="292">
        <f t="shared" si="94"/>
        <v>468.48558959991914</v>
      </c>
      <c r="L73" s="292">
        <f t="shared" si="92"/>
        <v>501.27958087191337</v>
      </c>
      <c r="M73" s="67"/>
      <c r="N73" s="67"/>
    </row>
    <row r="74" spans="1:47" ht="28.8" x14ac:dyDescent="0.3">
      <c r="A74" s="292" t="s">
        <v>206</v>
      </c>
      <c r="B74" s="292">
        <f t="shared" si="84"/>
        <v>0</v>
      </c>
      <c r="C74" s="292">
        <f t="shared" si="85"/>
        <v>482.25599999999997</v>
      </c>
      <c r="D74" s="612">
        <f t="shared" si="86"/>
        <v>516.01391999999998</v>
      </c>
      <c r="E74" s="292">
        <f t="shared" si="87"/>
        <v>552.13489440000001</v>
      </c>
      <c r="F74" s="292">
        <f t="shared" si="88"/>
        <v>590.78433700800008</v>
      </c>
      <c r="G74" s="292">
        <f t="shared" si="89"/>
        <v>632.13924059856004</v>
      </c>
      <c r="H74" s="292">
        <f t="shared" si="90"/>
        <v>676.38898744045935</v>
      </c>
      <c r="I74" s="292">
        <f t="shared" si="91"/>
        <v>719.61608059718731</v>
      </c>
      <c r="J74" s="292">
        <f t="shared" si="93"/>
        <v>769.98920623899028</v>
      </c>
      <c r="K74" s="292">
        <f t="shared" si="94"/>
        <v>823.88845067571981</v>
      </c>
      <c r="L74" s="292">
        <f t="shared" si="92"/>
        <v>881.56064222301995</v>
      </c>
      <c r="M74" s="292"/>
      <c r="N74" s="568" t="s">
        <v>207</v>
      </c>
    </row>
    <row r="75" spans="1:47" x14ac:dyDescent="0.3">
      <c r="A75" s="292" t="s">
        <v>18</v>
      </c>
      <c r="B75" s="292">
        <f>B69+B70</f>
        <v>0</v>
      </c>
      <c r="C75" s="292">
        <f>C69+C70</f>
        <v>2865.1680000000001</v>
      </c>
      <c r="D75" s="292">
        <f t="shared" ref="D75:L75" si="95">D69+D70</f>
        <v>3065.7297600000002</v>
      </c>
      <c r="E75" s="292">
        <f t="shared" si="95"/>
        <v>3280.3308431999999</v>
      </c>
      <c r="F75" s="292">
        <f t="shared" si="95"/>
        <v>3509.9540022240008</v>
      </c>
      <c r="G75" s="292">
        <f t="shared" si="95"/>
        <v>3755.650782379681</v>
      </c>
      <c r="H75" s="292">
        <f t="shared" si="95"/>
        <v>4018.5463371462583</v>
      </c>
      <c r="I75" s="292">
        <f t="shared" si="95"/>
        <v>4275.3661259009359</v>
      </c>
      <c r="J75" s="292">
        <f>J69+J70</f>
        <v>4574.6417547140018</v>
      </c>
      <c r="K75" s="292">
        <f t="shared" si="95"/>
        <v>4894.8666775439824</v>
      </c>
      <c r="L75" s="292">
        <f t="shared" si="95"/>
        <v>5237.5073449720603</v>
      </c>
      <c r="M75" s="613" t="s">
        <v>503</v>
      </c>
      <c r="N75" s="292">
        <f>SUM(B75:L75)</f>
        <v>39477.761628080916</v>
      </c>
    </row>
    <row r="76" spans="1:47" x14ac:dyDescent="0.3">
      <c r="A76" s="67"/>
      <c r="B76" s="67"/>
      <c r="C76" s="614"/>
      <c r="D76" s="67"/>
      <c r="E76" s="67"/>
      <c r="F76" s="67"/>
      <c r="G76" s="67"/>
      <c r="H76" s="67"/>
      <c r="I76" s="67"/>
      <c r="J76" s="67"/>
      <c r="K76" s="67"/>
      <c r="L76" s="67"/>
      <c r="M76" s="613" t="s">
        <v>504</v>
      </c>
      <c r="N76" s="292">
        <f>SUM('Расходы на ЗП ОТ'!B74:L74)</f>
        <v>39477.761628080916</v>
      </c>
    </row>
    <row r="77" spans="1:47" x14ac:dyDescent="0.3">
      <c r="A77" s="67"/>
      <c r="B77" s="67"/>
      <c r="C77" s="614"/>
      <c r="D77" s="67"/>
      <c r="E77" s="67"/>
      <c r="F77" s="67"/>
      <c r="G77" s="67"/>
      <c r="H77" s="67"/>
      <c r="I77" s="67"/>
      <c r="J77" s="67"/>
      <c r="K77" s="67"/>
      <c r="L77" s="67"/>
      <c r="M77" s="292"/>
      <c r="N77" s="615">
        <f>N76-N75</f>
        <v>0</v>
      </c>
    </row>
  </sheetData>
  <pageMargins left="0.59055118110236249" right="0.59055118110236249" top="0.98425196850393704" bottom="0.39370078740157477" header="0" footer="0"/>
  <pageSetup paperSize="8" scale="63" firstPageNumber="2147483648" orientation="landscape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11">
    <tabColor theme="0"/>
  </sheetPr>
  <dimension ref="A1:AU54"/>
  <sheetViews>
    <sheetView topLeftCell="A36" zoomScale="70" workbookViewId="0">
      <selection activeCell="D56" sqref="D56"/>
    </sheetView>
  </sheetViews>
  <sheetFormatPr defaultColWidth="9.109375" defaultRowHeight="13.8" x14ac:dyDescent="0.3"/>
  <cols>
    <col min="1" max="1" width="19.33203125" style="183" customWidth="1"/>
    <col min="2" max="2" width="12.88671875" style="212" customWidth="1"/>
    <col min="3" max="8" width="15" style="212" customWidth="1"/>
    <col min="9" max="16" width="15" style="182" customWidth="1"/>
    <col min="17" max="49" width="15.44140625" style="182" customWidth="1"/>
    <col min="50" max="16384" width="9.109375" style="182"/>
  </cols>
  <sheetData>
    <row r="1" spans="1:45" s="338" customFormat="1" ht="30.75" customHeight="1" x14ac:dyDescent="0.3">
      <c r="A1" s="336" t="s">
        <v>260</v>
      </c>
      <c r="B1" s="337" t="str">
        <f>'выручка по кв и годам'!D1</f>
        <v>I кв. 1 г.</v>
      </c>
      <c r="C1" s="337" t="str">
        <f>'выручка по кв и годам'!E1</f>
        <v>II кв. 1 г.</v>
      </c>
      <c r="D1" s="337" t="str">
        <f>'выручка по кв и годам'!F1</f>
        <v>III кв. 1 г.</v>
      </c>
      <c r="E1" s="337" t="str">
        <f>'выручка по кв и годам'!G1</f>
        <v>IV кв. 1 г.</v>
      </c>
      <c r="F1" s="337" t="str">
        <f>'выручка по кв и годам'!H1</f>
        <v>I кв. 2 г.</v>
      </c>
      <c r="G1" s="337" t="str">
        <f>'выручка по кв и годам'!I1</f>
        <v>II кв. 2 г.</v>
      </c>
      <c r="H1" s="337" t="str">
        <f>'выручка по кв и годам'!J1</f>
        <v>III кв. 2 г.</v>
      </c>
      <c r="I1" s="337" t="str">
        <f>'выручка по кв и годам'!K1</f>
        <v>IV кв. 2 г.</v>
      </c>
      <c r="J1" s="337" t="str">
        <f>'выручка по кв и годам'!L1</f>
        <v>I кв. 3 г.</v>
      </c>
      <c r="K1" s="337" t="str">
        <f>'выручка по кв и годам'!M1</f>
        <v>II кв. 3 г.</v>
      </c>
      <c r="L1" s="337" t="str">
        <f>'выручка по кв и годам'!N1</f>
        <v>III кв. 3 г.</v>
      </c>
      <c r="M1" s="337" t="str">
        <f>'выручка по кв и годам'!O1</f>
        <v>IV кв. 3 г.</v>
      </c>
      <c r="N1" s="337" t="str">
        <f>'выручка по кв и годам'!P1</f>
        <v>I кв. 4 г.</v>
      </c>
      <c r="O1" s="337" t="str">
        <f>'выручка по кв и годам'!Q1</f>
        <v>II кв. 4 г.</v>
      </c>
      <c r="P1" s="337" t="str">
        <f>'выручка по кв и годам'!R1</f>
        <v>III кв. 4 г.</v>
      </c>
      <c r="Q1" s="337" t="str">
        <f>'выручка по кв и годам'!S1</f>
        <v>IV кв. 4 г.</v>
      </c>
      <c r="R1" s="337" t="str">
        <f>'выручка по кв и годам'!T1</f>
        <v>I кв. 5 г.</v>
      </c>
      <c r="S1" s="337" t="str">
        <f>'выручка по кв и годам'!U1</f>
        <v>II кв. 5 г.</v>
      </c>
      <c r="T1" s="337" t="str">
        <f>'выручка по кв и годам'!V1</f>
        <v>III кв. 5 г.</v>
      </c>
      <c r="U1" s="337" t="str">
        <f>'выручка по кв и годам'!W1</f>
        <v>IV кв. 5 г.</v>
      </c>
      <c r="V1" s="337" t="str">
        <f>'выручка по кв и годам'!X1</f>
        <v>I кв. 6 г.</v>
      </c>
      <c r="W1" s="337" t="str">
        <f>'выручка по кв и годам'!Y1</f>
        <v>II кв. 6 г.</v>
      </c>
      <c r="X1" s="337" t="str">
        <f>'выручка по кв и годам'!Z1</f>
        <v>III кв. 6 г.</v>
      </c>
      <c r="Y1" s="337" t="str">
        <f>'выручка по кв и годам'!AA1</f>
        <v>IV кв. 6 г.</v>
      </c>
      <c r="Z1" s="337" t="str">
        <f>'выручка по кв и годам'!AB1</f>
        <v>I кв. 7 г.</v>
      </c>
      <c r="AA1" s="337" t="str">
        <f>'выручка по кв и годам'!AC1</f>
        <v>II кв. 7 г.</v>
      </c>
      <c r="AB1" s="337" t="str">
        <f>'выручка по кв и годам'!AD1</f>
        <v>III кв. 7 г.</v>
      </c>
      <c r="AC1" s="337" t="str">
        <f>'выручка по кв и годам'!AE1</f>
        <v>IV кв. 7 г.</v>
      </c>
      <c r="AD1" s="337" t="str">
        <f>'выручка по кв и годам'!AF1</f>
        <v>I кв. 8 г.</v>
      </c>
      <c r="AE1" s="337" t="str">
        <f>'выручка по кв и годам'!AG1</f>
        <v>II кв. 8 г.</v>
      </c>
      <c r="AF1" s="337" t="str">
        <f>'выручка по кв и годам'!AH1</f>
        <v>III кв. 8 г.</v>
      </c>
      <c r="AG1" s="337" t="str">
        <f>'выручка по кв и годам'!AI1</f>
        <v>IV кв. 8 г.</v>
      </c>
      <c r="AH1" s="337" t="str">
        <f>'выручка по кв и годам'!AJ1</f>
        <v>I кв. 9 г.</v>
      </c>
      <c r="AI1" s="337" t="str">
        <f>'выручка по кв и годам'!AK1</f>
        <v>II кв. 9 г.</v>
      </c>
      <c r="AJ1" s="337" t="str">
        <f>'выручка по кв и годам'!AL1</f>
        <v>III кв. 9 г.</v>
      </c>
      <c r="AK1" s="337" t="str">
        <f>'выручка по кв и годам'!AM1</f>
        <v>IV кв. 9 г.</v>
      </c>
      <c r="AL1" s="337" t="str">
        <f>'выручка по кв и годам'!AN1</f>
        <v>I кв. 10 г.</v>
      </c>
      <c r="AM1" s="337" t="str">
        <f>'выручка по кв и годам'!AO1</f>
        <v>II кв. 10 г.</v>
      </c>
      <c r="AN1" s="337" t="str">
        <f>'выручка по кв и годам'!AP1</f>
        <v>III кв. 10 г.</v>
      </c>
      <c r="AO1" s="337" t="str">
        <f>'выручка по кв и годам'!AQ1</f>
        <v>IV кв. 10 г.</v>
      </c>
      <c r="AP1" s="337" t="str">
        <f>'выручка по кв и годам'!AR1</f>
        <v>I кв. 11 г.</v>
      </c>
      <c r="AQ1" s="337" t="str">
        <f>'выручка по кв и годам'!AS1</f>
        <v>II кв. 11 г.</v>
      </c>
      <c r="AR1" s="337" t="str">
        <f>'выручка по кв и годам'!AT1</f>
        <v>III кв. 11 г.</v>
      </c>
      <c r="AS1" s="337" t="str">
        <f>'выручка по кв и годам'!AU1</f>
        <v>IV кв. 11 г.</v>
      </c>
    </row>
    <row r="2" spans="1:45" ht="28.8" x14ac:dyDescent="0.3">
      <c r="A2" s="214" t="s">
        <v>261</v>
      </c>
      <c r="B2" s="70">
        <v>0</v>
      </c>
      <c r="C2" s="70">
        <v>0</v>
      </c>
      <c r="D2" s="507">
        <f>(допущения!C29*допущения!C31)/4</f>
        <v>0.41653993200000006</v>
      </c>
      <c r="E2" s="70">
        <f>D2</f>
        <v>0.41653993200000006</v>
      </c>
      <c r="F2" s="70">
        <f t="shared" ref="F2:AS2" si="0">E2</f>
        <v>0.41653993200000006</v>
      </c>
      <c r="G2" s="70">
        <f t="shared" si="0"/>
        <v>0.41653993200000006</v>
      </c>
      <c r="H2" s="70">
        <f t="shared" si="0"/>
        <v>0.41653993200000006</v>
      </c>
      <c r="I2" s="70">
        <f t="shared" si="0"/>
        <v>0.41653993200000006</v>
      </c>
      <c r="J2" s="70">
        <f t="shared" si="0"/>
        <v>0.41653993200000006</v>
      </c>
      <c r="K2" s="70">
        <f t="shared" si="0"/>
        <v>0.41653993200000006</v>
      </c>
      <c r="L2" s="70">
        <f t="shared" si="0"/>
        <v>0.41653993200000006</v>
      </c>
      <c r="M2" s="70">
        <f t="shared" si="0"/>
        <v>0.41653993200000006</v>
      </c>
      <c r="N2" s="70">
        <f t="shared" si="0"/>
        <v>0.41653993200000006</v>
      </c>
      <c r="O2" s="70">
        <f t="shared" si="0"/>
        <v>0.41653993200000006</v>
      </c>
      <c r="P2" s="70">
        <f t="shared" si="0"/>
        <v>0.41653993200000006</v>
      </c>
      <c r="Q2" s="70">
        <f t="shared" si="0"/>
        <v>0.41653993200000006</v>
      </c>
      <c r="R2" s="70">
        <f t="shared" si="0"/>
        <v>0.41653993200000006</v>
      </c>
      <c r="S2" s="70">
        <f t="shared" si="0"/>
        <v>0.41653993200000006</v>
      </c>
      <c r="T2" s="70">
        <f t="shared" si="0"/>
        <v>0.41653993200000006</v>
      </c>
      <c r="U2" s="70">
        <f t="shared" si="0"/>
        <v>0.41653993200000006</v>
      </c>
      <c r="V2" s="70">
        <f t="shared" si="0"/>
        <v>0.41653993200000006</v>
      </c>
      <c r="W2" s="70">
        <f t="shared" si="0"/>
        <v>0.41653993200000006</v>
      </c>
      <c r="X2" s="70">
        <f t="shared" si="0"/>
        <v>0.41653993200000006</v>
      </c>
      <c r="Y2" s="70">
        <f t="shared" si="0"/>
        <v>0.41653993200000006</v>
      </c>
      <c r="Z2" s="70">
        <f t="shared" si="0"/>
        <v>0.41653993200000006</v>
      </c>
      <c r="AA2" s="70">
        <f t="shared" si="0"/>
        <v>0.41653993200000006</v>
      </c>
      <c r="AB2" s="70">
        <f t="shared" si="0"/>
        <v>0.41653993200000006</v>
      </c>
      <c r="AC2" s="70">
        <f t="shared" si="0"/>
        <v>0.41653993200000006</v>
      </c>
      <c r="AD2" s="70">
        <f t="shared" si="0"/>
        <v>0.41653993200000006</v>
      </c>
      <c r="AE2" s="70">
        <f t="shared" si="0"/>
        <v>0.41653993200000006</v>
      </c>
      <c r="AF2" s="70">
        <f t="shared" si="0"/>
        <v>0.41653993200000006</v>
      </c>
      <c r="AG2" s="70">
        <f t="shared" si="0"/>
        <v>0.41653993200000006</v>
      </c>
      <c r="AH2" s="70">
        <f t="shared" si="0"/>
        <v>0.41653993200000006</v>
      </c>
      <c r="AI2" s="70">
        <f t="shared" si="0"/>
        <v>0.41653993200000006</v>
      </c>
      <c r="AJ2" s="70">
        <f t="shared" si="0"/>
        <v>0.41653993200000006</v>
      </c>
      <c r="AK2" s="70">
        <f t="shared" si="0"/>
        <v>0.41653993200000006</v>
      </c>
      <c r="AL2" s="70">
        <f t="shared" si="0"/>
        <v>0.41653993200000006</v>
      </c>
      <c r="AM2" s="70">
        <f t="shared" si="0"/>
        <v>0.41653993200000006</v>
      </c>
      <c r="AN2" s="70">
        <f t="shared" si="0"/>
        <v>0.41653993200000006</v>
      </c>
      <c r="AO2" s="70">
        <f t="shared" si="0"/>
        <v>0.41653993200000006</v>
      </c>
      <c r="AP2" s="70">
        <f t="shared" si="0"/>
        <v>0.41653993200000006</v>
      </c>
      <c r="AQ2" s="70">
        <f t="shared" si="0"/>
        <v>0.41653993200000006</v>
      </c>
      <c r="AR2" s="70">
        <f t="shared" si="0"/>
        <v>0.41653993200000006</v>
      </c>
      <c r="AS2" s="70">
        <f t="shared" si="0"/>
        <v>0.41653993200000006</v>
      </c>
    </row>
    <row r="3" spans="1:45" ht="56.25" customHeight="1" x14ac:dyDescent="0.3">
      <c r="A3" s="538" t="s">
        <v>262</v>
      </c>
      <c r="B3" s="539"/>
      <c r="C3" s="215"/>
      <c r="D3" s="70"/>
      <c r="E3" s="70"/>
      <c r="F3" s="215">
        <f>'Расходы на ЗП ТОР'!H54</f>
        <v>3080.2919999999999</v>
      </c>
      <c r="G3" s="215">
        <f>'Расходы на ЗП ТОР'!I54</f>
        <v>3080.2919999999999</v>
      </c>
      <c r="H3" s="215">
        <f>'Расходы на ЗП ТОР'!J54</f>
        <v>3080.2919999999999</v>
      </c>
      <c r="I3" s="215">
        <f>'Расходы на ЗП ТОР'!K54</f>
        <v>3080.2919999999999</v>
      </c>
      <c r="J3" s="215">
        <f>'Расходы на ЗП ТОР'!L54</f>
        <v>3295.9124400000001</v>
      </c>
      <c r="K3" s="215">
        <f>'Расходы на ЗП ТОР'!M54</f>
        <v>3295.9124400000001</v>
      </c>
      <c r="L3" s="215">
        <f>'Расходы на ЗП ТОР'!N54</f>
        <v>3295.9124400000001</v>
      </c>
      <c r="M3" s="215">
        <f>'Расходы на ЗП ТОР'!O54</f>
        <v>3295.9124400000001</v>
      </c>
      <c r="N3" s="215">
        <f>'Расходы на ЗП ТОР'!P54</f>
        <v>3526.6263108000003</v>
      </c>
      <c r="O3" s="215">
        <f>'Расходы на ЗП ТОР'!Q54</f>
        <v>3526.6263108000003</v>
      </c>
      <c r="P3" s="215">
        <f>'Расходы на ЗП ТОР'!R54</f>
        <v>3526.6263108000003</v>
      </c>
      <c r="Q3" s="215">
        <f>'Расходы на ЗП ТОР'!S54</f>
        <v>3526.6263108000003</v>
      </c>
      <c r="R3" s="215">
        <f>'Расходы на ЗП ТОР'!T54</f>
        <v>3773.4901525560003</v>
      </c>
      <c r="S3" s="215">
        <f>'Расходы на ЗП ТОР'!U54</f>
        <v>3773.4901525560003</v>
      </c>
      <c r="T3" s="215">
        <f>'Расходы на ЗП ТОР'!V54</f>
        <v>3773.4901525560003</v>
      </c>
      <c r="U3" s="215">
        <f>'Расходы на ЗП ТОР'!W54</f>
        <v>3773.4901525560003</v>
      </c>
      <c r="V3" s="215">
        <f>'Расходы на ЗП ТОР'!X54</f>
        <v>4037.634463234921</v>
      </c>
      <c r="W3" s="215">
        <f>'Расходы на ЗП ТОР'!Y54</f>
        <v>4037.634463234921</v>
      </c>
      <c r="X3" s="215">
        <f>'Расходы на ЗП ТОР'!Z54</f>
        <v>4037.634463234921</v>
      </c>
      <c r="Y3" s="215">
        <f>'Расходы на ЗП ТОР'!AA54</f>
        <v>4037.634463234921</v>
      </c>
      <c r="Z3" s="215">
        <f>'Расходы на ЗП ТОР'!AB54</f>
        <v>4320.2688756613661</v>
      </c>
      <c r="AA3" s="215">
        <f>'Расходы на ЗП ТОР'!AC54</f>
        <v>4320.2688756613661</v>
      </c>
      <c r="AB3" s="215">
        <f>'Расходы на ЗП ТОР'!AD54</f>
        <v>4320.2688756613661</v>
      </c>
      <c r="AC3" s="215">
        <f>'Расходы на ЗП ТОР'!AE54</f>
        <v>4320.2688756613661</v>
      </c>
      <c r="AD3" s="215">
        <f>'Расходы на ЗП ТОР'!AF54</f>
        <v>4596.371338324192</v>
      </c>
      <c r="AE3" s="215">
        <f>'Расходы на ЗП ТОР'!AG54</f>
        <v>4596.371338324192</v>
      </c>
      <c r="AF3" s="215">
        <f>'Расходы на ЗП ТОР'!AH54</f>
        <v>4596.371338324192</v>
      </c>
      <c r="AG3" s="215">
        <f>'Расходы на ЗП ТОР'!AI54</f>
        <v>4596.371338324192</v>
      </c>
      <c r="AH3" s="215">
        <f>'Расходы на ЗП ТОР'!AJ54</f>
        <v>4918.1173320068847</v>
      </c>
      <c r="AI3" s="215">
        <f>'Расходы на ЗП ТОР'!AK54</f>
        <v>4918.1173320068847</v>
      </c>
      <c r="AJ3" s="215">
        <f>'Расходы на ЗП ТОР'!AL54</f>
        <v>4918.1173320068847</v>
      </c>
      <c r="AK3" s="215">
        <f>'Расходы на ЗП ТОР'!AM54</f>
        <v>4918.1173320068847</v>
      </c>
      <c r="AL3" s="215">
        <f>'Расходы на ЗП ТОР'!AN54</f>
        <v>5262.3855452473672</v>
      </c>
      <c r="AM3" s="215">
        <f>'Расходы на ЗП ТОР'!AO54</f>
        <v>5262.3855452473672</v>
      </c>
      <c r="AN3" s="215">
        <f>'Расходы на ЗП ТОР'!AP54</f>
        <v>5262.3855452473672</v>
      </c>
      <c r="AO3" s="215">
        <f>'Расходы на ЗП ТОР'!AQ54</f>
        <v>5262.3855452473672</v>
      </c>
      <c r="AP3" s="215">
        <f>AN3</f>
        <v>5262.3855452473672</v>
      </c>
      <c r="AQ3" s="215">
        <f t="shared" ref="AQ3:AS3" si="1">AO3</f>
        <v>5262.3855452473672</v>
      </c>
      <c r="AR3" s="215">
        <f t="shared" si="1"/>
        <v>5262.3855452473672</v>
      </c>
      <c r="AS3" s="215">
        <f t="shared" si="1"/>
        <v>5262.3855452473672</v>
      </c>
    </row>
    <row r="4" spans="1:45" s="627" customFormat="1" ht="28.8" x14ac:dyDescent="0.3">
      <c r="A4" s="624" t="s">
        <v>435</v>
      </c>
      <c r="B4" s="625"/>
      <c r="C4" s="625"/>
      <c r="D4" s="625"/>
      <c r="E4" s="626"/>
      <c r="F4" s="626">
        <f>Себестоимость!G3*допущения!$C$71*допущения!$C$70*1000</f>
        <v>12993.75</v>
      </c>
      <c r="G4" s="626">
        <f>Себестоимость!H3*допущения!$C$71*допущения!$C$70*1000</f>
        <v>12993.75</v>
      </c>
      <c r="H4" s="626">
        <f>Себестоимость!I3*допущения!$C$71*допущения!$C$70*1000</f>
        <v>12993.75</v>
      </c>
      <c r="I4" s="626">
        <f>Себестоимость!J3*допущения!$C$71*допущения!$C$70*1000</f>
        <v>12993.75</v>
      </c>
      <c r="J4" s="626">
        <f>Себестоимость!K3*допущения!$C$71*допущения!$C$70*1000</f>
        <v>18562.5</v>
      </c>
      <c r="K4" s="626">
        <f>Себестоимость!L3*допущения!$C$71*допущения!$C$70*1000</f>
        <v>18562.5</v>
      </c>
      <c r="L4" s="626">
        <f>Себестоимость!M3*допущения!$C$71*допущения!$C$70*1000</f>
        <v>18562.5</v>
      </c>
      <c r="M4" s="626">
        <f>Себестоимость!N3*допущения!$C$71*допущения!$C$70*1000</f>
        <v>18562.5</v>
      </c>
      <c r="N4" s="626">
        <f>Себестоимость!O3*допущения!$C$71*допущения!$C$70*1000</f>
        <v>19800.000000000004</v>
      </c>
      <c r="O4" s="626">
        <f>Себестоимость!P3*допущения!$C$71*допущения!$C$70*1000</f>
        <v>19800.000000000004</v>
      </c>
      <c r="P4" s="626">
        <f>Себестоимость!Q3*допущения!$C$71*допущения!$C$70*1000</f>
        <v>19800.000000000004</v>
      </c>
      <c r="Q4" s="626">
        <f>Себестоимость!R3*допущения!$C$71*допущения!$C$70*1000</f>
        <v>19800.000000000004</v>
      </c>
      <c r="R4" s="626">
        <f>Себестоимость!S3*допущения!$C$71*допущения!$C$70*1000</f>
        <v>23667.1875</v>
      </c>
      <c r="S4" s="626">
        <f>Себестоимость!T3*допущения!$C$71*допущения!$C$70*1000</f>
        <v>23667.1875</v>
      </c>
      <c r="T4" s="626">
        <f>Себестоимость!U3*допущения!$C$71*допущения!$C$70*1000</f>
        <v>23667.1875</v>
      </c>
      <c r="U4" s="626">
        <f>Себестоимость!V3*допущения!$C$71*допущения!$C$70*1000</f>
        <v>23667.1875</v>
      </c>
      <c r="V4" s="626">
        <f>Себестоимость!W3*допущения!$C$71*допущения!$C$70*1000</f>
        <v>25059.375000000011</v>
      </c>
      <c r="W4" s="626">
        <f>Себестоимость!X3*допущения!$C$71*допущения!$C$70*1000</f>
        <v>25059.375000000011</v>
      </c>
      <c r="X4" s="626">
        <f>Себестоимость!Y3*допущения!$C$71*допущения!$C$70*1000</f>
        <v>25059.375000000011</v>
      </c>
      <c r="Y4" s="626">
        <f>Себестоимость!Z3*допущения!$C$71*допущения!$C$70*1000</f>
        <v>25059.375000000011</v>
      </c>
      <c r="Z4" s="626">
        <f>Себестоимость!AA3*допущения!$C$71*допущения!$C$70*1000</f>
        <v>26451.562500000004</v>
      </c>
      <c r="AA4" s="626">
        <f>Себестоимость!AB3*допущения!$C$71*допущения!$C$70*1000</f>
        <v>26451.562500000004</v>
      </c>
      <c r="AB4" s="626">
        <f>Себестоимость!AC3*допущения!$C$71*допущения!$C$70*1000</f>
        <v>26451.562500000004</v>
      </c>
      <c r="AC4" s="626">
        <f>Себестоимость!AD3*допущения!$C$71*допущения!$C$70*1000</f>
        <v>26451.562500000004</v>
      </c>
      <c r="AD4" s="626">
        <f>Себестоимость!AE3*допущения!$C$71*допущения!$C$70*1000</f>
        <v>27843.750000000011</v>
      </c>
      <c r="AE4" s="626">
        <f>Себестоимость!AF3*допущения!$C$71*допущения!$C$70*1000</f>
        <v>27843.750000000011</v>
      </c>
      <c r="AF4" s="626">
        <f>Себестоимость!AG3*допущения!$C$71*допущения!$C$70*1000</f>
        <v>27843.750000000011</v>
      </c>
      <c r="AG4" s="626">
        <f>Себестоимость!AH3*допущения!$C$71*допущения!$C$70*1000</f>
        <v>27843.750000000011</v>
      </c>
      <c r="AH4" s="626">
        <f>Себестоимость!AI3*допущения!$C$71*допущения!$C$70*1000</f>
        <v>27843.750000000011</v>
      </c>
      <c r="AI4" s="626">
        <f>Себестоимость!AJ3*допущения!$C$71*допущения!$C$70*1000</f>
        <v>27843.750000000011</v>
      </c>
      <c r="AJ4" s="626">
        <f>Себестоимость!AK3*допущения!$C$71*допущения!$C$70*1000</f>
        <v>27843.750000000011</v>
      </c>
      <c r="AK4" s="626">
        <f>Себестоимость!AL3*допущения!$C$71*допущения!$C$70*1000</f>
        <v>27843.750000000011</v>
      </c>
      <c r="AL4" s="626">
        <f>Себестоимость!AM3*допущения!$C$71*допущения!$C$70*1000</f>
        <v>27843.750000000004</v>
      </c>
      <c r="AM4" s="626">
        <f>Себестоимость!AN3*допущения!$C$71*допущения!$C$70*1000</f>
        <v>27843.750000000004</v>
      </c>
      <c r="AN4" s="626">
        <f>Себестоимость!AO3*допущения!$C$71*допущения!$C$70*1000</f>
        <v>27843.750000000004</v>
      </c>
      <c r="AO4" s="626">
        <f>Себестоимость!AP3*допущения!$C$71*допущения!$C$70*1000</f>
        <v>27843.750000000004</v>
      </c>
      <c r="AP4" s="626">
        <f>Себестоимость!AQ3*допущения!$C$71*допущения!$C$70*1000</f>
        <v>27843.750000000004</v>
      </c>
      <c r="AQ4" s="626">
        <f>Себестоимость!AR3*допущения!$C$71*допущения!$C$70*1000</f>
        <v>27843.750000000004</v>
      </c>
      <c r="AR4" s="626">
        <f>Себестоимость!AS3*допущения!$C$71*допущения!$C$70*1000</f>
        <v>27843.750000000004</v>
      </c>
      <c r="AS4" s="626">
        <f>Себестоимость!AT3*допущения!$C$71*допущения!$C$70*1000</f>
        <v>27843.750000000004</v>
      </c>
    </row>
    <row r="5" spans="1:45" s="627" customFormat="1" ht="43.2" x14ac:dyDescent="0.3">
      <c r="A5" s="628" t="s">
        <v>263</v>
      </c>
      <c r="B5" s="625"/>
      <c r="C5" s="625"/>
      <c r="D5" s="625"/>
      <c r="E5" s="625"/>
      <c r="F5" s="629">
        <f>допущения!$C$65*F3/4</f>
        <v>38.50365</v>
      </c>
      <c r="G5" s="629">
        <f>допущения!$C$65*G3/4</f>
        <v>38.50365</v>
      </c>
      <c r="H5" s="629">
        <f>допущения!$C$65*H3/4</f>
        <v>38.50365</v>
      </c>
      <c r="I5" s="629">
        <f>допущения!$C$65*I3/4</f>
        <v>38.50365</v>
      </c>
      <c r="J5" s="629">
        <f>допущения!$C$65*J3/4</f>
        <v>41.198905500000002</v>
      </c>
      <c r="K5" s="629">
        <f>допущения!$C$65*K3/4</f>
        <v>41.198905500000002</v>
      </c>
      <c r="L5" s="629">
        <f>допущения!$C$65*L3/4</f>
        <v>41.198905500000002</v>
      </c>
      <c r="M5" s="629">
        <f>допущения!$C$65*M3/4</f>
        <v>41.198905500000002</v>
      </c>
      <c r="N5" s="629">
        <f>допущения!$C$65*N3/4</f>
        <v>44.082828885000005</v>
      </c>
      <c r="O5" s="629">
        <f>допущения!$C$65*O3/4</f>
        <v>44.082828885000005</v>
      </c>
      <c r="P5" s="629">
        <f>допущения!$C$65*P3/4</f>
        <v>44.082828885000005</v>
      </c>
      <c r="Q5" s="629">
        <f>допущения!$C$65*Q3/4</f>
        <v>44.082828885000005</v>
      </c>
      <c r="R5" s="629">
        <f>допущения!$C$65*R3/4</f>
        <v>47.16862690695001</v>
      </c>
      <c r="S5" s="629">
        <f>допущения!$C$65*S3/4</f>
        <v>47.16862690695001</v>
      </c>
      <c r="T5" s="629">
        <f>допущения!$C$65*T3/4</f>
        <v>47.16862690695001</v>
      </c>
      <c r="U5" s="629">
        <f>допущения!$C$65*U3/4</f>
        <v>47.16862690695001</v>
      </c>
      <c r="V5" s="629">
        <f>допущения!$C$65*V3/4</f>
        <v>50.470430790436517</v>
      </c>
      <c r="W5" s="629">
        <f>допущения!$C$65*W3/4</f>
        <v>50.470430790436517</v>
      </c>
      <c r="X5" s="629">
        <f>допущения!$C$65*X3/4</f>
        <v>50.470430790436517</v>
      </c>
      <c r="Y5" s="629">
        <f>допущения!$C$65*Y3/4</f>
        <v>50.470430790436517</v>
      </c>
      <c r="Z5" s="629">
        <f>допущения!$C$65*Z3/4</f>
        <v>54.003360945767078</v>
      </c>
      <c r="AA5" s="629">
        <f>допущения!$C$65*AA3/4</f>
        <v>54.003360945767078</v>
      </c>
      <c r="AB5" s="629">
        <f>допущения!$C$65*AB3/4</f>
        <v>54.003360945767078</v>
      </c>
      <c r="AC5" s="629">
        <f>допущения!$C$65*AC3/4</f>
        <v>54.003360945767078</v>
      </c>
      <c r="AD5" s="629">
        <f>допущения!$C$65*AD3/4</f>
        <v>57.454641729052405</v>
      </c>
      <c r="AE5" s="629">
        <f>допущения!$C$65*AE3/4</f>
        <v>57.454641729052405</v>
      </c>
      <c r="AF5" s="629">
        <f>допущения!$C$65*AF3/4</f>
        <v>57.454641729052405</v>
      </c>
      <c r="AG5" s="629">
        <f>допущения!$C$65*AG3/4</f>
        <v>57.454641729052405</v>
      </c>
      <c r="AH5" s="629">
        <f>допущения!$C$65*AH3/4</f>
        <v>61.47646665008606</v>
      </c>
      <c r="AI5" s="629">
        <f>допущения!$C$65*AI3/4</f>
        <v>61.47646665008606</v>
      </c>
      <c r="AJ5" s="629">
        <f>допущения!$C$65*AJ3/4</f>
        <v>61.47646665008606</v>
      </c>
      <c r="AK5" s="629">
        <f>допущения!$C$65*AK3/4</f>
        <v>61.47646665008606</v>
      </c>
      <c r="AL5" s="629">
        <f>допущения!$C$65*AL3/4</f>
        <v>65.779819315592093</v>
      </c>
      <c r="AM5" s="629">
        <f>допущения!$C$65*AM3/4</f>
        <v>65.779819315592093</v>
      </c>
      <c r="AN5" s="629">
        <f>допущения!$C$65*AN3/4</f>
        <v>65.779819315592093</v>
      </c>
      <c r="AO5" s="629">
        <f>допущения!$C$65*AO3/4</f>
        <v>65.779819315592093</v>
      </c>
      <c r="AP5" s="629">
        <f>допущения!$C$65*AP3/4</f>
        <v>65.779819315592093</v>
      </c>
      <c r="AQ5" s="629">
        <f>допущения!$C$65*AQ3/4</f>
        <v>65.779819315592093</v>
      </c>
      <c r="AR5" s="629">
        <f>допущения!$C$65*AR3/4</f>
        <v>65.779819315592093</v>
      </c>
      <c r="AS5" s="629">
        <f>допущения!$C$65*AS3/4</f>
        <v>65.779819315592093</v>
      </c>
    </row>
    <row r="6" spans="1:45" s="627" customFormat="1" ht="28.5" customHeight="1" x14ac:dyDescent="0.3">
      <c r="A6" s="630" t="s">
        <v>546</v>
      </c>
      <c r="B6" s="625">
        <f>Себестоимость!C15+Себестоимость!C14</f>
        <v>0</v>
      </c>
      <c r="C6" s="625">
        <f>Себестоимость!D15+Себестоимость!D14</f>
        <v>0</v>
      </c>
      <c r="D6" s="625">
        <f>Себестоимость!E15+Себестоимость!E14</f>
        <v>0</v>
      </c>
      <c r="E6" s="625">
        <f>Себестоимость!F15+Себестоимость!F14</f>
        <v>0</v>
      </c>
      <c r="F6" s="625">
        <f>Себестоимость!G15+Себестоимость!G14</f>
        <v>6104.0700000000006</v>
      </c>
      <c r="G6" s="625">
        <f>Себестоимость!H15+Себестоимость!H14</f>
        <v>6104.0700000000006</v>
      </c>
      <c r="H6" s="625">
        <f>Себестоимость!I15+Себестоимость!I14</f>
        <v>6104.0700000000006</v>
      </c>
      <c r="I6" s="625">
        <f>Себестоимость!J15+Себестоимость!J14</f>
        <v>6104.0700000000006</v>
      </c>
      <c r="J6" s="625">
        <f>Себестоимость!K15+Себестоимость!K14</f>
        <v>8720.1</v>
      </c>
      <c r="K6" s="625">
        <f>Себестоимость!L15+Себестоимость!L14</f>
        <v>8720.1</v>
      </c>
      <c r="L6" s="625">
        <f>Себестоимость!M15+Себестоимость!M14</f>
        <v>8720.1</v>
      </c>
      <c r="M6" s="625">
        <f>Себестоимость!N15+Себестоимость!N14</f>
        <v>8720.1</v>
      </c>
      <c r="N6" s="625">
        <f>Себестоимость!O15+Себестоимость!O14</f>
        <v>9301.4400000000023</v>
      </c>
      <c r="O6" s="625">
        <f>Себестоимость!P15+Себестоимость!P14</f>
        <v>9301.4400000000023</v>
      </c>
      <c r="P6" s="625">
        <f>Себестоимость!Q15+Себестоимость!Q14</f>
        <v>9301.4400000000023</v>
      </c>
      <c r="Q6" s="625">
        <f>Себестоимость!R15+Себестоимость!R14</f>
        <v>9301.4400000000023</v>
      </c>
      <c r="R6" s="625">
        <f>Себестоимость!S15+Себестоимость!S14</f>
        <v>11118.127500000002</v>
      </c>
      <c r="S6" s="625">
        <f>Себестоимость!T15+Себестоимость!T14</f>
        <v>11118.127500000002</v>
      </c>
      <c r="T6" s="625">
        <f>Себестоимость!U15+Себестоимость!U14</f>
        <v>11118.127500000002</v>
      </c>
      <c r="U6" s="625">
        <f>Себестоимость!V15+Себестоимость!V14</f>
        <v>11118.127500000002</v>
      </c>
      <c r="V6" s="625">
        <f>Себестоимость!W15+Себестоимость!W14</f>
        <v>11772.135000000006</v>
      </c>
      <c r="W6" s="625">
        <f>Себестоимость!X15+Себестоимость!X14</f>
        <v>11772.135000000006</v>
      </c>
      <c r="X6" s="625">
        <f>Себестоимость!Y15+Себестоимость!Y14</f>
        <v>11772.135000000006</v>
      </c>
      <c r="Y6" s="625">
        <f>Себестоимость!Z15+Себестоимость!Z14</f>
        <v>11772.135000000006</v>
      </c>
      <c r="Z6" s="625">
        <f>Себестоимость!AA15+Себестоимость!AA14</f>
        <v>12426.142500000004</v>
      </c>
      <c r="AA6" s="625">
        <f>Себестоимость!AB15+Себестоимость!AB14</f>
        <v>12426.142500000004</v>
      </c>
      <c r="AB6" s="625">
        <f>Себестоимость!AC15+Себестоимость!AC14</f>
        <v>12426.142500000004</v>
      </c>
      <c r="AC6" s="625">
        <f>Себестоимость!AD15+Себестоимость!AD14</f>
        <v>12426.142500000004</v>
      </c>
      <c r="AD6" s="625">
        <f>Себестоимость!AE15+Себестоимость!AE14</f>
        <v>13080.150000000005</v>
      </c>
      <c r="AE6" s="625">
        <f>Себестоимость!AF15+Себестоимость!AF14</f>
        <v>13080.150000000005</v>
      </c>
      <c r="AF6" s="625">
        <f>Себестоимость!AG15+Себестоимость!AG14</f>
        <v>13080.150000000005</v>
      </c>
      <c r="AG6" s="625">
        <f>Себестоимость!AH15+Себестоимость!AH14</f>
        <v>13080.150000000005</v>
      </c>
      <c r="AH6" s="625">
        <f>Себестоимость!AI15+Себестоимость!AI14</f>
        <v>13080.150000000005</v>
      </c>
      <c r="AI6" s="625">
        <f>Себестоимость!AJ15+Себестоимость!AJ14</f>
        <v>13080.150000000005</v>
      </c>
      <c r="AJ6" s="625">
        <f>Себестоимость!AK15+Себестоимость!AK14</f>
        <v>13080.150000000005</v>
      </c>
      <c r="AK6" s="625">
        <f>Себестоимость!AL15+Себестоимость!AL14</f>
        <v>13080.150000000005</v>
      </c>
      <c r="AL6" s="625">
        <f>Себестоимость!AM15+Себестоимость!AM14</f>
        <v>13080.150000000001</v>
      </c>
      <c r="AM6" s="625">
        <f>Себестоимость!AN15+Себестоимость!AN14</f>
        <v>13080.150000000001</v>
      </c>
      <c r="AN6" s="625">
        <f>Себестоимость!AO15+Себестоимость!AO14</f>
        <v>13080.150000000001</v>
      </c>
      <c r="AO6" s="625">
        <f>Себестоимость!AP15+Себестоимость!AP14</f>
        <v>13080.150000000001</v>
      </c>
      <c r="AP6" s="625">
        <f>Себестоимость!AQ15+Себестоимость!AQ14</f>
        <v>13080.150000000001</v>
      </c>
      <c r="AQ6" s="625">
        <f>Себестоимость!AR15+Себестоимость!AR14</f>
        <v>13080.150000000001</v>
      </c>
      <c r="AR6" s="625">
        <f>Себестоимость!AS15+Себестоимость!AS14</f>
        <v>13080.150000000001</v>
      </c>
      <c r="AS6" s="625">
        <f>Себестоимость!AT15+Себестоимость!AT14</f>
        <v>13080.150000000001</v>
      </c>
    </row>
    <row r="7" spans="1:45" s="635" customFormat="1" ht="115.2" x14ac:dyDescent="0.3">
      <c r="A7" s="631" t="s">
        <v>556</v>
      </c>
      <c r="B7" s="632"/>
      <c r="C7" s="632"/>
      <c r="D7" s="632"/>
      <c r="E7" s="633"/>
      <c r="F7" s="634">
        <f>допущения!$C$67*'выручка по кв и годам'!H5</f>
        <v>901.53000000000009</v>
      </c>
      <c r="G7" s="634">
        <f>допущения!$C$67*'выручка по кв и годам'!I5</f>
        <v>901.53000000000009</v>
      </c>
      <c r="H7" s="634">
        <f>допущения!$C$67*'выручка по кв и годам'!J5</f>
        <v>901.53000000000009</v>
      </c>
      <c r="I7" s="634">
        <f>допущения!$C$67*'выручка по кв и годам'!K5</f>
        <v>901.53000000000009</v>
      </c>
      <c r="J7" s="634">
        <f>допущения!$C$67*'выручка по кв и годам'!L5</f>
        <v>1307.2184999999999</v>
      </c>
      <c r="K7" s="634">
        <f>допущения!$C$67*'выручка по кв и годам'!M5</f>
        <v>1307.2184999999999</v>
      </c>
      <c r="L7" s="634">
        <f>допущения!$C$67*'выручка по кв и годам'!N5</f>
        <v>1307.2184999999999</v>
      </c>
      <c r="M7" s="634">
        <f>допущения!$C$67*'выручка по кв и годам'!O5</f>
        <v>1307.2184999999999</v>
      </c>
      <c r="N7" s="634">
        <f>допущения!$C$67*'выручка по кв и годам'!P5</f>
        <v>1415.281896</v>
      </c>
      <c r="O7" s="634">
        <f>допущения!$C$67*'выручка по кв и годам'!Q5</f>
        <v>1415.281896</v>
      </c>
      <c r="P7" s="634">
        <f>допущения!$C$67*'выручка по кв и годам'!R5</f>
        <v>1415.281896</v>
      </c>
      <c r="Q7" s="634">
        <f>допущения!$C$67*'выручка по кв и годам'!S5</f>
        <v>1415.281896</v>
      </c>
      <c r="R7" s="634">
        <f>допущения!$C$67*'выручка по кв и годам'!T5</f>
        <v>1717.079703432187</v>
      </c>
      <c r="S7" s="634">
        <f>допущения!$C$67*'выручка по кв и годам'!U5</f>
        <v>1717.079703432187</v>
      </c>
      <c r="T7" s="634">
        <f>допущения!$C$67*'выручка по кв и годам'!V5</f>
        <v>1717.079703432187</v>
      </c>
      <c r="U7" s="634">
        <f>допущения!$C$67*'выручка по кв и годам'!W5</f>
        <v>1717.079703432187</v>
      </c>
      <c r="V7" s="634">
        <f>допущения!$C$67*'выручка по кв и годам'!X5</f>
        <v>1845.3556577474153</v>
      </c>
      <c r="W7" s="634">
        <f>допущения!$C$67*'выручка по кв и годам'!Y5</f>
        <v>1845.3556577474153</v>
      </c>
      <c r="X7" s="634">
        <f>допущения!$C$67*'выручка по кв и годам'!Z5</f>
        <v>1845.3556577474153</v>
      </c>
      <c r="Y7" s="634">
        <f>допущения!$C$67*'выручка по кв и годам'!AA5</f>
        <v>1845.3556577474153</v>
      </c>
      <c r="Z7" s="634">
        <f>допущения!$C$67*'выручка по кв и годам'!AB5</f>
        <v>1977.0935477588278</v>
      </c>
      <c r="AA7" s="634">
        <f>допущения!$C$67*'выручка по кв и годам'!AC5</f>
        <v>1977.0935477588278</v>
      </c>
      <c r="AB7" s="634">
        <f>допущения!$C$67*'выручка по кв и годам'!AD5</f>
        <v>1977.0935477588278</v>
      </c>
      <c r="AC7" s="634">
        <f>допущения!$C$67*'выручка по кв и годам'!AE5</f>
        <v>1977.0935477588278</v>
      </c>
      <c r="AD7" s="634">
        <f>допущения!$C$67*'выручка по кв и годам'!AF5</f>
        <v>2112.3683694475894</v>
      </c>
      <c r="AE7" s="634">
        <f>допущения!$C$67*'выручка по кв и годам'!AG5</f>
        <v>2112.3683694475894</v>
      </c>
      <c r="AF7" s="634">
        <f>допущения!$C$67*'выручка по кв и годам'!AH5</f>
        <v>2112.3683694475894</v>
      </c>
      <c r="AG7" s="634">
        <f>допущения!$C$67*'выручка по кв и годам'!AI5</f>
        <v>2112.3683694475894</v>
      </c>
      <c r="AH7" s="634">
        <f>допущения!$C$67*'выручка по кв и годам'!AJ5</f>
        <v>2144.0538949893034</v>
      </c>
      <c r="AI7" s="634">
        <f>допущения!$C$67*'выручка по кв и годам'!AK5</f>
        <v>2144.0538949893034</v>
      </c>
      <c r="AJ7" s="634">
        <f>допущения!$C$67*'выручка по кв и годам'!AL5</f>
        <v>2144.0538949893034</v>
      </c>
      <c r="AK7" s="634">
        <f>допущения!$C$67*'выручка по кв и годам'!AM5</f>
        <v>2144.0538949893034</v>
      </c>
      <c r="AL7" s="634">
        <f>допущения!$C$67*'выручка по кв и годам'!AN5</f>
        <v>2176.2147034141426</v>
      </c>
      <c r="AM7" s="634">
        <f>допущения!$C$67*'выручка по кв и годам'!AO5</f>
        <v>2176.2147034141426</v>
      </c>
      <c r="AN7" s="634">
        <f>допущения!$C$67*'выручка по кв и годам'!AP5</f>
        <v>2176.2147034141426</v>
      </c>
      <c r="AO7" s="634">
        <f>допущения!$C$67*'выручка по кв и годам'!AQ5</f>
        <v>2176.2147034141426</v>
      </c>
      <c r="AP7" s="634">
        <f>допущения!$C$67*'выручка по кв и годам'!AR5</f>
        <v>2208.8579239653545</v>
      </c>
      <c r="AQ7" s="634">
        <f>допущения!$C$67*'выручка по кв и годам'!AS5</f>
        <v>2208.8579239653545</v>
      </c>
      <c r="AR7" s="634">
        <f>допущения!$C$67*'выручка по кв и годам'!AT5</f>
        <v>2208.8579239653545</v>
      </c>
      <c r="AS7" s="634">
        <f>допущения!$C$67*'выручка по кв и годам'!AU5</f>
        <v>2208.8579239653545</v>
      </c>
    </row>
    <row r="8" spans="1:45" s="627" customFormat="1" ht="57.6" x14ac:dyDescent="0.3">
      <c r="A8" s="628" t="s">
        <v>264</v>
      </c>
      <c r="B8" s="625"/>
      <c r="C8" s="625"/>
      <c r="D8" s="625"/>
      <c r="E8" s="626"/>
      <c r="F8" s="626">
        <f>допущения!$C$68*'выручка по кв и годам'!H5</f>
        <v>601.0200000000001</v>
      </c>
      <c r="G8" s="626">
        <f>допущения!$C$68*'выручка по кв и годам'!I5</f>
        <v>601.0200000000001</v>
      </c>
      <c r="H8" s="626">
        <f>допущения!$C$68*'выручка по кв и годам'!J5</f>
        <v>601.0200000000001</v>
      </c>
      <c r="I8" s="626">
        <f>допущения!$C$68*'выручка по кв и годам'!K5</f>
        <v>601.0200000000001</v>
      </c>
      <c r="J8" s="626">
        <f>допущения!$C$68*'выручка по кв и годам'!L5</f>
        <v>871.47899999999993</v>
      </c>
      <c r="K8" s="626">
        <f>допущения!$C$68*'выручка по кв и годам'!M5</f>
        <v>871.47899999999993</v>
      </c>
      <c r="L8" s="626">
        <f>допущения!$C$68*'выручка по кв и годам'!N5</f>
        <v>871.47899999999993</v>
      </c>
      <c r="M8" s="626">
        <f>допущения!$C$68*'выручка по кв и годам'!O5</f>
        <v>871.47899999999993</v>
      </c>
      <c r="N8" s="626">
        <f>допущения!$C$68*'выручка по кв и годам'!P5</f>
        <v>943.52126400000009</v>
      </c>
      <c r="O8" s="626">
        <f>допущения!$C$68*'выручка по кв и годам'!Q5</f>
        <v>943.52126400000009</v>
      </c>
      <c r="P8" s="626">
        <f>допущения!$C$68*'выручка по кв и годам'!R5</f>
        <v>943.52126400000009</v>
      </c>
      <c r="Q8" s="626">
        <f>допущения!$C$68*'выручка по кв и годам'!S5</f>
        <v>943.52126400000009</v>
      </c>
      <c r="R8" s="626">
        <f>допущения!$C$68*'выручка по кв и годам'!T5</f>
        <v>1144.7198022881246</v>
      </c>
      <c r="S8" s="626">
        <f>допущения!$C$68*'выручка по кв и годам'!U5</f>
        <v>1144.7198022881246</v>
      </c>
      <c r="T8" s="626">
        <f>допущения!$C$68*'выручка по кв и годам'!V5</f>
        <v>1144.7198022881246</v>
      </c>
      <c r="U8" s="626">
        <f>допущения!$C$68*'выручка по кв и годам'!W5</f>
        <v>1144.7198022881246</v>
      </c>
      <c r="V8" s="626">
        <f>допущения!$C$68*'выручка по кв и годам'!X5</f>
        <v>1230.2371051649436</v>
      </c>
      <c r="W8" s="626">
        <f>допущения!$C$68*'выручка по кв и годам'!Y5</f>
        <v>1230.2371051649436</v>
      </c>
      <c r="X8" s="626">
        <f>допущения!$C$68*'выручка по кв и годам'!Z5</f>
        <v>1230.2371051649436</v>
      </c>
      <c r="Y8" s="626">
        <f>допущения!$C$68*'выручка по кв и годам'!AA5</f>
        <v>1230.2371051649436</v>
      </c>
      <c r="Z8" s="626">
        <f>допущения!$C$68*'выручка по кв и годам'!AB5</f>
        <v>1318.0623651725521</v>
      </c>
      <c r="AA8" s="626">
        <f>допущения!$C$68*'выручка по кв и годам'!AC5</f>
        <v>1318.0623651725521</v>
      </c>
      <c r="AB8" s="626">
        <f>допущения!$C$68*'выручка по кв и годам'!AD5</f>
        <v>1318.0623651725521</v>
      </c>
      <c r="AC8" s="626">
        <f>допущения!$C$68*'выручка по кв и годам'!AE5</f>
        <v>1318.0623651725521</v>
      </c>
      <c r="AD8" s="626">
        <f>допущения!$C$68*'выручка по кв и годам'!AF5</f>
        <v>1408.2455796317265</v>
      </c>
      <c r="AE8" s="626">
        <f>допущения!$C$68*'выручка по кв и годам'!AG5</f>
        <v>1408.2455796317265</v>
      </c>
      <c r="AF8" s="626">
        <f>допущения!$C$68*'выручка по кв и годам'!AH5</f>
        <v>1408.2455796317265</v>
      </c>
      <c r="AG8" s="626">
        <f>допущения!$C$68*'выручка по кв и годам'!AI5</f>
        <v>1408.2455796317265</v>
      </c>
      <c r="AH8" s="626">
        <f>допущения!$C$68*'выручка по кв и годам'!AJ5</f>
        <v>1429.3692633262024</v>
      </c>
      <c r="AI8" s="626">
        <f>допущения!$C$68*'выручка по кв и годам'!AK5</f>
        <v>1429.3692633262024</v>
      </c>
      <c r="AJ8" s="626">
        <f>допущения!$C$68*'выручка по кв и годам'!AL5</f>
        <v>1429.3692633262024</v>
      </c>
      <c r="AK8" s="626">
        <f>допущения!$C$68*'выручка по кв и годам'!AM5</f>
        <v>1429.3692633262024</v>
      </c>
      <c r="AL8" s="626">
        <f>допущения!$C$68*'выручка по кв и годам'!AN5</f>
        <v>1450.8098022760951</v>
      </c>
      <c r="AM8" s="626">
        <f>допущения!$C$68*'выручка по кв и годам'!AO5</f>
        <v>1450.8098022760951</v>
      </c>
      <c r="AN8" s="626">
        <f>допущения!$C$68*'выручка по кв и годам'!AP5</f>
        <v>1450.8098022760951</v>
      </c>
      <c r="AO8" s="626">
        <f>допущения!$C$68*'выручка по кв и годам'!AQ5</f>
        <v>1450.8098022760951</v>
      </c>
      <c r="AP8" s="626">
        <f>допущения!$C$68*'выручка по кв и годам'!AR5</f>
        <v>1472.5719493102365</v>
      </c>
      <c r="AQ8" s="626">
        <f>допущения!$C$68*'выручка по кв и годам'!AS5</f>
        <v>1472.5719493102365</v>
      </c>
      <c r="AR8" s="626">
        <f>допущения!$C$68*'выручка по кв и годам'!AT5</f>
        <v>1472.5719493102365</v>
      </c>
      <c r="AS8" s="626">
        <f>допущения!$C$68*'выручка по кв и годам'!AU5</f>
        <v>1472.5719493102365</v>
      </c>
    </row>
    <row r="9" spans="1:45" ht="28.8" x14ac:dyDescent="0.3">
      <c r="A9" s="538" t="s">
        <v>265</v>
      </c>
      <c r="B9" s="507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>
        <f t="shared" ref="S9:AS9" si="2">R9</f>
        <v>0</v>
      </c>
      <c r="T9" s="70">
        <f t="shared" si="2"/>
        <v>0</v>
      </c>
      <c r="U9" s="70">
        <f t="shared" si="2"/>
        <v>0</v>
      </c>
      <c r="V9" s="70">
        <f t="shared" si="2"/>
        <v>0</v>
      </c>
      <c r="W9" s="70">
        <f t="shared" si="2"/>
        <v>0</v>
      </c>
      <c r="X9" s="70">
        <f t="shared" si="2"/>
        <v>0</v>
      </c>
      <c r="Y9" s="70">
        <f t="shared" si="2"/>
        <v>0</v>
      </c>
      <c r="Z9" s="70">
        <f t="shared" si="2"/>
        <v>0</v>
      </c>
      <c r="AA9" s="70">
        <f t="shared" si="2"/>
        <v>0</v>
      </c>
      <c r="AB9" s="70">
        <f t="shared" si="2"/>
        <v>0</v>
      </c>
      <c r="AC9" s="70">
        <f t="shared" si="2"/>
        <v>0</v>
      </c>
      <c r="AD9" s="70">
        <f t="shared" si="2"/>
        <v>0</v>
      </c>
      <c r="AE9" s="70">
        <f t="shared" si="2"/>
        <v>0</v>
      </c>
      <c r="AF9" s="70">
        <f t="shared" si="2"/>
        <v>0</v>
      </c>
      <c r="AG9" s="70">
        <f t="shared" si="2"/>
        <v>0</v>
      </c>
      <c r="AH9" s="70">
        <f t="shared" si="2"/>
        <v>0</v>
      </c>
      <c r="AI9" s="70">
        <f t="shared" si="2"/>
        <v>0</v>
      </c>
      <c r="AJ9" s="70">
        <f t="shared" si="2"/>
        <v>0</v>
      </c>
      <c r="AK9" s="70">
        <f t="shared" si="2"/>
        <v>0</v>
      </c>
      <c r="AL9" s="70">
        <f t="shared" si="2"/>
        <v>0</v>
      </c>
      <c r="AM9" s="70">
        <f t="shared" si="2"/>
        <v>0</v>
      </c>
      <c r="AN9" s="70">
        <f t="shared" si="2"/>
        <v>0</v>
      </c>
      <c r="AO9" s="70">
        <f t="shared" si="2"/>
        <v>0</v>
      </c>
      <c r="AP9" s="70">
        <f t="shared" si="2"/>
        <v>0</v>
      </c>
      <c r="AQ9" s="70">
        <f t="shared" si="2"/>
        <v>0</v>
      </c>
      <c r="AR9" s="70">
        <f t="shared" si="2"/>
        <v>0</v>
      </c>
      <c r="AS9" s="70">
        <f t="shared" si="2"/>
        <v>0</v>
      </c>
    </row>
    <row r="10" spans="1:45" ht="34.5" customHeight="1" x14ac:dyDescent="0.3">
      <c r="A10" s="538" t="s">
        <v>266</v>
      </c>
      <c r="B10" s="216"/>
      <c r="C10" s="216"/>
      <c r="D10" s="216"/>
      <c r="E10" s="217"/>
      <c r="F10" s="217">
        <f>допущения!$C$69*F4</f>
        <v>1299.375</v>
      </c>
      <c r="G10" s="217">
        <f>допущения!$C$69*G4</f>
        <v>1299.375</v>
      </c>
      <c r="H10" s="217">
        <f>допущения!$C$69*H4</f>
        <v>1299.375</v>
      </c>
      <c r="I10" s="217">
        <f>допущения!$C$69*I4</f>
        <v>1299.375</v>
      </c>
      <c r="J10" s="217">
        <f>допущения!$C$69*J4</f>
        <v>1856.25</v>
      </c>
      <c r="K10" s="217">
        <f>допущения!$C$69*K4</f>
        <v>1856.25</v>
      </c>
      <c r="L10" s="217">
        <f>допущения!$C$69*L4</f>
        <v>1856.25</v>
      </c>
      <c r="M10" s="217">
        <f>допущения!$C$69*M4</f>
        <v>1856.25</v>
      </c>
      <c r="N10" s="217">
        <f>допущения!$C$69*N4</f>
        <v>1980.0000000000005</v>
      </c>
      <c r="O10" s="217">
        <f>допущения!$C$69*O4</f>
        <v>1980.0000000000005</v>
      </c>
      <c r="P10" s="217">
        <f>допущения!$C$69*P4</f>
        <v>1980.0000000000005</v>
      </c>
      <c r="Q10" s="217">
        <f>допущения!$C$69*Q4</f>
        <v>1980.0000000000005</v>
      </c>
      <c r="R10" s="217">
        <f>допущения!$C$69*R4</f>
        <v>2366.71875</v>
      </c>
      <c r="S10" s="217">
        <f>допущения!$C$69*S4</f>
        <v>2366.71875</v>
      </c>
      <c r="T10" s="217">
        <f>допущения!$C$69*T4</f>
        <v>2366.71875</v>
      </c>
      <c r="U10" s="217">
        <f>допущения!$C$69*U4</f>
        <v>2366.71875</v>
      </c>
      <c r="V10" s="217">
        <f>допущения!$C$69*V4</f>
        <v>2505.9375000000014</v>
      </c>
      <c r="W10" s="217">
        <f>допущения!$C$69*W4</f>
        <v>2505.9375000000014</v>
      </c>
      <c r="X10" s="217">
        <f>допущения!$C$69*X4</f>
        <v>2505.9375000000014</v>
      </c>
      <c r="Y10" s="217">
        <f>допущения!$C$69*Y4</f>
        <v>2505.9375000000014</v>
      </c>
      <c r="Z10" s="217">
        <f>допущения!$C$69*Z4</f>
        <v>2645.1562500000005</v>
      </c>
      <c r="AA10" s="217">
        <f>допущения!$C$69*AA4</f>
        <v>2645.1562500000005</v>
      </c>
      <c r="AB10" s="217">
        <f>допущения!$C$69*AB4</f>
        <v>2645.1562500000005</v>
      </c>
      <c r="AC10" s="217">
        <f>допущения!$C$69*AC4</f>
        <v>2645.1562500000005</v>
      </c>
      <c r="AD10" s="217">
        <f>допущения!$C$69*AD4</f>
        <v>2784.3750000000014</v>
      </c>
      <c r="AE10" s="217">
        <f>допущения!$C$69*AE4</f>
        <v>2784.3750000000014</v>
      </c>
      <c r="AF10" s="217">
        <f>допущения!$C$69*AF4</f>
        <v>2784.3750000000014</v>
      </c>
      <c r="AG10" s="217">
        <f>допущения!$C$69*AG4</f>
        <v>2784.3750000000014</v>
      </c>
      <c r="AH10" s="217">
        <f>допущения!$C$69*AH4</f>
        <v>2784.3750000000014</v>
      </c>
      <c r="AI10" s="217">
        <f>допущения!$C$69*AI4</f>
        <v>2784.3750000000014</v>
      </c>
      <c r="AJ10" s="217">
        <f>допущения!$C$69*AJ4</f>
        <v>2784.3750000000014</v>
      </c>
      <c r="AK10" s="217">
        <f>допущения!$C$69*AK4</f>
        <v>2784.3750000000014</v>
      </c>
      <c r="AL10" s="217">
        <f>допущения!$C$69*AL4</f>
        <v>2784.3750000000005</v>
      </c>
      <c r="AM10" s="217">
        <f>допущения!$C$69*AM4</f>
        <v>2784.3750000000005</v>
      </c>
      <c r="AN10" s="217">
        <f>допущения!$C$69*AN4</f>
        <v>2784.3750000000005</v>
      </c>
      <c r="AO10" s="217">
        <f>допущения!$C$69*AO4</f>
        <v>2784.3750000000005</v>
      </c>
      <c r="AP10" s="217">
        <f>допущения!$C$69*AP4</f>
        <v>2784.3750000000005</v>
      </c>
      <c r="AQ10" s="217">
        <f>допущения!$C$69*AQ4</f>
        <v>2784.3750000000005</v>
      </c>
      <c r="AR10" s="217">
        <f>допущения!$C$69*AR4</f>
        <v>2784.3750000000005</v>
      </c>
      <c r="AS10" s="217">
        <f>допущения!$C$69*AS4</f>
        <v>2784.3750000000005</v>
      </c>
    </row>
    <row r="11" spans="1:45" ht="28.8" x14ac:dyDescent="0.3">
      <c r="A11" s="538" t="s">
        <v>267</v>
      </c>
      <c r="B11" s="216"/>
      <c r="C11" s="216"/>
      <c r="D11" s="216"/>
      <c r="E11" s="217"/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5"/>
      <c r="R11" s="215"/>
      <c r="S11" s="215"/>
      <c r="T11" s="215"/>
      <c r="U11" s="215"/>
      <c r="V11" s="215"/>
      <c r="W11" s="215"/>
      <c r="X11" s="215"/>
      <c r="Y11" s="215"/>
      <c r="Z11" s="215"/>
      <c r="AA11" s="215"/>
      <c r="AB11" s="215"/>
      <c r="AC11" s="215"/>
      <c r="AD11" s="215"/>
      <c r="AE11" s="215"/>
      <c r="AF11" s="215"/>
      <c r="AG11" s="215"/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</row>
    <row r="12" spans="1:45" ht="14.4" x14ac:dyDescent="0.3">
      <c r="A12" s="214" t="s">
        <v>268</v>
      </c>
      <c r="B12" s="216">
        <f>'Расходы на П, строит-во, ввод'!B26</f>
        <v>0</v>
      </c>
      <c r="C12" s="216">
        <f>'Расходы на П, строит-во, ввод'!C26</f>
        <v>0</v>
      </c>
      <c r="D12" s="216">
        <f>'Расходы на П, строит-во, ввод'!D26</f>
        <v>0</v>
      </c>
      <c r="E12" s="216">
        <f>'Расходы на П, строит-во, ввод'!E26</f>
        <v>858.33333333333337</v>
      </c>
      <c r="F12" s="216">
        <f>'Расходы на П, строит-во, ввод'!F26</f>
        <v>858.33333333333337</v>
      </c>
      <c r="G12" s="216">
        <f>'Расходы на П, строит-во, ввод'!G26</f>
        <v>858.33333333333337</v>
      </c>
      <c r="H12" s="216">
        <f>'Расходы на П, строит-во, ввод'!H26</f>
        <v>858.33333333333337</v>
      </c>
      <c r="I12" s="216">
        <f>'Расходы на П, строит-во, ввод'!I26</f>
        <v>858.33333333333337</v>
      </c>
      <c r="J12" s="216">
        <f>'Расходы на П, строит-во, ввод'!J26</f>
        <v>858.33333333333337</v>
      </c>
      <c r="K12" s="216">
        <f>'Расходы на П, строит-во, ввод'!K26</f>
        <v>858.33333333333337</v>
      </c>
      <c r="L12" s="216">
        <f>'Расходы на П, строит-во, ввод'!L26</f>
        <v>858.33333333333337</v>
      </c>
      <c r="M12" s="216">
        <f>'Расходы на П, строит-во, ввод'!M26</f>
        <v>858.33333333333337</v>
      </c>
      <c r="N12" s="216">
        <f>'Расходы на П, строит-во, ввод'!N26</f>
        <v>858.33333333333337</v>
      </c>
      <c r="O12" s="216">
        <f>'Расходы на П, строит-во, ввод'!O26</f>
        <v>858.33333333333337</v>
      </c>
      <c r="P12" s="216">
        <f>'Расходы на П, строит-во, ввод'!P26</f>
        <v>858.33333333333337</v>
      </c>
      <c r="Q12" s="216">
        <f>'Расходы на П, строит-во, ввод'!Q26</f>
        <v>858.33333333333337</v>
      </c>
      <c r="R12" s="216">
        <f>'Расходы на П, строит-во, ввод'!R26</f>
        <v>858.33333333333337</v>
      </c>
      <c r="S12" s="216">
        <f>'Расходы на П, строит-во, ввод'!S26</f>
        <v>858.33333333333337</v>
      </c>
      <c r="T12" s="216">
        <f>'Расходы на П, строит-во, ввод'!T26</f>
        <v>858.33333333333337</v>
      </c>
      <c r="U12" s="216">
        <f>'Расходы на П, строит-во, ввод'!U26</f>
        <v>858.33333333333337</v>
      </c>
      <c r="V12" s="216">
        <f>'Расходы на П, строит-во, ввод'!V26</f>
        <v>858.33333333333337</v>
      </c>
      <c r="W12" s="216">
        <f>'Расходы на П, строит-во, ввод'!W26</f>
        <v>858.33333333333337</v>
      </c>
      <c r="X12" s="216">
        <f>'Расходы на П, строит-во, ввод'!X26</f>
        <v>858.33333333333337</v>
      </c>
      <c r="Y12" s="216">
        <f>'Расходы на П, строит-во, ввод'!Y26</f>
        <v>858.33333333333337</v>
      </c>
      <c r="Z12" s="216">
        <f>'Расходы на П, строит-во, ввод'!Z26</f>
        <v>858.33333333333337</v>
      </c>
      <c r="AA12" s="216">
        <f>'Расходы на П, строит-во, ввод'!AA26</f>
        <v>858.33333333333337</v>
      </c>
      <c r="AB12" s="216">
        <f>'Расходы на П, строит-во, ввод'!AB26</f>
        <v>858.33333333333337</v>
      </c>
      <c r="AC12" s="216">
        <f>'Расходы на П, строит-во, ввод'!AC26</f>
        <v>858.33333333333337</v>
      </c>
      <c r="AD12" s="216">
        <f>'Расходы на П, строит-во, ввод'!AD26</f>
        <v>858.33333333333337</v>
      </c>
      <c r="AE12" s="216">
        <f>'Расходы на П, строит-во, ввод'!AE26</f>
        <v>858.33333333333337</v>
      </c>
      <c r="AF12" s="216">
        <f>'Расходы на П, строит-во, ввод'!AF26</f>
        <v>858.33333333333337</v>
      </c>
      <c r="AG12" s="216">
        <f>'Расходы на П, строит-во, ввод'!AG26</f>
        <v>858.33333333333337</v>
      </c>
      <c r="AH12" s="216">
        <f>'Расходы на П, строит-во, ввод'!AH26</f>
        <v>858.33333333333337</v>
      </c>
      <c r="AI12" s="216">
        <f>'Расходы на П, строит-во, ввод'!AI26</f>
        <v>858.33333333333337</v>
      </c>
      <c r="AJ12" s="216">
        <f>'Расходы на П, строит-во, ввод'!AJ26</f>
        <v>858.33333333333337</v>
      </c>
      <c r="AK12" s="216">
        <f>'Расходы на П, строит-во, ввод'!AK26</f>
        <v>858.33333333333337</v>
      </c>
      <c r="AL12" s="216">
        <f>'Расходы на П, строит-во, ввод'!AL26</f>
        <v>858.33333333333337</v>
      </c>
      <c r="AM12" s="216">
        <f>'Расходы на П, строит-во, ввод'!AM26</f>
        <v>858.33333333333337</v>
      </c>
      <c r="AN12" s="216">
        <f>'Расходы на П, строит-во, ввод'!AN26</f>
        <v>858.33333333333337</v>
      </c>
      <c r="AO12" s="216">
        <f>'Расходы на П, строит-во, ввод'!AO26</f>
        <v>858.33333333333337</v>
      </c>
      <c r="AP12" s="216">
        <f>'Расходы на П, строит-во, ввод'!AP26</f>
        <v>858.33333333333337</v>
      </c>
      <c r="AQ12" s="216">
        <f>'Расходы на П, строит-во, ввод'!AQ26</f>
        <v>858.33333333333337</v>
      </c>
      <c r="AR12" s="216">
        <f>'Расходы на П, строит-во, ввод'!AR26</f>
        <v>858.33333333333337</v>
      </c>
      <c r="AS12" s="216">
        <f>'Расходы на П, строит-во, ввод'!AS26</f>
        <v>858.33333333333337</v>
      </c>
    </row>
    <row r="13" spans="1:45" ht="14.4" x14ac:dyDescent="0.3">
      <c r="A13" s="218" t="s">
        <v>269</v>
      </c>
      <c r="B13" s="216"/>
      <c r="C13" s="216"/>
      <c r="D13" s="216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5"/>
      <c r="R13" s="215"/>
      <c r="S13" s="215"/>
      <c r="T13" s="215"/>
      <c r="U13" s="215"/>
      <c r="V13" s="215"/>
      <c r="W13" s="215"/>
      <c r="X13" s="215"/>
      <c r="Y13" s="215"/>
      <c r="Z13" s="215"/>
      <c r="AA13" s="215"/>
      <c r="AB13" s="215"/>
      <c r="AC13" s="215"/>
      <c r="AD13" s="215"/>
      <c r="AE13" s="215"/>
      <c r="AF13" s="215"/>
      <c r="AG13" s="215"/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</row>
    <row r="14" spans="1:45" ht="14.4" x14ac:dyDescent="0.3">
      <c r="A14" s="648" t="s">
        <v>578</v>
      </c>
      <c r="B14" s="216">
        <f>B22-B21</f>
        <v>0</v>
      </c>
      <c r="C14" s="216">
        <f t="shared" ref="C14:AS14" si="3">C22-C21</f>
        <v>0</v>
      </c>
      <c r="D14" s="216">
        <f t="shared" si="3"/>
        <v>0</v>
      </c>
      <c r="E14" s="216">
        <f t="shared" si="3"/>
        <v>0</v>
      </c>
      <c r="F14" s="216">
        <f t="shared" si="3"/>
        <v>1882.4252700000006</v>
      </c>
      <c r="G14" s="216">
        <f t="shared" si="3"/>
        <v>-8524.9363966666679</v>
      </c>
      <c r="H14" s="216">
        <f t="shared" si="3"/>
        <v>1882.4252700000006</v>
      </c>
      <c r="I14" s="216">
        <f t="shared" si="3"/>
        <v>1882.4252700000006</v>
      </c>
      <c r="J14" s="216">
        <f t="shared" si="3"/>
        <v>2814.2907188999989</v>
      </c>
      <c r="K14" s="216">
        <f t="shared" si="3"/>
        <v>2814.2907188999989</v>
      </c>
      <c r="L14" s="216">
        <f t="shared" si="3"/>
        <v>2814.2907188999989</v>
      </c>
      <c r="M14" s="216">
        <f t="shared" si="3"/>
        <v>2814.2907188999989</v>
      </c>
      <c r="N14" s="216">
        <f t="shared" si="3"/>
        <v>3134.3474422230001</v>
      </c>
      <c r="O14" s="216">
        <f t="shared" si="3"/>
        <v>3134.3474422230001</v>
      </c>
      <c r="P14" s="216">
        <f t="shared" si="3"/>
        <v>3134.3474422230001</v>
      </c>
      <c r="Q14" s="216">
        <f t="shared" si="3"/>
        <v>3134.3474422230001</v>
      </c>
      <c r="R14" s="216">
        <f t="shared" si="3"/>
        <v>3908.3413963557932</v>
      </c>
      <c r="S14" s="216">
        <f t="shared" si="3"/>
        <v>3908.3413963557932</v>
      </c>
      <c r="T14" s="216">
        <f t="shared" si="3"/>
        <v>3908.3413963557932</v>
      </c>
      <c r="U14" s="216">
        <f t="shared" si="3"/>
        <v>3908.3413963557932</v>
      </c>
      <c r="V14" s="216">
        <f t="shared" si="3"/>
        <v>4310.8564129088736</v>
      </c>
      <c r="W14" s="216">
        <f t="shared" si="3"/>
        <v>4310.8564129088736</v>
      </c>
      <c r="X14" s="216">
        <f t="shared" si="3"/>
        <v>4310.8564129088736</v>
      </c>
      <c r="Y14" s="216">
        <f t="shared" si="3"/>
        <v>4310.8564129088736</v>
      </c>
      <c r="Z14" s="216">
        <f t="shared" si="3"/>
        <v>4735.2507969500875</v>
      </c>
      <c r="AA14" s="216">
        <f t="shared" si="3"/>
        <v>4735.2507969500875</v>
      </c>
      <c r="AB14" s="216">
        <f t="shared" si="3"/>
        <v>4735.2507969500875</v>
      </c>
      <c r="AC14" s="216">
        <f t="shared" si="3"/>
        <v>4735.2507969500875</v>
      </c>
      <c r="AD14" s="216">
        <f t="shared" si="3"/>
        <v>5182.0620781555881</v>
      </c>
      <c r="AE14" s="216">
        <f t="shared" si="3"/>
        <v>5182.0620781555881</v>
      </c>
      <c r="AF14" s="216">
        <f t="shared" si="3"/>
        <v>5182.0620781555881</v>
      </c>
      <c r="AG14" s="216">
        <f t="shared" si="3"/>
        <v>5182.0620781555881</v>
      </c>
      <c r="AH14" s="216">
        <f t="shared" si="3"/>
        <v>5381.9327082689033</v>
      </c>
      <c r="AI14" s="216">
        <f t="shared" si="3"/>
        <v>5381.9327082689033</v>
      </c>
      <c r="AJ14" s="216">
        <f t="shared" si="3"/>
        <v>5381.9327082689033</v>
      </c>
      <c r="AK14" s="216">
        <f t="shared" si="3"/>
        <v>5381.9327082689033</v>
      </c>
      <c r="AL14" s="216">
        <f t="shared" si="3"/>
        <v>5584.7571577597846</v>
      </c>
      <c r="AM14" s="216">
        <f t="shared" si="3"/>
        <v>5584.7571577597846</v>
      </c>
      <c r="AN14" s="216">
        <f t="shared" si="3"/>
        <v>5584.7571577597846</v>
      </c>
      <c r="AO14" s="216">
        <f t="shared" si="3"/>
        <v>5584.7571577597846</v>
      </c>
      <c r="AP14" s="216">
        <f t="shared" si="3"/>
        <v>5791.4975545841262</v>
      </c>
      <c r="AQ14" s="216">
        <f t="shared" si="3"/>
        <v>5791.4975545841262</v>
      </c>
      <c r="AR14" s="216">
        <f t="shared" si="3"/>
        <v>5791.4975545841262</v>
      </c>
      <c r="AS14" s="216">
        <f t="shared" si="3"/>
        <v>5791.4975545841262</v>
      </c>
    </row>
    <row r="15" spans="1:45" ht="14.4" x14ac:dyDescent="0.3">
      <c r="A15" s="214" t="s">
        <v>579</v>
      </c>
      <c r="B15" s="216">
        <f>'Расходы на П, строит-во, ввод'!B35</f>
        <v>0</v>
      </c>
      <c r="C15" s="216">
        <f>'Расходы на П, строит-во, ввод'!C35</f>
        <v>0</v>
      </c>
      <c r="D15" s="216">
        <f>'Расходы на П, строит-во, ввод'!D35</f>
        <v>0</v>
      </c>
      <c r="E15" s="216">
        <f>'Расходы на П, строит-во, ввод'!E35</f>
        <v>0</v>
      </c>
      <c r="F15" s="342">
        <f>'Расходы на П, строит-во, ввод'!F35</f>
        <v>0</v>
      </c>
      <c r="G15" s="342">
        <f>'Расходы на П, строит-во, ввод'!G35</f>
        <v>0</v>
      </c>
      <c r="H15" s="342">
        <f>'Расходы на П, строит-во, ввод'!H35</f>
        <v>0</v>
      </c>
      <c r="I15" s="342">
        <f>'Расходы на П, строит-во, ввод'!I35</f>
        <v>0</v>
      </c>
      <c r="J15" s="342">
        <f>'Расходы на П, строит-во, ввод'!J35</f>
        <v>0</v>
      </c>
      <c r="K15" s="342">
        <f>'Расходы на П, строит-во, ввод'!K35</f>
        <v>0</v>
      </c>
      <c r="L15" s="342">
        <f>'Расходы на П, строит-во, ввод'!L35</f>
        <v>0</v>
      </c>
      <c r="M15" s="342">
        <f>'Расходы на П, строит-во, ввод'!M35</f>
        <v>0</v>
      </c>
      <c r="N15" s="342">
        <f>'Расходы на П, строит-во, ввод'!N35</f>
        <v>0</v>
      </c>
      <c r="O15" s="342">
        <f>'Расходы на П, строит-во, ввод'!O35</f>
        <v>0</v>
      </c>
      <c r="P15" s="342">
        <f>'Расходы на П, строит-во, ввод'!P35</f>
        <v>0</v>
      </c>
      <c r="Q15" s="342">
        <f>'Расходы на П, строит-во, ввод'!Q35</f>
        <v>0</v>
      </c>
      <c r="R15" s="342">
        <f>'Расходы на П, строит-во, ввод'!R35</f>
        <v>0</v>
      </c>
      <c r="S15" s="342">
        <f>'Расходы на П, строит-во, ввод'!S35</f>
        <v>0</v>
      </c>
      <c r="T15" s="342">
        <f>'Расходы на П, строит-во, ввод'!T35</f>
        <v>0</v>
      </c>
      <c r="U15" s="342">
        <f>'Расходы на П, строит-во, ввод'!U35</f>
        <v>0</v>
      </c>
      <c r="V15" s="342">
        <f>'Расходы на П, строит-во, ввод'!V35</f>
        <v>0</v>
      </c>
      <c r="W15" s="342">
        <f>'Расходы на П, строит-во, ввод'!W35</f>
        <v>0</v>
      </c>
      <c r="X15" s="342">
        <f>'Расходы на П, строит-во, ввод'!X35</f>
        <v>0</v>
      </c>
      <c r="Y15" s="216">
        <f>'Расходы на П, строит-во, ввод'!Y35</f>
        <v>28.875</v>
      </c>
      <c r="Z15" s="216">
        <f>'Расходы на П, строит-во, ввод'!Z35</f>
        <v>28.58625</v>
      </c>
      <c r="AA15" s="216">
        <f>'Расходы на П, строит-во, ввод'!AA35</f>
        <v>28.297499999999999</v>
      </c>
      <c r="AB15" s="216">
        <f>'Расходы на П, строит-во, ввод'!AB35</f>
        <v>28.008749999999999</v>
      </c>
      <c r="AC15" s="216">
        <f>'Расходы на П, строит-во, ввод'!AC35</f>
        <v>27.72</v>
      </c>
      <c r="AD15" s="216">
        <f>'Расходы на П, строит-во, ввод'!AD35</f>
        <v>27.431249999999999</v>
      </c>
      <c r="AE15" s="216">
        <f>'Расходы на П, строит-во, ввод'!AE35</f>
        <v>27.142499999999998</v>
      </c>
      <c r="AF15" s="216">
        <f>'Расходы на П, строит-во, ввод'!AF35</f>
        <v>26.853749999999998</v>
      </c>
      <c r="AG15" s="216">
        <f>'Расходы на П, строит-во, ввод'!AG35</f>
        <v>26.564999999999998</v>
      </c>
      <c r="AH15" s="216">
        <f>'Расходы на П, строит-во, ввод'!AH35</f>
        <v>26.276249999999997</v>
      </c>
      <c r="AI15" s="216">
        <f>'Расходы на П, строит-во, ввод'!AI35</f>
        <v>25.987499999999997</v>
      </c>
      <c r="AJ15" s="216">
        <f>'Расходы на П, строит-во, ввод'!AJ35</f>
        <v>25.698749999999997</v>
      </c>
      <c r="AK15" s="216">
        <f>'Расходы на П, строит-во, ввод'!AK35</f>
        <v>25.41</v>
      </c>
      <c r="AL15" s="216">
        <f>'Расходы на П, строит-во, ввод'!AL35</f>
        <v>25.12125</v>
      </c>
      <c r="AM15" s="216">
        <f>'Расходы на П, строит-во, ввод'!AM35</f>
        <v>24.8325</v>
      </c>
      <c r="AN15" s="216">
        <f>'Расходы на П, строит-во, ввод'!AN35</f>
        <v>24.543749999999999</v>
      </c>
      <c r="AO15" s="216">
        <f>'Расходы на П, строит-во, ввод'!AO35</f>
        <v>24.254999999999999</v>
      </c>
      <c r="AP15" s="216">
        <f>'Расходы на П, строит-во, ввод'!AP35</f>
        <v>23.966249999999999</v>
      </c>
      <c r="AQ15" s="216">
        <f>'Расходы на П, строит-во, ввод'!AQ35</f>
        <v>23.677499999999998</v>
      </c>
      <c r="AR15" s="216">
        <f>'Расходы на П, строит-во, ввод'!AR35</f>
        <v>23.388749999999998</v>
      </c>
      <c r="AS15" s="216">
        <f>'Расходы на П, строит-во, ввод'!AS35</f>
        <v>23.099999999999998</v>
      </c>
    </row>
    <row r="16" spans="1:45" ht="30.75" customHeight="1" x14ac:dyDescent="0.3">
      <c r="A16" s="214" t="s">
        <v>220</v>
      </c>
      <c r="B16" s="216">
        <f>'Расходы на П, строит-во, ввод'!B49</f>
        <v>0</v>
      </c>
      <c r="C16" s="216">
        <f>'Расходы на П, строит-во, ввод'!C49</f>
        <v>0</v>
      </c>
      <c r="D16" s="216">
        <f>'Расходы на П, строит-во, ввод'!D49</f>
        <v>0</v>
      </c>
      <c r="E16" s="216">
        <f>'Расходы на П, строит-во, ввод'!E49</f>
        <v>0</v>
      </c>
      <c r="F16" s="216">
        <f>'Расходы на П, строит-во, ввод'!F49</f>
        <v>0</v>
      </c>
      <c r="G16" s="216">
        <f>'Расходы на П, строит-во, ввод'!G49</f>
        <v>0</v>
      </c>
      <c r="H16" s="216">
        <f>'Расходы на П, строит-во, ввод'!H49</f>
        <v>0</v>
      </c>
      <c r="I16" s="216">
        <f>'Расходы на П, строит-во, ввод'!I49</f>
        <v>0</v>
      </c>
      <c r="J16" s="216">
        <f>'Расходы на П, строит-во, ввод'!J49</f>
        <v>0</v>
      </c>
      <c r="K16" s="216">
        <f>'Расходы на П, строит-во, ввод'!K49</f>
        <v>0</v>
      </c>
      <c r="L16" s="216">
        <f>'Расходы на П, строит-во, ввод'!L49</f>
        <v>0</v>
      </c>
      <c r="M16" s="216">
        <f>'Расходы на П, строит-во, ввод'!M49</f>
        <v>0</v>
      </c>
      <c r="N16" s="216">
        <f>'Расходы на П, строит-во, ввод'!N49</f>
        <v>0</v>
      </c>
      <c r="O16" s="216">
        <f>'Расходы на П, строит-во, ввод'!O49</f>
        <v>0</v>
      </c>
      <c r="P16" s="216">
        <f>'Расходы на П, строит-во, ввод'!P49</f>
        <v>0</v>
      </c>
      <c r="Q16" s="216">
        <f>'Расходы на П, строит-во, ввод'!Q49</f>
        <v>0</v>
      </c>
      <c r="R16" s="216">
        <f>'Расходы на П, строит-во, ввод'!R49</f>
        <v>0</v>
      </c>
      <c r="S16" s="216">
        <f>'Расходы на П, строит-во, ввод'!S49</f>
        <v>0</v>
      </c>
      <c r="T16" s="216">
        <f>'Расходы на П, строит-во, ввод'!T49</f>
        <v>0</v>
      </c>
      <c r="U16" s="216">
        <f>'Расходы на П, строит-во, ввод'!U49</f>
        <v>0</v>
      </c>
      <c r="V16" s="216">
        <f>'Расходы на П, строит-во, ввод'!V49</f>
        <v>0</v>
      </c>
      <c r="W16" s="216">
        <f>'Расходы на П, строит-во, ввод'!W49</f>
        <v>0</v>
      </c>
      <c r="X16" s="216">
        <f>'Расходы на П, строит-во, ввод'!X49</f>
        <v>0</v>
      </c>
      <c r="Y16" s="216">
        <f>'Расходы на П, строит-во, ввод'!Y49</f>
        <v>0</v>
      </c>
      <c r="Z16" s="216">
        <f>'Расходы на П, строит-во, ввод'!Z49</f>
        <v>0</v>
      </c>
      <c r="AA16" s="216">
        <f>'Расходы на П, строит-во, ввод'!AA49</f>
        <v>0</v>
      </c>
      <c r="AB16" s="216">
        <f>'Расходы на П, строит-во, ввод'!AB49</f>
        <v>0</v>
      </c>
      <c r="AC16" s="216">
        <f>'Расходы на П, строит-во, ввод'!AC49</f>
        <v>0</v>
      </c>
      <c r="AD16" s="216">
        <f>'Расходы на П, строит-во, ввод'!AD49</f>
        <v>0</v>
      </c>
      <c r="AE16" s="216">
        <f>'Расходы на П, строит-во, ввод'!AE49</f>
        <v>0</v>
      </c>
      <c r="AF16" s="216">
        <f>'Расходы на П, строит-во, ввод'!AF49</f>
        <v>0</v>
      </c>
      <c r="AG16" s="216">
        <f>'Расходы на П, строит-во, ввод'!AG49</f>
        <v>0</v>
      </c>
      <c r="AH16" s="216">
        <f>'Расходы на П, строит-во, ввод'!AH49</f>
        <v>0</v>
      </c>
      <c r="AI16" s="216">
        <f>'Расходы на П, строит-во, ввод'!AI49</f>
        <v>0</v>
      </c>
      <c r="AJ16" s="216">
        <f>'Расходы на П, строит-во, ввод'!AJ49</f>
        <v>0</v>
      </c>
      <c r="AK16" s="216">
        <f>'Расходы на П, строит-во, ввод'!AK49</f>
        <v>0</v>
      </c>
      <c r="AL16" s="216">
        <f>'Расходы на П, строит-во, ввод'!AL49</f>
        <v>0</v>
      </c>
      <c r="AM16" s="216">
        <f>'Расходы на П, строит-во, ввод'!AM49</f>
        <v>0</v>
      </c>
      <c r="AN16" s="216">
        <f>'Расходы на П, строит-во, ввод'!AN49</f>
        <v>0</v>
      </c>
      <c r="AO16" s="216">
        <f>'Расходы на П, строит-во, ввод'!AO49</f>
        <v>0</v>
      </c>
      <c r="AP16" s="216">
        <f>'Расходы на П, строит-во, ввод'!AP49</f>
        <v>0</v>
      </c>
      <c r="AQ16" s="216">
        <f>'Расходы на П, строит-во, ввод'!AQ49</f>
        <v>0</v>
      </c>
      <c r="AR16" s="216">
        <f>'Расходы на П, строит-во, ввод'!AR49</f>
        <v>0</v>
      </c>
      <c r="AS16" s="216">
        <f>'Расходы на П, строит-во, ввод'!AS49</f>
        <v>0</v>
      </c>
    </row>
    <row r="17" spans="1:47" ht="30.75" customHeight="1" x14ac:dyDescent="0.3">
      <c r="A17" s="214" t="s">
        <v>270</v>
      </c>
      <c r="B17" s="70"/>
      <c r="C17" s="70"/>
      <c r="D17" s="70"/>
      <c r="E17" s="215"/>
      <c r="F17" s="215"/>
      <c r="G17" s="215"/>
      <c r="H17" s="215"/>
      <c r="I17" s="215"/>
      <c r="J17" s="215">
        <f>допущения!$C$35/4*'Расходы на П, строит-во, ввод'!$D$3</f>
        <v>35.235424999999999</v>
      </c>
      <c r="K17" s="215">
        <f>J17</f>
        <v>35.235424999999999</v>
      </c>
      <c r="L17" s="215">
        <f t="shared" ref="L17:AS17" si="4">K17</f>
        <v>35.235424999999999</v>
      </c>
      <c r="M17" s="215">
        <f t="shared" si="4"/>
        <v>35.235424999999999</v>
      </c>
      <c r="N17" s="215">
        <f t="shared" si="4"/>
        <v>35.235424999999999</v>
      </c>
      <c r="O17" s="215">
        <f t="shared" si="4"/>
        <v>35.235424999999999</v>
      </c>
      <c r="P17" s="215">
        <f t="shared" si="4"/>
        <v>35.235424999999999</v>
      </c>
      <c r="Q17" s="215">
        <f t="shared" si="4"/>
        <v>35.235424999999999</v>
      </c>
      <c r="R17" s="215">
        <f t="shared" si="4"/>
        <v>35.235424999999999</v>
      </c>
      <c r="S17" s="215">
        <f t="shared" si="4"/>
        <v>35.235424999999999</v>
      </c>
      <c r="T17" s="215">
        <f t="shared" si="4"/>
        <v>35.235424999999999</v>
      </c>
      <c r="U17" s="215">
        <f t="shared" si="4"/>
        <v>35.235424999999999</v>
      </c>
      <c r="V17" s="215">
        <f t="shared" si="4"/>
        <v>35.235424999999999</v>
      </c>
      <c r="W17" s="215">
        <f t="shared" si="4"/>
        <v>35.235424999999999</v>
      </c>
      <c r="X17" s="215">
        <f t="shared" si="4"/>
        <v>35.235424999999999</v>
      </c>
      <c r="Y17" s="215">
        <f t="shared" si="4"/>
        <v>35.235424999999999</v>
      </c>
      <c r="Z17" s="215">
        <f t="shared" si="4"/>
        <v>35.235424999999999</v>
      </c>
      <c r="AA17" s="215">
        <f t="shared" si="4"/>
        <v>35.235424999999999</v>
      </c>
      <c r="AB17" s="215">
        <f t="shared" si="4"/>
        <v>35.235424999999999</v>
      </c>
      <c r="AC17" s="215">
        <f t="shared" si="4"/>
        <v>35.235424999999999</v>
      </c>
      <c r="AD17" s="215">
        <f t="shared" si="4"/>
        <v>35.235424999999999</v>
      </c>
      <c r="AE17" s="215">
        <f t="shared" si="4"/>
        <v>35.235424999999999</v>
      </c>
      <c r="AF17" s="215">
        <f t="shared" si="4"/>
        <v>35.235424999999999</v>
      </c>
      <c r="AG17" s="215">
        <f t="shared" si="4"/>
        <v>35.235424999999999</v>
      </c>
      <c r="AH17" s="215">
        <f t="shared" si="4"/>
        <v>35.235424999999999</v>
      </c>
      <c r="AI17" s="215">
        <f t="shared" si="4"/>
        <v>35.235424999999999</v>
      </c>
      <c r="AJ17" s="215">
        <f t="shared" si="4"/>
        <v>35.235424999999999</v>
      </c>
      <c r="AK17" s="215">
        <f t="shared" si="4"/>
        <v>35.235424999999999</v>
      </c>
      <c r="AL17" s="215">
        <f t="shared" si="4"/>
        <v>35.235424999999999</v>
      </c>
      <c r="AM17" s="215">
        <f t="shared" si="4"/>
        <v>35.235424999999999</v>
      </c>
      <c r="AN17" s="215">
        <f t="shared" si="4"/>
        <v>35.235424999999999</v>
      </c>
      <c r="AO17" s="215">
        <f t="shared" si="4"/>
        <v>35.235424999999999</v>
      </c>
      <c r="AP17" s="215">
        <f t="shared" si="4"/>
        <v>35.235424999999999</v>
      </c>
      <c r="AQ17" s="215">
        <f t="shared" si="4"/>
        <v>35.235424999999999</v>
      </c>
      <c r="AR17" s="215">
        <f t="shared" si="4"/>
        <v>35.235424999999999</v>
      </c>
      <c r="AS17" s="215">
        <f t="shared" si="4"/>
        <v>35.235424999999999</v>
      </c>
    </row>
    <row r="18" spans="1:47" s="341" customFormat="1" ht="14.4" x14ac:dyDescent="0.3">
      <c r="A18" s="339" t="s">
        <v>271</v>
      </c>
      <c r="B18" s="340">
        <f t="shared" ref="B18:E18" si="5">SUM(B2:B17)</f>
        <v>0</v>
      </c>
      <c r="C18" s="340">
        <f t="shared" si="5"/>
        <v>0</v>
      </c>
      <c r="D18" s="340">
        <f>SUM(D2:D17)</f>
        <v>0.41653993200000006</v>
      </c>
      <c r="E18" s="340">
        <f t="shared" si="5"/>
        <v>858.74987326533335</v>
      </c>
      <c r="F18" s="340">
        <f>SUM(F2:F17)</f>
        <v>27759.715793265332</v>
      </c>
      <c r="G18" s="340">
        <f t="shared" ref="G18:AS18" si="6">SUM(G2:G17)</f>
        <v>17352.354126598664</v>
      </c>
      <c r="H18" s="340">
        <f t="shared" si="6"/>
        <v>27759.715793265332</v>
      </c>
      <c r="I18" s="340">
        <f>SUM(I2:I17)</f>
        <v>27759.715793265332</v>
      </c>
      <c r="J18" s="340">
        <f t="shared" si="6"/>
        <v>38362.934862665337</v>
      </c>
      <c r="K18" s="340">
        <f t="shared" si="6"/>
        <v>38362.934862665337</v>
      </c>
      <c r="L18" s="340">
        <f t="shared" si="6"/>
        <v>38362.934862665337</v>
      </c>
      <c r="M18" s="340">
        <f t="shared" si="6"/>
        <v>38362.934862665337</v>
      </c>
      <c r="N18" s="340">
        <f t="shared" si="6"/>
        <v>41039.285040173338</v>
      </c>
      <c r="O18" s="340">
        <f t="shared" si="6"/>
        <v>41039.285040173338</v>
      </c>
      <c r="P18" s="340">
        <f t="shared" si="6"/>
        <v>41039.285040173338</v>
      </c>
      <c r="Q18" s="340">
        <f t="shared" si="6"/>
        <v>41039.285040173338</v>
      </c>
      <c r="R18" s="340">
        <f t="shared" si="6"/>
        <v>48636.818729804392</v>
      </c>
      <c r="S18" s="340">
        <f t="shared" si="6"/>
        <v>48636.818729804392</v>
      </c>
      <c r="T18" s="340">
        <f t="shared" si="6"/>
        <v>48636.818729804392</v>
      </c>
      <c r="U18" s="340">
        <f t="shared" si="6"/>
        <v>48636.818729804392</v>
      </c>
      <c r="V18" s="340">
        <f t="shared" si="6"/>
        <v>51705.986868111948</v>
      </c>
      <c r="W18" s="340">
        <f t="shared" si="6"/>
        <v>51705.986868111948</v>
      </c>
      <c r="X18" s="340">
        <f t="shared" si="6"/>
        <v>51705.986868111948</v>
      </c>
      <c r="Y18" s="340">
        <f t="shared" si="6"/>
        <v>51734.861868111948</v>
      </c>
      <c r="Z18" s="340">
        <f>SUM(Z2:Z17)</f>
        <v>54850.111744753944</v>
      </c>
      <c r="AA18" s="340">
        <f t="shared" si="6"/>
        <v>54849.822994753944</v>
      </c>
      <c r="AB18" s="340">
        <f t="shared" si="6"/>
        <v>54849.534244753944</v>
      </c>
      <c r="AC18" s="340">
        <f t="shared" si="6"/>
        <v>54849.245494753945</v>
      </c>
      <c r="AD18" s="340">
        <f t="shared" si="6"/>
        <v>57986.193555553502</v>
      </c>
      <c r="AE18" s="340">
        <f t="shared" si="6"/>
        <v>57985.904805553502</v>
      </c>
      <c r="AF18" s="340">
        <f t="shared" si="6"/>
        <v>57985.616055553503</v>
      </c>
      <c r="AG18" s="340">
        <f t="shared" si="6"/>
        <v>57985.327305553503</v>
      </c>
      <c r="AH18" s="340">
        <f t="shared" si="6"/>
        <v>58563.486213506738</v>
      </c>
      <c r="AI18" s="340">
        <f t="shared" si="6"/>
        <v>58563.197463506738</v>
      </c>
      <c r="AJ18" s="340">
        <f t="shared" si="6"/>
        <v>58562.908713506738</v>
      </c>
      <c r="AK18" s="340">
        <f t="shared" si="6"/>
        <v>58562.619963506739</v>
      </c>
      <c r="AL18" s="340">
        <f t="shared" si="6"/>
        <v>59167.32857627832</v>
      </c>
      <c r="AM18" s="340">
        <f t="shared" si="6"/>
        <v>59167.03982627832</v>
      </c>
      <c r="AN18" s="340">
        <f t="shared" si="6"/>
        <v>59166.75107627832</v>
      </c>
      <c r="AO18" s="340">
        <f t="shared" si="6"/>
        <v>59166.462326278321</v>
      </c>
      <c r="AP18" s="340">
        <f t="shared" si="6"/>
        <v>59427.319340688009</v>
      </c>
      <c r="AQ18" s="340">
        <f t="shared" si="6"/>
        <v>59427.030590688009</v>
      </c>
      <c r="AR18" s="340">
        <f t="shared" si="6"/>
        <v>59426.74184068801</v>
      </c>
      <c r="AS18" s="340">
        <f t="shared" si="6"/>
        <v>59426.45309068801</v>
      </c>
    </row>
    <row r="19" spans="1:47" s="347" customFormat="1" ht="28.8" x14ac:dyDescent="0.3">
      <c r="A19" s="343" t="s">
        <v>272</v>
      </c>
      <c r="B19" s="344"/>
      <c r="C19" s="344"/>
      <c r="D19" s="344"/>
      <c r="E19" s="345">
        <f>B18+C18+D18+E18</f>
        <v>859.16641319733333</v>
      </c>
      <c r="F19" s="345"/>
      <c r="G19" s="345"/>
      <c r="H19" s="345"/>
      <c r="I19" s="346">
        <f>F18+G18+H18+I18</f>
        <v>100631.50150639466</v>
      </c>
      <c r="J19" s="345"/>
      <c r="K19" s="345"/>
      <c r="L19" s="345"/>
      <c r="M19" s="345">
        <f>J18+K18+L18+M18</f>
        <v>153451.73945066135</v>
      </c>
      <c r="N19" s="345"/>
      <c r="O19" s="345"/>
      <c r="P19" s="345"/>
      <c r="Q19" s="345">
        <f>N18+O18+P18+Q18</f>
        <v>164157.14016069335</v>
      </c>
      <c r="R19" s="345"/>
      <c r="S19" s="345"/>
      <c r="T19" s="345"/>
      <c r="U19" s="345">
        <f>R18+S18+T18+U18</f>
        <v>194547.27491921757</v>
      </c>
      <c r="V19" s="345"/>
      <c r="W19" s="345"/>
      <c r="X19" s="345"/>
      <c r="Y19" s="345">
        <f>V18+W18+X18+Y18</f>
        <v>206852.82247244779</v>
      </c>
      <c r="Z19" s="345"/>
      <c r="AA19" s="345"/>
      <c r="AB19" s="345"/>
      <c r="AC19" s="345">
        <f>Z18+AA18+AB18+AC18</f>
        <v>219398.71447901576</v>
      </c>
      <c r="AD19" s="345"/>
      <c r="AE19" s="345"/>
      <c r="AF19" s="345"/>
      <c r="AG19" s="345">
        <f>AD18+AE18+AF18+AG18</f>
        <v>231943.04172221399</v>
      </c>
      <c r="AH19" s="345"/>
      <c r="AI19" s="345"/>
      <c r="AJ19" s="345"/>
      <c r="AK19" s="345">
        <f>AH18+AI18+AJ18+AK18</f>
        <v>234252.21235402694</v>
      </c>
      <c r="AL19" s="345"/>
      <c r="AM19" s="345"/>
      <c r="AN19" s="345"/>
      <c r="AO19" s="345">
        <f>AL18+AM18+AN18+AO18</f>
        <v>236667.5818051133</v>
      </c>
      <c r="AP19" s="345"/>
      <c r="AQ19" s="345"/>
      <c r="AR19" s="345"/>
      <c r="AS19" s="345">
        <f>AP18+AQ18+AR18+AS18</f>
        <v>237707.54486275205</v>
      </c>
    </row>
    <row r="20" spans="1:47" s="478" customFormat="1" ht="14.4" x14ac:dyDescent="0.3">
      <c r="A20" s="641"/>
      <c r="B20" s="642"/>
      <c r="C20" s="642"/>
      <c r="D20" s="642"/>
      <c r="E20" s="643"/>
      <c r="F20" s="643"/>
      <c r="G20" s="643"/>
      <c r="H20" s="643"/>
      <c r="I20" s="644"/>
      <c r="J20" s="643"/>
      <c r="K20" s="643"/>
      <c r="L20" s="643"/>
      <c r="M20" s="643"/>
      <c r="N20" s="643"/>
      <c r="O20" s="643"/>
      <c r="P20" s="643"/>
      <c r="Q20" s="643"/>
      <c r="R20" s="643"/>
      <c r="S20" s="643"/>
      <c r="T20" s="643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  <c r="AO20" s="643"/>
      <c r="AP20" s="643"/>
      <c r="AQ20" s="643"/>
      <c r="AR20" s="643"/>
      <c r="AS20" s="643"/>
    </row>
    <row r="21" spans="1:47" s="478" customFormat="1" ht="14.4" x14ac:dyDescent="0.3">
      <c r="A21" s="623" t="s">
        <v>574</v>
      </c>
      <c r="B21" s="642">
        <f>допущения!$C$20*SUM('Расходы ТОР'!B4:B8)</f>
        <v>0</v>
      </c>
      <c r="C21" s="642">
        <f>допущения!$C$20*SUM('Расходы ТОР'!C4:C8)</f>
        <v>0</v>
      </c>
      <c r="D21" s="642">
        <f>допущения!$C$20*SUM('Расходы ТОР'!D4:D8)</f>
        <v>0</v>
      </c>
      <c r="E21" s="642">
        <f>допущения!$C$20*SUM('Расходы ТОР'!E4:E8)</f>
        <v>0</v>
      </c>
      <c r="F21" s="642">
        <f>допущения!$C$20*SUM('Расходы ТОР'!F4:F8)</f>
        <v>4127.7747300000001</v>
      </c>
      <c r="G21" s="642">
        <f>допущения!$C$20*SUM('Расходы ТОР'!G4:G8)+'Расходы на П, строит-во, ввод'!B15</f>
        <v>14535.136396666669</v>
      </c>
      <c r="H21" s="642">
        <f>допущения!$C$20*SUM('Расходы ТОР'!H4:H8)</f>
        <v>4127.7747300000001</v>
      </c>
      <c r="I21" s="642">
        <f>допущения!$C$20*SUM('Расходы ТОР'!I4:I8)</f>
        <v>4127.7747300000001</v>
      </c>
      <c r="J21" s="642">
        <f>допущения!$C$20*SUM('Расходы ТОР'!J4:J8)</f>
        <v>5900.4992811000002</v>
      </c>
      <c r="K21" s="642">
        <f>допущения!$C$20*SUM('Расходы ТОР'!K4:K8)</f>
        <v>5900.4992811000002</v>
      </c>
      <c r="L21" s="642">
        <f>допущения!$C$20*SUM('Расходы ТОР'!L4:L8)</f>
        <v>5900.4992811000002</v>
      </c>
      <c r="M21" s="642">
        <f>допущения!$C$20*SUM('Расходы ТОР'!M4:M8)</f>
        <v>5900.4992811000002</v>
      </c>
      <c r="N21" s="642">
        <f>допущения!$C$20*SUM('Расходы ТОР'!N4:N8)</f>
        <v>6300.8651977770014</v>
      </c>
      <c r="O21" s="642">
        <f>допущения!$C$20*SUM('Расходы ТОР'!O4:O8)</f>
        <v>6300.8651977770014</v>
      </c>
      <c r="P21" s="642">
        <f>допущения!$C$20*SUM('Расходы ТОР'!P4:P8)</f>
        <v>6300.8651977770014</v>
      </c>
      <c r="Q21" s="642">
        <f>допущения!$C$20*SUM('Расходы ТОР'!Q4:Q8)</f>
        <v>6300.8651977770014</v>
      </c>
      <c r="R21" s="642">
        <f>допущения!$C$20*SUM('Расходы ТОР'!R4:R8)</f>
        <v>7538.8566265254531</v>
      </c>
      <c r="S21" s="642">
        <f>допущения!$C$20*SUM('Расходы ТОР'!S4:S8)</f>
        <v>7538.8566265254531</v>
      </c>
      <c r="T21" s="642">
        <f>допущения!$C$20*SUM('Расходы ТОР'!T4:T8)</f>
        <v>7538.8566265254531</v>
      </c>
      <c r="U21" s="642">
        <f>допущения!$C$20*SUM('Расходы ТОР'!U4:U8)</f>
        <v>7538.8566265254531</v>
      </c>
      <c r="V21" s="642">
        <f>допущения!$C$20*SUM('Расходы ТОР'!V4:V8)</f>
        <v>7991.5146387405639</v>
      </c>
      <c r="W21" s="642">
        <f>допущения!$C$20*SUM('Расходы ТОР'!W4:W8)</f>
        <v>7991.5146387405639</v>
      </c>
      <c r="X21" s="642">
        <f>допущения!$C$20*SUM('Расходы ТОР'!X4:X8)</f>
        <v>7991.5146387405639</v>
      </c>
      <c r="Y21" s="642">
        <f>допущения!$C$20*SUM('Расходы ТОР'!Y4:Y8)</f>
        <v>7991.5146387405639</v>
      </c>
      <c r="Z21" s="642">
        <f>допущения!$C$20*SUM('Расходы ТОР'!Z4:Z8)</f>
        <v>8445.3728547754326</v>
      </c>
      <c r="AA21" s="642">
        <f>допущения!$C$20*SUM('Расходы ТОР'!AA4:AA8)</f>
        <v>8445.3728547754326</v>
      </c>
      <c r="AB21" s="642">
        <f>допущения!$C$20*SUM('Расходы ТОР'!AB4:AB8)</f>
        <v>8445.3728547754326</v>
      </c>
      <c r="AC21" s="642">
        <f>допущения!$C$20*SUM('Расходы ТОР'!AC4:AC8)</f>
        <v>8445.3728547754326</v>
      </c>
      <c r="AD21" s="642">
        <f>допущения!$C$20*SUM('Расходы ТОР'!AD4:AD8)</f>
        <v>8900.3937181616766</v>
      </c>
      <c r="AE21" s="642">
        <f>допущения!$C$20*SUM('Расходы ТОР'!AE4:AE8)</f>
        <v>8900.3937181616766</v>
      </c>
      <c r="AF21" s="642">
        <f>допущения!$C$20*SUM('Расходы ТОР'!AF4:AF8)</f>
        <v>8900.3937181616766</v>
      </c>
      <c r="AG21" s="642">
        <f>допущения!$C$20*SUM('Расходы ТОР'!AG4:AG8)</f>
        <v>8900.3937181616766</v>
      </c>
      <c r="AH21" s="642">
        <f>допущения!$C$20*SUM('Расходы ТОР'!AH4:AH8)</f>
        <v>8911.7599249931209</v>
      </c>
      <c r="AI21" s="642">
        <f>допущения!$C$20*SUM('Расходы ТОР'!AI4:AI8)</f>
        <v>8911.7599249931209</v>
      </c>
      <c r="AJ21" s="642">
        <f>допущения!$C$20*SUM('Расходы ТОР'!AJ4:AJ8)</f>
        <v>8911.7599249931209</v>
      </c>
      <c r="AK21" s="642">
        <f>допущения!$C$20*SUM('Расходы ТОР'!AK4:AK8)</f>
        <v>8911.7599249931209</v>
      </c>
      <c r="AL21" s="642">
        <f>допущения!$C$20*SUM('Расходы ТОР'!AL4:AL8)</f>
        <v>8923.3408650011679</v>
      </c>
      <c r="AM21" s="642">
        <f>допущения!$C$20*SUM('Расходы ТОР'!AM4:AM8)</f>
        <v>8923.3408650011679</v>
      </c>
      <c r="AN21" s="642">
        <f>допущения!$C$20*SUM('Расходы ТОР'!AN4:AN8)</f>
        <v>8923.3408650011679</v>
      </c>
      <c r="AO21" s="642">
        <f>допущения!$C$20*SUM('Расходы ТОР'!AO4:AO8)</f>
        <v>8923.3408650011679</v>
      </c>
      <c r="AP21" s="642">
        <f>допущения!$C$20*SUM('Расходы ТОР'!AP4:AP8)</f>
        <v>8934.2219385182379</v>
      </c>
      <c r="AQ21" s="642">
        <f>допущения!$C$20*SUM('Расходы ТОР'!AQ4:AQ8)</f>
        <v>8934.2219385182379</v>
      </c>
      <c r="AR21" s="642">
        <f>допущения!$C$20*SUM('Расходы ТОР'!AR4:AR8)</f>
        <v>8934.2219385182379</v>
      </c>
      <c r="AS21" s="642">
        <f>допущения!$C$20*SUM('Расходы ТОР'!AS4:AS8)</f>
        <v>8934.2219385182379</v>
      </c>
    </row>
    <row r="22" spans="1:47" ht="15.6" x14ac:dyDescent="0.3">
      <c r="A22" s="162" t="s">
        <v>575</v>
      </c>
      <c r="B22" s="642">
        <f>допущения!$C$20*'выручка по кв и годам'!D5</f>
        <v>0</v>
      </c>
      <c r="C22" s="642">
        <f>допущения!$C$20*'выручка по кв и годам'!E5</f>
        <v>0</v>
      </c>
      <c r="D22" s="642">
        <f>допущения!$C$20*'выручка по кв и годам'!F5</f>
        <v>0</v>
      </c>
      <c r="E22" s="642">
        <f>допущения!$C$20*'выручка по кв и годам'!G5</f>
        <v>0</v>
      </c>
      <c r="F22" s="642">
        <f>допущения!$C$20*'выручка по кв и годам'!H5</f>
        <v>6010.2000000000007</v>
      </c>
      <c r="G22" s="642">
        <f>допущения!$C$20*'выручка по кв и годам'!I5</f>
        <v>6010.2000000000007</v>
      </c>
      <c r="H22" s="642">
        <f>допущения!$C$20*'выручка по кв и годам'!J5</f>
        <v>6010.2000000000007</v>
      </c>
      <c r="I22" s="642">
        <f>допущения!$C$20*'выручка по кв и годам'!K5</f>
        <v>6010.2000000000007</v>
      </c>
      <c r="J22" s="642">
        <f>допущения!$C$20*'выручка по кв и годам'!L5</f>
        <v>8714.7899999999991</v>
      </c>
      <c r="K22" s="642">
        <f>допущения!$C$20*'выручка по кв и годам'!M5</f>
        <v>8714.7899999999991</v>
      </c>
      <c r="L22" s="642">
        <f>допущения!$C$20*'выручка по кв и годам'!N5</f>
        <v>8714.7899999999991</v>
      </c>
      <c r="M22" s="642">
        <f>допущения!$C$20*'выручка по кв и годам'!O5</f>
        <v>8714.7899999999991</v>
      </c>
      <c r="N22" s="642">
        <f>допущения!$C$20*'выручка по кв и годам'!P5</f>
        <v>9435.2126400000016</v>
      </c>
      <c r="O22" s="642">
        <f>допущения!$C$20*'выручка по кв и годам'!Q5</f>
        <v>9435.2126400000016</v>
      </c>
      <c r="P22" s="642">
        <f>допущения!$C$20*'выручка по кв и годам'!R5</f>
        <v>9435.2126400000016</v>
      </c>
      <c r="Q22" s="642">
        <f>допущения!$C$20*'выручка по кв и годам'!S5</f>
        <v>9435.2126400000016</v>
      </c>
      <c r="R22" s="642">
        <f>допущения!$C$20*'выручка по кв и годам'!T5</f>
        <v>11447.198022881246</v>
      </c>
      <c r="S22" s="642">
        <f>допущения!$C$20*'выручка по кв и годам'!U5</f>
        <v>11447.198022881246</v>
      </c>
      <c r="T22" s="642">
        <f>допущения!$C$20*'выручка по кв и годам'!V5</f>
        <v>11447.198022881246</v>
      </c>
      <c r="U22" s="642">
        <f>допущения!$C$20*'выручка по кв и годам'!W5</f>
        <v>11447.198022881246</v>
      </c>
      <c r="V22" s="642">
        <f>допущения!$C$20*'выручка по кв и годам'!X5</f>
        <v>12302.371051649438</v>
      </c>
      <c r="W22" s="642">
        <f>допущения!$C$20*'выручка по кв и годам'!Y5</f>
        <v>12302.371051649438</v>
      </c>
      <c r="X22" s="642">
        <f>допущения!$C$20*'выручка по кв и годам'!Z5</f>
        <v>12302.371051649438</v>
      </c>
      <c r="Y22" s="642">
        <f>допущения!$C$20*'выручка по кв и годам'!AA5</f>
        <v>12302.371051649438</v>
      </c>
      <c r="Z22" s="642">
        <f>допущения!$C$20*'выручка по кв и годам'!AB5</f>
        <v>13180.62365172552</v>
      </c>
      <c r="AA22" s="642">
        <f>допущения!$C$20*'выручка по кв и годам'!AC5</f>
        <v>13180.62365172552</v>
      </c>
      <c r="AB22" s="642">
        <f>допущения!$C$20*'выручка по кв и годам'!AD5</f>
        <v>13180.62365172552</v>
      </c>
      <c r="AC22" s="642">
        <f>допущения!$C$20*'выручка по кв и годам'!AE5</f>
        <v>13180.62365172552</v>
      </c>
      <c r="AD22" s="642">
        <f>допущения!$C$20*'выручка по кв и годам'!AF5</f>
        <v>14082.455796317265</v>
      </c>
      <c r="AE22" s="642">
        <f>допущения!$C$20*'выручка по кв и годам'!AG5</f>
        <v>14082.455796317265</v>
      </c>
      <c r="AF22" s="642">
        <f>допущения!$C$20*'выручка по кв и годам'!AH5</f>
        <v>14082.455796317265</v>
      </c>
      <c r="AG22" s="642">
        <f>допущения!$C$20*'выручка по кв и годам'!AI5</f>
        <v>14082.455796317265</v>
      </c>
      <c r="AH22" s="642">
        <f>допущения!$C$20*'выручка по кв и годам'!AJ5</f>
        <v>14293.692633262024</v>
      </c>
      <c r="AI22" s="642">
        <f>допущения!$C$20*'выручка по кв и годам'!AK5</f>
        <v>14293.692633262024</v>
      </c>
      <c r="AJ22" s="642">
        <f>допущения!$C$20*'выручка по кв и годам'!AL5</f>
        <v>14293.692633262024</v>
      </c>
      <c r="AK22" s="642">
        <f>допущения!$C$20*'выручка по кв и годам'!AM5</f>
        <v>14293.692633262024</v>
      </c>
      <c r="AL22" s="642">
        <f>допущения!$C$20*'выручка по кв и годам'!AN5</f>
        <v>14508.098022760953</v>
      </c>
      <c r="AM22" s="642">
        <f>допущения!$C$20*'выручка по кв и годам'!AO5</f>
        <v>14508.098022760953</v>
      </c>
      <c r="AN22" s="642">
        <f>допущения!$C$20*'выручка по кв и годам'!AP5</f>
        <v>14508.098022760953</v>
      </c>
      <c r="AO22" s="642">
        <f>допущения!$C$20*'выручка по кв и годам'!AQ5</f>
        <v>14508.098022760953</v>
      </c>
      <c r="AP22" s="642">
        <f>допущения!$C$20*'выручка по кв и годам'!AR5</f>
        <v>14725.719493102364</v>
      </c>
      <c r="AQ22" s="642">
        <f>допущения!$C$20*'выручка по кв и годам'!AS5</f>
        <v>14725.719493102364</v>
      </c>
      <c r="AR22" s="642">
        <f>допущения!$C$20*'выручка по кв и годам'!AT5</f>
        <v>14725.719493102364</v>
      </c>
      <c r="AS22" s="642">
        <f>допущения!$C$20*'выручка по кв и годам'!AU5</f>
        <v>14725.719493102364</v>
      </c>
    </row>
    <row r="23" spans="1:47" x14ac:dyDescent="0.3">
      <c r="M23" s="219"/>
      <c r="N23" s="219"/>
      <c r="O23" s="219"/>
      <c r="P23" s="219"/>
    </row>
    <row r="24" spans="1:47" ht="27.6" x14ac:dyDescent="0.3">
      <c r="A24" s="348" t="s">
        <v>260</v>
      </c>
      <c r="B24" s="349" t="s">
        <v>50</v>
      </c>
      <c r="C24" s="349" t="s">
        <v>51</v>
      </c>
      <c r="D24" s="349" t="s">
        <v>52</v>
      </c>
      <c r="E24" s="349" t="s">
        <v>53</v>
      </c>
      <c r="F24" s="349" t="s">
        <v>54</v>
      </c>
      <c r="G24" s="349" t="s">
        <v>55</v>
      </c>
      <c r="H24" s="349" t="s">
        <v>56</v>
      </c>
      <c r="I24" s="349" t="s">
        <v>57</v>
      </c>
      <c r="J24" s="349" t="s">
        <v>58</v>
      </c>
      <c r="K24" s="349" t="s">
        <v>59</v>
      </c>
      <c r="L24" s="349" t="s">
        <v>60</v>
      </c>
      <c r="M24" s="219"/>
      <c r="N24" s="219"/>
      <c r="O24" s="219"/>
      <c r="P24" s="219"/>
    </row>
    <row r="25" spans="1:47" ht="27.6" x14ac:dyDescent="0.3">
      <c r="A25" s="220" t="str">
        <f t="shared" ref="A25:A41" si="7">A2</f>
        <v>Арендная плата за зем. Участок</v>
      </c>
      <c r="B25" s="221">
        <f t="shared" ref="B25:B35" si="8">SUM(B2:E2)</f>
        <v>0.83307986400000011</v>
      </c>
      <c r="C25" s="222">
        <f>F2+G2+H2+I2</f>
        <v>1.6661597280000002</v>
      </c>
      <c r="D25" s="222">
        <f t="shared" ref="D25:D35" si="9">J2+K2+L2+M2</f>
        <v>1.6661597280000002</v>
      </c>
      <c r="E25" s="222">
        <f>N2+O2+P2+Q2</f>
        <v>1.6661597280000002</v>
      </c>
      <c r="F25" s="222">
        <f>R2+S2+T2+U2</f>
        <v>1.6661597280000002</v>
      </c>
      <c r="G25" s="222">
        <f t="shared" ref="G25:G35" si="10">V2+W2+X2+Y2</f>
        <v>1.6661597280000002</v>
      </c>
      <c r="H25" s="222">
        <f t="shared" ref="H25:H35" si="11">Z2+AA2+AB2+AC2</f>
        <v>1.6661597280000002</v>
      </c>
      <c r="I25" s="223">
        <f t="shared" ref="I25:I35" si="12">AD2+AE2+AF2+AG2</f>
        <v>1.6661597280000002</v>
      </c>
      <c r="J25" s="223">
        <f t="shared" ref="J25:J35" si="13">AH2+AI2+AJ2+AK2</f>
        <v>1.6661597280000002</v>
      </c>
      <c r="K25" s="223">
        <f t="shared" ref="K25:K35" si="14">AL2+AM2+AN2+AO2</f>
        <v>1.6661597280000002</v>
      </c>
      <c r="L25" s="223">
        <f t="shared" ref="L25:L35" si="15">AP2+AQ2+AR2+AS2</f>
        <v>1.6661597280000002</v>
      </c>
      <c r="M25" s="224"/>
      <c r="N25" s="224"/>
      <c r="O25" s="224"/>
      <c r="P25" s="224"/>
      <c r="AB25" s="225"/>
      <c r="AC25" s="225"/>
      <c r="AD25" s="225"/>
      <c r="AE25" s="225"/>
      <c r="AF25" s="225"/>
      <c r="AG25" s="225"/>
      <c r="AH25" s="225"/>
      <c r="AI25" s="225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</row>
    <row r="26" spans="1:47" ht="27.6" x14ac:dyDescent="0.3">
      <c r="A26" s="220" t="str">
        <f t="shared" si="7"/>
        <v>Заработная плата и страховые взносы</v>
      </c>
      <c r="B26" s="221">
        <f t="shared" si="8"/>
        <v>0</v>
      </c>
      <c r="C26" s="222">
        <f>F3+G3+H3+I3</f>
        <v>12321.168</v>
      </c>
      <c r="D26" s="222">
        <f t="shared" si="9"/>
        <v>13183.64976</v>
      </c>
      <c r="E26" s="222">
        <f>N3+O3+P3+Q3</f>
        <v>14106.505243200001</v>
      </c>
      <c r="F26" s="226">
        <f>R3+S3+T3+U3</f>
        <v>15093.960610224001</v>
      </c>
      <c r="G26" s="222">
        <f t="shared" si="10"/>
        <v>16150.537852939684</v>
      </c>
      <c r="H26" s="222">
        <f t="shared" si="11"/>
        <v>17281.075502645464</v>
      </c>
      <c r="I26" s="227">
        <f t="shared" si="12"/>
        <v>18385.485353296768</v>
      </c>
      <c r="J26" s="223">
        <f t="shared" si="13"/>
        <v>19672.469328027539</v>
      </c>
      <c r="K26" s="223">
        <f t="shared" si="14"/>
        <v>21049.542180989469</v>
      </c>
      <c r="L26" s="223">
        <f t="shared" si="15"/>
        <v>21049.542180989469</v>
      </c>
      <c r="M26" s="224"/>
      <c r="N26" s="224"/>
      <c r="O26" s="224"/>
      <c r="P26" s="224"/>
    </row>
    <row r="27" spans="1:47" ht="51" customHeight="1" x14ac:dyDescent="0.3">
      <c r="A27" s="220" t="str">
        <f t="shared" si="7"/>
        <v>Расходы на сырье (макулатура)</v>
      </c>
      <c r="B27" s="221">
        <f t="shared" si="8"/>
        <v>0</v>
      </c>
      <c r="C27" s="222">
        <f>SUM(F4:I4)</f>
        <v>51975</v>
      </c>
      <c r="D27" s="222">
        <f t="shared" si="9"/>
        <v>74250</v>
      </c>
      <c r="E27" s="222">
        <f>SUM(N4:Q4)</f>
        <v>79200.000000000015</v>
      </c>
      <c r="F27" s="222">
        <f>SUM(R4:U4)</f>
        <v>94668.75</v>
      </c>
      <c r="G27" s="222">
        <f t="shared" si="10"/>
        <v>100237.50000000004</v>
      </c>
      <c r="H27" s="222">
        <f t="shared" si="11"/>
        <v>105806.25000000001</v>
      </c>
      <c r="I27" s="223">
        <f t="shared" si="12"/>
        <v>111375.00000000004</v>
      </c>
      <c r="J27" s="223">
        <f t="shared" si="13"/>
        <v>111375.00000000004</v>
      </c>
      <c r="K27" s="223">
        <f t="shared" si="14"/>
        <v>111375.00000000001</v>
      </c>
      <c r="L27" s="223">
        <f t="shared" si="15"/>
        <v>111375.00000000001</v>
      </c>
      <c r="M27" s="224"/>
      <c r="N27" s="224"/>
      <c r="O27" s="224"/>
      <c r="P27" s="224"/>
      <c r="AC27" s="193"/>
      <c r="AD27" s="193"/>
      <c r="AE27" s="193"/>
      <c r="AF27" s="193"/>
      <c r="AG27" s="193"/>
      <c r="AH27" s="193"/>
      <c r="AI27" s="193"/>
    </row>
    <row r="28" spans="1:47" ht="41.4" x14ac:dyDescent="0.3">
      <c r="A28" s="220" t="str">
        <f t="shared" si="7"/>
        <v>Расходы на спецодежду, средства защиты</v>
      </c>
      <c r="B28" s="221">
        <f t="shared" si="8"/>
        <v>0</v>
      </c>
      <c r="C28" s="222">
        <f t="shared" ref="C28:C35" si="16">F5+G5+H5+I5</f>
        <v>154.0146</v>
      </c>
      <c r="D28" s="222">
        <f t="shared" si="9"/>
        <v>164.79562200000001</v>
      </c>
      <c r="E28" s="222">
        <f t="shared" ref="E28:E35" si="17">N5+O5+P5+Q5</f>
        <v>176.33131554000002</v>
      </c>
      <c r="F28" s="222">
        <f t="shared" ref="F28:F35" si="18">R5+S5+T5+U5</f>
        <v>188.67450762780004</v>
      </c>
      <c r="G28" s="222">
        <f t="shared" si="10"/>
        <v>201.88172316174607</v>
      </c>
      <c r="H28" s="222">
        <f t="shared" si="11"/>
        <v>216.01344378306831</v>
      </c>
      <c r="I28" s="223">
        <f t="shared" si="12"/>
        <v>229.81856691620962</v>
      </c>
      <c r="J28" s="223">
        <f t="shared" si="13"/>
        <v>245.90586660034424</v>
      </c>
      <c r="K28" s="223">
        <f t="shared" si="14"/>
        <v>263.11927726236837</v>
      </c>
      <c r="L28" s="223">
        <f t="shared" si="15"/>
        <v>263.11927726236837</v>
      </c>
      <c r="M28" s="224"/>
      <c r="N28" s="224"/>
      <c r="O28" s="224"/>
      <c r="P28" s="224"/>
      <c r="AC28" s="193"/>
      <c r="AD28" s="193"/>
      <c r="AE28" s="193"/>
      <c r="AF28" s="193"/>
      <c r="AG28" s="193"/>
      <c r="AH28" s="193"/>
      <c r="AI28" s="193"/>
    </row>
    <row r="29" spans="1:47" x14ac:dyDescent="0.3">
      <c r="A29" s="220" t="str">
        <f t="shared" si="7"/>
        <v>Расходы воды, газа</v>
      </c>
      <c r="B29" s="221">
        <f t="shared" si="8"/>
        <v>0</v>
      </c>
      <c r="C29" s="222">
        <f t="shared" si="16"/>
        <v>24416.280000000002</v>
      </c>
      <c r="D29" s="222">
        <f t="shared" si="9"/>
        <v>34880.400000000001</v>
      </c>
      <c r="E29" s="222">
        <f t="shared" si="17"/>
        <v>37205.760000000009</v>
      </c>
      <c r="F29" s="222">
        <f t="shared" si="18"/>
        <v>44472.510000000009</v>
      </c>
      <c r="G29" s="222">
        <f t="shared" si="10"/>
        <v>47088.540000000023</v>
      </c>
      <c r="H29" s="222">
        <f t="shared" si="11"/>
        <v>49704.570000000014</v>
      </c>
      <c r="I29" s="223">
        <f t="shared" si="12"/>
        <v>52320.60000000002</v>
      </c>
      <c r="J29" s="223">
        <f t="shared" si="13"/>
        <v>52320.60000000002</v>
      </c>
      <c r="K29" s="223">
        <f t="shared" si="14"/>
        <v>52320.600000000006</v>
      </c>
      <c r="L29" s="223">
        <f t="shared" si="15"/>
        <v>52320.600000000006</v>
      </c>
      <c r="M29" s="224"/>
      <c r="N29" s="224"/>
      <c r="O29" s="224"/>
      <c r="P29" s="224"/>
      <c r="AC29" s="193"/>
      <c r="AD29" s="193"/>
      <c r="AE29" s="193"/>
      <c r="AF29" s="193"/>
      <c r="AG29" s="193"/>
      <c r="AH29" s="193"/>
      <c r="AI29" s="193"/>
    </row>
    <row r="30" spans="1:47" ht="110.4" x14ac:dyDescent="0.3">
      <c r="A30" s="220" t="str">
        <f t="shared" si="7"/>
        <v>Общехозяйственные расходы (коммунальные расходы, содержание здания, канцтовары, интернет, охрана и проч)</v>
      </c>
      <c r="B30" s="221">
        <f t="shared" si="8"/>
        <v>0</v>
      </c>
      <c r="C30" s="222">
        <f t="shared" si="16"/>
        <v>3606.1200000000003</v>
      </c>
      <c r="D30" s="222">
        <f t="shared" si="9"/>
        <v>5228.8739999999998</v>
      </c>
      <c r="E30" s="222">
        <f t="shared" si="17"/>
        <v>5661.1275839999998</v>
      </c>
      <c r="F30" s="222">
        <f t="shared" si="18"/>
        <v>6868.318813728748</v>
      </c>
      <c r="G30" s="222">
        <f t="shared" si="10"/>
        <v>7381.4226309896612</v>
      </c>
      <c r="H30" s="222">
        <f t="shared" si="11"/>
        <v>7908.374191035311</v>
      </c>
      <c r="I30" s="223">
        <f t="shared" si="12"/>
        <v>8449.4734777903577</v>
      </c>
      <c r="J30" s="223">
        <f t="shared" si="13"/>
        <v>8576.2155799572138</v>
      </c>
      <c r="K30" s="223">
        <f t="shared" si="14"/>
        <v>8704.8588136565704</v>
      </c>
      <c r="L30" s="223">
        <f t="shared" si="15"/>
        <v>8835.4316958614181</v>
      </c>
      <c r="M30" s="224"/>
      <c r="N30" s="224"/>
      <c r="O30" s="224"/>
      <c r="P30" s="224"/>
      <c r="AC30" s="193"/>
      <c r="AD30" s="193"/>
      <c r="AE30" s="193"/>
      <c r="AF30" s="193"/>
      <c r="AG30" s="193"/>
      <c r="AH30" s="193"/>
      <c r="AI30" s="193"/>
    </row>
    <row r="31" spans="1:47" ht="72" customHeight="1" x14ac:dyDescent="0.3">
      <c r="A31" s="220" t="str">
        <f t="shared" si="7"/>
        <v>Запасные части, комлектующие, обслуживание оборудования</v>
      </c>
      <c r="B31" s="221">
        <f t="shared" si="8"/>
        <v>0</v>
      </c>
      <c r="C31" s="221">
        <f t="shared" si="16"/>
        <v>2404.0800000000004</v>
      </c>
      <c r="D31" s="221">
        <f t="shared" si="9"/>
        <v>3485.9159999999997</v>
      </c>
      <c r="E31" s="221">
        <f t="shared" si="17"/>
        <v>3774.0850560000003</v>
      </c>
      <c r="F31" s="221">
        <f t="shared" si="18"/>
        <v>4578.8792091524983</v>
      </c>
      <c r="G31" s="221">
        <f t="shared" si="10"/>
        <v>4920.9484206597745</v>
      </c>
      <c r="H31" s="221">
        <f t="shared" si="11"/>
        <v>5272.2494606902083</v>
      </c>
      <c r="I31" s="228">
        <f t="shared" si="12"/>
        <v>5632.9823185269061</v>
      </c>
      <c r="J31" s="228">
        <f t="shared" si="13"/>
        <v>5717.4770533048095</v>
      </c>
      <c r="K31" s="228">
        <f t="shared" si="14"/>
        <v>5803.2392091043803</v>
      </c>
      <c r="L31" s="228">
        <f t="shared" si="15"/>
        <v>5890.287797240946</v>
      </c>
      <c r="M31" s="229"/>
      <c r="N31" s="229"/>
      <c r="O31" s="229"/>
      <c r="P31" s="229"/>
      <c r="AC31" s="193"/>
      <c r="AD31" s="193"/>
      <c r="AE31" s="193"/>
      <c r="AF31" s="193"/>
      <c r="AG31" s="193"/>
      <c r="AH31" s="193"/>
      <c r="AI31" s="193"/>
    </row>
    <row r="32" spans="1:47" ht="27.6" x14ac:dyDescent="0.3">
      <c r="A32" s="220" t="str">
        <f t="shared" si="7"/>
        <v>Расходы на продвижение</v>
      </c>
      <c r="B32" s="221">
        <f t="shared" si="8"/>
        <v>0</v>
      </c>
      <c r="C32" s="222">
        <f t="shared" si="16"/>
        <v>0</v>
      </c>
      <c r="D32" s="222">
        <f t="shared" si="9"/>
        <v>0</v>
      </c>
      <c r="E32" s="222">
        <f t="shared" si="17"/>
        <v>0</v>
      </c>
      <c r="F32" s="222">
        <f t="shared" si="18"/>
        <v>0</v>
      </c>
      <c r="G32" s="222">
        <f t="shared" si="10"/>
        <v>0</v>
      </c>
      <c r="H32" s="222">
        <f t="shared" si="11"/>
        <v>0</v>
      </c>
      <c r="I32" s="223">
        <f t="shared" si="12"/>
        <v>0</v>
      </c>
      <c r="J32" s="223">
        <f t="shared" si="13"/>
        <v>0</v>
      </c>
      <c r="K32" s="223">
        <f t="shared" si="14"/>
        <v>0</v>
      </c>
      <c r="L32" s="223">
        <f t="shared" si="15"/>
        <v>0</v>
      </c>
      <c r="M32" s="224"/>
      <c r="N32" s="224"/>
      <c r="O32" s="224"/>
      <c r="P32" s="224"/>
      <c r="AC32" s="193"/>
      <c r="AD32" s="193"/>
      <c r="AE32" s="193"/>
      <c r="AF32" s="193"/>
      <c r="AG32" s="193"/>
      <c r="AH32" s="193"/>
      <c r="AI32" s="193"/>
    </row>
    <row r="33" spans="1:35" x14ac:dyDescent="0.3">
      <c r="A33" s="220" t="str">
        <f t="shared" si="7"/>
        <v>Прочие</v>
      </c>
      <c r="B33" s="221">
        <f t="shared" si="8"/>
        <v>0</v>
      </c>
      <c r="C33" s="222">
        <f t="shared" si="16"/>
        <v>5197.5</v>
      </c>
      <c r="D33" s="222">
        <f t="shared" si="9"/>
        <v>7425</v>
      </c>
      <c r="E33" s="222">
        <f t="shared" si="17"/>
        <v>7920.0000000000018</v>
      </c>
      <c r="F33" s="222">
        <f t="shared" si="18"/>
        <v>9466.875</v>
      </c>
      <c r="G33" s="222">
        <f t="shared" si="10"/>
        <v>10023.750000000005</v>
      </c>
      <c r="H33" s="222">
        <f t="shared" si="11"/>
        <v>10580.625000000002</v>
      </c>
      <c r="I33" s="223">
        <f t="shared" si="12"/>
        <v>11137.500000000005</v>
      </c>
      <c r="J33" s="223">
        <f t="shared" si="13"/>
        <v>11137.500000000005</v>
      </c>
      <c r="K33" s="223">
        <f t="shared" si="14"/>
        <v>11137.500000000002</v>
      </c>
      <c r="L33" s="223">
        <f t="shared" si="15"/>
        <v>11137.500000000002</v>
      </c>
      <c r="M33" s="224"/>
      <c r="N33" s="224"/>
      <c r="O33" s="224"/>
      <c r="P33" s="224"/>
      <c r="AC33" s="193"/>
      <c r="AD33" s="193"/>
      <c r="AE33" s="193"/>
      <c r="AF33" s="193"/>
      <c r="AG33" s="193"/>
      <c r="AH33" s="193"/>
      <c r="AI33" s="193"/>
    </row>
    <row r="34" spans="1:35" ht="27.6" x14ac:dyDescent="0.3">
      <c r="A34" s="220" t="str">
        <f t="shared" si="7"/>
        <v>Банковская гарантия уплаты платежей</v>
      </c>
      <c r="B34" s="221">
        <f t="shared" si="8"/>
        <v>0</v>
      </c>
      <c r="C34" s="222">
        <f t="shared" si="16"/>
        <v>0</v>
      </c>
      <c r="D34" s="222">
        <f t="shared" si="9"/>
        <v>0</v>
      </c>
      <c r="E34" s="222">
        <f t="shared" si="17"/>
        <v>0</v>
      </c>
      <c r="F34" s="222">
        <f t="shared" si="18"/>
        <v>0</v>
      </c>
      <c r="G34" s="222">
        <f t="shared" si="10"/>
        <v>0</v>
      </c>
      <c r="H34" s="222">
        <f t="shared" si="11"/>
        <v>0</v>
      </c>
      <c r="I34" s="223">
        <f t="shared" si="12"/>
        <v>0</v>
      </c>
      <c r="J34" s="223">
        <f t="shared" si="13"/>
        <v>0</v>
      </c>
      <c r="K34" s="223">
        <f t="shared" si="14"/>
        <v>0</v>
      </c>
      <c r="L34" s="223">
        <f t="shared" si="15"/>
        <v>0</v>
      </c>
      <c r="M34" s="224"/>
      <c r="N34" s="224"/>
      <c r="O34" s="224"/>
      <c r="P34" s="224"/>
      <c r="AC34" s="193"/>
      <c r="AD34" s="193"/>
      <c r="AE34" s="193"/>
      <c r="AF34" s="193"/>
      <c r="AG34" s="193"/>
      <c r="AH34" s="193"/>
      <c r="AI34" s="193"/>
    </row>
    <row r="35" spans="1:35" x14ac:dyDescent="0.3">
      <c r="A35" s="220" t="str">
        <f t="shared" si="7"/>
        <v>Амортизация</v>
      </c>
      <c r="B35" s="221">
        <f t="shared" si="8"/>
        <v>858.33333333333337</v>
      </c>
      <c r="C35" s="222">
        <f t="shared" si="16"/>
        <v>3433.3333333333335</v>
      </c>
      <c r="D35" s="222">
        <f t="shared" si="9"/>
        <v>3433.3333333333335</v>
      </c>
      <c r="E35" s="222">
        <f t="shared" si="17"/>
        <v>3433.3333333333335</v>
      </c>
      <c r="F35" s="222">
        <f t="shared" si="18"/>
        <v>3433.3333333333335</v>
      </c>
      <c r="G35" s="222">
        <f t="shared" si="10"/>
        <v>3433.3333333333335</v>
      </c>
      <c r="H35" s="222">
        <f t="shared" si="11"/>
        <v>3433.3333333333335</v>
      </c>
      <c r="I35" s="223">
        <f t="shared" si="12"/>
        <v>3433.3333333333335</v>
      </c>
      <c r="J35" s="223">
        <f t="shared" si="13"/>
        <v>3433.3333333333335</v>
      </c>
      <c r="K35" s="223">
        <f t="shared" si="14"/>
        <v>3433.3333333333335</v>
      </c>
      <c r="L35" s="223">
        <f t="shared" si="15"/>
        <v>3433.3333333333335</v>
      </c>
      <c r="M35" s="224"/>
      <c r="N35" s="224"/>
      <c r="O35" s="224"/>
      <c r="P35" s="224"/>
      <c r="AC35" s="193"/>
      <c r="AD35" s="193"/>
      <c r="AE35" s="193"/>
      <c r="AF35" s="193"/>
      <c r="AG35" s="193"/>
      <c r="AH35" s="193"/>
      <c r="AI35" s="193"/>
    </row>
    <row r="36" spans="1:35" x14ac:dyDescent="0.3">
      <c r="A36" s="220" t="str">
        <f t="shared" si="7"/>
        <v xml:space="preserve"> Налоги</v>
      </c>
      <c r="B36" s="221"/>
      <c r="C36" s="222"/>
      <c r="D36" s="222"/>
      <c r="E36" s="222"/>
      <c r="F36" s="222"/>
      <c r="G36" s="222"/>
      <c r="H36" s="222"/>
      <c r="I36" s="223"/>
      <c r="J36" s="223"/>
      <c r="K36" s="223"/>
      <c r="L36" s="223"/>
      <c r="M36" s="230"/>
      <c r="N36" s="224"/>
      <c r="O36" s="224"/>
      <c r="P36" s="224"/>
      <c r="AC36" s="193"/>
      <c r="AD36" s="193"/>
      <c r="AE36" s="193"/>
      <c r="AF36" s="193"/>
      <c r="AG36" s="193"/>
      <c r="AH36" s="193"/>
      <c r="AI36" s="193"/>
    </row>
    <row r="37" spans="1:35" x14ac:dyDescent="0.3">
      <c r="A37" s="220" t="str">
        <f t="shared" si="7"/>
        <v>НДС к уплате</v>
      </c>
      <c r="B37" s="221">
        <f>SUM(B14:E14)</f>
        <v>0</v>
      </c>
      <c r="C37" s="222">
        <f t="shared" ref="C37" si="19">F14+G14+H14+I14</f>
        <v>-2877.6605866666659</v>
      </c>
      <c r="D37" s="222">
        <f t="shared" ref="D37" si="20">J14+K14+L14+M14</f>
        <v>11257.162875599995</v>
      </c>
      <c r="E37" s="222">
        <f t="shared" ref="E37" si="21">N14+O14+P14+Q14</f>
        <v>12537.389768892001</v>
      </c>
      <c r="F37" s="222">
        <f t="shared" ref="F37" si="22">R14+S14+T14+U14</f>
        <v>15633.365585423173</v>
      </c>
      <c r="G37" s="222">
        <f t="shared" ref="G37" si="23">V14+W14+X14+Y14</f>
        <v>17243.425651635494</v>
      </c>
      <c r="H37" s="222">
        <f t="shared" ref="H37" si="24">Z14+AA14+AB14+AC14</f>
        <v>18941.00318780035</v>
      </c>
      <c r="I37" s="223">
        <f t="shared" ref="I37" si="25">AD14+AE14+AF14+AG14</f>
        <v>20728.248312622352</v>
      </c>
      <c r="J37" s="223">
        <f t="shared" ref="J37" si="26">AH14+AI14+AJ14+AK14</f>
        <v>21527.730833075613</v>
      </c>
      <c r="K37" s="223">
        <f t="shared" ref="K37" si="27">AL14+AM14+AN14+AO14</f>
        <v>22339.028631039138</v>
      </c>
      <c r="L37" s="223">
        <f t="shared" ref="L37" si="28">AP14+AQ14+AR14+AS14</f>
        <v>23165.990218336505</v>
      </c>
      <c r="M37" s="230"/>
      <c r="N37" s="224"/>
      <c r="O37" s="224"/>
      <c r="P37" s="224"/>
      <c r="AC37" s="193"/>
      <c r="AD37" s="193"/>
      <c r="AE37" s="193"/>
      <c r="AF37" s="193"/>
      <c r="AG37" s="193"/>
      <c r="AH37" s="193"/>
      <c r="AI37" s="193"/>
    </row>
    <row r="38" spans="1:35" x14ac:dyDescent="0.3">
      <c r="A38" s="220" t="str">
        <f t="shared" si="7"/>
        <v>Налог на имущество</v>
      </c>
      <c r="B38" s="221">
        <f>SUM(B15:E15)</f>
        <v>0</v>
      </c>
      <c r="C38" s="222">
        <f>F15+G15+H15+I15</f>
        <v>0</v>
      </c>
      <c r="D38" s="222">
        <f>J15+K15+L15+M15</f>
        <v>0</v>
      </c>
      <c r="E38" s="222">
        <f>N15+O15+P15+Q15</f>
        <v>0</v>
      </c>
      <c r="F38" s="222">
        <f>R15+S15+T15+U15</f>
        <v>0</v>
      </c>
      <c r="G38" s="222">
        <f>V15+W15+X15+Y15</f>
        <v>28.875</v>
      </c>
      <c r="H38" s="222">
        <f>Z15+AA15+AB15+AC15</f>
        <v>112.6125</v>
      </c>
      <c r="I38" s="223">
        <f>AD15+AE15+AF15+AG15</f>
        <v>107.99249999999999</v>
      </c>
      <c r="J38" s="223">
        <f>AH15+AI15+AJ15+AK15</f>
        <v>103.37249999999999</v>
      </c>
      <c r="K38" s="223">
        <f>AL15+AM15+AN15+AO15</f>
        <v>98.752499999999998</v>
      </c>
      <c r="L38" s="223">
        <f>AP15+AQ15+AR15+AS15</f>
        <v>94.132499999999993</v>
      </c>
      <c r="M38" s="224"/>
      <c r="N38" s="224"/>
      <c r="O38" s="224"/>
      <c r="P38" s="224"/>
      <c r="AC38" s="193"/>
      <c r="AD38" s="193"/>
      <c r="AE38" s="193"/>
      <c r="AF38" s="193"/>
      <c r="AG38" s="193"/>
      <c r="AH38" s="193"/>
      <c r="AI38" s="193"/>
    </row>
    <row r="39" spans="1:35" x14ac:dyDescent="0.3">
      <c r="A39" s="220" t="str">
        <f t="shared" si="7"/>
        <v>Земельный налог</v>
      </c>
      <c r="B39" s="221">
        <f>SUM(B16:E16)</f>
        <v>0</v>
      </c>
      <c r="C39" s="221">
        <f>F16+G16+H16+I16</f>
        <v>0</v>
      </c>
      <c r="D39" s="221">
        <f>J16+K16+L16+M16</f>
        <v>0</v>
      </c>
      <c r="E39" s="221">
        <f>N16+O16+P16+Q16</f>
        <v>0</v>
      </c>
      <c r="F39" s="221">
        <f>R16+S16+T16+U16</f>
        <v>0</v>
      </c>
      <c r="G39" s="221">
        <f>V16+W16+X16+Y16</f>
        <v>0</v>
      </c>
      <c r="H39" s="221">
        <f>Z16+AA16+AB16+AC16</f>
        <v>0</v>
      </c>
      <c r="I39" s="228">
        <f>AD16+AE16+AF16+AG16</f>
        <v>0</v>
      </c>
      <c r="J39" s="228">
        <f>AH16+AI16+AJ16+AK16</f>
        <v>0</v>
      </c>
      <c r="K39" s="228">
        <f>AL16+AM16+AN16+AO16</f>
        <v>0</v>
      </c>
      <c r="L39" s="228">
        <f>AP16+AQ16+AR16+AS16</f>
        <v>0</v>
      </c>
      <c r="M39" s="229"/>
      <c r="N39" s="229"/>
      <c r="O39" s="229"/>
      <c r="P39" s="229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C39" s="193"/>
      <c r="AD39" s="193"/>
      <c r="AE39" s="193"/>
      <c r="AF39" s="193"/>
      <c r="AG39" s="193"/>
      <c r="AH39" s="193"/>
      <c r="AI39" s="193"/>
    </row>
    <row r="40" spans="1:35" ht="27.6" x14ac:dyDescent="0.3">
      <c r="A40" s="220" t="str">
        <f t="shared" si="7"/>
        <v>Обновление основных средств</v>
      </c>
      <c r="B40" s="221">
        <f>SUM(B17:E17)</f>
        <v>0</v>
      </c>
      <c r="C40" s="221">
        <f>F17+G17+H17+I17</f>
        <v>0</v>
      </c>
      <c r="D40" s="221">
        <f>J17+K17+L17+M17</f>
        <v>140.9417</v>
      </c>
      <c r="E40" s="221">
        <f>N17+O17+P17+Q17</f>
        <v>140.9417</v>
      </c>
      <c r="F40" s="221">
        <f>R17+S17+T17+U17</f>
        <v>140.9417</v>
      </c>
      <c r="G40" s="221">
        <f>V17+W17+X17+Y17</f>
        <v>140.9417</v>
      </c>
      <c r="H40" s="221">
        <f>Z17+AA17+AB17+AC17</f>
        <v>140.9417</v>
      </c>
      <c r="I40" s="228">
        <f>AD17+AE17+AF17+AG17</f>
        <v>140.9417</v>
      </c>
      <c r="J40" s="228">
        <f>AH17+AI17+AJ17+AK17</f>
        <v>140.9417</v>
      </c>
      <c r="K40" s="228">
        <f>AL17+AM17+AN17+AO17</f>
        <v>140.9417</v>
      </c>
      <c r="L40" s="228">
        <f>AP17+AQ17+AR17+AS17</f>
        <v>140.9417</v>
      </c>
      <c r="M40" s="193"/>
      <c r="N40" s="229"/>
      <c r="O40" s="229"/>
      <c r="P40" s="229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C40" s="193"/>
      <c r="AD40" s="193"/>
      <c r="AE40" s="193"/>
      <c r="AF40" s="193"/>
      <c r="AG40" s="193"/>
      <c r="AH40" s="193"/>
      <c r="AI40" s="193"/>
    </row>
    <row r="41" spans="1:35" x14ac:dyDescent="0.3">
      <c r="A41" s="231" t="str">
        <f t="shared" si="7"/>
        <v>Итого расходов</v>
      </c>
      <c r="B41" s="232">
        <f>SUM(B18:E18)</f>
        <v>859.16641319733333</v>
      </c>
      <c r="C41" s="232">
        <f>SUM(C25:C40)</f>
        <v>100631.50150639466</v>
      </c>
      <c r="D41" s="232">
        <f t="shared" ref="D41:L41" si="29">SUM(D25:D40)</f>
        <v>153451.73945066135</v>
      </c>
      <c r="E41" s="232">
        <f t="shared" si="29"/>
        <v>164157.14016069335</v>
      </c>
      <c r="F41" s="232">
        <f t="shared" si="29"/>
        <v>194547.27491921757</v>
      </c>
      <c r="G41" s="232">
        <f t="shared" si="29"/>
        <v>206852.82247244779</v>
      </c>
      <c r="H41" s="232">
        <f t="shared" si="29"/>
        <v>219398.71447901576</v>
      </c>
      <c r="I41" s="232">
        <f t="shared" si="29"/>
        <v>231943.04172221399</v>
      </c>
      <c r="J41" s="232">
        <f t="shared" si="29"/>
        <v>234252.21235402694</v>
      </c>
      <c r="K41" s="232">
        <f t="shared" si="29"/>
        <v>236667.5818051133</v>
      </c>
      <c r="L41" s="232">
        <f t="shared" si="29"/>
        <v>237707.54486275205</v>
      </c>
      <c r="M41" s="193"/>
      <c r="N41" s="193"/>
      <c r="O41" s="193"/>
      <c r="P41" s="193"/>
      <c r="Q41" s="193"/>
      <c r="AC41" s="193"/>
      <c r="AD41" s="193"/>
      <c r="AE41" s="193"/>
      <c r="AF41" s="193"/>
      <c r="AG41" s="193"/>
      <c r="AH41" s="193"/>
      <c r="AI41" s="193"/>
    </row>
    <row r="42" spans="1:35" x14ac:dyDescent="0.3">
      <c r="A42" s="184" t="s">
        <v>273</v>
      </c>
      <c r="B42" s="190"/>
      <c r="C42" s="190">
        <f>'объем работ 100% загр'!D26</f>
        <v>120204.00000000001</v>
      </c>
      <c r="D42" s="190">
        <f>'объем работ 100% загр'!E26</f>
        <v>174295.8</v>
      </c>
      <c r="E42" s="190">
        <f>'объем работ 100% загр'!F26</f>
        <v>188704.25280000002</v>
      </c>
      <c r="F42" s="190">
        <f>'объем работ 100% загр'!G26</f>
        <v>228943.96045762493</v>
      </c>
      <c r="G42" s="190">
        <f>'объем работ 100% загр'!H26</f>
        <v>246047.42103298873</v>
      </c>
      <c r="H42" s="190">
        <f>'объем работ 100% загр'!I26</f>
        <v>263612.47303451039</v>
      </c>
      <c r="I42" s="190">
        <f>'объем работ 100% загр'!J26</f>
        <v>281649.11592634529</v>
      </c>
      <c r="J42" s="190">
        <f>'объем работ 100% загр'!K26</f>
        <v>285873.85266524047</v>
      </c>
      <c r="K42" s="190">
        <f>'объем работ 100% загр'!L26</f>
        <v>290161.96045521903</v>
      </c>
      <c r="L42" s="190">
        <f>'объем работ 100% загр'!M26</f>
        <v>294514.38986204728</v>
      </c>
      <c r="M42" s="193"/>
      <c r="N42" s="233"/>
      <c r="O42" s="233"/>
      <c r="P42" s="234"/>
      <c r="AC42" s="193"/>
      <c r="AD42" s="193"/>
      <c r="AE42" s="193"/>
      <c r="AF42" s="193"/>
      <c r="AG42" s="193"/>
      <c r="AH42" s="193"/>
      <c r="AI42" s="193"/>
    </row>
    <row r="43" spans="1:35" x14ac:dyDescent="0.3">
      <c r="A43" s="184" t="s">
        <v>207</v>
      </c>
      <c r="B43" s="185"/>
      <c r="C43" s="190">
        <f>'Расходы на ЗП ОТ'!C69-'Расходы на ЗП ТОР'!C70</f>
        <v>0</v>
      </c>
      <c r="D43" s="190">
        <f>'Расходы на ЗП ОТ'!D69-'Расходы на ЗП ТОР'!D70</f>
        <v>0</v>
      </c>
      <c r="E43" s="190">
        <f>'Расходы на ЗП ОТ'!E69-'Расходы на ЗП ТОР'!E70</f>
        <v>0</v>
      </c>
      <c r="F43" s="190">
        <f>'Расходы на ЗП ОТ'!F69-'Расходы на ЗП ТОР'!F70</f>
        <v>0</v>
      </c>
      <c r="G43" s="190">
        <f>'Расходы на ЗП ОТ'!G69-'Расходы на ЗП ТОР'!G70</f>
        <v>0</v>
      </c>
      <c r="H43" s="190">
        <f>'Расходы на ЗП ОТ'!H69-'Расходы на ЗП ТОР'!H70</f>
        <v>0</v>
      </c>
      <c r="I43" s="190">
        <f>'Расходы на ЗП ОТ'!I69-'Расходы на ЗП ТОР'!I70</f>
        <v>0</v>
      </c>
      <c r="J43" s="190">
        <f>'Расходы на ЗП ОТ'!J69-'Расходы на ЗП ТОР'!J70</f>
        <v>0</v>
      </c>
      <c r="K43" s="190">
        <f>'Расходы на ЗП ОТ'!K69-'Расходы на ЗП ТОР'!K70</f>
        <v>0</v>
      </c>
      <c r="L43" s="190">
        <f>'Расходы на ЗП ОТ'!L69-'Расходы на ЗП ТОР'!L70</f>
        <v>0</v>
      </c>
      <c r="M43" s="233"/>
      <c r="N43" s="233"/>
      <c r="O43" s="233"/>
      <c r="AC43" s="193"/>
      <c r="AD43" s="193"/>
      <c r="AE43" s="193"/>
      <c r="AF43" s="193"/>
      <c r="AG43" s="193"/>
      <c r="AH43" s="193"/>
      <c r="AI43" s="193"/>
    </row>
    <row r="44" spans="1:35" ht="41.4" x14ac:dyDescent="0.3">
      <c r="A44" s="184" t="s">
        <v>573</v>
      </c>
      <c r="B44" s="190">
        <f>'Фин результат ТОР'!B25</f>
        <v>0</v>
      </c>
      <c r="C44" s="190">
        <f>'Фин результат ТОР'!C25</f>
        <v>0</v>
      </c>
      <c r="D44" s="190">
        <f>'Фин результат ТОР'!D25</f>
        <v>0</v>
      </c>
      <c r="E44" s="190">
        <f>'Фин результат ТОР'!E25</f>
        <v>0</v>
      </c>
      <c r="F44" s="190">
        <f>'Фин результат ТОР'!F25</f>
        <v>0</v>
      </c>
      <c r="G44" s="190">
        <f>'Фин результат ТОР'!G25</f>
        <v>2344.2091349287721</v>
      </c>
      <c r="H44" s="190">
        <f>'Фин результат ТОР'!H25</f>
        <v>5305.6510266593541</v>
      </c>
      <c r="I44" s="190">
        <f>'Фин результат ТОР'!I25</f>
        <v>5964.7289044957524</v>
      </c>
      <c r="J44" s="190">
        <f>'Фин результат ТОР'!J25</f>
        <v>6194.5968373456217</v>
      </c>
      <c r="K44" s="190">
        <f>'Фин результат ТОР'!K25</f>
        <v>6419.32543801269</v>
      </c>
      <c r="L44" s="190">
        <f>'Фин результат ТОР'!L25</f>
        <v>9089.1413998872376</v>
      </c>
      <c r="M44" s="233"/>
      <c r="N44" s="233"/>
      <c r="O44" s="233"/>
    </row>
    <row r="45" spans="1:35" x14ac:dyDescent="0.3">
      <c r="A45" s="184" t="s">
        <v>274</v>
      </c>
      <c r="B45" s="190">
        <f>'Фин результат ТОР'!B26</f>
        <v>-3481.5023148819782</v>
      </c>
      <c r="C45" s="190">
        <f>'Фин результат ТОР'!C26</f>
        <v>12464.072302343444</v>
      </c>
      <c r="D45" s="190">
        <f>'Фин результат ТОР'!D26</f>
        <v>15024.634770667813</v>
      </c>
      <c r="E45" s="190">
        <f>'Фин результат ТОР'!E26</f>
        <v>20238.744403260011</v>
      </c>
      <c r="F45" s="190">
        <f>'Фин результат ТОР'!F26</f>
        <v>31859.685934067827</v>
      </c>
      <c r="G45" s="190">
        <f>'Фин результат ТОР'!G26</f>
        <v>36291.773788538339</v>
      </c>
      <c r="H45" s="190">
        <f>'Фин результат ТОР'!H26</f>
        <v>38908.107528835259</v>
      </c>
      <c r="I45" s="190">
        <f>'Фин результат ТОР'!I26</f>
        <v>43741.345299635526</v>
      </c>
      <c r="J45" s="190">
        <f>'Фин результат ТОР'!J26</f>
        <v>45427.043473867889</v>
      </c>
      <c r="K45" s="190">
        <f>'Фин результат ТОР'!K26</f>
        <v>47075.053212093058</v>
      </c>
      <c r="L45" s="190">
        <f>'Фин результат ТОР'!L26</f>
        <v>47717.703599408</v>
      </c>
      <c r="M45" s="233"/>
      <c r="N45" s="233"/>
      <c r="O45" s="233"/>
    </row>
    <row r="46" spans="1:35" x14ac:dyDescent="0.3">
      <c r="O46" s="194"/>
    </row>
    <row r="47" spans="1:35" x14ac:dyDescent="0.3">
      <c r="A47" s="184" t="s">
        <v>275</v>
      </c>
      <c r="B47" s="190">
        <f>B42-B41-B43-B49-B48</f>
        <v>-893.8164131973333</v>
      </c>
      <c r="C47" s="190">
        <f>C42-C41-C43-C49-C48</f>
        <v>16943.971533136661</v>
      </c>
      <c r="D47" s="190">
        <f t="shared" ref="D47:L47" si="30">D42-D41-D43-D49-D48</f>
        <v>17708.041095205077</v>
      </c>
      <c r="E47" s="190">
        <f t="shared" si="30"/>
        <v>20372.891258654665</v>
      </c>
      <c r="F47" s="190">
        <f t="shared" si="30"/>
        <v>27902.895851593792</v>
      </c>
      <c r="G47" s="190">
        <f t="shared" si="30"/>
        <v>31379.044475847517</v>
      </c>
      <c r="H47" s="190">
        <f t="shared" si="30"/>
        <v>35371.006844395706</v>
      </c>
      <c r="I47" s="190">
        <f t="shared" si="30"/>
        <v>39764.859363305033</v>
      </c>
      <c r="J47" s="190">
        <f t="shared" si="30"/>
        <v>41297.312248970826</v>
      </c>
      <c r="K47" s="190">
        <f t="shared" si="30"/>
        <v>42795.502920084582</v>
      </c>
      <c r="L47" s="190">
        <f t="shared" si="30"/>
        <v>45445.475999436174</v>
      </c>
      <c r="M47" s="233"/>
      <c r="N47" s="233"/>
      <c r="O47" s="233"/>
    </row>
    <row r="48" spans="1:35" ht="27.6" x14ac:dyDescent="0.3">
      <c r="A48" s="184" t="s">
        <v>276</v>
      </c>
      <c r="B48" s="190">
        <f>'Налоги ТОР'!P6</f>
        <v>34.65</v>
      </c>
      <c r="C48" s="190">
        <f>'Расходы на П, строит-во, ввод'!C40-C38</f>
        <v>135.71250000000001</v>
      </c>
      <c r="D48" s="190">
        <f>'Расходы на П, строит-во, ввод'!D40-D38</f>
        <v>131.0925</v>
      </c>
      <c r="E48" s="190">
        <f>'Расходы на П, строит-во, ввод'!E40-E38</f>
        <v>126.4725</v>
      </c>
      <c r="F48" s="190">
        <f>'Расходы на П, строит-во, ввод'!F40-F38</f>
        <v>121.85249999999999</v>
      </c>
      <c r="G48" s="190">
        <f>'Расходы на П, строит-во, ввод'!G40-G38</f>
        <v>88.357499999999987</v>
      </c>
      <c r="H48" s="190">
        <f>'Расходы на П, строит-во, ввод'!H40-H38</f>
        <v>0</v>
      </c>
      <c r="I48" s="190">
        <f>'Расходы на П, строит-во, ввод'!I40-I38</f>
        <v>0</v>
      </c>
      <c r="J48" s="190">
        <f>'Расходы на П, строит-во, ввод'!J40-J38</f>
        <v>0</v>
      </c>
      <c r="K48" s="190">
        <f>'Расходы на П, строит-во, ввод'!K40-K38</f>
        <v>0</v>
      </c>
      <c r="L48" s="190">
        <f>'Расходы на П, строит-во, ввод'!L40-L38</f>
        <v>0</v>
      </c>
      <c r="M48" s="233"/>
      <c r="N48" s="233"/>
      <c r="O48" s="233"/>
    </row>
    <row r="49" spans="1:15" ht="27.6" x14ac:dyDescent="0.3">
      <c r="A49" s="184" t="s">
        <v>277</v>
      </c>
      <c r="B49" s="190">
        <f>'Налоги без ТОР'!B3</f>
        <v>0</v>
      </c>
      <c r="C49" s="190">
        <f>'Налоги без ТОР'!C3</f>
        <v>2492.814460468689</v>
      </c>
      <c r="D49" s="190">
        <f>'Налоги без ТОР'!D3</f>
        <v>3004.926954133563</v>
      </c>
      <c r="E49" s="190">
        <f>'Налоги без ТОР'!E3</f>
        <v>4047.7488806520023</v>
      </c>
      <c r="F49" s="190">
        <f>'Налоги без ТОР'!F3</f>
        <v>6371.9371868135659</v>
      </c>
      <c r="G49" s="190">
        <f>'Налоги без ТОР'!G3</f>
        <v>7727.1965846934227</v>
      </c>
      <c r="H49" s="190">
        <f>'Налоги без ТОР'!H3</f>
        <v>8842.7517110989229</v>
      </c>
      <c r="I49" s="190">
        <f>'Налоги без ТОР'!I3</f>
        <v>9941.2148408262565</v>
      </c>
      <c r="J49" s="190">
        <f>'Налоги без ТОР'!J3</f>
        <v>10324.328062242705</v>
      </c>
      <c r="K49" s="190">
        <f>'Налоги без ТОР'!K3</f>
        <v>10698.875730021151</v>
      </c>
      <c r="L49" s="190">
        <f>'Налоги без ТОР'!L3</f>
        <v>11361.368999859049</v>
      </c>
      <c r="M49" s="233"/>
      <c r="N49" s="233"/>
      <c r="O49" s="233"/>
    </row>
    <row r="50" spans="1:15" ht="27.6" x14ac:dyDescent="0.3">
      <c r="A50" s="184" t="s">
        <v>436</v>
      </c>
      <c r="B50" s="190">
        <f>B49-B44</f>
        <v>0</v>
      </c>
      <c r="C50" s="190">
        <f>C49-C44</f>
        <v>2492.814460468689</v>
      </c>
      <c r="D50" s="190">
        <f t="shared" ref="D50:L50" si="31">D49-D44</f>
        <v>3004.926954133563</v>
      </c>
      <c r="E50" s="190">
        <f t="shared" si="31"/>
        <v>4047.7488806520023</v>
      </c>
      <c r="F50" s="190">
        <f t="shared" si="31"/>
        <v>6371.9371868135659</v>
      </c>
      <c r="G50" s="190">
        <f t="shared" si="31"/>
        <v>5382.9874497646506</v>
      </c>
      <c r="H50" s="190">
        <f t="shared" si="31"/>
        <v>3537.1006844395688</v>
      </c>
      <c r="I50" s="190">
        <f t="shared" si="31"/>
        <v>3976.485936330504</v>
      </c>
      <c r="J50" s="190">
        <f t="shared" si="31"/>
        <v>4129.7312248970829</v>
      </c>
      <c r="K50" s="190">
        <f t="shared" si="31"/>
        <v>4279.5502920084609</v>
      </c>
      <c r="L50" s="190">
        <f t="shared" si="31"/>
        <v>2272.2275999718113</v>
      </c>
      <c r="O50" s="194"/>
    </row>
    <row r="51" spans="1:15" ht="41.4" x14ac:dyDescent="0.3">
      <c r="A51" s="184" t="s">
        <v>278</v>
      </c>
      <c r="B51" s="190">
        <f>B45-B47</f>
        <v>-2587.6859016846447</v>
      </c>
      <c r="C51" s="190">
        <f>C45-C47</f>
        <v>-4479.8992307932167</v>
      </c>
      <c r="D51" s="190">
        <f t="shared" ref="D51:L51" si="32">D45-D47</f>
        <v>-2683.4063245372636</v>
      </c>
      <c r="E51" s="190">
        <f t="shared" si="32"/>
        <v>-134.14685539465427</v>
      </c>
      <c r="F51" s="190">
        <f t="shared" si="32"/>
        <v>3956.7900824740354</v>
      </c>
      <c r="G51" s="190">
        <f t="shared" si="32"/>
        <v>4912.7293126908226</v>
      </c>
      <c r="H51" s="190">
        <f t="shared" si="32"/>
        <v>3537.1006844395524</v>
      </c>
      <c r="I51" s="190">
        <f t="shared" si="32"/>
        <v>3976.4859363304931</v>
      </c>
      <c r="J51" s="190">
        <f t="shared" si="32"/>
        <v>4129.7312248970629</v>
      </c>
      <c r="K51" s="190">
        <f t="shared" si="32"/>
        <v>4279.5502920084764</v>
      </c>
      <c r="L51" s="190">
        <f t="shared" si="32"/>
        <v>2272.2275999718258</v>
      </c>
      <c r="M51" s="233"/>
    </row>
    <row r="53" spans="1:15" x14ac:dyDescent="0.3">
      <c r="K53" s="182" t="s">
        <v>279</v>
      </c>
      <c r="L53" s="235">
        <f>SUM(C51:L51)</f>
        <v>19767.162722087134</v>
      </c>
    </row>
    <row r="54" spans="1:15" x14ac:dyDescent="0.3">
      <c r="K54" s="182" t="s">
        <v>280</v>
      </c>
      <c r="L54" s="194">
        <f>AVERAGE(C51:L51)</f>
        <v>1976.7162722087135</v>
      </c>
    </row>
  </sheetData>
  <pageMargins left="0.7" right="0.7" top="0.75" bottom="0.75" header="0.3" footer="0.3"/>
  <pageSetup paperSize="9" firstPageNumber="214748364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28</vt:i4>
      </vt:variant>
      <vt:variant>
        <vt:lpstr>Именованные диапазоны</vt:lpstr>
      </vt:variant>
      <vt:variant>
        <vt:i4>2</vt:i4>
      </vt:variant>
    </vt:vector>
  </HeadingPairs>
  <TitlesOfParts>
    <vt:vector size="30" baseType="lpstr">
      <vt:lpstr>Аннотация</vt:lpstr>
      <vt:lpstr>допущения</vt:lpstr>
      <vt:lpstr>СВОД</vt:lpstr>
      <vt:lpstr>объем работ 100% загр</vt:lpstr>
      <vt:lpstr>выручка по кв и годам</vt:lpstr>
      <vt:lpstr>Расходы на П, строит-во, ввод</vt:lpstr>
      <vt:lpstr>Расходы на ЗП ОТ</vt:lpstr>
      <vt:lpstr>Расходы на ЗП ТОР</vt:lpstr>
      <vt:lpstr>Расходы ТОР</vt:lpstr>
      <vt:lpstr>Себестоимость</vt:lpstr>
      <vt:lpstr>Налоги ТОР</vt:lpstr>
      <vt:lpstr>Налоги без ТОР</vt:lpstr>
      <vt:lpstr>Расходы по займу</vt:lpstr>
      <vt:lpstr>займ</vt:lpstr>
      <vt:lpstr>Фин результат ТОР</vt:lpstr>
      <vt:lpstr>NPV, IRR, PI ТОР</vt:lpstr>
      <vt:lpstr>выручка 2022г 40% загр</vt:lpstr>
      <vt:lpstr>выручка 2023г 50% загр</vt:lpstr>
      <vt:lpstr>выручка 2024г 60% загр</vt:lpstr>
      <vt:lpstr>выручка 2025г 85% загр1</vt:lpstr>
      <vt:lpstr>выручка 2026г 85% загр1</vt:lpstr>
      <vt:lpstr>выручка 2027</vt:lpstr>
      <vt:lpstr>выручка 2028</vt:lpstr>
      <vt:lpstr>выручка 2029</vt:lpstr>
      <vt:lpstr>выручка 2030</vt:lpstr>
      <vt:lpstr>выручка 2031</vt:lpstr>
      <vt:lpstr>выручка 2032</vt:lpstr>
      <vt:lpstr>обоснования</vt:lpstr>
      <vt:lpstr>'Фин результат ТОР'!_ftn1</vt:lpstr>
      <vt:lpstr>'Фин результат ТОР'!_ftnref1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IRU</dc:creator>
  <cp:lastModifiedBy>Татьяна Уварова</cp:lastModifiedBy>
  <cp:revision>4</cp:revision>
  <dcterms:created xsi:type="dcterms:W3CDTF">2006-09-28T05:33:49Z</dcterms:created>
  <dcterms:modified xsi:type="dcterms:W3CDTF">2023-04-11T19:07:07Z</dcterms:modified>
</cp:coreProperties>
</file>