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style3.xml" ContentType="application/vnd.ms-office.chartstyle+xml"/>
  <Override PartName="/xl/charts/colors3.xml" ContentType="application/vnd.ms-office.chartcolorstyle+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6"/>
  <workbookPr hidePivotFieldList="1"/>
  <mc:AlternateContent xmlns:mc="http://schemas.openxmlformats.org/markup-compatibility/2006">
    <mc:Choice Requires="x15">
      <x15ac:absPath xmlns:x15ac="http://schemas.microsoft.com/office/spreadsheetml/2010/11/ac" url="C:\Users\79041\Desktop\ИРКУТСК_ЗАКАЗЧИКУ 2023_04_08\"/>
    </mc:Choice>
  </mc:AlternateContent>
  <xr:revisionPtr revIDLastSave="0" documentId="13_ncr:1_{69A5AFB0-C839-490D-A7E9-448DFA1BB951}" xr6:coauthVersionLast="36" xr6:coauthVersionMax="36" xr10:uidLastSave="{00000000-0000-0000-0000-000000000000}"/>
  <bookViews>
    <workbookView xWindow="-120" yWindow="-120" windowWidth="29040" windowHeight="15840" tabRatio="939" activeTab="2" xr2:uid="{00000000-000D-0000-FFFF-FFFF00000000}"/>
  </bookViews>
  <sheets>
    <sheet name="Аннотация" sheetId="27" r:id="rId1"/>
    <sheet name="допущения" sheetId="1" r:id="rId2"/>
    <sheet name="СВОД" sheetId="2" r:id="rId3"/>
    <sheet name="объем работ 100% загр" sheetId="4" r:id="rId4"/>
    <sheet name="выручка по кв и годам" sheetId="5" r:id="rId5"/>
    <sheet name="Расходы на П, строит-во, ввод" sheetId="3" r:id="rId6"/>
    <sheet name="Расходы на ЗП ОТ" sheetId="6" r:id="rId7"/>
    <sheet name="Расходы на ЗП ТОР" sheetId="7" r:id="rId8"/>
    <sheet name="Расходы ТОР" sheetId="12" r:id="rId9"/>
    <sheet name="Фин результат ТОР" sheetId="13" r:id="rId10"/>
    <sheet name="Себестоимость" sheetId="29" r:id="rId11"/>
    <sheet name="Налоги ТОР" sheetId="8" r:id="rId12"/>
    <sheet name="Налоги без ТОР" sheetId="9" r:id="rId13"/>
    <sheet name="Расходы по займу" sheetId="10" r:id="rId14"/>
    <sheet name="займ" sheetId="11" r:id="rId15"/>
    <sheet name="NPV, IRR, DPI ТОР" sheetId="14" r:id="rId16"/>
    <sheet name="выручка 2022г 40% загр" sheetId="15" state="hidden" r:id="rId17"/>
    <sheet name="выручка 2023г 50% загр" sheetId="16" state="hidden" r:id="rId18"/>
    <sheet name="выручка 2024г 60% загр" sheetId="17" state="hidden" r:id="rId19"/>
    <sheet name="выручка 2025г 85% загр1" sheetId="18" state="hidden" r:id="rId20"/>
    <sheet name="выручка 2026г 85% загр1" sheetId="19" state="hidden" r:id="rId21"/>
    <sheet name="выручка 2027" sheetId="20" state="hidden" r:id="rId22"/>
    <sheet name="выручка 2028" sheetId="21" state="hidden" r:id="rId23"/>
    <sheet name="выручка 2029" sheetId="22" state="hidden" r:id="rId24"/>
    <sheet name="выручка 2030" sheetId="23" state="hidden" r:id="rId25"/>
    <sheet name="выручка 2031" sheetId="24" state="hidden" r:id="rId26"/>
    <sheet name="выручка 2032" sheetId="25" state="hidden" r:id="rId27"/>
    <sheet name="обоснования" sheetId="26" r:id="rId28"/>
  </sheets>
  <definedNames>
    <definedName name="_ftn1" localSheetId="9">'Фин результат ТОР'!$B$60</definedName>
    <definedName name="_ftnref1" localSheetId="9">'Фин результат ТОР'!$D$56</definedName>
  </definedNames>
  <calcPr calcId="191029"/>
</workbook>
</file>

<file path=xl/calcChain.xml><?xml version="1.0" encoding="utf-8"?>
<calcChain xmlns="http://schemas.openxmlformats.org/spreadsheetml/2006/main">
  <c r="N4" i="4" l="1"/>
  <c r="N10" i="4"/>
  <c r="AA4" i="4" l="1"/>
  <c r="AB4" i="4" s="1"/>
  <c r="P17" i="8" l="1"/>
  <c r="B17" i="8"/>
  <c r="B16" i="8"/>
  <c r="B16" i="9"/>
  <c r="B17" i="9" s="1"/>
  <c r="B26" i="13" l="1"/>
  <c r="B27" i="13"/>
  <c r="B9" i="13"/>
  <c r="C37" i="12"/>
  <c r="F22" i="12"/>
  <c r="P16" i="8"/>
  <c r="Z34" i="3"/>
  <c r="AA34" i="3"/>
  <c r="AB34" i="3"/>
  <c r="AC34" i="3"/>
  <c r="AD34" i="3"/>
  <c r="AE34" i="3"/>
  <c r="AF34" i="3"/>
  <c r="AG34" i="3"/>
  <c r="AH34" i="3"/>
  <c r="AI34" i="3"/>
  <c r="AJ34" i="3"/>
  <c r="AK34" i="3"/>
  <c r="AL34" i="3"/>
  <c r="AM34" i="3"/>
  <c r="AN34" i="3"/>
  <c r="AO34" i="3"/>
  <c r="AP34" i="3"/>
  <c r="AQ34" i="3"/>
  <c r="AR34" i="3"/>
  <c r="AS34" i="3"/>
  <c r="Y34" i="3"/>
  <c r="Y35" i="3"/>
  <c r="Q56" i="6"/>
  <c r="Q57" i="6"/>
  <c r="D56" i="6"/>
  <c r="F41" i="4" l="1"/>
  <c r="E41" i="4"/>
  <c r="E40" i="4"/>
  <c r="E39" i="4"/>
  <c r="D40" i="4"/>
  <c r="D39" i="4"/>
  <c r="D14" i="14"/>
  <c r="C14" i="14"/>
  <c r="A39" i="12"/>
  <c r="C22" i="12"/>
  <c r="C23" i="12" s="1"/>
  <c r="C15" i="12" s="1"/>
  <c r="B22" i="12"/>
  <c r="B23" i="12" s="1"/>
  <c r="B15" i="12" s="1"/>
  <c r="C21" i="12"/>
  <c r="D21" i="12"/>
  <c r="E21" i="12"/>
  <c r="B21" i="12"/>
  <c r="A15" i="12"/>
  <c r="E56" i="6" l="1"/>
  <c r="F56" i="6"/>
  <c r="G56" i="6"/>
  <c r="H56" i="6"/>
  <c r="I56" i="6"/>
  <c r="F40" i="4" l="1"/>
  <c r="F39" i="4"/>
  <c r="F42" i="4"/>
  <c r="F43" i="4" l="1"/>
  <c r="N37" i="4" s="1"/>
  <c r="H58" i="6"/>
  <c r="J56" i="6"/>
  <c r="K56" i="6"/>
  <c r="I49" i="6"/>
  <c r="J49" i="6"/>
  <c r="K49" i="6"/>
  <c r="AR49" i="6"/>
  <c r="AS49" i="6"/>
  <c r="AT49" i="6"/>
  <c r="H49" i="6"/>
  <c r="A36" i="29"/>
  <c r="C89" i="1"/>
  <c r="C88" i="1"/>
  <c r="C87" i="1"/>
  <c r="C92" i="1" s="1"/>
  <c r="C93" i="1" s="1"/>
  <c r="E27" i="3" l="1"/>
  <c r="B8" i="2" l="1"/>
  <c r="A37" i="29"/>
  <c r="H14" i="29"/>
  <c r="I14" i="29"/>
  <c r="J14" i="29"/>
  <c r="K14" i="29"/>
  <c r="L14" i="29"/>
  <c r="M14" i="29"/>
  <c r="N14" i="29"/>
  <c r="O14" i="29"/>
  <c r="P14" i="29"/>
  <c r="Q14" i="29"/>
  <c r="R14" i="29"/>
  <c r="S14" i="29"/>
  <c r="T14" i="29"/>
  <c r="U14" i="29"/>
  <c r="V14" i="29"/>
  <c r="W14" i="29"/>
  <c r="X14" i="29"/>
  <c r="Y14" i="29"/>
  <c r="Z14" i="29"/>
  <c r="AA14" i="29"/>
  <c r="AB14" i="29"/>
  <c r="AC14" i="29"/>
  <c r="AD14" i="29"/>
  <c r="AE14" i="29"/>
  <c r="AF14" i="29"/>
  <c r="AG14" i="29"/>
  <c r="AH14" i="29"/>
  <c r="AI14" i="29"/>
  <c r="AJ14" i="29"/>
  <c r="AK14" i="29"/>
  <c r="AL14" i="29"/>
  <c r="AM14" i="29"/>
  <c r="AN14" i="29"/>
  <c r="AO14" i="29"/>
  <c r="AP14" i="29"/>
  <c r="AQ14" i="29"/>
  <c r="AR14" i="29"/>
  <c r="AS14" i="29"/>
  <c r="AT14" i="29"/>
  <c r="G14" i="29"/>
  <c r="F6" i="12" s="1"/>
  <c r="A12" i="29"/>
  <c r="R3" i="4"/>
  <c r="S3" i="4" s="1"/>
  <c r="T3" i="4" s="1"/>
  <c r="U3" i="4" s="1"/>
  <c r="V3" i="4" s="1"/>
  <c r="W3" i="4" s="1"/>
  <c r="X3" i="4" s="1"/>
  <c r="R1" i="4"/>
  <c r="S1" i="4"/>
  <c r="N16" i="4"/>
  <c r="B44" i="29" l="1"/>
  <c r="G25" i="29"/>
  <c r="A25" i="29"/>
  <c r="A44" i="29" s="1"/>
  <c r="A7" i="12"/>
  <c r="G9" i="12"/>
  <c r="H9" i="12" s="1"/>
  <c r="H25" i="29" l="1"/>
  <c r="I9" i="12"/>
  <c r="I25" i="29"/>
  <c r="AZ8" i="6"/>
  <c r="AZ17" i="6"/>
  <c r="AZ36" i="6"/>
  <c r="AZ57" i="6"/>
  <c r="AY8" i="6"/>
  <c r="AY17" i="6"/>
  <c r="AY36" i="6"/>
  <c r="AY57" i="6"/>
  <c r="AX8" i="6"/>
  <c r="AX17" i="6"/>
  <c r="AX36" i="6"/>
  <c r="AX57" i="6"/>
  <c r="AW8" i="6"/>
  <c r="AW17" i="6"/>
  <c r="AW36" i="6"/>
  <c r="AW57" i="6"/>
  <c r="AV8" i="6"/>
  <c r="AV13" i="6"/>
  <c r="AV17" i="6"/>
  <c r="AV36" i="6"/>
  <c r="AU8" i="6"/>
  <c r="AU13" i="6"/>
  <c r="AU17" i="6"/>
  <c r="AU36" i="6"/>
  <c r="AT8" i="6"/>
  <c r="AT13" i="6"/>
  <c r="AT17" i="6"/>
  <c r="AT36" i="6"/>
  <c r="AS2" i="6"/>
  <c r="BC40" i="6"/>
  <c r="BC57" i="6"/>
  <c r="BB8" i="6"/>
  <c r="BC8" i="6" s="1"/>
  <c r="BB17" i="6"/>
  <c r="BC17" i="6" s="1"/>
  <c r="BB36" i="6"/>
  <c r="BC36" i="6" s="1"/>
  <c r="BB37" i="6"/>
  <c r="BC37" i="6" s="1"/>
  <c r="BB38" i="6"/>
  <c r="BC38" i="6" s="1"/>
  <c r="BB39" i="6"/>
  <c r="BC39" i="6" s="1"/>
  <c r="BB40" i="6"/>
  <c r="BB41" i="6"/>
  <c r="BC41" i="6" s="1"/>
  <c r="BB42" i="6"/>
  <c r="BC42" i="6" s="1"/>
  <c r="BB43" i="6"/>
  <c r="BC43" i="6" s="1"/>
  <c r="BB44" i="6"/>
  <c r="BC44" i="6" s="1"/>
  <c r="BB45" i="6"/>
  <c r="BC45" i="6" s="1"/>
  <c r="BB57" i="6"/>
  <c r="BA8" i="6"/>
  <c r="BA17" i="6"/>
  <c r="BA36" i="6"/>
  <c r="BA37" i="6"/>
  <c r="BA38" i="6"/>
  <c r="BA39" i="6"/>
  <c r="BA40" i="6"/>
  <c r="BA41" i="6"/>
  <c r="BA42" i="6"/>
  <c r="BA43" i="6"/>
  <c r="BA44" i="6"/>
  <c r="BA45" i="6"/>
  <c r="BA57" i="6"/>
  <c r="A15" i="7"/>
  <c r="A16" i="7"/>
  <c r="A17" i="7"/>
  <c r="A18" i="7"/>
  <c r="C90" i="6"/>
  <c r="D90" i="6" s="1"/>
  <c r="A90" i="6"/>
  <c r="B60" i="6"/>
  <c r="G18" i="6"/>
  <c r="F18" i="6"/>
  <c r="D18" i="6"/>
  <c r="B65" i="6"/>
  <c r="B64" i="6"/>
  <c r="B63" i="6"/>
  <c r="A29" i="3"/>
  <c r="A28" i="3"/>
  <c r="A27" i="3"/>
  <c r="Z6" i="3"/>
  <c r="Z7" i="3"/>
  <c r="Z8" i="3"/>
  <c r="Y6" i="3"/>
  <c r="Y7" i="3"/>
  <c r="Y8" i="3"/>
  <c r="Y9" i="3"/>
  <c r="X6" i="3"/>
  <c r="X7" i="3"/>
  <c r="X8" i="3"/>
  <c r="W8" i="3"/>
  <c r="V6" i="3"/>
  <c r="V7" i="3"/>
  <c r="V8" i="3"/>
  <c r="D4" i="3"/>
  <c r="F8" i="12" s="1"/>
  <c r="G8" i="12" s="1"/>
  <c r="H8" i="12" s="1"/>
  <c r="I8" i="12" s="1"/>
  <c r="J8" i="12" s="1"/>
  <c r="K8" i="12" s="1"/>
  <c r="L8" i="12" s="1"/>
  <c r="M8" i="12" s="1"/>
  <c r="N8" i="12" s="1"/>
  <c r="O8" i="12" s="1"/>
  <c r="P8" i="12" s="1"/>
  <c r="Q8" i="12" s="1"/>
  <c r="R8" i="12" s="1"/>
  <c r="S8" i="12" s="1"/>
  <c r="T8" i="12" s="1"/>
  <c r="U8" i="12" s="1"/>
  <c r="V8" i="12" s="1"/>
  <c r="W8" i="12" s="1"/>
  <c r="X8" i="12" s="1"/>
  <c r="Y8" i="12" s="1"/>
  <c r="Z8" i="12" s="1"/>
  <c r="AA8" i="12" s="1"/>
  <c r="AB8" i="12" s="1"/>
  <c r="AC8" i="12" s="1"/>
  <c r="AD8" i="12" s="1"/>
  <c r="AE8" i="12" s="1"/>
  <c r="AF8" i="12" s="1"/>
  <c r="AG8" i="12" s="1"/>
  <c r="AH8" i="12" s="1"/>
  <c r="AI8" i="12" s="1"/>
  <c r="AJ8" i="12" s="1"/>
  <c r="AK8" i="12" s="1"/>
  <c r="AL8" i="12" s="1"/>
  <c r="AM8" i="12" s="1"/>
  <c r="AN8" i="12" s="1"/>
  <c r="AO8" i="12" s="1"/>
  <c r="AP8" i="12" s="1"/>
  <c r="AQ8" i="12" s="1"/>
  <c r="AR8" i="12" s="1"/>
  <c r="AS8" i="12" s="1"/>
  <c r="D5" i="3"/>
  <c r="D6" i="3"/>
  <c r="W6" i="3" s="1"/>
  <c r="D7" i="3"/>
  <c r="W7" i="3" s="1"/>
  <c r="D3" i="3"/>
  <c r="D32" i="3" s="1"/>
  <c r="E33" i="3" s="1"/>
  <c r="F35" i="3" s="1"/>
  <c r="E2" i="3"/>
  <c r="E28" i="3" s="1"/>
  <c r="D24" i="3" l="1"/>
  <c r="E29" i="3"/>
  <c r="J9" i="12"/>
  <c r="J25" i="29"/>
  <c r="C44" i="29" s="1"/>
  <c r="E24" i="3"/>
  <c r="E90" i="6"/>
  <c r="D4" i="4"/>
  <c r="C41" i="12"/>
  <c r="E30" i="3" l="1"/>
  <c r="K9" i="12"/>
  <c r="K25" i="29"/>
  <c r="E4" i="4"/>
  <c r="F90" i="6"/>
  <c r="K32" i="29"/>
  <c r="K40" i="29" s="1"/>
  <c r="L32" i="29"/>
  <c r="L40" i="29" s="1"/>
  <c r="C32" i="29"/>
  <c r="C40" i="29" s="1"/>
  <c r="D32" i="29"/>
  <c r="D40" i="29" s="1"/>
  <c r="E32" i="29"/>
  <c r="E40" i="29" s="1"/>
  <c r="F32" i="29"/>
  <c r="F40" i="29" s="1"/>
  <c r="G32" i="29"/>
  <c r="G40" i="29" s="1"/>
  <c r="H32" i="29"/>
  <c r="H40" i="29" s="1"/>
  <c r="I32" i="29"/>
  <c r="I40" i="29" s="1"/>
  <c r="J32" i="29"/>
  <c r="J40" i="29" s="1"/>
  <c r="B32" i="29"/>
  <c r="B40" i="29" s="1"/>
  <c r="A39" i="29"/>
  <c r="A47" i="29"/>
  <c r="A49" i="29"/>
  <c r="A40" i="29"/>
  <c r="A33" i="29"/>
  <c r="A38" i="29"/>
  <c r="A32" i="29"/>
  <c r="F30" i="3"/>
  <c r="G30" i="3"/>
  <c r="H30" i="3"/>
  <c r="I30" i="3"/>
  <c r="J30" i="3"/>
  <c r="K30" i="3"/>
  <c r="L30" i="3"/>
  <c r="M30" i="3"/>
  <c r="N30" i="3"/>
  <c r="O30" i="3"/>
  <c r="P30" i="3"/>
  <c r="Q30" i="3"/>
  <c r="R30" i="3"/>
  <c r="S30" i="3"/>
  <c r="T30" i="3"/>
  <c r="U30" i="3"/>
  <c r="V30" i="3"/>
  <c r="W30" i="3"/>
  <c r="X30" i="3"/>
  <c r="Y30" i="3"/>
  <c r="Z30" i="3"/>
  <c r="AA30" i="3"/>
  <c r="AB30" i="3"/>
  <c r="AC30" i="3"/>
  <c r="AD30" i="3"/>
  <c r="AE30" i="3"/>
  <c r="AF30" i="3"/>
  <c r="AG30" i="3"/>
  <c r="AH30" i="3"/>
  <c r="AI30" i="3"/>
  <c r="AJ30" i="3"/>
  <c r="AK30" i="3"/>
  <c r="AL30" i="3"/>
  <c r="AM30" i="3"/>
  <c r="AN30" i="3"/>
  <c r="AO30" i="3"/>
  <c r="AP30" i="3"/>
  <c r="AQ30" i="3"/>
  <c r="AR30" i="3"/>
  <c r="AS30" i="3"/>
  <c r="D2" i="12"/>
  <c r="E22" i="29" s="1"/>
  <c r="L9" i="12" l="1"/>
  <c r="L25" i="29"/>
  <c r="F4" i="4"/>
  <c r="G4" i="4" s="1"/>
  <c r="G90" i="6"/>
  <c r="D22" i="29"/>
  <c r="C22" i="29"/>
  <c r="A22" i="29"/>
  <c r="A41" i="29" s="1"/>
  <c r="M9" i="12" l="1"/>
  <c r="M25" i="29"/>
  <c r="H90" i="6"/>
  <c r="D27" i="29"/>
  <c r="E27" i="29"/>
  <c r="F27" i="29"/>
  <c r="G27" i="29"/>
  <c r="H27" i="29"/>
  <c r="I27" i="29"/>
  <c r="J27" i="29"/>
  <c r="C27" i="29"/>
  <c r="A27" i="29"/>
  <c r="A46" i="29" s="1"/>
  <c r="D24" i="29"/>
  <c r="E24" i="29"/>
  <c r="F24" i="29"/>
  <c r="C24" i="29"/>
  <c r="D23" i="29"/>
  <c r="E23" i="29"/>
  <c r="F23" i="29"/>
  <c r="C23" i="29"/>
  <c r="A26" i="29"/>
  <c r="A45" i="29" s="1"/>
  <c r="A24" i="29"/>
  <c r="A43" i="29" s="1"/>
  <c r="A23" i="29"/>
  <c r="A42" i="29" s="1"/>
  <c r="N9" i="12" l="1"/>
  <c r="N25" i="29"/>
  <c r="D44" i="29" s="1"/>
  <c r="H4" i="4"/>
  <c r="I90" i="6"/>
  <c r="B46" i="29"/>
  <c r="C46" i="29"/>
  <c r="B42" i="29"/>
  <c r="B43" i="29"/>
  <c r="D13" i="29"/>
  <c r="E13" i="29"/>
  <c r="F13" i="29"/>
  <c r="C13" i="29"/>
  <c r="A35" i="29"/>
  <c r="A13" i="29"/>
  <c r="A34" i="29" s="1"/>
  <c r="O9" i="12" l="1"/>
  <c r="O25" i="29"/>
  <c r="I4" i="4"/>
  <c r="B34" i="29"/>
  <c r="J90" i="6"/>
  <c r="V48" i="3"/>
  <c r="F29" i="3"/>
  <c r="G29" i="3" s="1"/>
  <c r="H29" i="3" s="1"/>
  <c r="I29" i="3" s="1"/>
  <c r="J29" i="3" s="1"/>
  <c r="K29" i="3" s="1"/>
  <c r="L29" i="3" s="1"/>
  <c r="M29" i="3" s="1"/>
  <c r="N29" i="3" s="1"/>
  <c r="O29" i="3" s="1"/>
  <c r="P29" i="3" s="1"/>
  <c r="Q29" i="3" s="1"/>
  <c r="R29" i="3" s="1"/>
  <c r="S29" i="3" s="1"/>
  <c r="T29" i="3" s="1"/>
  <c r="U29" i="3" s="1"/>
  <c r="V29" i="3" s="1"/>
  <c r="W29" i="3" s="1"/>
  <c r="X29" i="3" s="1"/>
  <c r="Y29" i="3" s="1"/>
  <c r="Z29" i="3" s="1"/>
  <c r="AA29" i="3" s="1"/>
  <c r="AB29" i="3" s="1"/>
  <c r="AC29" i="3" s="1"/>
  <c r="AD29" i="3" s="1"/>
  <c r="AE29" i="3" s="1"/>
  <c r="AF29" i="3" s="1"/>
  <c r="AG29" i="3" s="1"/>
  <c r="AH29" i="3" s="1"/>
  <c r="AI29" i="3" s="1"/>
  <c r="AJ29" i="3" s="1"/>
  <c r="AK29" i="3" s="1"/>
  <c r="AL29" i="3" s="1"/>
  <c r="AM29" i="3" s="1"/>
  <c r="AN29" i="3" s="1"/>
  <c r="AO29" i="3" s="1"/>
  <c r="AP29" i="3" s="1"/>
  <c r="AQ29" i="3" s="1"/>
  <c r="AR29" i="3" s="1"/>
  <c r="AS29" i="3" s="1"/>
  <c r="T13" i="6"/>
  <c r="C3" i="29"/>
  <c r="AT2" i="29"/>
  <c r="AT11" i="29" s="1"/>
  <c r="AT21" i="29" s="1"/>
  <c r="D2" i="29"/>
  <c r="D11" i="29" s="1"/>
  <c r="D21" i="29" s="1"/>
  <c r="E2" i="29"/>
  <c r="E11" i="29" s="1"/>
  <c r="E21" i="29" s="1"/>
  <c r="F2" i="29"/>
  <c r="F11" i="29" s="1"/>
  <c r="F21" i="29" s="1"/>
  <c r="G2" i="29"/>
  <c r="G11" i="29" s="1"/>
  <c r="G21" i="29" s="1"/>
  <c r="H2" i="29"/>
  <c r="H11" i="29" s="1"/>
  <c r="H21" i="29" s="1"/>
  <c r="I2" i="29"/>
  <c r="I11" i="29" s="1"/>
  <c r="I21" i="29" s="1"/>
  <c r="J2" i="29"/>
  <c r="J11" i="29" s="1"/>
  <c r="J21" i="29" s="1"/>
  <c r="K2" i="29"/>
  <c r="K11" i="29" s="1"/>
  <c r="K21" i="29" s="1"/>
  <c r="L2" i="29"/>
  <c r="L11" i="29" s="1"/>
  <c r="L21" i="29" s="1"/>
  <c r="M2" i="29"/>
  <c r="M11" i="29" s="1"/>
  <c r="M21" i="29" s="1"/>
  <c r="N2" i="29"/>
  <c r="N11" i="29" s="1"/>
  <c r="N21" i="29" s="1"/>
  <c r="O2" i="29"/>
  <c r="O11" i="29" s="1"/>
  <c r="O21" i="29" s="1"/>
  <c r="P2" i="29"/>
  <c r="P11" i="29" s="1"/>
  <c r="P21" i="29" s="1"/>
  <c r="Q2" i="29"/>
  <c r="Q11" i="29" s="1"/>
  <c r="Q21" i="29" s="1"/>
  <c r="R2" i="29"/>
  <c r="R11" i="29" s="1"/>
  <c r="R21" i="29" s="1"/>
  <c r="S2" i="29"/>
  <c r="S11" i="29" s="1"/>
  <c r="S21" i="29" s="1"/>
  <c r="T2" i="29"/>
  <c r="T11" i="29" s="1"/>
  <c r="T21" i="29" s="1"/>
  <c r="U2" i="29"/>
  <c r="U11" i="29" s="1"/>
  <c r="U21" i="29" s="1"/>
  <c r="V2" i="29"/>
  <c r="V11" i="29" s="1"/>
  <c r="V21" i="29" s="1"/>
  <c r="W2" i="29"/>
  <c r="W11" i="29" s="1"/>
  <c r="W21" i="29" s="1"/>
  <c r="X2" i="29"/>
  <c r="X11" i="29" s="1"/>
  <c r="X21" i="29" s="1"/>
  <c r="Y2" i="29"/>
  <c r="Y11" i="29" s="1"/>
  <c r="Y21" i="29" s="1"/>
  <c r="Z2" i="29"/>
  <c r="Z11" i="29" s="1"/>
  <c r="Z21" i="29" s="1"/>
  <c r="AA2" i="29"/>
  <c r="AA11" i="29" s="1"/>
  <c r="AA21" i="29" s="1"/>
  <c r="AB2" i="29"/>
  <c r="AB11" i="29" s="1"/>
  <c r="AB21" i="29" s="1"/>
  <c r="AC2" i="29"/>
  <c r="AC11" i="29" s="1"/>
  <c r="AC21" i="29" s="1"/>
  <c r="AD2" i="29"/>
  <c r="AD11" i="29" s="1"/>
  <c r="AD21" i="29" s="1"/>
  <c r="AE2" i="29"/>
  <c r="AE11" i="29" s="1"/>
  <c r="AE21" i="29" s="1"/>
  <c r="AF2" i="29"/>
  <c r="AF11" i="29" s="1"/>
  <c r="AF21" i="29" s="1"/>
  <c r="AG2" i="29"/>
  <c r="AG11" i="29" s="1"/>
  <c r="AG21" i="29" s="1"/>
  <c r="AH2" i="29"/>
  <c r="AH11" i="29" s="1"/>
  <c r="AH21" i="29" s="1"/>
  <c r="AI2" i="29"/>
  <c r="AI11" i="29" s="1"/>
  <c r="AI21" i="29" s="1"/>
  <c r="AJ2" i="29"/>
  <c r="AJ11" i="29" s="1"/>
  <c r="AJ21" i="29" s="1"/>
  <c r="AK2" i="29"/>
  <c r="AK11" i="29" s="1"/>
  <c r="AK21" i="29" s="1"/>
  <c r="AL2" i="29"/>
  <c r="AL11" i="29" s="1"/>
  <c r="AL21" i="29" s="1"/>
  <c r="AM2" i="29"/>
  <c r="AM11" i="29" s="1"/>
  <c r="AM21" i="29" s="1"/>
  <c r="AN2" i="29"/>
  <c r="AN11" i="29" s="1"/>
  <c r="AN21" i="29" s="1"/>
  <c r="AO2" i="29"/>
  <c r="AO11" i="29" s="1"/>
  <c r="AO21" i="29" s="1"/>
  <c r="AP2" i="29"/>
  <c r="AP11" i="29" s="1"/>
  <c r="AP21" i="29" s="1"/>
  <c r="AQ2" i="29"/>
  <c r="AQ11" i="29" s="1"/>
  <c r="AQ21" i="29" s="1"/>
  <c r="AR2" i="29"/>
  <c r="AR11" i="29" s="1"/>
  <c r="AR21" i="29" s="1"/>
  <c r="AS2" i="29"/>
  <c r="AS11" i="29" s="1"/>
  <c r="AS21" i="29" s="1"/>
  <c r="C2" i="29"/>
  <c r="C11" i="29" s="1"/>
  <c r="C21" i="29" s="1"/>
  <c r="B18" i="5"/>
  <c r="B17" i="5"/>
  <c r="D15" i="5"/>
  <c r="L83" i="6"/>
  <c r="P9" i="12" l="1"/>
  <c r="P25" i="29"/>
  <c r="J4" i="4"/>
  <c r="C14" i="29"/>
  <c r="K90" i="6"/>
  <c r="D3" i="29"/>
  <c r="P4" i="9"/>
  <c r="P5" i="9"/>
  <c r="P6" i="9"/>
  <c r="P7" i="9"/>
  <c r="P8" i="9"/>
  <c r="P9" i="9"/>
  <c r="P10" i="9"/>
  <c r="P11" i="9"/>
  <c r="P12" i="9"/>
  <c r="P13" i="9"/>
  <c r="P14" i="9"/>
  <c r="P15" i="9"/>
  <c r="P16" i="9"/>
  <c r="P17" i="9"/>
  <c r="P18" i="9"/>
  <c r="P3" i="9"/>
  <c r="D25" i="25"/>
  <c r="C25" i="25"/>
  <c r="D24" i="25"/>
  <c r="C24" i="25"/>
  <c r="E24" i="25" s="1"/>
  <c r="D23" i="25"/>
  <c r="C23" i="25"/>
  <c r="D22" i="25"/>
  <c r="C22" i="25"/>
  <c r="E22" i="25" s="1"/>
  <c r="D21" i="25"/>
  <c r="C21" i="25"/>
  <c r="E21" i="25" s="1"/>
  <c r="G21" i="25" s="1"/>
  <c r="D20" i="25"/>
  <c r="C20" i="25"/>
  <c r="D19" i="25"/>
  <c r="E19" i="25" s="1"/>
  <c r="C19" i="25"/>
  <c r="D18" i="25"/>
  <c r="C18" i="25"/>
  <c r="E18" i="25" s="1"/>
  <c r="D17" i="25"/>
  <c r="C17" i="25"/>
  <c r="E17" i="25" s="1"/>
  <c r="F17" i="25" s="1"/>
  <c r="G16" i="25"/>
  <c r="D16" i="25"/>
  <c r="C16" i="25"/>
  <c r="E16" i="25" s="1"/>
  <c r="F16" i="25" s="1"/>
  <c r="D15" i="25"/>
  <c r="C15" i="25"/>
  <c r="D14" i="25"/>
  <c r="C14" i="25"/>
  <c r="E14" i="25" s="1"/>
  <c r="D13" i="25"/>
  <c r="C13" i="25"/>
  <c r="E13" i="25" s="1"/>
  <c r="G13" i="25" s="1"/>
  <c r="D12" i="25"/>
  <c r="C12" i="25"/>
  <c r="D11" i="25"/>
  <c r="E11" i="25" s="1"/>
  <c r="C11" i="25"/>
  <c r="D10" i="25"/>
  <c r="C10" i="25"/>
  <c r="E10" i="25" s="1"/>
  <c r="D9" i="25"/>
  <c r="C9" i="25"/>
  <c r="E9" i="25" s="1"/>
  <c r="F9" i="25" s="1"/>
  <c r="G8" i="25"/>
  <c r="D8" i="25"/>
  <c r="C8" i="25"/>
  <c r="E8" i="25" s="1"/>
  <c r="F8" i="25" s="1"/>
  <c r="D7" i="25"/>
  <c r="C7" i="25"/>
  <c r="D6" i="25"/>
  <c r="C6" i="25"/>
  <c r="E6" i="25" s="1"/>
  <c r="D5" i="25"/>
  <c r="C5" i="25"/>
  <c r="C4" i="25"/>
  <c r="D25" i="24"/>
  <c r="C25" i="24"/>
  <c r="E25" i="24" s="1"/>
  <c r="D24" i="24"/>
  <c r="C24" i="24"/>
  <c r="D23" i="24"/>
  <c r="C23" i="24"/>
  <c r="E23" i="24" s="1"/>
  <c r="D22" i="24"/>
  <c r="C22" i="24"/>
  <c r="E22" i="24" s="1"/>
  <c r="F21" i="24"/>
  <c r="D21" i="24"/>
  <c r="C21" i="24"/>
  <c r="E21" i="24" s="1"/>
  <c r="G21" i="24" s="1"/>
  <c r="D20" i="24"/>
  <c r="C20" i="24"/>
  <c r="D19" i="24"/>
  <c r="C19" i="24"/>
  <c r="E19" i="24" s="1"/>
  <c r="E18" i="24"/>
  <c r="G18" i="24" s="1"/>
  <c r="D18" i="24"/>
  <c r="C18" i="24"/>
  <c r="D17" i="24"/>
  <c r="C17" i="24"/>
  <c r="E17" i="24" s="1"/>
  <c r="D16" i="24"/>
  <c r="C16" i="24"/>
  <c r="E15" i="24"/>
  <c r="D15" i="24"/>
  <c r="C15" i="24"/>
  <c r="D14" i="24"/>
  <c r="C14" i="24"/>
  <c r="E14" i="24" s="1"/>
  <c r="D13" i="24"/>
  <c r="C13" i="24"/>
  <c r="E13" i="24" s="1"/>
  <c r="G13" i="24" s="1"/>
  <c r="D12" i="24"/>
  <c r="C12" i="24"/>
  <c r="D11" i="24"/>
  <c r="C11" i="24"/>
  <c r="E11" i="24" s="1"/>
  <c r="D10" i="24"/>
  <c r="C10" i="24"/>
  <c r="E10" i="24" s="1"/>
  <c r="G10" i="24" s="1"/>
  <c r="D9" i="24"/>
  <c r="C9" i="24"/>
  <c r="D8" i="24"/>
  <c r="C8" i="24"/>
  <c r="E7" i="24"/>
  <c r="D7" i="24"/>
  <c r="C7" i="24"/>
  <c r="D6" i="24"/>
  <c r="C6" i="24"/>
  <c r="E6" i="24" s="1"/>
  <c r="D5" i="24"/>
  <c r="C5" i="24"/>
  <c r="D25" i="23"/>
  <c r="C25" i="23"/>
  <c r="D24" i="23"/>
  <c r="C24" i="23"/>
  <c r="E24" i="23" s="1"/>
  <c r="D23" i="23"/>
  <c r="C23" i="23"/>
  <c r="D22" i="23"/>
  <c r="C22" i="23"/>
  <c r="E22" i="23" s="1"/>
  <c r="D21" i="23"/>
  <c r="C21" i="23"/>
  <c r="D20" i="23"/>
  <c r="C20" i="23"/>
  <c r="D19" i="23"/>
  <c r="E19" i="23" s="1"/>
  <c r="C19" i="23"/>
  <c r="D18" i="23"/>
  <c r="C18" i="23"/>
  <c r="E18" i="23" s="1"/>
  <c r="G18" i="23" s="1"/>
  <c r="D17" i="23"/>
  <c r="C17" i="23"/>
  <c r="E17" i="23" s="1"/>
  <c r="G17" i="23" s="1"/>
  <c r="D16" i="23"/>
  <c r="C16" i="23"/>
  <c r="D15" i="23"/>
  <c r="E15" i="23" s="1"/>
  <c r="C15" i="23"/>
  <c r="D14" i="23"/>
  <c r="C14" i="23"/>
  <c r="E14" i="23" s="1"/>
  <c r="G13" i="23"/>
  <c r="D13" i="23"/>
  <c r="C13" i="23"/>
  <c r="E13" i="23" s="1"/>
  <c r="F13" i="23" s="1"/>
  <c r="D12" i="23"/>
  <c r="C12" i="23"/>
  <c r="D11" i="23"/>
  <c r="C11" i="23"/>
  <c r="E10" i="23"/>
  <c r="G10" i="23" s="1"/>
  <c r="D10" i="23"/>
  <c r="C10" i="23"/>
  <c r="D9" i="23"/>
  <c r="C9" i="23"/>
  <c r="D8" i="23"/>
  <c r="C8" i="23"/>
  <c r="D7" i="23"/>
  <c r="C7" i="23"/>
  <c r="D6" i="23"/>
  <c r="C6" i="23"/>
  <c r="D5" i="23"/>
  <c r="C5" i="23"/>
  <c r="D25" i="22"/>
  <c r="C25" i="22"/>
  <c r="D24" i="22"/>
  <c r="C24" i="22"/>
  <c r="D23" i="22"/>
  <c r="E23" i="22" s="1"/>
  <c r="C23" i="22"/>
  <c r="D22" i="22"/>
  <c r="C22" i="22"/>
  <c r="E22" i="22" s="1"/>
  <c r="G22" i="22" s="1"/>
  <c r="D21" i="22"/>
  <c r="C21" i="22"/>
  <c r="D20" i="22"/>
  <c r="C20" i="22"/>
  <c r="D19" i="22"/>
  <c r="C19" i="22"/>
  <c r="E19" i="22" s="1"/>
  <c r="E18" i="22"/>
  <c r="D18" i="22"/>
  <c r="C18" i="22"/>
  <c r="G17" i="22"/>
  <c r="F17" i="22"/>
  <c r="D17" i="22"/>
  <c r="C17" i="22"/>
  <c r="E17" i="22" s="1"/>
  <c r="D16" i="22"/>
  <c r="C16" i="22"/>
  <c r="D15" i="22"/>
  <c r="E15" i="22" s="1"/>
  <c r="C15" i="22"/>
  <c r="E14" i="22"/>
  <c r="G14" i="22" s="1"/>
  <c r="D14" i="22"/>
  <c r="C14" i="22"/>
  <c r="D13" i="22"/>
  <c r="C13" i="22"/>
  <c r="D12" i="22"/>
  <c r="C12" i="22"/>
  <c r="D11" i="22"/>
  <c r="C11" i="22"/>
  <c r="E11" i="22" s="1"/>
  <c r="D10" i="22"/>
  <c r="C10" i="22"/>
  <c r="E10" i="22" s="1"/>
  <c r="D9" i="22"/>
  <c r="C9" i="22"/>
  <c r="E9" i="22" s="1"/>
  <c r="G9" i="22" s="1"/>
  <c r="D8" i="22"/>
  <c r="C8" i="22"/>
  <c r="D7" i="22"/>
  <c r="E7" i="22" s="1"/>
  <c r="C7" i="22"/>
  <c r="D6" i="22"/>
  <c r="C6" i="22"/>
  <c r="D5" i="22"/>
  <c r="C5" i="22"/>
  <c r="D25" i="21"/>
  <c r="C25" i="21"/>
  <c r="D24" i="21"/>
  <c r="C24" i="21"/>
  <c r="D23" i="21"/>
  <c r="E23" i="21" s="1"/>
  <c r="C23" i="21"/>
  <c r="D22" i="21"/>
  <c r="C22" i="21"/>
  <c r="E22" i="21" s="1"/>
  <c r="G22" i="21" s="1"/>
  <c r="D21" i="21"/>
  <c r="C21" i="21"/>
  <c r="E21" i="21" s="1"/>
  <c r="G21" i="21" s="1"/>
  <c r="D20" i="21"/>
  <c r="C20" i="21"/>
  <c r="D19" i="21"/>
  <c r="E19" i="21" s="1"/>
  <c r="C19" i="21"/>
  <c r="D18" i="21"/>
  <c r="C18" i="21"/>
  <c r="E18" i="21" s="1"/>
  <c r="G17" i="21"/>
  <c r="D17" i="21"/>
  <c r="C17" i="21"/>
  <c r="E17" i="21" s="1"/>
  <c r="F17" i="21" s="1"/>
  <c r="D16" i="21"/>
  <c r="C16" i="21"/>
  <c r="D15" i="21"/>
  <c r="C15" i="21"/>
  <c r="E14" i="21"/>
  <c r="G14" i="21" s="1"/>
  <c r="D14" i="21"/>
  <c r="C14" i="21"/>
  <c r="D13" i="21"/>
  <c r="C13" i="21"/>
  <c r="D12" i="21"/>
  <c r="C12" i="21"/>
  <c r="D11" i="21"/>
  <c r="C11" i="21"/>
  <c r="E11" i="21" s="1"/>
  <c r="D10" i="21"/>
  <c r="C10" i="21"/>
  <c r="D9" i="21"/>
  <c r="C9" i="21"/>
  <c r="E9" i="21" s="1"/>
  <c r="D8" i="21"/>
  <c r="E8" i="21" s="1"/>
  <c r="C8" i="21"/>
  <c r="D7" i="21"/>
  <c r="C7" i="21"/>
  <c r="E7" i="21" s="1"/>
  <c r="D6" i="21"/>
  <c r="C6" i="21"/>
  <c r="D5" i="21"/>
  <c r="C5" i="21"/>
  <c r="D25" i="20"/>
  <c r="C25" i="20"/>
  <c r="E25" i="20" s="1"/>
  <c r="D24" i="20"/>
  <c r="C24" i="20"/>
  <c r="D23" i="20"/>
  <c r="C23" i="20"/>
  <c r="E23" i="20" s="1"/>
  <c r="D22" i="20"/>
  <c r="C22" i="20"/>
  <c r="D21" i="20"/>
  <c r="C21" i="20"/>
  <c r="E21" i="20" s="1"/>
  <c r="F21" i="20" s="1"/>
  <c r="D20" i="20"/>
  <c r="E20" i="20" s="1"/>
  <c r="C20" i="20"/>
  <c r="E19" i="20"/>
  <c r="D19" i="20"/>
  <c r="C19" i="20"/>
  <c r="D18" i="20"/>
  <c r="C18" i="20"/>
  <c r="E18" i="20" s="1"/>
  <c r="G18" i="20" s="1"/>
  <c r="D17" i="20"/>
  <c r="C17" i="20"/>
  <c r="E17" i="20" s="1"/>
  <c r="F17" i="20" s="1"/>
  <c r="D16" i="20"/>
  <c r="E16" i="20" s="1"/>
  <c r="C16" i="20"/>
  <c r="D15" i="20"/>
  <c r="C15" i="20"/>
  <c r="E15" i="20" s="1"/>
  <c r="D14" i="20"/>
  <c r="C14" i="20"/>
  <c r="E14" i="20" s="1"/>
  <c r="G14" i="20" s="1"/>
  <c r="D13" i="20"/>
  <c r="C13" i="20"/>
  <c r="D12" i="20"/>
  <c r="E12" i="20" s="1"/>
  <c r="C12" i="20"/>
  <c r="E11" i="20"/>
  <c r="D11" i="20"/>
  <c r="C11" i="20"/>
  <c r="D10" i="20"/>
  <c r="C10" i="20"/>
  <c r="D9" i="20"/>
  <c r="C9" i="20"/>
  <c r="E9" i="20" s="1"/>
  <c r="D8" i="20"/>
  <c r="C8" i="20"/>
  <c r="D7" i="20"/>
  <c r="C7" i="20"/>
  <c r="E7" i="20" s="1"/>
  <c r="D6" i="20"/>
  <c r="C6" i="20"/>
  <c r="D5" i="20"/>
  <c r="C5" i="20"/>
  <c r="E5" i="20" s="1"/>
  <c r="F5" i="20" s="1"/>
  <c r="D25" i="19"/>
  <c r="C25" i="19"/>
  <c r="E25" i="19" s="1"/>
  <c r="F25" i="19" s="1"/>
  <c r="D24" i="19"/>
  <c r="E24" i="19" s="1"/>
  <c r="C24" i="19"/>
  <c r="D23" i="19"/>
  <c r="C23" i="19"/>
  <c r="E23" i="19" s="1"/>
  <c r="D22" i="19"/>
  <c r="C22" i="19"/>
  <c r="E22" i="19" s="1"/>
  <c r="G22" i="19" s="1"/>
  <c r="G21" i="19"/>
  <c r="D21" i="19"/>
  <c r="C21" i="19"/>
  <c r="E21" i="19" s="1"/>
  <c r="F21" i="19" s="1"/>
  <c r="D20" i="19"/>
  <c r="C20" i="19"/>
  <c r="D19" i="19"/>
  <c r="C19" i="19"/>
  <c r="E19" i="19" s="1"/>
  <c r="F18" i="19"/>
  <c r="D18" i="19"/>
  <c r="C18" i="19"/>
  <c r="E18" i="19" s="1"/>
  <c r="G18" i="19" s="1"/>
  <c r="D17" i="19"/>
  <c r="C17" i="19"/>
  <c r="E17" i="19" s="1"/>
  <c r="D16" i="19"/>
  <c r="E16" i="19" s="1"/>
  <c r="C16" i="19"/>
  <c r="E15" i="19"/>
  <c r="D15" i="19"/>
  <c r="C15" i="19"/>
  <c r="D14" i="19"/>
  <c r="C14" i="19"/>
  <c r="E14" i="19" s="1"/>
  <c r="G14" i="19" s="1"/>
  <c r="D13" i="19"/>
  <c r="C13" i="19"/>
  <c r="E12" i="19"/>
  <c r="D12" i="19"/>
  <c r="C12" i="19"/>
  <c r="D11" i="19"/>
  <c r="C11" i="19"/>
  <c r="E11" i="19" s="1"/>
  <c r="D10" i="19"/>
  <c r="C10" i="19"/>
  <c r="D9" i="19"/>
  <c r="C9" i="19"/>
  <c r="D8" i="19"/>
  <c r="C8" i="19"/>
  <c r="D7" i="19"/>
  <c r="C7" i="19"/>
  <c r="E7" i="19" s="1"/>
  <c r="D6" i="19"/>
  <c r="C6" i="19"/>
  <c r="E6" i="19" s="1"/>
  <c r="G6" i="19" s="1"/>
  <c r="D5" i="19"/>
  <c r="C5" i="19"/>
  <c r="D25" i="18"/>
  <c r="C25" i="18"/>
  <c r="E24" i="18"/>
  <c r="D24" i="18"/>
  <c r="C24" i="18"/>
  <c r="D23" i="18"/>
  <c r="C23" i="18"/>
  <c r="E23" i="18" s="1"/>
  <c r="D22" i="18"/>
  <c r="C22" i="18"/>
  <c r="D21" i="18"/>
  <c r="E21" i="18" s="1"/>
  <c r="C21" i="18"/>
  <c r="D20" i="18"/>
  <c r="C20" i="18"/>
  <c r="E20" i="18" s="1"/>
  <c r="D19" i="18"/>
  <c r="C19" i="18"/>
  <c r="D18" i="18"/>
  <c r="C18" i="18"/>
  <c r="D17" i="18"/>
  <c r="C17" i="18"/>
  <c r="E17" i="18" s="1"/>
  <c r="D16" i="18"/>
  <c r="C16" i="18"/>
  <c r="E16" i="18" s="1"/>
  <c r="D15" i="18"/>
  <c r="C15" i="18"/>
  <c r="D14" i="18"/>
  <c r="C14" i="18"/>
  <c r="D13" i="18"/>
  <c r="C13" i="18"/>
  <c r="D12" i="18"/>
  <c r="C12" i="18"/>
  <c r="E12" i="18" s="1"/>
  <c r="D11" i="18"/>
  <c r="C11" i="18"/>
  <c r="D10" i="18"/>
  <c r="C10" i="18"/>
  <c r="D9" i="18"/>
  <c r="C9" i="18"/>
  <c r="E9" i="18" s="1"/>
  <c r="E8" i="18"/>
  <c r="D8" i="18"/>
  <c r="C8" i="18"/>
  <c r="G7" i="18"/>
  <c r="D7" i="18"/>
  <c r="C7" i="18"/>
  <c r="E7" i="18" s="1"/>
  <c r="F7" i="18" s="1"/>
  <c r="D6" i="18"/>
  <c r="C6" i="18"/>
  <c r="D5" i="18"/>
  <c r="C5" i="18"/>
  <c r="E25" i="17"/>
  <c r="D25" i="17"/>
  <c r="C25" i="17"/>
  <c r="D24" i="17"/>
  <c r="C24" i="17"/>
  <c r="E24" i="17" s="1"/>
  <c r="D23" i="17"/>
  <c r="C23" i="17"/>
  <c r="D22" i="17"/>
  <c r="C22" i="17"/>
  <c r="D21" i="17"/>
  <c r="C21" i="17"/>
  <c r="D20" i="17"/>
  <c r="C20" i="17"/>
  <c r="E20" i="17" s="1"/>
  <c r="G20" i="17" s="1"/>
  <c r="D19" i="17"/>
  <c r="C19" i="17"/>
  <c r="D18" i="17"/>
  <c r="C18" i="17"/>
  <c r="E17" i="17"/>
  <c r="D17" i="17"/>
  <c r="C17" i="17"/>
  <c r="E16" i="17"/>
  <c r="G16" i="17" s="1"/>
  <c r="D16" i="17"/>
  <c r="C16" i="17"/>
  <c r="D15" i="17"/>
  <c r="C15" i="17"/>
  <c r="D14" i="17"/>
  <c r="C14" i="17"/>
  <c r="D13" i="17"/>
  <c r="E13" i="17" s="1"/>
  <c r="C13" i="17"/>
  <c r="D12" i="17"/>
  <c r="C12" i="17"/>
  <c r="E12" i="17" s="1"/>
  <c r="G12" i="17" s="1"/>
  <c r="D11" i="17"/>
  <c r="C11" i="17"/>
  <c r="D10" i="17"/>
  <c r="C10" i="17"/>
  <c r="D9" i="17"/>
  <c r="C9" i="17"/>
  <c r="E9" i="17" s="1"/>
  <c r="E8" i="17"/>
  <c r="G8" i="17" s="1"/>
  <c r="D8" i="17"/>
  <c r="C8" i="17"/>
  <c r="G7" i="17"/>
  <c r="D7" i="17"/>
  <c r="C7" i="17"/>
  <c r="E7" i="17" s="1"/>
  <c r="F7" i="17" s="1"/>
  <c r="D6" i="17"/>
  <c r="C6" i="17"/>
  <c r="D5" i="17"/>
  <c r="C5" i="17"/>
  <c r="J26" i="16"/>
  <c r="D25" i="16"/>
  <c r="C25" i="16"/>
  <c r="E25" i="16" s="1"/>
  <c r="G25" i="16" s="1"/>
  <c r="D24" i="16"/>
  <c r="C24" i="16"/>
  <c r="E24" i="16" s="1"/>
  <c r="D23" i="16"/>
  <c r="C23" i="16"/>
  <c r="E22" i="16"/>
  <c r="D22" i="16"/>
  <c r="C22" i="16"/>
  <c r="D21" i="16"/>
  <c r="C21" i="16"/>
  <c r="E21" i="16" s="1"/>
  <c r="G21" i="16" s="1"/>
  <c r="D20" i="16"/>
  <c r="C20" i="16"/>
  <c r="D19" i="16"/>
  <c r="C19" i="16"/>
  <c r="D18" i="16"/>
  <c r="C18" i="16"/>
  <c r="D17" i="16"/>
  <c r="C17" i="16"/>
  <c r="E17" i="16" s="1"/>
  <c r="D16" i="16"/>
  <c r="C16" i="16"/>
  <c r="E16" i="16" s="1"/>
  <c r="D15" i="16"/>
  <c r="C15" i="16"/>
  <c r="E14" i="16"/>
  <c r="D14" i="16"/>
  <c r="C14" i="16"/>
  <c r="D13" i="16"/>
  <c r="C13" i="16"/>
  <c r="E13" i="16" s="1"/>
  <c r="D12" i="16"/>
  <c r="C12" i="16"/>
  <c r="D11" i="16"/>
  <c r="C11" i="16"/>
  <c r="D10" i="16"/>
  <c r="C10" i="16"/>
  <c r="D9" i="16"/>
  <c r="C9" i="16"/>
  <c r="D8" i="16"/>
  <c r="C8" i="16"/>
  <c r="E8" i="16" s="1"/>
  <c r="F8" i="16" s="1"/>
  <c r="D7" i="16"/>
  <c r="C7" i="16"/>
  <c r="E7" i="16" s="1"/>
  <c r="D6" i="16"/>
  <c r="C6" i="16"/>
  <c r="D5" i="16"/>
  <c r="C5" i="16"/>
  <c r="D25" i="15"/>
  <c r="C25" i="15"/>
  <c r="E25" i="15" s="1"/>
  <c r="D24" i="15"/>
  <c r="C24" i="15"/>
  <c r="E24" i="15" s="1"/>
  <c r="G24" i="15" s="1"/>
  <c r="D23" i="15"/>
  <c r="C23" i="15"/>
  <c r="E23" i="15" s="1"/>
  <c r="F23" i="15" s="1"/>
  <c r="D22" i="15"/>
  <c r="C22" i="15"/>
  <c r="E22" i="15" s="1"/>
  <c r="D21" i="15"/>
  <c r="E21" i="15" s="1"/>
  <c r="G21" i="15" s="1"/>
  <c r="C21" i="15"/>
  <c r="D20" i="15"/>
  <c r="C20" i="15"/>
  <c r="D19" i="15"/>
  <c r="C19" i="15"/>
  <c r="D18" i="15"/>
  <c r="C18" i="15"/>
  <c r="D17" i="15"/>
  <c r="C17" i="15"/>
  <c r="D16" i="15"/>
  <c r="C16" i="15"/>
  <c r="E16" i="15" s="1"/>
  <c r="D15" i="15"/>
  <c r="C15" i="15"/>
  <c r="D14" i="15"/>
  <c r="E14" i="15" s="1"/>
  <c r="C14" i="15"/>
  <c r="D13" i="15"/>
  <c r="E13" i="15" s="1"/>
  <c r="C13" i="15"/>
  <c r="D12" i="15"/>
  <c r="C12" i="15"/>
  <c r="E12" i="15" s="1"/>
  <c r="G12" i="15" s="1"/>
  <c r="D11" i="15"/>
  <c r="C11" i="15"/>
  <c r="E11" i="15" s="1"/>
  <c r="G11" i="15" s="1"/>
  <c r="D10" i="15"/>
  <c r="C10" i="15"/>
  <c r="E10" i="15" s="1"/>
  <c r="F10" i="15" s="1"/>
  <c r="D9" i="15"/>
  <c r="C9" i="15"/>
  <c r="E9" i="15" s="1"/>
  <c r="G9" i="15" s="1"/>
  <c r="D8" i="15"/>
  <c r="C8" i="15"/>
  <c r="E8" i="15" s="1"/>
  <c r="D7" i="15"/>
  <c r="C7" i="15"/>
  <c r="D6" i="15"/>
  <c r="C6" i="15"/>
  <c r="D5" i="15"/>
  <c r="C5" i="15"/>
  <c r="C4" i="15"/>
  <c r="L9" i="14"/>
  <c r="K9" i="14"/>
  <c r="J9" i="14"/>
  <c r="I9" i="14"/>
  <c r="H9" i="14"/>
  <c r="G9" i="14"/>
  <c r="A9" i="14"/>
  <c r="A8" i="14"/>
  <c r="A7" i="14"/>
  <c r="A6" i="14"/>
  <c r="A5" i="14"/>
  <c r="B4" i="14"/>
  <c r="B33" i="14" s="1"/>
  <c r="C3" i="14"/>
  <c r="D3" i="14" s="1"/>
  <c r="E3" i="14" s="1"/>
  <c r="L23" i="13"/>
  <c r="K23" i="13"/>
  <c r="J23" i="13"/>
  <c r="I23" i="13"/>
  <c r="F21" i="13"/>
  <c r="F9" i="14" s="1"/>
  <c r="L18" i="13"/>
  <c r="L4" i="14" s="1"/>
  <c r="L33" i="14" s="1"/>
  <c r="K18" i="13"/>
  <c r="K4" i="14" s="1"/>
  <c r="K33" i="14" s="1"/>
  <c r="J18" i="13"/>
  <c r="J4" i="14" s="1"/>
  <c r="J33" i="14" s="1"/>
  <c r="I18" i="13"/>
  <c r="I4" i="14" s="1"/>
  <c r="I33" i="14" s="1"/>
  <c r="H18" i="13"/>
  <c r="H4" i="14" s="1"/>
  <c r="H33" i="14" s="1"/>
  <c r="G18" i="13"/>
  <c r="G4" i="14" s="1"/>
  <c r="G33" i="14" s="1"/>
  <c r="F18" i="13"/>
  <c r="F4" i="14" s="1"/>
  <c r="F33" i="14" s="1"/>
  <c r="E18" i="13"/>
  <c r="E4" i="14" s="1"/>
  <c r="E33" i="14" s="1"/>
  <c r="D18" i="13"/>
  <c r="D4" i="14" s="1"/>
  <c r="D33" i="14" s="1"/>
  <c r="C18" i="13"/>
  <c r="C4" i="14" s="1"/>
  <c r="C33" i="14" s="1"/>
  <c r="B18" i="13"/>
  <c r="AO14" i="13"/>
  <c r="AD14" i="13"/>
  <c r="C14" i="13"/>
  <c r="C15" i="13" s="1"/>
  <c r="B14" i="13"/>
  <c r="B15" i="13" s="1"/>
  <c r="C13" i="13"/>
  <c r="B13" i="13"/>
  <c r="AS14" i="13"/>
  <c r="AR14" i="13"/>
  <c r="AQ14" i="13"/>
  <c r="AP14" i="13"/>
  <c r="AN14" i="13"/>
  <c r="AM14" i="13"/>
  <c r="AL14" i="13"/>
  <c r="AK14" i="13"/>
  <c r="K27" i="13"/>
  <c r="K8" i="14" s="1"/>
  <c r="AI14" i="13"/>
  <c r="AH14" i="13"/>
  <c r="AG14" i="13"/>
  <c r="AE14" i="13"/>
  <c r="AC14" i="13"/>
  <c r="AA14" i="13"/>
  <c r="Z14" i="13"/>
  <c r="Y14" i="13"/>
  <c r="C5" i="13"/>
  <c r="B5" i="13"/>
  <c r="AS2" i="13"/>
  <c r="AR2" i="13"/>
  <c r="AQ2" i="13"/>
  <c r="AP2" i="13"/>
  <c r="A42" i="12"/>
  <c r="B41" i="12"/>
  <c r="A41" i="12"/>
  <c r="A40" i="12"/>
  <c r="A38" i="12"/>
  <c r="B37" i="12"/>
  <c r="A37" i="12"/>
  <c r="A36" i="12"/>
  <c r="L35" i="12"/>
  <c r="K35" i="12"/>
  <c r="J35" i="12"/>
  <c r="I35" i="12"/>
  <c r="H35" i="12"/>
  <c r="G35" i="12"/>
  <c r="F35" i="12"/>
  <c r="E35" i="12"/>
  <c r="D35" i="12"/>
  <c r="C35" i="12"/>
  <c r="B35" i="12"/>
  <c r="A35" i="12"/>
  <c r="B34" i="12"/>
  <c r="A34" i="12"/>
  <c r="D33" i="12"/>
  <c r="C33" i="12"/>
  <c r="B33" i="12"/>
  <c r="A33" i="12"/>
  <c r="A32" i="12"/>
  <c r="B31" i="12"/>
  <c r="A31" i="12"/>
  <c r="B30" i="12"/>
  <c r="A30" i="12"/>
  <c r="B29" i="12"/>
  <c r="A29" i="12"/>
  <c r="B28" i="12"/>
  <c r="A28" i="12"/>
  <c r="A27" i="12"/>
  <c r="A26" i="12"/>
  <c r="D14" i="12"/>
  <c r="C14" i="12"/>
  <c r="B14" i="12"/>
  <c r="B32" i="12"/>
  <c r="AS1" i="12"/>
  <c r="AR1" i="12"/>
  <c r="AQ1" i="12"/>
  <c r="AP1" i="12"/>
  <c r="AO1" i="12"/>
  <c r="AN1" i="12"/>
  <c r="AM1" i="12"/>
  <c r="AL1" i="12"/>
  <c r="AK1" i="12"/>
  <c r="AJ1" i="12"/>
  <c r="AI1" i="12"/>
  <c r="AH1" i="12"/>
  <c r="AG1" i="12"/>
  <c r="AF1" i="12"/>
  <c r="AE1" i="12"/>
  <c r="AD1" i="12"/>
  <c r="AC1" i="12"/>
  <c r="AB1" i="12"/>
  <c r="AA1" i="12"/>
  <c r="Z1" i="12"/>
  <c r="Y1" i="12"/>
  <c r="X1" i="12"/>
  <c r="W1" i="12"/>
  <c r="V1" i="12"/>
  <c r="U1" i="12"/>
  <c r="T1" i="12"/>
  <c r="S1" i="12"/>
  <c r="R1" i="12"/>
  <c r="Q1" i="12"/>
  <c r="P1" i="12"/>
  <c r="O1" i="12"/>
  <c r="N1" i="12"/>
  <c r="M1" i="12"/>
  <c r="L1" i="12"/>
  <c r="K1" i="12"/>
  <c r="J1" i="12"/>
  <c r="I1" i="12"/>
  <c r="H1" i="12"/>
  <c r="G1" i="12"/>
  <c r="F1" i="12"/>
  <c r="E1" i="12"/>
  <c r="D1" i="12"/>
  <c r="C1" i="12"/>
  <c r="B1" i="12"/>
  <c r="G69" i="11"/>
  <c r="A63" i="11"/>
  <c r="A64" i="11" s="1"/>
  <c r="A65" i="11" s="1"/>
  <c r="A66" i="11" s="1"/>
  <c r="A67" i="11" s="1"/>
  <c r="A68" i="11" s="1"/>
  <c r="I62" i="11"/>
  <c r="I63" i="11" s="1"/>
  <c r="I64" i="11" s="1"/>
  <c r="I65" i="11" s="1"/>
  <c r="I66" i="11" s="1"/>
  <c r="I67" i="11" s="1"/>
  <c r="I68" i="11" s="1"/>
  <c r="A58" i="11"/>
  <c r="A59" i="11" s="1"/>
  <c r="A60" i="11" s="1"/>
  <c r="A61" i="11" s="1"/>
  <c r="A62" i="11" s="1"/>
  <c r="I51" i="11"/>
  <c r="I52" i="11" s="1"/>
  <c r="I53" i="11" s="1"/>
  <c r="I54" i="11" s="1"/>
  <c r="I55" i="11" s="1"/>
  <c r="I56" i="11" s="1"/>
  <c r="I57" i="11" s="1"/>
  <c r="I58" i="11" s="1"/>
  <c r="I59" i="11" s="1"/>
  <c r="I60" i="11" s="1"/>
  <c r="I50" i="11"/>
  <c r="A46" i="11"/>
  <c r="A47" i="11" s="1"/>
  <c r="A48" i="11" s="1"/>
  <c r="A49" i="11" s="1"/>
  <c r="A50" i="11" s="1"/>
  <c r="A51" i="11" s="1"/>
  <c r="A52" i="11" s="1"/>
  <c r="A53" i="11" s="1"/>
  <c r="A54" i="11" s="1"/>
  <c r="A55" i="11" s="1"/>
  <c r="A56" i="11" s="1"/>
  <c r="I38" i="11"/>
  <c r="I39" i="11" s="1"/>
  <c r="I40" i="11" s="1"/>
  <c r="I41" i="11" s="1"/>
  <c r="I42" i="11" s="1"/>
  <c r="I43" i="11" s="1"/>
  <c r="I44" i="11" s="1"/>
  <c r="I45" i="11" s="1"/>
  <c r="I46" i="11" s="1"/>
  <c r="I47" i="11" s="1"/>
  <c r="I48" i="11" s="1"/>
  <c r="A34" i="11"/>
  <c r="A35" i="11" s="1"/>
  <c r="A36" i="11" s="1"/>
  <c r="A37" i="11" s="1"/>
  <c r="A38" i="11" s="1"/>
  <c r="A39" i="11" s="1"/>
  <c r="A40" i="11" s="1"/>
  <c r="A41" i="11" s="1"/>
  <c r="A42" i="11" s="1"/>
  <c r="A43" i="11" s="1"/>
  <c r="A44" i="11" s="1"/>
  <c r="I26" i="11"/>
  <c r="I27" i="11" s="1"/>
  <c r="I28" i="11" s="1"/>
  <c r="I29" i="11" s="1"/>
  <c r="I30" i="11" s="1"/>
  <c r="I31" i="11" s="1"/>
  <c r="I32" i="11" s="1"/>
  <c r="I33" i="11" s="1"/>
  <c r="I34" i="11" s="1"/>
  <c r="I35" i="11" s="1"/>
  <c r="I36" i="11" s="1"/>
  <c r="A22" i="11"/>
  <c r="A23" i="11" s="1"/>
  <c r="A24" i="11" s="1"/>
  <c r="A25" i="11" s="1"/>
  <c r="A26" i="11" s="1"/>
  <c r="A27" i="11" s="1"/>
  <c r="A28" i="11" s="1"/>
  <c r="A29" i="11" s="1"/>
  <c r="A30" i="11" s="1"/>
  <c r="A31" i="11" s="1"/>
  <c r="A32" i="11" s="1"/>
  <c r="I19" i="11"/>
  <c r="I20" i="11" s="1"/>
  <c r="I21" i="11" s="1"/>
  <c r="I22" i="11" s="1"/>
  <c r="I23" i="11" s="1"/>
  <c r="I24" i="11" s="1"/>
  <c r="I14" i="11"/>
  <c r="I15" i="11" s="1"/>
  <c r="I16" i="11" s="1"/>
  <c r="I17" i="11" s="1"/>
  <c r="I18" i="11" s="1"/>
  <c r="I11" i="11"/>
  <c r="I12" i="11" s="1"/>
  <c r="I10" i="11"/>
  <c r="A10" i="11"/>
  <c r="A11" i="11" s="1"/>
  <c r="A12" i="11" s="1"/>
  <c r="A13" i="11" s="1"/>
  <c r="A14" i="11" s="1"/>
  <c r="A15" i="11" s="1"/>
  <c r="A16" i="11" s="1"/>
  <c r="A17" i="11" s="1"/>
  <c r="A18" i="11" s="1"/>
  <c r="A19" i="11" s="1"/>
  <c r="A20" i="11" s="1"/>
  <c r="L8" i="11"/>
  <c r="K8" i="11"/>
  <c r="J8" i="11"/>
  <c r="B2" i="11"/>
  <c r="P3" i="10"/>
  <c r="Q3" i="10" s="1"/>
  <c r="R3" i="10" s="1"/>
  <c r="S3" i="10" s="1"/>
  <c r="T3" i="10" s="1"/>
  <c r="U3" i="10" s="1"/>
  <c r="V3" i="10" s="1"/>
  <c r="W3" i="10" s="1"/>
  <c r="X3" i="10" s="1"/>
  <c r="Y3" i="10" s="1"/>
  <c r="Z3" i="10" s="1"/>
  <c r="AA3" i="10" s="1"/>
  <c r="AB3" i="10" s="1"/>
  <c r="AC3" i="10" s="1"/>
  <c r="AD3" i="10" s="1"/>
  <c r="AE3" i="10" s="1"/>
  <c r="AF3" i="10" s="1"/>
  <c r="AG3" i="10" s="1"/>
  <c r="AH3" i="10" s="1"/>
  <c r="AI3" i="10" s="1"/>
  <c r="AJ3" i="10" s="1"/>
  <c r="AK3" i="10" s="1"/>
  <c r="AL3" i="10" s="1"/>
  <c r="AM3" i="10" s="1"/>
  <c r="AN3" i="10" s="1"/>
  <c r="AO3" i="10" s="1"/>
  <c r="AP3" i="10" s="1"/>
  <c r="AQ3" i="10" s="1"/>
  <c r="AR3" i="10" s="1"/>
  <c r="AS3" i="10" s="1"/>
  <c r="D3" i="10"/>
  <c r="E3" i="10" s="1"/>
  <c r="F3" i="10" s="1"/>
  <c r="G3" i="10" s="1"/>
  <c r="H3" i="10" s="1"/>
  <c r="I3" i="10" s="1"/>
  <c r="J3" i="10" s="1"/>
  <c r="K3" i="10" s="1"/>
  <c r="L3" i="10" s="1"/>
  <c r="M3" i="10" s="1"/>
  <c r="N3" i="10" s="1"/>
  <c r="O3" i="10" s="1"/>
  <c r="AS1" i="10"/>
  <c r="AR1" i="10"/>
  <c r="AQ1" i="10"/>
  <c r="AP1" i="10"/>
  <c r="AO1" i="10"/>
  <c r="AN1" i="10"/>
  <c r="AM1" i="10"/>
  <c r="AL1" i="10"/>
  <c r="AK1" i="10"/>
  <c r="AJ1" i="10"/>
  <c r="AI1" i="10"/>
  <c r="AH1" i="10"/>
  <c r="AG1" i="10"/>
  <c r="AF1" i="10"/>
  <c r="AE1" i="10"/>
  <c r="AD1" i="10"/>
  <c r="AC1" i="10"/>
  <c r="AB1" i="10"/>
  <c r="AA1" i="10"/>
  <c r="Z1" i="10"/>
  <c r="Y1" i="10"/>
  <c r="X1" i="10"/>
  <c r="W1" i="10"/>
  <c r="V1" i="10"/>
  <c r="U1" i="10"/>
  <c r="T1" i="10"/>
  <c r="S1" i="10"/>
  <c r="R1" i="10"/>
  <c r="Q1" i="10"/>
  <c r="P1" i="10"/>
  <c r="O1" i="10"/>
  <c r="N1" i="10"/>
  <c r="M1" i="10"/>
  <c r="L1" i="10"/>
  <c r="K1" i="10"/>
  <c r="J1" i="10"/>
  <c r="I1" i="10"/>
  <c r="H1" i="10"/>
  <c r="G1" i="10"/>
  <c r="F1" i="10"/>
  <c r="E1" i="10"/>
  <c r="D1" i="10"/>
  <c r="C1" i="10"/>
  <c r="B1" i="10"/>
  <c r="B46" i="9"/>
  <c r="B42" i="9"/>
  <c r="A19" i="9"/>
  <c r="Q13" i="9"/>
  <c r="G9" i="9"/>
  <c r="L8" i="9"/>
  <c r="K8" i="9"/>
  <c r="J8" i="9"/>
  <c r="I8" i="9"/>
  <c r="W8" i="8" s="1"/>
  <c r="H8" i="9"/>
  <c r="C30" i="8"/>
  <c r="O23" i="8"/>
  <c r="L23" i="8"/>
  <c r="K23" i="8"/>
  <c r="J23" i="8"/>
  <c r="I23" i="8"/>
  <c r="H23" i="8"/>
  <c r="G23" i="8"/>
  <c r="F23" i="8"/>
  <c r="E23" i="8"/>
  <c r="D23" i="8"/>
  <c r="C23" i="8"/>
  <c r="B23" i="8"/>
  <c r="O22" i="8"/>
  <c r="B22" i="8"/>
  <c r="O21" i="8"/>
  <c r="O20" i="8"/>
  <c r="O19" i="8"/>
  <c r="A19" i="8"/>
  <c r="O18" i="8"/>
  <c r="O17" i="8"/>
  <c r="O16" i="8"/>
  <c r="O15" i="8"/>
  <c r="O14" i="8"/>
  <c r="Z13" i="8"/>
  <c r="Y13" i="8"/>
  <c r="X13" i="8"/>
  <c r="W13" i="8"/>
  <c r="V13" i="8"/>
  <c r="U13" i="8"/>
  <c r="T13" i="8"/>
  <c r="S13" i="8"/>
  <c r="R13" i="8"/>
  <c r="Q13" i="8"/>
  <c r="P13" i="8"/>
  <c r="O13" i="8"/>
  <c r="O12" i="8"/>
  <c r="O11" i="8"/>
  <c r="O10" i="8"/>
  <c r="Z9" i="8"/>
  <c r="Y9" i="8"/>
  <c r="X9" i="8"/>
  <c r="W9" i="8"/>
  <c r="V9" i="8"/>
  <c r="U9" i="8"/>
  <c r="O9" i="8"/>
  <c r="Z8" i="8"/>
  <c r="Y8" i="8"/>
  <c r="X8" i="8"/>
  <c r="V8" i="8"/>
  <c r="U8" i="8"/>
  <c r="O8" i="8"/>
  <c r="O7" i="8"/>
  <c r="O6" i="8"/>
  <c r="O5" i="8"/>
  <c r="C5" i="8"/>
  <c r="D5" i="8" s="1"/>
  <c r="O4" i="8"/>
  <c r="C4" i="8"/>
  <c r="D4" i="8" s="1"/>
  <c r="O3" i="8"/>
  <c r="L2" i="8"/>
  <c r="L2" i="9" s="1"/>
  <c r="L27" i="9" s="1"/>
  <c r="K2" i="8"/>
  <c r="K2" i="9" s="1"/>
  <c r="K27" i="9" s="1"/>
  <c r="J2" i="8"/>
  <c r="J25" i="8" s="1"/>
  <c r="I2" i="8"/>
  <c r="I2" i="9" s="1"/>
  <c r="I27" i="9" s="1"/>
  <c r="H2" i="8"/>
  <c r="H2" i="9" s="1"/>
  <c r="H27" i="9" s="1"/>
  <c r="G2" i="8"/>
  <c r="G2" i="9" s="1"/>
  <c r="G27" i="9" s="1"/>
  <c r="F2" i="8"/>
  <c r="F25" i="8" s="1"/>
  <c r="E2" i="8"/>
  <c r="E2" i="9" s="1"/>
  <c r="E27" i="9" s="1"/>
  <c r="D2" i="8"/>
  <c r="D2" i="9" s="1"/>
  <c r="D27" i="9" s="1"/>
  <c r="C2" i="8"/>
  <c r="C2" i="9" s="1"/>
  <c r="C27" i="9" s="1"/>
  <c r="B2" i="8"/>
  <c r="B25" i="8" s="1"/>
  <c r="L71" i="7"/>
  <c r="B62" i="7"/>
  <c r="B61" i="7"/>
  <c r="C58" i="7"/>
  <c r="A58" i="7"/>
  <c r="AR58" i="7" s="1"/>
  <c r="AQ57" i="7"/>
  <c r="AP57" i="7"/>
  <c r="AO57" i="7"/>
  <c r="AN57" i="7"/>
  <c r="AM57" i="7"/>
  <c r="AL57" i="7"/>
  <c r="AK57" i="7"/>
  <c r="AJ57" i="7"/>
  <c r="AI57" i="7"/>
  <c r="AH57" i="7"/>
  <c r="AG57" i="7"/>
  <c r="AF57" i="7"/>
  <c r="AE57" i="7"/>
  <c r="AD57" i="7"/>
  <c r="AC57" i="7"/>
  <c r="AB57" i="7"/>
  <c r="AA57" i="7"/>
  <c r="Z57" i="7"/>
  <c r="Y57" i="7"/>
  <c r="X57" i="7"/>
  <c r="W57" i="7"/>
  <c r="V57" i="7"/>
  <c r="U57" i="7"/>
  <c r="T57" i="7"/>
  <c r="C57" i="7"/>
  <c r="B57" i="7"/>
  <c r="A57" i="7"/>
  <c r="AR57" i="7" s="1"/>
  <c r="C56" i="7"/>
  <c r="B56" i="7"/>
  <c r="A56" i="7"/>
  <c r="AR56" i="7" s="1"/>
  <c r="AR54" i="7"/>
  <c r="AR53" i="7"/>
  <c r="AR52" i="7"/>
  <c r="AR51" i="7"/>
  <c r="AR50" i="7"/>
  <c r="AR49" i="7"/>
  <c r="C46" i="7"/>
  <c r="B46" i="7"/>
  <c r="AQ45" i="7"/>
  <c r="AP45" i="7"/>
  <c r="AO45" i="7"/>
  <c r="AN45" i="7"/>
  <c r="AM45" i="7"/>
  <c r="AL45" i="7"/>
  <c r="AK45" i="7"/>
  <c r="AJ45" i="7"/>
  <c r="C45" i="7"/>
  <c r="B45" i="7"/>
  <c r="AQ44" i="7"/>
  <c r="AP44" i="7"/>
  <c r="AO44" i="7"/>
  <c r="AN44" i="7"/>
  <c r="AM44" i="7"/>
  <c r="AL44" i="7"/>
  <c r="AK44" i="7"/>
  <c r="AJ44" i="7"/>
  <c r="C44" i="7"/>
  <c r="B44" i="7"/>
  <c r="AQ43" i="7"/>
  <c r="AP43" i="7"/>
  <c r="AO43" i="7"/>
  <c r="AN43" i="7"/>
  <c r="AM43" i="7"/>
  <c r="AL43" i="7"/>
  <c r="AK43" i="7"/>
  <c r="AJ43" i="7"/>
  <c r="C43" i="7"/>
  <c r="B43" i="7"/>
  <c r="AQ42" i="7"/>
  <c r="AP42" i="7"/>
  <c r="AO42" i="7"/>
  <c r="AN42" i="7"/>
  <c r="AM42" i="7"/>
  <c r="AL42" i="7"/>
  <c r="AK42" i="7"/>
  <c r="AJ42" i="7"/>
  <c r="C42" i="7"/>
  <c r="B42" i="7"/>
  <c r="AQ41" i="7"/>
  <c r="AP41" i="7"/>
  <c r="AO41" i="7"/>
  <c r="AN41" i="7"/>
  <c r="AM41" i="7"/>
  <c r="AL41" i="7"/>
  <c r="AK41" i="7"/>
  <c r="AJ41" i="7"/>
  <c r="C41" i="7"/>
  <c r="B41" i="7"/>
  <c r="AQ40" i="7"/>
  <c r="AP40" i="7"/>
  <c r="AO40" i="7"/>
  <c r="AN40" i="7"/>
  <c r="AM40" i="7"/>
  <c r="AL40" i="7"/>
  <c r="AK40" i="7"/>
  <c r="AJ40" i="7"/>
  <c r="C40" i="7"/>
  <c r="B40" i="7"/>
  <c r="AQ39" i="7"/>
  <c r="AP39" i="7"/>
  <c r="AO39" i="7"/>
  <c r="AN39" i="7"/>
  <c r="AM39" i="7"/>
  <c r="AL39" i="7"/>
  <c r="AK39" i="7"/>
  <c r="AJ39" i="7"/>
  <c r="C39" i="7"/>
  <c r="B39" i="7"/>
  <c r="AQ38" i="7"/>
  <c r="AP38" i="7"/>
  <c r="AO38" i="7"/>
  <c r="AN38" i="7"/>
  <c r="AM38" i="7"/>
  <c r="AL38" i="7"/>
  <c r="AK38" i="7"/>
  <c r="AJ38" i="7"/>
  <c r="C38" i="7"/>
  <c r="B38" i="7"/>
  <c r="AQ37" i="7"/>
  <c r="AP37" i="7"/>
  <c r="AO37" i="7"/>
  <c r="AN37" i="7"/>
  <c r="AM37" i="7"/>
  <c r="AL37" i="7"/>
  <c r="AK37" i="7"/>
  <c r="AJ37" i="7"/>
  <c r="C37" i="7"/>
  <c r="B37" i="7"/>
  <c r="BC36" i="7"/>
  <c r="BB36" i="7"/>
  <c r="BA36" i="7"/>
  <c r="AZ36" i="7"/>
  <c r="AY36" i="7"/>
  <c r="AX36" i="7"/>
  <c r="AW36" i="7"/>
  <c r="AV36" i="7"/>
  <c r="AU36" i="7"/>
  <c r="AT36" i="7"/>
  <c r="AS36" i="7"/>
  <c r="C35" i="7"/>
  <c r="B35" i="7"/>
  <c r="C34" i="7"/>
  <c r="B34" i="7"/>
  <c r="C33" i="7"/>
  <c r="B33" i="7"/>
  <c r="C32" i="7"/>
  <c r="B32" i="7"/>
  <c r="C31" i="7"/>
  <c r="B31" i="7"/>
  <c r="C30" i="7"/>
  <c r="B30" i="7"/>
  <c r="C29" i="7"/>
  <c r="B29" i="7"/>
  <c r="BB28" i="7"/>
  <c r="BC28" i="7" s="1"/>
  <c r="BA28" i="7"/>
  <c r="AZ28" i="7"/>
  <c r="AY28" i="7"/>
  <c r="AX28" i="7"/>
  <c r="AW28" i="7"/>
  <c r="AV28" i="7"/>
  <c r="AU28" i="7"/>
  <c r="AT28" i="7"/>
  <c r="AS28" i="7"/>
  <c r="C27" i="7"/>
  <c r="B27" i="7"/>
  <c r="C26" i="7"/>
  <c r="B26" i="7"/>
  <c r="BB25" i="7"/>
  <c r="BC25" i="7" s="1"/>
  <c r="BA25" i="7"/>
  <c r="AZ25" i="7"/>
  <c r="AY25" i="7"/>
  <c r="AX25" i="7"/>
  <c r="AW25" i="7"/>
  <c r="AV25" i="7"/>
  <c r="AU25" i="7"/>
  <c r="AT25" i="7"/>
  <c r="AS25" i="7"/>
  <c r="C24" i="7"/>
  <c r="B24" i="7"/>
  <c r="C23" i="7"/>
  <c r="C22" i="7"/>
  <c r="B22" i="7"/>
  <c r="C21" i="7"/>
  <c r="B21" i="7"/>
  <c r="C20" i="7"/>
  <c r="B20" i="7"/>
  <c r="G19" i="7"/>
  <c r="E19" i="7"/>
  <c r="C19" i="7"/>
  <c r="B19" i="7"/>
  <c r="E18" i="7"/>
  <c r="C18" i="7"/>
  <c r="B18" i="7"/>
  <c r="BB17" i="7"/>
  <c r="BC17" i="7" s="1"/>
  <c r="BA17" i="7"/>
  <c r="AZ17" i="7"/>
  <c r="AY17" i="7"/>
  <c r="AX17" i="7"/>
  <c r="AW17" i="7"/>
  <c r="AV17" i="7"/>
  <c r="AU17" i="7"/>
  <c r="AT17" i="7"/>
  <c r="AS17" i="7"/>
  <c r="C17" i="7"/>
  <c r="B17" i="7"/>
  <c r="C16" i="7"/>
  <c r="B16" i="7"/>
  <c r="C15" i="7"/>
  <c r="G14" i="7"/>
  <c r="G15" i="7" s="1"/>
  <c r="G16" i="7" s="1"/>
  <c r="F14" i="7"/>
  <c r="E14" i="7"/>
  <c r="D14" i="7"/>
  <c r="C14" i="7"/>
  <c r="B14" i="7"/>
  <c r="A14" i="7"/>
  <c r="S13" i="7"/>
  <c r="R13" i="7"/>
  <c r="Q13" i="7"/>
  <c r="P13" i="7"/>
  <c r="O13" i="7"/>
  <c r="N13" i="7"/>
  <c r="M13" i="7"/>
  <c r="L13" i="7"/>
  <c r="K13" i="7"/>
  <c r="J13" i="7"/>
  <c r="I13" i="7"/>
  <c r="H13" i="7"/>
  <c r="F13" i="7"/>
  <c r="E13" i="7"/>
  <c r="D13" i="7"/>
  <c r="C13" i="7"/>
  <c r="B13" i="7"/>
  <c r="A13" i="7"/>
  <c r="F12" i="7"/>
  <c r="E12" i="7"/>
  <c r="D12" i="7"/>
  <c r="C12" i="7"/>
  <c r="B12" i="7"/>
  <c r="A12" i="7"/>
  <c r="F11" i="7"/>
  <c r="E11" i="7"/>
  <c r="D11" i="7"/>
  <c r="C11" i="7"/>
  <c r="B11" i="7"/>
  <c r="A11" i="7"/>
  <c r="F10" i="7"/>
  <c r="E10" i="7"/>
  <c r="D10" i="7"/>
  <c r="C10" i="7"/>
  <c r="B10" i="7"/>
  <c r="A10" i="7"/>
  <c r="F9" i="7"/>
  <c r="E9" i="7"/>
  <c r="D9" i="7"/>
  <c r="C9" i="7"/>
  <c r="B9" i="7"/>
  <c r="A9" i="7"/>
  <c r="BB8" i="7"/>
  <c r="BC8" i="7" s="1"/>
  <c r="BA8" i="7"/>
  <c r="AZ8" i="7"/>
  <c r="AY8" i="7"/>
  <c r="AX8" i="7"/>
  <c r="AW8" i="7"/>
  <c r="AV8" i="7"/>
  <c r="AU8" i="7"/>
  <c r="AT8" i="7"/>
  <c r="AS8" i="7"/>
  <c r="C7" i="7"/>
  <c r="B7" i="7"/>
  <c r="G6" i="7"/>
  <c r="C6" i="7"/>
  <c r="F5" i="7"/>
  <c r="E5" i="7"/>
  <c r="D5" i="7"/>
  <c r="C5" i="7"/>
  <c r="B5" i="7"/>
  <c r="A5" i="7"/>
  <c r="F4" i="7"/>
  <c r="E4" i="7"/>
  <c r="D4" i="7"/>
  <c r="C4" i="7"/>
  <c r="B4" i="7"/>
  <c r="A4" i="7"/>
  <c r="F3" i="7"/>
  <c r="E3" i="7"/>
  <c r="D3" i="7"/>
  <c r="C3" i="7"/>
  <c r="B3" i="7"/>
  <c r="A3" i="7"/>
  <c r="F2" i="7"/>
  <c r="E2" i="7"/>
  <c r="D2" i="7"/>
  <c r="C2" i="7"/>
  <c r="B2" i="7"/>
  <c r="A2" i="7"/>
  <c r="A91" i="6"/>
  <c r="B89" i="6"/>
  <c r="A89" i="6"/>
  <c r="A88" i="6"/>
  <c r="B87" i="6"/>
  <c r="A87" i="6"/>
  <c r="B86" i="6"/>
  <c r="A86" i="6"/>
  <c r="B85" i="6"/>
  <c r="A85" i="6"/>
  <c r="B84" i="6"/>
  <c r="A84" i="6"/>
  <c r="A83" i="6"/>
  <c r="B81" i="6"/>
  <c r="A81" i="6"/>
  <c r="B80" i="6"/>
  <c r="A80" i="6"/>
  <c r="B79" i="6"/>
  <c r="A79" i="6"/>
  <c r="B78" i="6"/>
  <c r="A78" i="6"/>
  <c r="A68" i="6"/>
  <c r="L67" i="6"/>
  <c r="K67" i="6"/>
  <c r="J67" i="6"/>
  <c r="I67" i="6"/>
  <c r="H67" i="6"/>
  <c r="G67" i="6"/>
  <c r="F67" i="6"/>
  <c r="E67" i="6"/>
  <c r="D67" i="6"/>
  <c r="C67" i="6"/>
  <c r="B67" i="6"/>
  <c r="B61" i="6"/>
  <c r="S57" i="6"/>
  <c r="S57" i="7" s="1"/>
  <c r="R57" i="6"/>
  <c r="R57" i="7" s="1"/>
  <c r="Q57" i="7"/>
  <c r="P57" i="6"/>
  <c r="O57" i="6"/>
  <c r="O57" i="7" s="1"/>
  <c r="N57" i="6"/>
  <c r="N57" i="7" s="1"/>
  <c r="M57" i="6"/>
  <c r="M57" i="7" s="1"/>
  <c r="L57" i="6"/>
  <c r="K57" i="6"/>
  <c r="K57" i="7" s="1"/>
  <c r="J57" i="6"/>
  <c r="J57" i="7" s="1"/>
  <c r="I57" i="6"/>
  <c r="I57" i="7" s="1"/>
  <c r="H57" i="6"/>
  <c r="G57" i="6"/>
  <c r="G57" i="7" s="1"/>
  <c r="F57" i="6"/>
  <c r="F57" i="7" s="1"/>
  <c r="E57" i="6"/>
  <c r="E57" i="7" s="1"/>
  <c r="D57" i="6"/>
  <c r="D57" i="7" s="1"/>
  <c r="D56" i="7"/>
  <c r="AJ47" i="6"/>
  <c r="C47" i="6"/>
  <c r="C47" i="7" s="1"/>
  <c r="B47" i="6"/>
  <c r="B47" i="7" s="1"/>
  <c r="AQ46" i="6"/>
  <c r="AQ46" i="7" s="1"/>
  <c r="AP46" i="6"/>
  <c r="AP46" i="7" s="1"/>
  <c r="AO46" i="6"/>
  <c r="AN46" i="6"/>
  <c r="AM46" i="6"/>
  <c r="AM46" i="7" s="1"/>
  <c r="AL46" i="6"/>
  <c r="AL46" i="7" s="1"/>
  <c r="AK46" i="6"/>
  <c r="AJ46" i="6"/>
  <c r="AI46" i="6"/>
  <c r="AI46" i="7" s="1"/>
  <c r="AH46" i="6"/>
  <c r="AH46" i="7" s="1"/>
  <c r="AG46" i="6"/>
  <c r="AG46" i="7" s="1"/>
  <c r="AF46" i="6"/>
  <c r="AE46" i="6"/>
  <c r="AE46" i="7" s="1"/>
  <c r="AD46" i="6"/>
  <c r="AD46" i="7" s="1"/>
  <c r="AC46" i="6"/>
  <c r="AB46" i="6"/>
  <c r="AA46" i="6"/>
  <c r="AA46" i="7" s="1"/>
  <c r="Z46" i="6"/>
  <c r="Z46" i="7" s="1"/>
  <c r="Y46" i="6"/>
  <c r="Y46" i="7" s="1"/>
  <c r="X46" i="6"/>
  <c r="W46" i="6"/>
  <c r="W46" i="7" s="1"/>
  <c r="V46" i="6"/>
  <c r="V46" i="7" s="1"/>
  <c r="U46" i="6"/>
  <c r="U46" i="7" s="1"/>
  <c r="T46" i="6"/>
  <c r="S46" i="6"/>
  <c r="S46" i="7" s="1"/>
  <c r="R46" i="6"/>
  <c r="R46" i="7" s="1"/>
  <c r="Q46" i="6"/>
  <c r="Q46" i="7" s="1"/>
  <c r="P46" i="6"/>
  <c r="O46" i="6"/>
  <c r="O46" i="7" s="1"/>
  <c r="N46" i="6"/>
  <c r="N46" i="7" s="1"/>
  <c r="M46" i="6"/>
  <c r="L46" i="6"/>
  <c r="K46" i="6"/>
  <c r="K46" i="7" s="1"/>
  <c r="J46" i="6"/>
  <c r="J46" i="7" s="1"/>
  <c r="I46" i="6"/>
  <c r="I46" i="7" s="1"/>
  <c r="H46" i="6"/>
  <c r="G46" i="6"/>
  <c r="G46" i="7" s="1"/>
  <c r="F46" i="6"/>
  <c r="F46" i="7" s="1"/>
  <c r="E46" i="6"/>
  <c r="E46" i="7" s="1"/>
  <c r="D46" i="6"/>
  <c r="D46" i="7" s="1"/>
  <c r="AI45" i="6"/>
  <c r="AI45" i="7" s="1"/>
  <c r="AH45" i="6"/>
  <c r="AH45" i="7" s="1"/>
  <c r="AG45" i="6"/>
  <c r="AG45" i="7" s="1"/>
  <c r="AF45" i="6"/>
  <c r="AE45" i="6"/>
  <c r="AE45" i="7" s="1"/>
  <c r="AD45" i="6"/>
  <c r="AD45" i="7" s="1"/>
  <c r="AC45" i="6"/>
  <c r="AC45" i="7" s="1"/>
  <c r="AB45" i="6"/>
  <c r="AA45" i="6"/>
  <c r="AA45" i="7" s="1"/>
  <c r="Z45" i="6"/>
  <c r="Z45" i="7" s="1"/>
  <c r="Y45" i="6"/>
  <c r="Y45" i="7" s="1"/>
  <c r="X45" i="6"/>
  <c r="W45" i="6"/>
  <c r="W45" i="7" s="1"/>
  <c r="V45" i="6"/>
  <c r="V45" i="7" s="1"/>
  <c r="U45" i="6"/>
  <c r="U45" i="7" s="1"/>
  <c r="T45" i="6"/>
  <c r="S45" i="6"/>
  <c r="S45" i="7" s="1"/>
  <c r="R45" i="6"/>
  <c r="R45" i="7" s="1"/>
  <c r="Q45" i="6"/>
  <c r="Q45" i="7" s="1"/>
  <c r="P45" i="6"/>
  <c r="O45" i="6"/>
  <c r="O45" i="7" s="1"/>
  <c r="N45" i="6"/>
  <c r="N45" i="7" s="1"/>
  <c r="M45" i="6"/>
  <c r="M45" i="7" s="1"/>
  <c r="L45" i="6"/>
  <c r="K45" i="6"/>
  <c r="K45" i="7" s="1"/>
  <c r="J45" i="6"/>
  <c r="J45" i="7" s="1"/>
  <c r="I45" i="6"/>
  <c r="I45" i="7" s="1"/>
  <c r="H45" i="6"/>
  <c r="G45" i="6"/>
  <c r="G45" i="7" s="1"/>
  <c r="F45" i="6"/>
  <c r="F45" i="7" s="1"/>
  <c r="E45" i="6"/>
  <c r="E45" i="7" s="1"/>
  <c r="D45" i="6"/>
  <c r="D45" i="7" s="1"/>
  <c r="AI44" i="6"/>
  <c r="AI44" i="7" s="1"/>
  <c r="AH44" i="6"/>
  <c r="AH44" i="7" s="1"/>
  <c r="AG44" i="6"/>
  <c r="AG44" i="7" s="1"/>
  <c r="AF44" i="6"/>
  <c r="AE44" i="6"/>
  <c r="AE44" i="7" s="1"/>
  <c r="AD44" i="6"/>
  <c r="AD44" i="7" s="1"/>
  <c r="AC44" i="6"/>
  <c r="AC44" i="7" s="1"/>
  <c r="AB44" i="6"/>
  <c r="AA44" i="6"/>
  <c r="AA44" i="7" s="1"/>
  <c r="Z44" i="6"/>
  <c r="Z44" i="7" s="1"/>
  <c r="Y44" i="6"/>
  <c r="Y44" i="7" s="1"/>
  <c r="X44" i="6"/>
  <c r="W44" i="6"/>
  <c r="W44" i="7" s="1"/>
  <c r="V44" i="6"/>
  <c r="V44" i="7" s="1"/>
  <c r="U44" i="6"/>
  <c r="U44" i="7" s="1"/>
  <c r="T44" i="6"/>
  <c r="S44" i="6"/>
  <c r="S44" i="7" s="1"/>
  <c r="R44" i="6"/>
  <c r="R44" i="7" s="1"/>
  <c r="Q44" i="6"/>
  <c r="Q44" i="7" s="1"/>
  <c r="P44" i="6"/>
  <c r="O44" i="6"/>
  <c r="O44" i="7" s="1"/>
  <c r="N44" i="6"/>
  <c r="N44" i="7" s="1"/>
  <c r="M44" i="6"/>
  <c r="M44" i="7" s="1"/>
  <c r="L44" i="6"/>
  <c r="K44" i="6"/>
  <c r="K44" i="7" s="1"/>
  <c r="J44" i="6"/>
  <c r="J44" i="7" s="1"/>
  <c r="I44" i="6"/>
  <c r="I44" i="7" s="1"/>
  <c r="H44" i="6"/>
  <c r="G44" i="6"/>
  <c r="G44" i="7" s="1"/>
  <c r="F44" i="6"/>
  <c r="F44" i="7" s="1"/>
  <c r="E44" i="6"/>
  <c r="E44" i="7" s="1"/>
  <c r="D44" i="6"/>
  <c r="D44" i="7" s="1"/>
  <c r="AI43" i="6"/>
  <c r="AI43" i="7" s="1"/>
  <c r="AH43" i="6"/>
  <c r="AG43" i="6"/>
  <c r="AG43" i="7" s="1"/>
  <c r="AF43" i="6"/>
  <c r="AE43" i="6"/>
  <c r="AE43" i="7" s="1"/>
  <c r="AD43" i="6"/>
  <c r="AD43" i="7" s="1"/>
  <c r="AC43" i="6"/>
  <c r="AC43" i="7" s="1"/>
  <c r="AB43" i="6"/>
  <c r="AA43" i="6"/>
  <c r="AA43" i="7" s="1"/>
  <c r="Z43" i="6"/>
  <c r="Z43" i="7" s="1"/>
  <c r="Y43" i="6"/>
  <c r="Y43" i="7" s="1"/>
  <c r="X43" i="6"/>
  <c r="W43" i="6"/>
  <c r="W43" i="7" s="1"/>
  <c r="V43" i="6"/>
  <c r="V43" i="7" s="1"/>
  <c r="U43" i="6"/>
  <c r="U43" i="7" s="1"/>
  <c r="T43" i="6"/>
  <c r="S43" i="6"/>
  <c r="S43" i="7" s="1"/>
  <c r="R43" i="6"/>
  <c r="Q43" i="6"/>
  <c r="Q43" i="7" s="1"/>
  <c r="P43" i="6"/>
  <c r="O43" i="6"/>
  <c r="O43" i="7" s="1"/>
  <c r="N43" i="6"/>
  <c r="N43" i="7" s="1"/>
  <c r="M43" i="6"/>
  <c r="M43" i="7" s="1"/>
  <c r="L43" i="6"/>
  <c r="K43" i="6"/>
  <c r="K43" i="7" s="1"/>
  <c r="J43" i="6"/>
  <c r="J43" i="7" s="1"/>
  <c r="I43" i="6"/>
  <c r="I43" i="7" s="1"/>
  <c r="H43" i="6"/>
  <c r="G43" i="6"/>
  <c r="G43" i="7" s="1"/>
  <c r="F43" i="6"/>
  <c r="F43" i="7" s="1"/>
  <c r="E43" i="6"/>
  <c r="E43" i="7" s="1"/>
  <c r="D43" i="6"/>
  <c r="D43" i="7" s="1"/>
  <c r="AI42" i="6"/>
  <c r="AI42" i="7" s="1"/>
  <c r="AH42" i="6"/>
  <c r="AH42" i="7" s="1"/>
  <c r="AG42" i="6"/>
  <c r="AG42" i="7" s="1"/>
  <c r="AF42" i="6"/>
  <c r="AE42" i="6"/>
  <c r="AE42" i="7" s="1"/>
  <c r="AD42" i="6"/>
  <c r="AD42" i="7" s="1"/>
  <c r="AC42" i="6"/>
  <c r="AB42" i="6"/>
  <c r="AA42" i="6"/>
  <c r="AA42" i="7" s="1"/>
  <c r="Z42" i="6"/>
  <c r="Z42" i="7" s="1"/>
  <c r="Y42" i="6"/>
  <c r="Y42" i="7" s="1"/>
  <c r="X42" i="6"/>
  <c r="W42" i="6"/>
  <c r="W42" i="7" s="1"/>
  <c r="V42" i="6"/>
  <c r="V42" i="7" s="1"/>
  <c r="U42" i="6"/>
  <c r="U42" i="7" s="1"/>
  <c r="T42" i="6"/>
  <c r="S42" i="6"/>
  <c r="S42" i="7" s="1"/>
  <c r="R42" i="6"/>
  <c r="R42" i="7" s="1"/>
  <c r="Q42" i="6"/>
  <c r="Q42" i="7" s="1"/>
  <c r="P42" i="6"/>
  <c r="O42" i="6"/>
  <c r="O42" i="7" s="1"/>
  <c r="N42" i="6"/>
  <c r="N42" i="7" s="1"/>
  <c r="M42" i="6"/>
  <c r="L42" i="6"/>
  <c r="K42" i="6"/>
  <c r="K42" i="7" s="1"/>
  <c r="J42" i="6"/>
  <c r="J42" i="7" s="1"/>
  <c r="I42" i="6"/>
  <c r="I42" i="7" s="1"/>
  <c r="H42" i="6"/>
  <c r="G42" i="6"/>
  <c r="G42" i="7" s="1"/>
  <c r="F42" i="6"/>
  <c r="F42" i="7" s="1"/>
  <c r="E42" i="6"/>
  <c r="E42" i="7" s="1"/>
  <c r="D42" i="6"/>
  <c r="D42" i="7" s="1"/>
  <c r="AI41" i="6"/>
  <c r="AI41" i="7" s="1"/>
  <c r="AH41" i="6"/>
  <c r="AH41" i="7" s="1"/>
  <c r="AG41" i="6"/>
  <c r="AG41" i="7" s="1"/>
  <c r="AF41" i="6"/>
  <c r="AE41" i="6"/>
  <c r="AE41" i="7" s="1"/>
  <c r="AD41" i="6"/>
  <c r="AD41" i="7" s="1"/>
  <c r="AC41" i="6"/>
  <c r="AC41" i="7" s="1"/>
  <c r="AB41" i="6"/>
  <c r="AA41" i="6"/>
  <c r="AA41" i="7" s="1"/>
  <c r="Z41" i="6"/>
  <c r="Z41" i="7" s="1"/>
  <c r="Y41" i="6"/>
  <c r="Y41" i="7" s="1"/>
  <c r="X41" i="6"/>
  <c r="W41" i="6"/>
  <c r="W41" i="7" s="1"/>
  <c r="V41" i="6"/>
  <c r="V41" i="7" s="1"/>
  <c r="U41" i="6"/>
  <c r="U41" i="7" s="1"/>
  <c r="T41" i="6"/>
  <c r="S41" i="6"/>
  <c r="S41" i="7" s="1"/>
  <c r="R41" i="6"/>
  <c r="R41" i="7" s="1"/>
  <c r="Q41" i="6"/>
  <c r="Q41" i="7" s="1"/>
  <c r="P41" i="6"/>
  <c r="O41" i="6"/>
  <c r="O41" i="7" s="1"/>
  <c r="N41" i="6"/>
  <c r="N41" i="7" s="1"/>
  <c r="M41" i="6"/>
  <c r="M41" i="7" s="1"/>
  <c r="L41" i="6"/>
  <c r="K41" i="6"/>
  <c r="K41" i="7" s="1"/>
  <c r="J41" i="6"/>
  <c r="J41" i="7" s="1"/>
  <c r="I41" i="6"/>
  <c r="I41" i="7" s="1"/>
  <c r="H41" i="6"/>
  <c r="G41" i="6"/>
  <c r="G41" i="7" s="1"/>
  <c r="F41" i="6"/>
  <c r="F41" i="7" s="1"/>
  <c r="E41" i="6"/>
  <c r="E41" i="7" s="1"/>
  <c r="D41" i="6"/>
  <c r="D41" i="7" s="1"/>
  <c r="AI40" i="6"/>
  <c r="AI40" i="7" s="1"/>
  <c r="AH40" i="6"/>
  <c r="AH40" i="7" s="1"/>
  <c r="AG40" i="6"/>
  <c r="AG40" i="7" s="1"/>
  <c r="AF40" i="6"/>
  <c r="AE40" i="6"/>
  <c r="AE40" i="7" s="1"/>
  <c r="AD40" i="6"/>
  <c r="AD40" i="7" s="1"/>
  <c r="AC40" i="6"/>
  <c r="AC40" i="7" s="1"/>
  <c r="AB40" i="6"/>
  <c r="AA40" i="6"/>
  <c r="AA40" i="7" s="1"/>
  <c r="Z40" i="6"/>
  <c r="Z40" i="7" s="1"/>
  <c r="Y40" i="6"/>
  <c r="Y40" i="7" s="1"/>
  <c r="X40" i="6"/>
  <c r="W40" i="6"/>
  <c r="W40" i="7" s="1"/>
  <c r="V40" i="6"/>
  <c r="V40" i="7" s="1"/>
  <c r="U40" i="6"/>
  <c r="U40" i="7" s="1"/>
  <c r="T40" i="6"/>
  <c r="S40" i="6"/>
  <c r="S40" i="7" s="1"/>
  <c r="R40" i="6"/>
  <c r="R40" i="7" s="1"/>
  <c r="Q40" i="6"/>
  <c r="Q40" i="7" s="1"/>
  <c r="P40" i="6"/>
  <c r="O40" i="6"/>
  <c r="O40" i="7" s="1"/>
  <c r="N40" i="6"/>
  <c r="N40" i="7" s="1"/>
  <c r="M40" i="6"/>
  <c r="M40" i="7" s="1"/>
  <c r="L40" i="6"/>
  <c r="K40" i="6"/>
  <c r="K40" i="7" s="1"/>
  <c r="J40" i="6"/>
  <c r="J40" i="7" s="1"/>
  <c r="I40" i="6"/>
  <c r="I40" i="7" s="1"/>
  <c r="H40" i="6"/>
  <c r="G40" i="6"/>
  <c r="G40" i="7" s="1"/>
  <c r="F40" i="6"/>
  <c r="F40" i="7" s="1"/>
  <c r="E40" i="6"/>
  <c r="E40" i="7" s="1"/>
  <c r="D40" i="6"/>
  <c r="D40" i="7" s="1"/>
  <c r="AI39" i="6"/>
  <c r="AI39" i="7" s="1"/>
  <c r="AH39" i="6"/>
  <c r="AG39" i="6"/>
  <c r="AG39" i="7" s="1"/>
  <c r="AF39" i="6"/>
  <c r="AE39" i="6"/>
  <c r="AE39" i="7" s="1"/>
  <c r="AD39" i="6"/>
  <c r="AD39" i="7" s="1"/>
  <c r="AC39" i="6"/>
  <c r="AC39" i="7" s="1"/>
  <c r="AB39" i="6"/>
  <c r="AA39" i="6"/>
  <c r="AA39" i="7" s="1"/>
  <c r="Z39" i="6"/>
  <c r="Z39" i="7" s="1"/>
  <c r="Y39" i="6"/>
  <c r="Y39" i="7" s="1"/>
  <c r="X39" i="6"/>
  <c r="W39" i="6"/>
  <c r="W39" i="7" s="1"/>
  <c r="V39" i="6"/>
  <c r="V39" i="7" s="1"/>
  <c r="U39" i="6"/>
  <c r="U39" i="7" s="1"/>
  <c r="T39" i="6"/>
  <c r="S39" i="6"/>
  <c r="S39" i="7" s="1"/>
  <c r="R39" i="6"/>
  <c r="Q39" i="6"/>
  <c r="Q39" i="7" s="1"/>
  <c r="P39" i="6"/>
  <c r="O39" i="6"/>
  <c r="O39" i="7" s="1"/>
  <c r="N39" i="6"/>
  <c r="N39" i="7" s="1"/>
  <c r="M39" i="6"/>
  <c r="M39" i="7" s="1"/>
  <c r="L39" i="6"/>
  <c r="K39" i="6"/>
  <c r="K39" i="7" s="1"/>
  <c r="J39" i="6"/>
  <c r="J39" i="7" s="1"/>
  <c r="I39" i="6"/>
  <c r="I39" i="7" s="1"/>
  <c r="H39" i="6"/>
  <c r="G39" i="6"/>
  <c r="G39" i="7" s="1"/>
  <c r="F39" i="6"/>
  <c r="F39" i="7" s="1"/>
  <c r="E39" i="6"/>
  <c r="E39" i="7" s="1"/>
  <c r="D39" i="6"/>
  <c r="D39" i="7" s="1"/>
  <c r="AI38" i="6"/>
  <c r="AI38" i="7" s="1"/>
  <c r="AH38" i="6"/>
  <c r="AH38" i="7" s="1"/>
  <c r="AG38" i="6"/>
  <c r="AG38" i="7" s="1"/>
  <c r="AF38" i="6"/>
  <c r="AE38" i="6"/>
  <c r="AE38" i="7" s="1"/>
  <c r="AD38" i="6"/>
  <c r="AD38" i="7" s="1"/>
  <c r="AC38" i="6"/>
  <c r="AB38" i="6"/>
  <c r="AA38" i="6"/>
  <c r="AA38" i="7" s="1"/>
  <c r="Z38" i="6"/>
  <c r="Z38" i="7" s="1"/>
  <c r="Y38" i="6"/>
  <c r="Y38" i="7" s="1"/>
  <c r="X38" i="6"/>
  <c r="W38" i="6"/>
  <c r="W38" i="7" s="1"/>
  <c r="V38" i="6"/>
  <c r="V38" i="7" s="1"/>
  <c r="U38" i="6"/>
  <c r="U38" i="7" s="1"/>
  <c r="T38" i="6"/>
  <c r="S38" i="6"/>
  <c r="S38" i="7" s="1"/>
  <c r="R38" i="6"/>
  <c r="R38" i="7" s="1"/>
  <c r="Q38" i="6"/>
  <c r="Q38" i="7" s="1"/>
  <c r="P38" i="6"/>
  <c r="O38" i="6"/>
  <c r="O38" i="7" s="1"/>
  <c r="N38" i="6"/>
  <c r="N38" i="7" s="1"/>
  <c r="M38" i="6"/>
  <c r="L38" i="6"/>
  <c r="K38" i="6"/>
  <c r="K38" i="7" s="1"/>
  <c r="J38" i="6"/>
  <c r="J38" i="7" s="1"/>
  <c r="I38" i="6"/>
  <c r="I38" i="7" s="1"/>
  <c r="H38" i="6"/>
  <c r="G38" i="6"/>
  <c r="G38" i="7" s="1"/>
  <c r="F38" i="6"/>
  <c r="F38" i="7" s="1"/>
  <c r="E38" i="6"/>
  <c r="E38" i="7" s="1"/>
  <c r="D38" i="6"/>
  <c r="D38" i="7" s="1"/>
  <c r="AI37" i="6"/>
  <c r="AI37" i="7" s="1"/>
  <c r="AH37" i="6"/>
  <c r="AH37" i="7" s="1"/>
  <c r="AG37" i="6"/>
  <c r="AG37" i="7" s="1"/>
  <c r="AF37" i="6"/>
  <c r="AE37" i="6"/>
  <c r="AE37" i="7" s="1"/>
  <c r="AD37" i="6"/>
  <c r="AD37" i="7" s="1"/>
  <c r="AC37" i="6"/>
  <c r="AC37" i="7" s="1"/>
  <c r="AB37" i="6"/>
  <c r="AA37" i="6"/>
  <c r="AA37" i="7" s="1"/>
  <c r="Z37" i="6"/>
  <c r="Z37" i="7" s="1"/>
  <c r="Y37" i="6"/>
  <c r="Y37" i="7" s="1"/>
  <c r="X37" i="6"/>
  <c r="W37" i="6"/>
  <c r="W37" i="7" s="1"/>
  <c r="V37" i="6"/>
  <c r="V37" i="7" s="1"/>
  <c r="U37" i="6"/>
  <c r="U37" i="7" s="1"/>
  <c r="T37" i="6"/>
  <c r="S37" i="6"/>
  <c r="S37" i="7" s="1"/>
  <c r="R37" i="6"/>
  <c r="R37" i="7" s="1"/>
  <c r="Q37" i="6"/>
  <c r="Q37" i="7" s="1"/>
  <c r="P37" i="6"/>
  <c r="O37" i="6"/>
  <c r="O37" i="7" s="1"/>
  <c r="N37" i="6"/>
  <c r="N37" i="7" s="1"/>
  <c r="M37" i="6"/>
  <c r="M37" i="7" s="1"/>
  <c r="L37" i="6"/>
  <c r="K37" i="6"/>
  <c r="K37" i="7" s="1"/>
  <c r="J37" i="6"/>
  <c r="J37" i="7" s="1"/>
  <c r="I37" i="6"/>
  <c r="I37" i="7" s="1"/>
  <c r="H37" i="6"/>
  <c r="G37" i="6"/>
  <c r="G37" i="7" s="1"/>
  <c r="F37" i="6"/>
  <c r="F37" i="7" s="1"/>
  <c r="E37" i="6"/>
  <c r="E37" i="7" s="1"/>
  <c r="D37" i="6"/>
  <c r="D37" i="7" s="1"/>
  <c r="AS36" i="6"/>
  <c r="AQ33" i="6"/>
  <c r="AQ33" i="7" s="1"/>
  <c r="AP33" i="6"/>
  <c r="AP33" i="7" s="1"/>
  <c r="AO33" i="6"/>
  <c r="AO33" i="7" s="1"/>
  <c r="AN33" i="6"/>
  <c r="AM33" i="6"/>
  <c r="AM33" i="7" s="1"/>
  <c r="AL33" i="6"/>
  <c r="AL33" i="7" s="1"/>
  <c r="AK33" i="6"/>
  <c r="AK33" i="7" s="1"/>
  <c r="AJ33" i="6"/>
  <c r="AI33" i="6"/>
  <c r="AI33" i="7" s="1"/>
  <c r="AH33" i="6"/>
  <c r="AH33" i="7" s="1"/>
  <c r="AG33" i="6"/>
  <c r="AG33" i="7" s="1"/>
  <c r="AF33" i="6"/>
  <c r="AE33" i="6"/>
  <c r="AE33" i="7" s="1"/>
  <c r="AD33" i="6"/>
  <c r="AD33" i="7" s="1"/>
  <c r="AC33" i="6"/>
  <c r="AC33" i="7" s="1"/>
  <c r="AB33" i="6"/>
  <c r="AA33" i="6"/>
  <c r="AA33" i="7" s="1"/>
  <c r="Z33" i="6"/>
  <c r="Z33" i="7" s="1"/>
  <c r="Y33" i="6"/>
  <c r="Y33" i="7" s="1"/>
  <c r="X33" i="6"/>
  <c r="W33" i="6"/>
  <c r="W33" i="7" s="1"/>
  <c r="V33" i="6"/>
  <c r="V33" i="7" s="1"/>
  <c r="U33" i="6"/>
  <c r="U33" i="7" s="1"/>
  <c r="T33" i="6"/>
  <c r="S33" i="6"/>
  <c r="S33" i="7" s="1"/>
  <c r="R33" i="6"/>
  <c r="R33" i="7" s="1"/>
  <c r="Q33" i="6"/>
  <c r="Q33" i="7" s="1"/>
  <c r="P33" i="6"/>
  <c r="O33" i="6"/>
  <c r="O33" i="7" s="1"/>
  <c r="N33" i="6"/>
  <c r="N33" i="7" s="1"/>
  <c r="M33" i="6"/>
  <c r="M33" i="7" s="1"/>
  <c r="L33" i="6"/>
  <c r="K33" i="6"/>
  <c r="K33" i="7" s="1"/>
  <c r="J33" i="6"/>
  <c r="J33" i="7" s="1"/>
  <c r="I33" i="6"/>
  <c r="I33" i="7" s="1"/>
  <c r="H33" i="6"/>
  <c r="G33" i="6"/>
  <c r="G33" i="7" s="1"/>
  <c r="F33" i="6"/>
  <c r="F33" i="7" s="1"/>
  <c r="E33" i="6"/>
  <c r="E33" i="7" s="1"/>
  <c r="D33" i="6"/>
  <c r="D33" i="7" s="1"/>
  <c r="AQ32" i="6"/>
  <c r="AQ32" i="7" s="1"/>
  <c r="AP32" i="6"/>
  <c r="AP32" i="7" s="1"/>
  <c r="AO32" i="6"/>
  <c r="AO32" i="7" s="1"/>
  <c r="AN32" i="6"/>
  <c r="AM32" i="6"/>
  <c r="AM32" i="7" s="1"/>
  <c r="AL32" i="6"/>
  <c r="AL32" i="7" s="1"/>
  <c r="AK32" i="6"/>
  <c r="AK32" i="7" s="1"/>
  <c r="AJ32" i="6"/>
  <c r="AI32" i="6"/>
  <c r="AI32" i="7" s="1"/>
  <c r="AH32" i="6"/>
  <c r="AH32" i="7" s="1"/>
  <c r="AG32" i="6"/>
  <c r="AG32" i="7" s="1"/>
  <c r="AF32" i="6"/>
  <c r="AE32" i="6"/>
  <c r="AE32" i="7" s="1"/>
  <c r="AD32" i="6"/>
  <c r="AD32" i="7" s="1"/>
  <c r="AC32" i="6"/>
  <c r="AC32" i="7" s="1"/>
  <c r="AB32" i="6"/>
  <c r="AA32" i="6"/>
  <c r="AA32" i="7" s="1"/>
  <c r="Z32" i="6"/>
  <c r="Z32" i="7" s="1"/>
  <c r="Y32" i="6"/>
  <c r="Y32" i="7" s="1"/>
  <c r="X32" i="6"/>
  <c r="W32" i="6"/>
  <c r="W32" i="7" s="1"/>
  <c r="V32" i="6"/>
  <c r="V32" i="7" s="1"/>
  <c r="U32" i="6"/>
  <c r="U32" i="7" s="1"/>
  <c r="T32" i="6"/>
  <c r="S32" i="6"/>
  <c r="S32" i="7" s="1"/>
  <c r="R32" i="6"/>
  <c r="R32" i="7" s="1"/>
  <c r="Q32" i="6"/>
  <c r="Q32" i="7" s="1"/>
  <c r="P32" i="6"/>
  <c r="O32" i="6"/>
  <c r="O32" i="7" s="1"/>
  <c r="N32" i="6"/>
  <c r="N32" i="7" s="1"/>
  <c r="M32" i="6"/>
  <c r="M32" i="7" s="1"/>
  <c r="L32" i="6"/>
  <c r="K32" i="6"/>
  <c r="K32" i="7" s="1"/>
  <c r="J32" i="6"/>
  <c r="J32" i="7" s="1"/>
  <c r="I32" i="6"/>
  <c r="I32" i="7" s="1"/>
  <c r="H32" i="6"/>
  <c r="G32" i="6"/>
  <c r="G32" i="7" s="1"/>
  <c r="F32" i="6"/>
  <c r="F32" i="7" s="1"/>
  <c r="E32" i="6"/>
  <c r="E32" i="7" s="1"/>
  <c r="D32" i="6"/>
  <c r="D32" i="7" s="1"/>
  <c r="AQ31" i="6"/>
  <c r="AQ31" i="7" s="1"/>
  <c r="AP31" i="6"/>
  <c r="AP31" i="7" s="1"/>
  <c r="AO31" i="6"/>
  <c r="AO31" i="7" s="1"/>
  <c r="AN31" i="6"/>
  <c r="AM31" i="6"/>
  <c r="AM31" i="7" s="1"/>
  <c r="AL31" i="6"/>
  <c r="AL31" i="7" s="1"/>
  <c r="AK31" i="6"/>
  <c r="AK31" i="7" s="1"/>
  <c r="AJ31" i="6"/>
  <c r="AI31" i="6"/>
  <c r="AI31" i="7" s="1"/>
  <c r="AH31" i="6"/>
  <c r="AG31" i="6"/>
  <c r="AG31" i="7" s="1"/>
  <c r="AF31" i="6"/>
  <c r="AE31" i="6"/>
  <c r="AE31" i="7" s="1"/>
  <c r="AD31" i="6"/>
  <c r="AD31" i="7" s="1"/>
  <c r="AC31" i="6"/>
  <c r="AC31" i="7" s="1"/>
  <c r="AB31" i="6"/>
  <c r="AA31" i="6"/>
  <c r="AA31" i="7" s="1"/>
  <c r="Z31" i="6"/>
  <c r="Z31" i="7" s="1"/>
  <c r="Y31" i="6"/>
  <c r="Y31" i="7" s="1"/>
  <c r="X31" i="6"/>
  <c r="W31" i="6"/>
  <c r="W31" i="7" s="1"/>
  <c r="V31" i="6"/>
  <c r="V31" i="7" s="1"/>
  <c r="U31" i="6"/>
  <c r="U31" i="7" s="1"/>
  <c r="T31" i="6"/>
  <c r="S31" i="6"/>
  <c r="S31" i="7" s="1"/>
  <c r="R31" i="6"/>
  <c r="Q31" i="6"/>
  <c r="Q31" i="7" s="1"/>
  <c r="P31" i="6"/>
  <c r="O31" i="6"/>
  <c r="O31" i="7" s="1"/>
  <c r="N31" i="6"/>
  <c r="N31" i="7" s="1"/>
  <c r="M31" i="6"/>
  <c r="M31" i="7" s="1"/>
  <c r="L31" i="6"/>
  <c r="K31" i="6"/>
  <c r="K31" i="7" s="1"/>
  <c r="J31" i="6"/>
  <c r="J31" i="7" s="1"/>
  <c r="I31" i="6"/>
  <c r="I31" i="7" s="1"/>
  <c r="H31" i="6"/>
  <c r="G31" i="6"/>
  <c r="G31" i="7" s="1"/>
  <c r="F31" i="6"/>
  <c r="F31" i="7" s="1"/>
  <c r="E31" i="6"/>
  <c r="E31" i="7" s="1"/>
  <c r="D31" i="6"/>
  <c r="D31" i="7" s="1"/>
  <c r="AQ30" i="6"/>
  <c r="AQ30" i="7" s="1"/>
  <c r="AP30" i="6"/>
  <c r="AP30" i="7" s="1"/>
  <c r="AO30" i="6"/>
  <c r="AN30" i="6"/>
  <c r="AM30" i="6"/>
  <c r="AM30" i="7" s="1"/>
  <c r="AL30" i="6"/>
  <c r="AL30" i="7" s="1"/>
  <c r="AK30" i="6"/>
  <c r="AK30" i="7" s="1"/>
  <c r="AJ30" i="6"/>
  <c r="AJ30" i="7" s="1"/>
  <c r="AI30" i="6"/>
  <c r="AI30" i="7" s="1"/>
  <c r="AH30" i="6"/>
  <c r="AH30" i="7" s="1"/>
  <c r="AG30" i="6"/>
  <c r="AG30" i="7" s="1"/>
  <c r="AF30" i="6"/>
  <c r="AE30" i="6"/>
  <c r="AE30" i="7" s="1"/>
  <c r="AD30" i="6"/>
  <c r="AD30" i="7" s="1"/>
  <c r="AC30" i="6"/>
  <c r="AB30" i="6"/>
  <c r="AA30" i="6"/>
  <c r="AA30" i="7" s="1"/>
  <c r="Z30" i="6"/>
  <c r="Z30" i="7" s="1"/>
  <c r="Y30" i="6"/>
  <c r="Y30" i="7" s="1"/>
  <c r="X30" i="6"/>
  <c r="W30" i="6"/>
  <c r="W30" i="7" s="1"/>
  <c r="V30" i="6"/>
  <c r="V30" i="7" s="1"/>
  <c r="U30" i="6"/>
  <c r="U30" i="7" s="1"/>
  <c r="T30" i="6"/>
  <c r="S30" i="6"/>
  <c r="S30" i="7" s="1"/>
  <c r="R30" i="6"/>
  <c r="R30" i="7" s="1"/>
  <c r="Q30" i="6"/>
  <c r="Q30" i="7" s="1"/>
  <c r="P30" i="6"/>
  <c r="O30" i="6"/>
  <c r="O30" i="7" s="1"/>
  <c r="N30" i="6"/>
  <c r="N30" i="7" s="1"/>
  <c r="M30" i="6"/>
  <c r="L30" i="6"/>
  <c r="K30" i="6"/>
  <c r="K30" i="7" s="1"/>
  <c r="J30" i="6"/>
  <c r="J30" i="7" s="1"/>
  <c r="I30" i="6"/>
  <c r="I30" i="7" s="1"/>
  <c r="H30" i="6"/>
  <c r="G30" i="6"/>
  <c r="G30" i="7" s="1"/>
  <c r="F30" i="6"/>
  <c r="F30" i="7" s="1"/>
  <c r="E30" i="6"/>
  <c r="E30" i="7" s="1"/>
  <c r="D30" i="6"/>
  <c r="D30" i="7" s="1"/>
  <c r="AQ29" i="6"/>
  <c r="AQ29" i="7" s="1"/>
  <c r="AP29" i="6"/>
  <c r="AP29" i="7" s="1"/>
  <c r="AO29" i="6"/>
  <c r="AO29" i="7" s="1"/>
  <c r="AN29" i="6"/>
  <c r="AM29" i="6"/>
  <c r="AM29" i="7" s="1"/>
  <c r="AL29" i="6"/>
  <c r="AL29" i="7" s="1"/>
  <c r="AK29" i="6"/>
  <c r="AK29" i="7" s="1"/>
  <c r="AJ29" i="6"/>
  <c r="AI29" i="6"/>
  <c r="AI29" i="7" s="1"/>
  <c r="AH29" i="6"/>
  <c r="AH29" i="7" s="1"/>
  <c r="AG29" i="6"/>
  <c r="AG34" i="6" s="1"/>
  <c r="AF29" i="6"/>
  <c r="AE29" i="6"/>
  <c r="AE29" i="7" s="1"/>
  <c r="AD29" i="6"/>
  <c r="AD29" i="7" s="1"/>
  <c r="AC29" i="6"/>
  <c r="AC29" i="7" s="1"/>
  <c r="AB29" i="6"/>
  <c r="AA29" i="6"/>
  <c r="AA29" i="7" s="1"/>
  <c r="Z29" i="6"/>
  <c r="Z29" i="7" s="1"/>
  <c r="Y29" i="6"/>
  <c r="Y29" i="7" s="1"/>
  <c r="X29" i="6"/>
  <c r="W29" i="6"/>
  <c r="W29" i="7" s="1"/>
  <c r="V29" i="6"/>
  <c r="V29" i="7" s="1"/>
  <c r="U29" i="6"/>
  <c r="U29" i="7" s="1"/>
  <c r="T29" i="6"/>
  <c r="S29" i="6"/>
  <c r="S29" i="7" s="1"/>
  <c r="R29" i="6"/>
  <c r="R29" i="7" s="1"/>
  <c r="Q29" i="6"/>
  <c r="Q29" i="7" s="1"/>
  <c r="Q34" i="7" s="1"/>
  <c r="Q35" i="7" s="1"/>
  <c r="P29" i="6"/>
  <c r="O29" i="6"/>
  <c r="O29" i="7" s="1"/>
  <c r="N29" i="6"/>
  <c r="N29" i="7" s="1"/>
  <c r="M29" i="6"/>
  <c r="M29" i="7" s="1"/>
  <c r="L29" i="6"/>
  <c r="K29" i="6"/>
  <c r="K29" i="7" s="1"/>
  <c r="J29" i="6"/>
  <c r="J29" i="7" s="1"/>
  <c r="I29" i="6"/>
  <c r="I29" i="7" s="1"/>
  <c r="H29" i="6"/>
  <c r="G29" i="6"/>
  <c r="G29" i="7" s="1"/>
  <c r="F29" i="6"/>
  <c r="F29" i="7" s="1"/>
  <c r="E29" i="6"/>
  <c r="E29" i="7" s="1"/>
  <c r="D29" i="6"/>
  <c r="AL26" i="6"/>
  <c r="AL26" i="7" s="1"/>
  <c r="AL27" i="7" s="1"/>
  <c r="AH26" i="6"/>
  <c r="AH26" i="7" s="1"/>
  <c r="AH27" i="7" s="1"/>
  <c r="N26" i="6"/>
  <c r="N26" i="7" s="1"/>
  <c r="N27" i="7" s="1"/>
  <c r="AQ25" i="6"/>
  <c r="AQ26" i="6" s="1"/>
  <c r="AQ26" i="7" s="1"/>
  <c r="AQ27" i="7" s="1"/>
  <c r="AP25" i="6"/>
  <c r="AP26" i="6" s="1"/>
  <c r="AP26" i="7" s="1"/>
  <c r="AP27" i="7" s="1"/>
  <c r="AO25" i="6"/>
  <c r="AN25" i="6"/>
  <c r="AM25" i="6"/>
  <c r="AM26" i="6" s="1"/>
  <c r="AM26" i="7" s="1"/>
  <c r="AM27" i="7" s="1"/>
  <c r="AL25" i="6"/>
  <c r="AK25" i="6"/>
  <c r="AK26" i="6" s="1"/>
  <c r="AJ25" i="6"/>
  <c r="AI25" i="6"/>
  <c r="AI26" i="6" s="1"/>
  <c r="AI26" i="7" s="1"/>
  <c r="AI27" i="7" s="1"/>
  <c r="AH25" i="6"/>
  <c r="AG25" i="6"/>
  <c r="AG26" i="6" s="1"/>
  <c r="AF25" i="6"/>
  <c r="AZ25" i="6" s="1"/>
  <c r="AE25" i="6"/>
  <c r="AE26" i="6" s="1"/>
  <c r="AE26" i="7" s="1"/>
  <c r="AE27" i="7" s="1"/>
  <c r="AD25" i="6"/>
  <c r="AD26" i="6" s="1"/>
  <c r="AD26" i="7" s="1"/>
  <c r="AD27" i="7" s="1"/>
  <c r="AC25" i="6"/>
  <c r="AC26" i="6" s="1"/>
  <c r="AB25" i="6"/>
  <c r="AA25" i="6"/>
  <c r="AA26" i="6" s="1"/>
  <c r="AA26" i="7" s="1"/>
  <c r="AA27" i="7" s="1"/>
  <c r="Z25" i="6"/>
  <c r="Z26" i="6" s="1"/>
  <c r="Z26" i="7" s="1"/>
  <c r="Z27" i="7" s="1"/>
  <c r="Y25" i="6"/>
  <c r="Y26" i="6" s="1"/>
  <c r="X25" i="6"/>
  <c r="W25" i="6"/>
  <c r="W26" i="6" s="1"/>
  <c r="W26" i="7" s="1"/>
  <c r="W27" i="7" s="1"/>
  <c r="V25" i="6"/>
  <c r="V26" i="6" s="1"/>
  <c r="V26" i="7" s="1"/>
  <c r="V27" i="7" s="1"/>
  <c r="U25" i="6"/>
  <c r="U26" i="6" s="1"/>
  <c r="T25" i="6"/>
  <c r="S25" i="6"/>
  <c r="S26" i="6" s="1"/>
  <c r="S26" i="7" s="1"/>
  <c r="S27" i="7" s="1"/>
  <c r="R25" i="6"/>
  <c r="R26" i="6" s="1"/>
  <c r="R26" i="7" s="1"/>
  <c r="R27" i="7" s="1"/>
  <c r="Q25" i="6"/>
  <c r="Q26" i="6" s="1"/>
  <c r="P25" i="6"/>
  <c r="AV25" i="6" s="1"/>
  <c r="O25" i="6"/>
  <c r="O26" i="6" s="1"/>
  <c r="O26" i="7" s="1"/>
  <c r="O27" i="7" s="1"/>
  <c r="N25" i="6"/>
  <c r="M25" i="6"/>
  <c r="M26" i="6" s="1"/>
  <c r="L25" i="6"/>
  <c r="K25" i="6"/>
  <c r="K26" i="6" s="1"/>
  <c r="K26" i="7" s="1"/>
  <c r="K27" i="7" s="1"/>
  <c r="J25" i="6"/>
  <c r="J26" i="6" s="1"/>
  <c r="J26" i="7" s="1"/>
  <c r="J27" i="7" s="1"/>
  <c r="I25" i="6"/>
  <c r="I26" i="6" s="1"/>
  <c r="H25" i="6"/>
  <c r="G25" i="6"/>
  <c r="G26" i="6" s="1"/>
  <c r="G26" i="7" s="1"/>
  <c r="G27" i="7" s="1"/>
  <c r="F25" i="6"/>
  <c r="F26" i="6" s="1"/>
  <c r="F26" i="7" s="1"/>
  <c r="F27" i="7" s="1"/>
  <c r="E25" i="6"/>
  <c r="E26" i="6" s="1"/>
  <c r="D25" i="6"/>
  <c r="D26" i="6" s="1"/>
  <c r="B23" i="6"/>
  <c r="B23" i="7" s="1"/>
  <c r="D22" i="6"/>
  <c r="E22" i="6" s="1"/>
  <c r="E22" i="7" s="1"/>
  <c r="D21" i="6"/>
  <c r="D21" i="7" s="1"/>
  <c r="E20" i="6"/>
  <c r="D20" i="6"/>
  <c r="D20" i="7" s="1"/>
  <c r="AQ19" i="6"/>
  <c r="AQ19" i="7" s="1"/>
  <c r="AP19" i="6"/>
  <c r="AP19" i="7" s="1"/>
  <c r="AO19" i="6"/>
  <c r="AO19" i="7" s="1"/>
  <c r="AN19" i="6"/>
  <c r="AM19" i="6"/>
  <c r="AM19" i="7" s="1"/>
  <c r="AL19" i="6"/>
  <c r="AL19" i="7" s="1"/>
  <c r="AK19" i="6"/>
  <c r="AK19" i="7" s="1"/>
  <c r="AJ19" i="6"/>
  <c r="AI19" i="6"/>
  <c r="AI19" i="7" s="1"/>
  <c r="AH19" i="6"/>
  <c r="AH19" i="7" s="1"/>
  <c r="AG19" i="6"/>
  <c r="AG19" i="7" s="1"/>
  <c r="AF19" i="6"/>
  <c r="AE19" i="6"/>
  <c r="AE19" i="7" s="1"/>
  <c r="AD19" i="6"/>
  <c r="AD19" i="7" s="1"/>
  <c r="AC19" i="6"/>
  <c r="AC19" i="7" s="1"/>
  <c r="AB19" i="6"/>
  <c r="AA19" i="6"/>
  <c r="AA19" i="7" s="1"/>
  <c r="Z19" i="6"/>
  <c r="Z19" i="7" s="1"/>
  <c r="Y19" i="6"/>
  <c r="Y19" i="7" s="1"/>
  <c r="X19" i="6"/>
  <c r="W19" i="6"/>
  <c r="W19" i="7" s="1"/>
  <c r="V19" i="6"/>
  <c r="V19" i="7" s="1"/>
  <c r="U19" i="6"/>
  <c r="U19" i="7" s="1"/>
  <c r="T19" i="6"/>
  <c r="S19" i="6"/>
  <c r="S19" i="7" s="1"/>
  <c r="R19" i="6"/>
  <c r="R19" i="7" s="1"/>
  <c r="Q19" i="6"/>
  <c r="Q19" i="7" s="1"/>
  <c r="P19" i="6"/>
  <c r="O19" i="6"/>
  <c r="O19" i="7" s="1"/>
  <c r="N19" i="6"/>
  <c r="N19" i="7" s="1"/>
  <c r="M19" i="6"/>
  <c r="M19" i="7" s="1"/>
  <c r="L19" i="6"/>
  <c r="K19" i="6"/>
  <c r="K19" i="7" s="1"/>
  <c r="J19" i="6"/>
  <c r="J19" i="7" s="1"/>
  <c r="I19" i="6"/>
  <c r="I19" i="7" s="1"/>
  <c r="H19" i="6"/>
  <c r="F19" i="6"/>
  <c r="F19" i="7" s="1"/>
  <c r="D19" i="6"/>
  <c r="D19" i="7" s="1"/>
  <c r="K18" i="6"/>
  <c r="J18" i="6"/>
  <c r="J18" i="7" s="1"/>
  <c r="I18" i="6"/>
  <c r="H18" i="6"/>
  <c r="G18" i="7"/>
  <c r="F18" i="7"/>
  <c r="AS17" i="6"/>
  <c r="G15" i="6"/>
  <c r="F15" i="6"/>
  <c r="E15" i="6"/>
  <c r="D15" i="6"/>
  <c r="B15" i="6"/>
  <c r="B15" i="7" s="1"/>
  <c r="AS14" i="6"/>
  <c r="H14" i="6"/>
  <c r="AS13" i="6"/>
  <c r="AS57" i="6" s="1"/>
  <c r="AQ13" i="6"/>
  <c r="AP13" i="6"/>
  <c r="AO13" i="6"/>
  <c r="AM13" i="6"/>
  <c r="AN13" i="6" s="1"/>
  <c r="AL13" i="6"/>
  <c r="AK13" i="6"/>
  <c r="AI13" i="6"/>
  <c r="AJ13" i="6" s="1"/>
  <c r="AH13" i="6"/>
  <c r="AE13" i="6"/>
  <c r="AF13" i="6" s="1"/>
  <c r="AD13" i="6"/>
  <c r="AC13" i="6"/>
  <c r="AA13" i="6"/>
  <c r="AB13" i="6" s="1"/>
  <c r="Z13" i="6"/>
  <c r="Y13" i="6"/>
  <c r="W13" i="6"/>
  <c r="V13" i="6"/>
  <c r="U13" i="6"/>
  <c r="T13" i="7"/>
  <c r="AS12" i="6"/>
  <c r="H12" i="6"/>
  <c r="AS11" i="6"/>
  <c r="H11" i="6"/>
  <c r="AS10" i="6"/>
  <c r="H10" i="6"/>
  <c r="AS9" i="6"/>
  <c r="H9" i="6"/>
  <c r="AS8" i="6"/>
  <c r="G6" i="6"/>
  <c r="F6" i="6"/>
  <c r="E6" i="6"/>
  <c r="D6" i="6"/>
  <c r="B6" i="6"/>
  <c r="B6" i="7" s="1"/>
  <c r="AS5" i="6"/>
  <c r="H5" i="6"/>
  <c r="AS4" i="6"/>
  <c r="H4" i="6"/>
  <c r="AS3" i="6"/>
  <c r="AS3" i="7" s="1"/>
  <c r="H3" i="6"/>
  <c r="H2" i="6"/>
  <c r="I2" i="6" s="1"/>
  <c r="I2" i="7" s="1"/>
  <c r="BC1" i="6"/>
  <c r="BC1" i="7" s="1"/>
  <c r="L68" i="7" s="1"/>
  <c r="BB1" i="6"/>
  <c r="BB1" i="7" s="1"/>
  <c r="K68" i="7" s="1"/>
  <c r="BA1" i="6"/>
  <c r="BA1" i="7" s="1"/>
  <c r="J68" i="7" s="1"/>
  <c r="AZ1" i="6"/>
  <c r="AZ1" i="7" s="1"/>
  <c r="I68" i="7" s="1"/>
  <c r="AY1" i="6"/>
  <c r="AY1" i="7" s="1"/>
  <c r="H68" i="7" s="1"/>
  <c r="AX1" i="6"/>
  <c r="AX1" i="7" s="1"/>
  <c r="G68" i="7" s="1"/>
  <c r="AW1" i="6"/>
  <c r="AW1" i="7" s="1"/>
  <c r="F68" i="7" s="1"/>
  <c r="AV1" i="6"/>
  <c r="AV1" i="7" s="1"/>
  <c r="E68" i="7" s="1"/>
  <c r="AU1" i="6"/>
  <c r="AU1" i="7" s="1"/>
  <c r="D68" i="7" s="1"/>
  <c r="AT1" i="6"/>
  <c r="AT1" i="7" s="1"/>
  <c r="C68" i="7" s="1"/>
  <c r="AS1" i="6"/>
  <c r="AS1" i="7" s="1"/>
  <c r="B68" i="7" s="1"/>
  <c r="AQ1" i="6"/>
  <c r="AP1" i="6"/>
  <c r="AP1" i="7" s="1"/>
  <c r="AO1" i="6"/>
  <c r="AO59" i="6" s="1"/>
  <c r="AN1" i="6"/>
  <c r="AM1" i="6"/>
  <c r="AL1" i="6"/>
  <c r="AL1" i="7" s="1"/>
  <c r="AK1" i="6"/>
  <c r="AK1" i="7" s="1"/>
  <c r="AJ1" i="6"/>
  <c r="AI1" i="6"/>
  <c r="AH1" i="6"/>
  <c r="AH1" i="7" s="1"/>
  <c r="AG1" i="6"/>
  <c r="AG59" i="6" s="1"/>
  <c r="AF1" i="6"/>
  <c r="AE1" i="6"/>
  <c r="AD1" i="6"/>
  <c r="AD1" i="7" s="1"/>
  <c r="AC1" i="6"/>
  <c r="AC1" i="7" s="1"/>
  <c r="AB1" i="6"/>
  <c r="AA1" i="6"/>
  <c r="Z1" i="6"/>
  <c r="Z1" i="7" s="1"/>
  <c r="Y1" i="6"/>
  <c r="Y59" i="6" s="1"/>
  <c r="X1" i="6"/>
  <c r="W1" i="6"/>
  <c r="V1" i="6"/>
  <c r="V1" i="7" s="1"/>
  <c r="U1" i="6"/>
  <c r="U1" i="7" s="1"/>
  <c r="T1" i="6"/>
  <c r="S1" i="6"/>
  <c r="R1" i="6"/>
  <c r="R1" i="7" s="1"/>
  <c r="Q1" i="6"/>
  <c r="Q59" i="6" s="1"/>
  <c r="P1" i="6"/>
  <c r="O1" i="6"/>
  <c r="N1" i="6"/>
  <c r="N1" i="7" s="1"/>
  <c r="M1" i="6"/>
  <c r="M1" i="7" s="1"/>
  <c r="L1" i="6"/>
  <c r="K1" i="6"/>
  <c r="J1" i="6"/>
  <c r="J1" i="7" s="1"/>
  <c r="I1" i="6"/>
  <c r="I59" i="6" s="1"/>
  <c r="H1" i="6"/>
  <c r="G1" i="6"/>
  <c r="F1" i="6"/>
  <c r="F1" i="7" s="1"/>
  <c r="E1" i="6"/>
  <c r="E1" i="7" s="1"/>
  <c r="D1" i="6"/>
  <c r="AR4" i="5"/>
  <c r="AS4" i="5" s="1"/>
  <c r="AT4" i="5" s="1"/>
  <c r="AU4" i="5" s="1"/>
  <c r="AP4" i="5"/>
  <c r="AQ4" i="5" s="1"/>
  <c r="AO4" i="5"/>
  <c r="AN4" i="5"/>
  <c r="AM4" i="5"/>
  <c r="AL4" i="5"/>
  <c r="AK4" i="5"/>
  <c r="AJ4" i="5"/>
  <c r="AI4" i="5"/>
  <c r="AH4" i="5"/>
  <c r="AG4" i="5"/>
  <c r="AF4" i="5"/>
  <c r="AE4" i="5"/>
  <c r="AD4" i="5"/>
  <c r="AC4" i="5"/>
  <c r="AB4" i="5"/>
  <c r="AR3" i="5"/>
  <c r="AS3" i="5" s="1"/>
  <c r="AT3" i="5" s="1"/>
  <c r="AU3" i="5" s="1"/>
  <c r="AP3" i="5"/>
  <c r="AQ3" i="5" s="1"/>
  <c r="AO3" i="5"/>
  <c r="AN3" i="5"/>
  <c r="AM3" i="5"/>
  <c r="AL3" i="5"/>
  <c r="AK3" i="5"/>
  <c r="AJ3" i="5"/>
  <c r="AI3" i="5"/>
  <c r="AH3" i="5"/>
  <c r="AG3" i="5"/>
  <c r="AF3" i="5"/>
  <c r="AE3" i="5"/>
  <c r="AD3" i="5"/>
  <c r="AC3" i="5"/>
  <c r="AB3" i="5"/>
  <c r="X4" i="5"/>
  <c r="T4" i="5"/>
  <c r="P4" i="5"/>
  <c r="Q4" i="5" s="1"/>
  <c r="R4" i="5" s="1"/>
  <c r="S4" i="5" s="1"/>
  <c r="L4" i="5"/>
  <c r="M4" i="5" s="1"/>
  <c r="N4" i="5" s="1"/>
  <c r="O4" i="5" s="1"/>
  <c r="H4" i="5"/>
  <c r="D4" i="5"/>
  <c r="B4" i="5"/>
  <c r="X3" i="5"/>
  <c r="Y3" i="5" s="1"/>
  <c r="T3" i="5"/>
  <c r="U3" i="5" s="1"/>
  <c r="V3" i="5" s="1"/>
  <c r="W3" i="5" s="1"/>
  <c r="P3" i="5"/>
  <c r="Q3" i="5" s="1"/>
  <c r="L3" i="5"/>
  <c r="M3" i="5" s="1"/>
  <c r="N3" i="5" s="1"/>
  <c r="O3" i="5" s="1"/>
  <c r="K3" i="5"/>
  <c r="H3" i="5"/>
  <c r="I3" i="5" s="1"/>
  <c r="D3" i="5"/>
  <c r="B3" i="5"/>
  <c r="B2" i="5"/>
  <c r="B16" i="5" s="1"/>
  <c r="I15" i="5"/>
  <c r="G37" i="3" s="1"/>
  <c r="G45" i="3" s="1"/>
  <c r="H15" i="5"/>
  <c r="F37" i="3" s="1"/>
  <c r="F51" i="3" s="1"/>
  <c r="G15" i="5"/>
  <c r="F15" i="5"/>
  <c r="E15" i="5"/>
  <c r="M35" i="4"/>
  <c r="L35" i="4"/>
  <c r="K35" i="4"/>
  <c r="J35" i="4"/>
  <c r="I35" i="4"/>
  <c r="H35" i="4"/>
  <c r="G35" i="4"/>
  <c r="F35" i="4"/>
  <c r="D35" i="4"/>
  <c r="C35" i="4"/>
  <c r="M34" i="4"/>
  <c r="L34" i="4"/>
  <c r="K34" i="4"/>
  <c r="J34" i="4"/>
  <c r="I34" i="4"/>
  <c r="H34" i="4"/>
  <c r="G34" i="4"/>
  <c r="F34" i="4"/>
  <c r="E34" i="4"/>
  <c r="D34" i="4"/>
  <c r="C34" i="4"/>
  <c r="C31" i="4"/>
  <c r="C23" i="4"/>
  <c r="F2" i="5" s="1"/>
  <c r="D22" i="12" s="1"/>
  <c r="D23" i="12" s="1"/>
  <c r="D15" i="12" s="1"/>
  <c r="M22" i="4"/>
  <c r="L22" i="4"/>
  <c r="M15" i="5" s="1"/>
  <c r="K37" i="3" s="1"/>
  <c r="K45" i="3" s="1"/>
  <c r="K22" i="4"/>
  <c r="J77" i="6" s="1"/>
  <c r="J22" i="4"/>
  <c r="I22" i="4"/>
  <c r="H22" i="4"/>
  <c r="G77" i="6" s="1"/>
  <c r="G22" i="4"/>
  <c r="F77" i="6" s="1"/>
  <c r="F22" i="4"/>
  <c r="E77" i="6" s="1"/>
  <c r="E22" i="4"/>
  <c r="D77" i="6" s="1"/>
  <c r="D22" i="4"/>
  <c r="C77" i="6" s="1"/>
  <c r="C22" i="4"/>
  <c r="B77" i="6" s="1"/>
  <c r="E35" i="4"/>
  <c r="A16" i="4"/>
  <c r="A23" i="4" s="1"/>
  <c r="K15" i="4"/>
  <c r="G15" i="4"/>
  <c r="D15" i="4"/>
  <c r="L10" i="4"/>
  <c r="A10" i="4"/>
  <c r="A3" i="29" s="1"/>
  <c r="X9" i="4"/>
  <c r="U9" i="4"/>
  <c r="T9" i="4"/>
  <c r="P9" i="4"/>
  <c r="M9" i="4"/>
  <c r="L9" i="4"/>
  <c r="L15" i="4" s="1"/>
  <c r="K9" i="4"/>
  <c r="J9" i="4"/>
  <c r="J15" i="4" s="1"/>
  <c r="I9" i="4"/>
  <c r="H9" i="4"/>
  <c r="H15" i="4" s="1"/>
  <c r="G9" i="4"/>
  <c r="F9" i="4"/>
  <c r="F15" i="4" s="1"/>
  <c r="E9" i="4"/>
  <c r="D9" i="4"/>
  <c r="Q9" i="4" s="1"/>
  <c r="C9" i="4"/>
  <c r="C15" i="4" s="1"/>
  <c r="Z4" i="4"/>
  <c r="Q4" i="4"/>
  <c r="P4" i="4"/>
  <c r="Z1" i="4"/>
  <c r="Y1" i="4"/>
  <c r="X1" i="4"/>
  <c r="W1" i="4"/>
  <c r="V1" i="4"/>
  <c r="U1" i="4"/>
  <c r="T1" i="4"/>
  <c r="Q1" i="4"/>
  <c r="P1" i="4"/>
  <c r="A52" i="3"/>
  <c r="AS50" i="3"/>
  <c r="AR50" i="3"/>
  <c r="AQ50" i="3"/>
  <c r="AP50" i="3"/>
  <c r="AO50" i="3"/>
  <c r="AN50" i="3"/>
  <c r="AM50" i="3"/>
  <c r="AL50" i="3"/>
  <c r="AK50" i="3"/>
  <c r="AJ50" i="3"/>
  <c r="AI50" i="3"/>
  <c r="AH50" i="3"/>
  <c r="AG50" i="3"/>
  <c r="AF50" i="3"/>
  <c r="AE50" i="3"/>
  <c r="AD50" i="3"/>
  <c r="AC50" i="3"/>
  <c r="AB50" i="3"/>
  <c r="AA50" i="3"/>
  <c r="Z50" i="3"/>
  <c r="Y50" i="3"/>
  <c r="X50" i="3"/>
  <c r="W50" i="3"/>
  <c r="V50" i="3"/>
  <c r="U50" i="3"/>
  <c r="T50" i="3"/>
  <c r="S50" i="3"/>
  <c r="R50" i="3"/>
  <c r="Q50" i="3"/>
  <c r="P50" i="3"/>
  <c r="O50" i="3"/>
  <c r="N50" i="3"/>
  <c r="M50" i="3"/>
  <c r="L50" i="3"/>
  <c r="K50" i="3"/>
  <c r="J50" i="3"/>
  <c r="I50" i="3"/>
  <c r="H50" i="3"/>
  <c r="G50" i="3"/>
  <c r="F50" i="3"/>
  <c r="B50" i="3"/>
  <c r="AS48" i="3"/>
  <c r="AS16" i="12" s="1"/>
  <c r="AR48" i="3"/>
  <c r="AR16" i="12" s="1"/>
  <c r="AQ48" i="3"/>
  <c r="AQ16" i="12" s="1"/>
  <c r="AP48" i="3"/>
  <c r="AP16" i="12" s="1"/>
  <c r="AO48" i="3"/>
  <c r="AO16" i="12" s="1"/>
  <c r="AN48" i="3"/>
  <c r="AN16" i="12" s="1"/>
  <c r="AM48" i="3"/>
  <c r="AM16" i="12" s="1"/>
  <c r="AL48" i="3"/>
  <c r="AL16" i="12" s="1"/>
  <c r="AK48" i="3"/>
  <c r="AK16" i="12" s="1"/>
  <c r="AJ48" i="3"/>
  <c r="AJ16" i="12" s="1"/>
  <c r="AI48" i="3"/>
  <c r="AI16" i="12" s="1"/>
  <c r="AH48" i="3"/>
  <c r="AH16" i="12" s="1"/>
  <c r="AG48" i="3"/>
  <c r="AG16" i="12" s="1"/>
  <c r="AF48" i="3"/>
  <c r="AF16" i="12" s="1"/>
  <c r="AE48" i="3"/>
  <c r="AE16" i="12" s="1"/>
  <c r="AD48" i="3"/>
  <c r="AD16" i="12" s="1"/>
  <c r="AC48" i="3"/>
  <c r="AC16" i="12" s="1"/>
  <c r="AB48" i="3"/>
  <c r="AB16" i="12" s="1"/>
  <c r="AA48" i="3"/>
  <c r="AA16" i="12" s="1"/>
  <c r="Z48" i="3"/>
  <c r="Z16" i="12" s="1"/>
  <c r="Y48" i="3"/>
  <c r="Y16" i="12" s="1"/>
  <c r="X48" i="3"/>
  <c r="X16" i="12" s="1"/>
  <c r="W48" i="3"/>
  <c r="W16" i="12" s="1"/>
  <c r="V16" i="12"/>
  <c r="U48" i="3"/>
  <c r="U16" i="12" s="1"/>
  <c r="T48" i="3"/>
  <c r="T16" i="12" s="1"/>
  <c r="S48" i="3"/>
  <c r="S16" i="12" s="1"/>
  <c r="R48" i="3"/>
  <c r="R16" i="12" s="1"/>
  <c r="Q48" i="3"/>
  <c r="Q16" i="12" s="1"/>
  <c r="P48" i="3"/>
  <c r="P16" i="12" s="1"/>
  <c r="O48" i="3"/>
  <c r="O16" i="12" s="1"/>
  <c r="N48" i="3"/>
  <c r="N16" i="12" s="1"/>
  <c r="M48" i="3"/>
  <c r="M16" i="12" s="1"/>
  <c r="L48" i="3"/>
  <c r="L16" i="12" s="1"/>
  <c r="K48" i="3"/>
  <c r="K16" i="12" s="1"/>
  <c r="J48" i="3"/>
  <c r="J16" i="12" s="1"/>
  <c r="I48" i="3"/>
  <c r="I16" i="12" s="1"/>
  <c r="H48" i="3"/>
  <c r="H16" i="12" s="1"/>
  <c r="G48" i="3"/>
  <c r="G16" i="12" s="1"/>
  <c r="F48" i="3"/>
  <c r="F16" i="12" s="1"/>
  <c r="E48" i="3"/>
  <c r="E16" i="12" s="1"/>
  <c r="D48" i="3"/>
  <c r="D16" i="12" s="1"/>
  <c r="C48" i="3"/>
  <c r="C16" i="12" s="1"/>
  <c r="B48" i="3"/>
  <c r="B16" i="12" s="1"/>
  <c r="A48" i="3"/>
  <c r="F46" i="3"/>
  <c r="E46" i="3"/>
  <c r="D46" i="3"/>
  <c r="C46" i="3"/>
  <c r="B46" i="3"/>
  <c r="A39" i="3"/>
  <c r="A38" i="3"/>
  <c r="F27" i="3"/>
  <c r="F33" i="3" s="1"/>
  <c r="D26" i="3"/>
  <c r="D12" i="12" s="1"/>
  <c r="E26" i="29" s="1"/>
  <c r="E28" i="29" s="1"/>
  <c r="C26" i="3"/>
  <c r="C12" i="12" s="1"/>
  <c r="D26" i="29" s="1"/>
  <c r="D28" i="29" s="1"/>
  <c r="B26" i="3"/>
  <c r="B12" i="12" s="1"/>
  <c r="C26" i="29" s="1"/>
  <c r="C28" i="29" s="1"/>
  <c r="AS25" i="3"/>
  <c r="AR25" i="3"/>
  <c r="AR31" i="3" s="1"/>
  <c r="AQ25" i="3"/>
  <c r="AQ47" i="3" s="1"/>
  <c r="AQ49" i="3" s="1"/>
  <c r="AP25" i="3"/>
  <c r="AP47" i="3" s="1"/>
  <c r="AP49" i="3" s="1"/>
  <c r="AO25" i="3"/>
  <c r="AN25" i="3"/>
  <c r="AN31" i="3" s="1"/>
  <c r="AM25" i="3"/>
  <c r="AM31" i="3" s="1"/>
  <c r="AL25" i="3"/>
  <c r="AL47" i="3" s="1"/>
  <c r="AL49" i="3" s="1"/>
  <c r="AK25" i="3"/>
  <c r="AJ25" i="3"/>
  <c r="AJ31" i="3" s="1"/>
  <c r="AI25" i="3"/>
  <c r="AI47" i="3" s="1"/>
  <c r="AI49" i="3" s="1"/>
  <c r="AH25" i="3"/>
  <c r="AH47" i="3" s="1"/>
  <c r="AH49" i="3" s="1"/>
  <c r="AG25" i="3"/>
  <c r="AF25" i="3"/>
  <c r="AF31" i="3" s="1"/>
  <c r="AE25" i="3"/>
  <c r="AE31" i="3" s="1"/>
  <c r="AD25" i="3"/>
  <c r="AD47" i="3" s="1"/>
  <c r="AD49" i="3" s="1"/>
  <c r="AC25" i="3"/>
  <c r="AB25" i="3"/>
  <c r="AB31" i="3" s="1"/>
  <c r="AA25" i="3"/>
  <c r="AA47" i="3" s="1"/>
  <c r="AA49" i="3" s="1"/>
  <c r="Z25" i="3"/>
  <c r="Z47" i="3" s="1"/>
  <c r="Z49" i="3" s="1"/>
  <c r="Y25" i="3"/>
  <c r="X25" i="3"/>
  <c r="X31" i="3" s="1"/>
  <c r="W25" i="3"/>
  <c r="W31" i="3" s="1"/>
  <c r="V25" i="3"/>
  <c r="V47" i="3" s="1"/>
  <c r="V49" i="3" s="1"/>
  <c r="U25" i="3"/>
  <c r="T25" i="3"/>
  <c r="T31" i="3" s="1"/>
  <c r="S25" i="3"/>
  <c r="S47" i="3" s="1"/>
  <c r="S49" i="3" s="1"/>
  <c r="R25" i="3"/>
  <c r="R47" i="3" s="1"/>
  <c r="R49" i="3" s="1"/>
  <c r="Q24" i="3"/>
  <c r="P24" i="3"/>
  <c r="O24" i="3"/>
  <c r="N24" i="3"/>
  <c r="M24" i="3"/>
  <c r="L24" i="3"/>
  <c r="K24" i="3"/>
  <c r="J24" i="3"/>
  <c r="I24" i="3"/>
  <c r="H24" i="3"/>
  <c r="G24" i="3"/>
  <c r="F24" i="3"/>
  <c r="C24" i="3"/>
  <c r="B24" i="3"/>
  <c r="Z20" i="3"/>
  <c r="Q12" i="3"/>
  <c r="Q5" i="13" s="1"/>
  <c r="P12" i="3"/>
  <c r="P5" i="13" s="1"/>
  <c r="O12" i="3"/>
  <c r="O5" i="13" s="1"/>
  <c r="N12" i="3"/>
  <c r="N5" i="13" s="1"/>
  <c r="M12" i="3"/>
  <c r="M5" i="13" s="1"/>
  <c r="L12" i="3"/>
  <c r="L5" i="13" s="1"/>
  <c r="K12" i="3"/>
  <c r="K5" i="13" s="1"/>
  <c r="J12" i="3"/>
  <c r="J5" i="13" s="1"/>
  <c r="I12" i="3"/>
  <c r="I5" i="13" s="1"/>
  <c r="H12" i="3"/>
  <c r="H5" i="13" s="1"/>
  <c r="G12" i="3"/>
  <c r="G5" i="13" s="1"/>
  <c r="F12" i="3"/>
  <c r="F5" i="13" s="1"/>
  <c r="E12" i="3"/>
  <c r="E5" i="13" s="1"/>
  <c r="AA11" i="3"/>
  <c r="R11" i="3"/>
  <c r="AA10" i="3"/>
  <c r="R10" i="3"/>
  <c r="AA9" i="3"/>
  <c r="R9" i="3"/>
  <c r="AA8" i="3"/>
  <c r="R8" i="3"/>
  <c r="AA7" i="3"/>
  <c r="R7" i="3"/>
  <c r="AA6" i="3"/>
  <c r="R6" i="3"/>
  <c r="Z5" i="3"/>
  <c r="Y5" i="3"/>
  <c r="X5" i="3"/>
  <c r="W5" i="3"/>
  <c r="V5" i="3"/>
  <c r="R5" i="3"/>
  <c r="Z4" i="3"/>
  <c r="Y4" i="3"/>
  <c r="X4" i="3"/>
  <c r="W4" i="3"/>
  <c r="V4" i="3"/>
  <c r="R4" i="3"/>
  <c r="Z3" i="3"/>
  <c r="Y3" i="3"/>
  <c r="X3" i="3"/>
  <c r="V3" i="3"/>
  <c r="J17" i="12"/>
  <c r="Z2" i="3"/>
  <c r="Y2" i="3"/>
  <c r="X2" i="3"/>
  <c r="W2" i="3"/>
  <c r="V2" i="3"/>
  <c r="R2" i="3"/>
  <c r="Z1" i="3"/>
  <c r="E37" i="3" s="1"/>
  <c r="Y1" i="3"/>
  <c r="D37" i="3" s="1"/>
  <c r="X1" i="3"/>
  <c r="C37" i="3" s="1"/>
  <c r="C45" i="3" s="1"/>
  <c r="W1" i="3"/>
  <c r="B37" i="3" s="1"/>
  <c r="B51" i="3" s="1"/>
  <c r="Q1" i="3"/>
  <c r="Q23" i="3" s="1"/>
  <c r="P1" i="3"/>
  <c r="P25" i="3" s="1"/>
  <c r="P31" i="3" s="1"/>
  <c r="O1" i="3"/>
  <c r="O25" i="3" s="1"/>
  <c r="N1" i="3"/>
  <c r="N25" i="3" s="1"/>
  <c r="N47" i="3" s="1"/>
  <c r="N49" i="3" s="1"/>
  <c r="M1" i="3"/>
  <c r="M23" i="3" s="1"/>
  <c r="L1" i="3"/>
  <c r="L25" i="3" s="1"/>
  <c r="L31" i="3" s="1"/>
  <c r="K1" i="3"/>
  <c r="K25" i="3" s="1"/>
  <c r="J1" i="3"/>
  <c r="J25" i="3" s="1"/>
  <c r="J47" i="3" s="1"/>
  <c r="J49" i="3" s="1"/>
  <c r="I1" i="3"/>
  <c r="I25" i="3" s="1"/>
  <c r="H1" i="3"/>
  <c r="H25" i="3" s="1"/>
  <c r="H31" i="3" s="1"/>
  <c r="G1" i="3"/>
  <c r="G25" i="3" s="1"/>
  <c r="F1" i="3"/>
  <c r="F23" i="3" s="1"/>
  <c r="E1" i="3"/>
  <c r="E23" i="3" s="1"/>
  <c r="D1" i="3"/>
  <c r="D25" i="3" s="1"/>
  <c r="D31" i="3" s="1"/>
  <c r="C1" i="3"/>
  <c r="C25" i="3" s="1"/>
  <c r="B1" i="3"/>
  <c r="B25" i="3" s="1"/>
  <c r="B47" i="3" s="1"/>
  <c r="B49" i="3" s="1"/>
  <c r="A24" i="2"/>
  <c r="A23" i="2"/>
  <c r="A22" i="2"/>
  <c r="A20" i="2"/>
  <c r="A19" i="2"/>
  <c r="A18" i="2"/>
  <c r="A17" i="2"/>
  <c r="A16" i="2"/>
  <c r="A15" i="2"/>
  <c r="A11" i="2"/>
  <c r="A3" i="2"/>
  <c r="C44" i="1"/>
  <c r="B2" i="14" s="1"/>
  <c r="E5" i="25" l="1"/>
  <c r="G5" i="25" s="1"/>
  <c r="E6" i="22"/>
  <c r="G6" i="22" s="1"/>
  <c r="E14" i="14"/>
  <c r="F14" i="14" s="1"/>
  <c r="G14" i="14" s="1"/>
  <c r="H14" i="14" s="1"/>
  <c r="I14" i="14" s="1"/>
  <c r="J14" i="14" s="1"/>
  <c r="K14" i="14" s="1"/>
  <c r="L14" i="14" s="1"/>
  <c r="E6" i="23"/>
  <c r="G6" i="23" s="1"/>
  <c r="E5" i="18"/>
  <c r="E5" i="24"/>
  <c r="G5" i="24" s="1"/>
  <c r="E5" i="19"/>
  <c r="G5" i="19" s="1"/>
  <c r="E5" i="17"/>
  <c r="E6" i="18"/>
  <c r="E5" i="16"/>
  <c r="E6" i="15"/>
  <c r="F6" i="15" s="1"/>
  <c r="G11" i="19"/>
  <c r="F11" i="19"/>
  <c r="G6" i="25"/>
  <c r="F6" i="25"/>
  <c r="G10" i="25"/>
  <c r="F10" i="25"/>
  <c r="G14" i="25"/>
  <c r="F14" i="25"/>
  <c r="G18" i="21"/>
  <c r="F18" i="21"/>
  <c r="G18" i="25"/>
  <c r="F18" i="25"/>
  <c r="G22" i="25"/>
  <c r="F22" i="25"/>
  <c r="G14" i="23"/>
  <c r="F14" i="23"/>
  <c r="G22" i="23"/>
  <c r="F22" i="23"/>
  <c r="G12" i="18"/>
  <c r="F12" i="18"/>
  <c r="G20" i="18"/>
  <c r="F20" i="18"/>
  <c r="S9" i="4"/>
  <c r="AU25" i="6"/>
  <c r="T26" i="6"/>
  <c r="AW26" i="6" s="1"/>
  <c r="AW25" i="6"/>
  <c r="AY25" i="6"/>
  <c r="AJ26" i="6"/>
  <c r="BA26" i="6" s="1"/>
  <c r="BA25" i="6"/>
  <c r="G23" i="15"/>
  <c r="G8" i="16"/>
  <c r="E12" i="16"/>
  <c r="E20" i="16"/>
  <c r="E10" i="17"/>
  <c r="E23" i="17"/>
  <c r="E10" i="18"/>
  <c r="F6" i="19"/>
  <c r="E10" i="19"/>
  <c r="E10" i="20"/>
  <c r="E5" i="21"/>
  <c r="E12" i="21"/>
  <c r="E5" i="22"/>
  <c r="G5" i="22" s="1"/>
  <c r="E20" i="22"/>
  <c r="F20" i="22" s="1"/>
  <c r="E8" i="23"/>
  <c r="E25" i="23"/>
  <c r="E25" i="25"/>
  <c r="N15" i="5"/>
  <c r="L37" i="3" s="1"/>
  <c r="L45" i="3" s="1"/>
  <c r="L77" i="6"/>
  <c r="E3" i="5"/>
  <c r="AY13" i="6"/>
  <c r="BB13" i="6"/>
  <c r="BC13" i="6" s="1"/>
  <c r="AT29" i="6"/>
  <c r="AV29" i="6"/>
  <c r="AX29" i="6"/>
  <c r="AZ29" i="6"/>
  <c r="BB29" i="6"/>
  <c r="BC29" i="6" s="1"/>
  <c r="H30" i="7"/>
  <c r="AT30" i="6"/>
  <c r="P30" i="7"/>
  <c r="AV30" i="6"/>
  <c r="X30" i="7"/>
  <c r="AX30" i="6"/>
  <c r="AF30" i="7"/>
  <c r="AZ30" i="6"/>
  <c r="AN30" i="7"/>
  <c r="BB30" i="6"/>
  <c r="BC30" i="6" s="1"/>
  <c r="H31" i="7"/>
  <c r="AT31" i="6"/>
  <c r="P31" i="7"/>
  <c r="AV31" i="6"/>
  <c r="X31" i="7"/>
  <c r="AX31" i="6"/>
  <c r="AF31" i="7"/>
  <c r="AZ31" i="6"/>
  <c r="AN31" i="7"/>
  <c r="BB31" i="6"/>
  <c r="BC31" i="6" s="1"/>
  <c r="H32" i="7"/>
  <c r="AT32" i="6"/>
  <c r="P32" i="7"/>
  <c r="AV32" i="6"/>
  <c r="X32" i="7"/>
  <c r="AX32" i="6"/>
  <c r="AF32" i="7"/>
  <c r="AZ32" i="6"/>
  <c r="AN32" i="7"/>
  <c r="BB32" i="6"/>
  <c r="BC32" i="6" s="1"/>
  <c r="AT33" i="6"/>
  <c r="AV33" i="6"/>
  <c r="AX33" i="6"/>
  <c r="AZ33" i="6"/>
  <c r="BB33" i="6"/>
  <c r="BC33" i="6" s="1"/>
  <c r="H57" i="7"/>
  <c r="AT57" i="6"/>
  <c r="P57" i="7"/>
  <c r="AV57" i="6"/>
  <c r="E17" i="15"/>
  <c r="E6" i="16"/>
  <c r="E9" i="16"/>
  <c r="G9" i="16" s="1"/>
  <c r="E15" i="16"/>
  <c r="E23" i="16"/>
  <c r="E11" i="17"/>
  <c r="E13" i="18"/>
  <c r="E19" i="18"/>
  <c r="E13" i="19"/>
  <c r="E6" i="21"/>
  <c r="E13" i="21"/>
  <c r="E15" i="21"/>
  <c r="E24" i="21"/>
  <c r="E21" i="22"/>
  <c r="E9" i="23"/>
  <c r="E11" i="23"/>
  <c r="E20" i="23"/>
  <c r="E12" i="25"/>
  <c r="E20" i="25"/>
  <c r="X12" i="3"/>
  <c r="X14" i="3" s="1"/>
  <c r="X20" i="3" s="1"/>
  <c r="W9" i="4"/>
  <c r="J18" i="5"/>
  <c r="AU19" i="6"/>
  <c r="T19" i="7"/>
  <c r="AW19" i="6"/>
  <c r="AY19" i="6"/>
  <c r="AJ19" i="7"/>
  <c r="BA19" i="6"/>
  <c r="AT37" i="6"/>
  <c r="AV37" i="6"/>
  <c r="AX37" i="6"/>
  <c r="AZ37" i="6"/>
  <c r="H38" i="7"/>
  <c r="AT38" i="6"/>
  <c r="P38" i="7"/>
  <c r="AV38" i="6"/>
  <c r="X38" i="7"/>
  <c r="AX38" i="6"/>
  <c r="AF38" i="7"/>
  <c r="AZ38" i="6"/>
  <c r="H39" i="7"/>
  <c r="AT39" i="6"/>
  <c r="P39" i="7"/>
  <c r="AV39" i="6"/>
  <c r="X39" i="7"/>
  <c r="AX39" i="6"/>
  <c r="AF39" i="7"/>
  <c r="AZ39" i="6"/>
  <c r="H40" i="7"/>
  <c r="AT40" i="6"/>
  <c r="P40" i="7"/>
  <c r="AV40" i="6"/>
  <c r="X40" i="7"/>
  <c r="AX40" i="6"/>
  <c r="AF40" i="7"/>
  <c r="AZ40" i="6"/>
  <c r="AT41" i="6"/>
  <c r="AV41" i="6"/>
  <c r="AX41" i="6"/>
  <c r="AZ41" i="6"/>
  <c r="H42" i="7"/>
  <c r="AT42" i="6"/>
  <c r="P42" i="7"/>
  <c r="AV42" i="6"/>
  <c r="X42" i="7"/>
  <c r="AX42" i="6"/>
  <c r="AF42" i="7"/>
  <c r="AZ42" i="6"/>
  <c r="H43" i="7"/>
  <c r="AT43" i="6"/>
  <c r="P43" i="7"/>
  <c r="AV43" i="6"/>
  <c r="X43" i="7"/>
  <c r="AX43" i="6"/>
  <c r="AF43" i="7"/>
  <c r="AZ43" i="6"/>
  <c r="H44" i="7"/>
  <c r="AT44" i="6"/>
  <c r="P44" i="7"/>
  <c r="AV44" i="6"/>
  <c r="X44" i="7"/>
  <c r="AX44" i="6"/>
  <c r="AF44" i="7"/>
  <c r="AZ44" i="6"/>
  <c r="AT45" i="6"/>
  <c r="AV45" i="6"/>
  <c r="AX45" i="6"/>
  <c r="AZ45" i="6"/>
  <c r="H46" i="7"/>
  <c r="AT46" i="6"/>
  <c r="P46" i="7"/>
  <c r="AV46" i="6"/>
  <c r="X46" i="7"/>
  <c r="AX46" i="6"/>
  <c r="AF46" i="7"/>
  <c r="AZ46" i="6"/>
  <c r="AN46" i="7"/>
  <c r="BB46" i="6"/>
  <c r="BC46" i="6" s="1"/>
  <c r="F11" i="15"/>
  <c r="E18" i="15"/>
  <c r="F24" i="15"/>
  <c r="E10" i="16"/>
  <c r="E15" i="17"/>
  <c r="E11" i="18"/>
  <c r="E14" i="18"/>
  <c r="F22" i="19"/>
  <c r="G25" i="19"/>
  <c r="F14" i="20"/>
  <c r="G17" i="20"/>
  <c r="E10" i="21"/>
  <c r="E16" i="21"/>
  <c r="F21" i="21"/>
  <c r="F9" i="22"/>
  <c r="E12" i="22"/>
  <c r="F12" i="22" s="1"/>
  <c r="E25" i="22"/>
  <c r="E12" i="23"/>
  <c r="F17" i="23"/>
  <c r="F13" i="24"/>
  <c r="G9" i="25"/>
  <c r="G17" i="25"/>
  <c r="D10" i="4"/>
  <c r="H26" i="6"/>
  <c r="AT26" i="6" s="1"/>
  <c r="AT25" i="6"/>
  <c r="X26" i="6"/>
  <c r="AX26" i="6" s="1"/>
  <c r="AX25" i="6"/>
  <c r="AN26" i="6"/>
  <c r="BB25" i="6"/>
  <c r="BC25" i="6" s="1"/>
  <c r="Y9" i="4"/>
  <c r="AA13" i="8"/>
  <c r="E19" i="15"/>
  <c r="E11" i="16"/>
  <c r="E18" i="16"/>
  <c r="E18" i="17"/>
  <c r="E21" i="17"/>
  <c r="E15" i="18"/>
  <c r="E8" i="19"/>
  <c r="E20" i="19"/>
  <c r="E8" i="20"/>
  <c r="E24" i="20"/>
  <c r="E25" i="21"/>
  <c r="E13" i="22"/>
  <c r="F6" i="23"/>
  <c r="E21" i="23"/>
  <c r="E23" i="23"/>
  <c r="E7" i="25"/>
  <c r="E15" i="25"/>
  <c r="E23" i="25"/>
  <c r="AU29" i="6"/>
  <c r="AW29" i="6"/>
  <c r="AY29" i="6"/>
  <c r="BA29" i="6"/>
  <c r="L30" i="7"/>
  <c r="AU30" i="6"/>
  <c r="AW30" i="6"/>
  <c r="AB30" i="7"/>
  <c r="AY30" i="6"/>
  <c r="BA30" i="6"/>
  <c r="L31" i="7"/>
  <c r="AU31" i="6"/>
  <c r="T31" i="7"/>
  <c r="AW31" i="6"/>
  <c r="AB31" i="7"/>
  <c r="AY31" i="6"/>
  <c r="AJ31" i="7"/>
  <c r="BA31" i="6"/>
  <c r="L32" i="7"/>
  <c r="AU32" i="6"/>
  <c r="T32" i="7"/>
  <c r="AW32" i="6"/>
  <c r="AB32" i="7"/>
  <c r="AY32" i="6"/>
  <c r="AJ32" i="7"/>
  <c r="BA32" i="6"/>
  <c r="AU33" i="6"/>
  <c r="T33" i="7"/>
  <c r="AW33" i="6"/>
  <c r="AY33" i="6"/>
  <c r="AJ33" i="7"/>
  <c r="BA33" i="6"/>
  <c r="L57" i="7"/>
  <c r="AU57" i="6"/>
  <c r="F14" i="19"/>
  <c r="G5" i="20"/>
  <c r="F18" i="20"/>
  <c r="G21" i="20"/>
  <c r="F5" i="25"/>
  <c r="F13" i="25"/>
  <c r="F21" i="25"/>
  <c r="AM3" i="29"/>
  <c r="AN3" i="29" s="1"/>
  <c r="L31" i="4"/>
  <c r="AS6" i="6"/>
  <c r="BA13" i="6"/>
  <c r="AT19" i="6"/>
  <c r="P19" i="7"/>
  <c r="AV19" i="6"/>
  <c r="AX19" i="6"/>
  <c r="AF19" i="7"/>
  <c r="AZ19" i="6"/>
  <c r="BB19" i="6"/>
  <c r="BC19" i="6" s="1"/>
  <c r="AU37" i="6"/>
  <c r="T37" i="7"/>
  <c r="AW37" i="6"/>
  <c r="AY37" i="6"/>
  <c r="L38" i="7"/>
  <c r="AU38" i="6"/>
  <c r="T38" i="7"/>
  <c r="AW38" i="6"/>
  <c r="AB38" i="7"/>
  <c r="AY38" i="6"/>
  <c r="L39" i="7"/>
  <c r="AU39" i="6"/>
  <c r="T39" i="7"/>
  <c r="AW39" i="6"/>
  <c r="AB39" i="7"/>
  <c r="AY39" i="6"/>
  <c r="L40" i="7"/>
  <c r="AU40" i="6"/>
  <c r="T40" i="7"/>
  <c r="AW40" i="6"/>
  <c r="AB40" i="7"/>
  <c r="AY40" i="6"/>
  <c r="AU41" i="6"/>
  <c r="T41" i="7"/>
  <c r="AW41" i="6"/>
  <c r="AY41" i="6"/>
  <c r="L42" i="7"/>
  <c r="AU42" i="6"/>
  <c r="T42" i="7"/>
  <c r="AW42" i="6"/>
  <c r="AB42" i="7"/>
  <c r="AY42" i="6"/>
  <c r="L43" i="7"/>
  <c r="AU43" i="6"/>
  <c r="T43" i="7"/>
  <c r="AW43" i="6"/>
  <c r="AB43" i="7"/>
  <c r="AY43" i="6"/>
  <c r="L44" i="7"/>
  <c r="AU44" i="6"/>
  <c r="T44" i="7"/>
  <c r="AW44" i="6"/>
  <c r="AB44" i="7"/>
  <c r="AY44" i="6"/>
  <c r="AU45" i="6"/>
  <c r="T45" i="7"/>
  <c r="AW45" i="6"/>
  <c r="AY45" i="6"/>
  <c r="L46" i="7"/>
  <c r="AU46" i="6"/>
  <c r="T46" i="7"/>
  <c r="AW46" i="6"/>
  <c r="AB46" i="7"/>
  <c r="AY46" i="6"/>
  <c r="AJ46" i="7"/>
  <c r="BA46" i="6"/>
  <c r="E7" i="15"/>
  <c r="F7" i="15" s="1"/>
  <c r="E20" i="15"/>
  <c r="E19" i="17"/>
  <c r="E18" i="18"/>
  <c r="E6" i="20"/>
  <c r="G6" i="20" s="1"/>
  <c r="E13" i="20"/>
  <c r="E22" i="20"/>
  <c r="E20" i="21"/>
  <c r="E5" i="23"/>
  <c r="E7" i="23"/>
  <c r="E16" i="23"/>
  <c r="E9" i="24"/>
  <c r="AT18" i="6"/>
  <c r="H14" i="7"/>
  <c r="H3" i="7"/>
  <c r="H2" i="7"/>
  <c r="AW13" i="6"/>
  <c r="H12" i="7"/>
  <c r="H11" i="7"/>
  <c r="Q9" i="12"/>
  <c r="Q25" i="29"/>
  <c r="K4" i="4"/>
  <c r="AL6" i="12"/>
  <c r="D14" i="29"/>
  <c r="E21" i="6"/>
  <c r="E21" i="7" s="1"/>
  <c r="I34" i="6"/>
  <c r="I35" i="6" s="1"/>
  <c r="D22" i="7"/>
  <c r="AO26" i="6"/>
  <c r="Y34" i="6"/>
  <c r="AN47" i="6"/>
  <c r="BA39" i="7"/>
  <c r="M34" i="6"/>
  <c r="M35" i="6" s="1"/>
  <c r="X13" i="6"/>
  <c r="AX13" i="6" s="1"/>
  <c r="AS30" i="6"/>
  <c r="AO34" i="6"/>
  <c r="L47" i="6"/>
  <c r="AF47" i="6"/>
  <c r="E16" i="6"/>
  <c r="AS11" i="7"/>
  <c r="AG29" i="7"/>
  <c r="T30" i="7"/>
  <c r="L90" i="6"/>
  <c r="F7" i="6"/>
  <c r="BB43" i="7"/>
  <c r="BC43" i="7" s="1"/>
  <c r="BB38" i="7"/>
  <c r="BC38" i="7" s="1"/>
  <c r="BA57" i="7"/>
  <c r="AS5" i="7"/>
  <c r="BA43" i="7"/>
  <c r="Y35" i="6"/>
  <c r="AT13" i="7"/>
  <c r="AW33" i="7"/>
  <c r="AS41" i="7"/>
  <c r="AT42" i="7"/>
  <c r="K18" i="7"/>
  <c r="L18" i="6"/>
  <c r="L18" i="7" s="1"/>
  <c r="G34" i="7"/>
  <c r="G35" i="7" s="1"/>
  <c r="W34" i="7"/>
  <c r="W35" i="7" s="1"/>
  <c r="AM34" i="7"/>
  <c r="AM35" i="7" s="1"/>
  <c r="AJ47" i="7"/>
  <c r="F15" i="7"/>
  <c r="F16" i="7" s="1"/>
  <c r="AU13" i="7"/>
  <c r="AV13" i="7"/>
  <c r="AS30" i="7"/>
  <c r="BB39" i="7"/>
  <c r="BC39" i="7" s="1"/>
  <c r="BB40" i="7"/>
  <c r="BC40" i="7" s="1"/>
  <c r="BB42" i="7"/>
  <c r="BC42" i="7" s="1"/>
  <c r="AW57" i="7"/>
  <c r="AS33" i="7"/>
  <c r="BA33" i="7"/>
  <c r="AW41" i="7"/>
  <c r="E15" i="7"/>
  <c r="E16" i="7" s="1"/>
  <c r="AS12" i="7"/>
  <c r="BA37" i="7"/>
  <c r="BA42" i="7"/>
  <c r="AX57" i="7"/>
  <c r="AY57" i="7"/>
  <c r="AZ57" i="7"/>
  <c r="BB57" i="7"/>
  <c r="BC57" i="7" s="1"/>
  <c r="AS56" i="6"/>
  <c r="AS58" i="6" s="1"/>
  <c r="B10" i="9" s="1"/>
  <c r="AT30" i="7"/>
  <c r="AV30" i="7"/>
  <c r="AX30" i="7"/>
  <c r="AZ30" i="7"/>
  <c r="AW37" i="7"/>
  <c r="AS45" i="7"/>
  <c r="AW45" i="7"/>
  <c r="AS14" i="7"/>
  <c r="AG34" i="7"/>
  <c r="AG35" i="7" s="1"/>
  <c r="BA38" i="7"/>
  <c r="AS18" i="6"/>
  <c r="I11" i="6"/>
  <c r="I11" i="7" s="1"/>
  <c r="B91" i="6"/>
  <c r="B82" i="6"/>
  <c r="F16" i="6"/>
  <c r="G7" i="6"/>
  <c r="G16" i="6"/>
  <c r="E7" i="6"/>
  <c r="D16" i="6"/>
  <c r="AG35" i="6"/>
  <c r="AJ48" i="6"/>
  <c r="M10" i="4"/>
  <c r="M31" i="4" s="1"/>
  <c r="G3" i="29"/>
  <c r="J11" i="6"/>
  <c r="K11" i="6" s="1"/>
  <c r="L11" i="6" s="1"/>
  <c r="K17" i="12"/>
  <c r="K27" i="29"/>
  <c r="C26" i="4"/>
  <c r="G2" i="5"/>
  <c r="E3" i="29"/>
  <c r="E26" i="3"/>
  <c r="E12" i="12" s="1"/>
  <c r="J17" i="5"/>
  <c r="K17" i="5"/>
  <c r="K18" i="5"/>
  <c r="L18" i="5"/>
  <c r="X47" i="3"/>
  <c r="X49" i="3" s="1"/>
  <c r="M18" i="5"/>
  <c r="AF47" i="3"/>
  <c r="AF49" i="3" s="1"/>
  <c r="F45" i="3"/>
  <c r="AN47" i="3"/>
  <c r="AN49" i="3" s="1"/>
  <c r="AC59" i="6"/>
  <c r="I1" i="7"/>
  <c r="G2" i="13" s="1"/>
  <c r="AO1" i="7"/>
  <c r="AM2" i="13" s="1"/>
  <c r="H27" i="13"/>
  <c r="AJ14" i="13"/>
  <c r="J30" i="13" s="1"/>
  <c r="E25" i="3"/>
  <c r="E47" i="3" s="1"/>
  <c r="E49" i="3" s="1"/>
  <c r="S31" i="3"/>
  <c r="AA31" i="3"/>
  <c r="AI31" i="3"/>
  <c r="Y12" i="3"/>
  <c r="Y14" i="3" s="1"/>
  <c r="Y20" i="3" s="1"/>
  <c r="W3" i="3"/>
  <c r="AA3" i="3" s="1"/>
  <c r="AA5" i="3"/>
  <c r="D12" i="3"/>
  <c r="D5" i="13" s="1"/>
  <c r="B21" i="13" s="1"/>
  <c r="B9" i="14" s="1"/>
  <c r="M25" i="3"/>
  <c r="M31" i="3" s="1"/>
  <c r="F28" i="3"/>
  <c r="G28" i="3" s="1"/>
  <c r="H28" i="3" s="1"/>
  <c r="I28" i="3" s="1"/>
  <c r="J28" i="3" s="1"/>
  <c r="K28" i="3" s="1"/>
  <c r="L28" i="3" s="1"/>
  <c r="M28" i="3" s="1"/>
  <c r="N28" i="3" s="1"/>
  <c r="O28" i="3" s="1"/>
  <c r="P28" i="3" s="1"/>
  <c r="Q28" i="3" s="1"/>
  <c r="R28" i="3" s="1"/>
  <c r="S28" i="3" s="1"/>
  <c r="T28" i="3" s="1"/>
  <c r="U28" i="3" s="1"/>
  <c r="V28" i="3" s="1"/>
  <c r="W28" i="3" s="1"/>
  <c r="X28" i="3" s="1"/>
  <c r="Y28" i="3" s="1"/>
  <c r="Z28" i="3" s="1"/>
  <c r="AA28" i="3" s="1"/>
  <c r="AB28" i="3" s="1"/>
  <c r="AC28" i="3" s="1"/>
  <c r="AD28" i="3" s="1"/>
  <c r="AE28" i="3" s="1"/>
  <c r="AF28" i="3" s="1"/>
  <c r="AG28" i="3" s="1"/>
  <c r="AH28" i="3" s="1"/>
  <c r="AI28" i="3" s="1"/>
  <c r="AJ28" i="3" s="1"/>
  <c r="AK28" i="3" s="1"/>
  <c r="AL28" i="3" s="1"/>
  <c r="AM28" i="3" s="1"/>
  <c r="AN28" i="3" s="1"/>
  <c r="AO28" i="3" s="1"/>
  <c r="AP28" i="3" s="1"/>
  <c r="AQ28" i="3" s="1"/>
  <c r="AR28" i="3" s="1"/>
  <c r="AS28" i="3" s="1"/>
  <c r="V31" i="3"/>
  <c r="AD31" i="3"/>
  <c r="AL31" i="3"/>
  <c r="W47" i="3"/>
  <c r="W49" i="3" s="1"/>
  <c r="AE47" i="3"/>
  <c r="AE49" i="3" s="1"/>
  <c r="AM47" i="3"/>
  <c r="AM49" i="3" s="1"/>
  <c r="AQ31" i="3"/>
  <c r="Z12" i="3"/>
  <c r="Q25" i="3"/>
  <c r="Q31" i="3" s="1"/>
  <c r="B31" i="3"/>
  <c r="C51" i="3"/>
  <c r="AA4" i="3"/>
  <c r="R31" i="3"/>
  <c r="Z31" i="3"/>
  <c r="AH31" i="3"/>
  <c r="AP31" i="3"/>
  <c r="T47" i="3"/>
  <c r="T49" i="3" s="1"/>
  <c r="AB47" i="3"/>
  <c r="AB49" i="3" s="1"/>
  <c r="AJ47" i="3"/>
  <c r="AJ49" i="3" s="1"/>
  <c r="AR47" i="3"/>
  <c r="AR49" i="3" s="1"/>
  <c r="C50" i="3"/>
  <c r="D50" i="3" s="1"/>
  <c r="E50" i="3" s="1"/>
  <c r="I31" i="3"/>
  <c r="I47" i="3"/>
  <c r="I49" i="3" s="1"/>
  <c r="E45" i="3"/>
  <c r="E51" i="3"/>
  <c r="D45" i="3"/>
  <c r="D51" i="3"/>
  <c r="D47" i="3"/>
  <c r="D49" i="3" s="1"/>
  <c r="C4" i="16"/>
  <c r="I23" i="3"/>
  <c r="H47" i="3"/>
  <c r="H49" i="3" s="1"/>
  <c r="G51" i="3"/>
  <c r="J3" i="5"/>
  <c r="E17" i="5" s="1"/>
  <c r="E4" i="5"/>
  <c r="F4" i="5" s="1"/>
  <c r="G4" i="5" s="1"/>
  <c r="D5" i="5"/>
  <c r="E26" i="7"/>
  <c r="E27" i="7" s="1"/>
  <c r="E27" i="6"/>
  <c r="M26" i="7"/>
  <c r="M27" i="7" s="1"/>
  <c r="M27" i="6"/>
  <c r="U26" i="7"/>
  <c r="U27" i="7" s="1"/>
  <c r="U27" i="6"/>
  <c r="AC26" i="7"/>
  <c r="AC27" i="7" s="1"/>
  <c r="AC27" i="6"/>
  <c r="AK26" i="7"/>
  <c r="AK27" i="7" s="1"/>
  <c r="AK27" i="6"/>
  <c r="G27" i="3"/>
  <c r="G33" i="3" s="1"/>
  <c r="J31" i="3"/>
  <c r="B45" i="3"/>
  <c r="G46" i="3"/>
  <c r="L47" i="3"/>
  <c r="L49" i="3" s="1"/>
  <c r="K51" i="3"/>
  <c r="S4" i="4"/>
  <c r="R9" i="4"/>
  <c r="E15" i="4"/>
  <c r="V9" i="4"/>
  <c r="I15" i="4"/>
  <c r="Z9" i="4"/>
  <c r="M15" i="4"/>
  <c r="I77" i="6"/>
  <c r="K15" i="5"/>
  <c r="I37" i="3" s="1"/>
  <c r="R3" i="5"/>
  <c r="S3" i="5" s="1"/>
  <c r="Z3" i="5"/>
  <c r="AA3" i="5" s="1"/>
  <c r="G18" i="5"/>
  <c r="C47" i="3"/>
  <c r="C49" i="3" s="1"/>
  <c r="C31" i="3"/>
  <c r="G47" i="3"/>
  <c r="G49" i="3" s="1"/>
  <c r="G31" i="3"/>
  <c r="K47" i="3"/>
  <c r="K49" i="3" s="1"/>
  <c r="K31" i="3"/>
  <c r="O47" i="3"/>
  <c r="O49" i="3" s="1"/>
  <c r="O31" i="3"/>
  <c r="U31" i="3"/>
  <c r="U47" i="3"/>
  <c r="U49" i="3" s="1"/>
  <c r="Y31" i="3"/>
  <c r="Y47" i="3"/>
  <c r="Y49" i="3" s="1"/>
  <c r="AC31" i="3"/>
  <c r="AC47" i="3"/>
  <c r="AC49" i="3" s="1"/>
  <c r="AG31" i="3"/>
  <c r="AG47" i="3"/>
  <c r="AG49" i="3" s="1"/>
  <c r="AK31" i="3"/>
  <c r="AK47" i="3"/>
  <c r="AK49" i="3" s="1"/>
  <c r="AO31" i="3"/>
  <c r="AO47" i="3"/>
  <c r="AO49" i="3" s="1"/>
  <c r="AS31" i="3"/>
  <c r="AS47" i="3"/>
  <c r="AS49" i="3" s="1"/>
  <c r="N31" i="3"/>
  <c r="P47" i="3"/>
  <c r="P49" i="3" s="1"/>
  <c r="F3" i="5"/>
  <c r="G3" i="5" s="1"/>
  <c r="F17" i="5"/>
  <c r="U4" i="5"/>
  <c r="V4" i="5" s="1"/>
  <c r="W4" i="5" s="1"/>
  <c r="D59" i="6"/>
  <c r="D1" i="7"/>
  <c r="H59" i="6"/>
  <c r="H1" i="7"/>
  <c r="L59" i="6"/>
  <c r="L1" i="7"/>
  <c r="P59" i="6"/>
  <c r="P1" i="7"/>
  <c r="T59" i="6"/>
  <c r="T1" i="7"/>
  <c r="X59" i="6"/>
  <c r="X1" i="7"/>
  <c r="AG13" i="6"/>
  <c r="AZ13" i="6" s="1"/>
  <c r="AF48" i="6"/>
  <c r="E20" i="7"/>
  <c r="E23" i="6"/>
  <c r="E24" i="6" s="1"/>
  <c r="F20" i="6"/>
  <c r="H33" i="7"/>
  <c r="AT33" i="7" s="1"/>
  <c r="L33" i="7"/>
  <c r="AU33" i="7" s="1"/>
  <c r="AB33" i="7"/>
  <c r="AY33" i="7" s="1"/>
  <c r="AN33" i="7"/>
  <c r="BB33" i="7" s="1"/>
  <c r="BC33" i="7" s="1"/>
  <c r="H37" i="7"/>
  <c r="P37" i="7"/>
  <c r="AB37" i="7"/>
  <c r="R39" i="7"/>
  <c r="AB41" i="7"/>
  <c r="AY41" i="7" s="1"/>
  <c r="R43" i="7"/>
  <c r="AB45" i="7"/>
  <c r="AY45" i="7" s="1"/>
  <c r="AS45" i="6"/>
  <c r="AB47" i="6"/>
  <c r="AS4" i="7"/>
  <c r="D6" i="7"/>
  <c r="T47" i="7"/>
  <c r="AB59" i="6"/>
  <c r="AB1" i="7"/>
  <c r="AJ59" i="6"/>
  <c r="AJ1" i="7"/>
  <c r="AN59" i="6"/>
  <c r="AN1" i="7"/>
  <c r="B39" i="9"/>
  <c r="B12" i="9"/>
  <c r="B11" i="9"/>
  <c r="S27" i="6"/>
  <c r="AI27" i="6"/>
  <c r="AQ27" i="6"/>
  <c r="X33" i="7"/>
  <c r="AX33" i="7" s="1"/>
  <c r="AF33" i="7"/>
  <c r="AZ33" i="7" s="1"/>
  <c r="AS33" i="6"/>
  <c r="AS37" i="6"/>
  <c r="AH39" i="7"/>
  <c r="H41" i="7"/>
  <c r="AT41" i="7" s="1"/>
  <c r="P41" i="7"/>
  <c r="AV41" i="7" s="1"/>
  <c r="AS41" i="6"/>
  <c r="H45" i="7"/>
  <c r="AT45" i="7" s="1"/>
  <c r="P45" i="7"/>
  <c r="AV45" i="7" s="1"/>
  <c r="X45" i="7"/>
  <c r="AX45" i="7" s="1"/>
  <c r="AF45" i="7"/>
  <c r="AZ45" i="7" s="1"/>
  <c r="B23" i="3"/>
  <c r="J23" i="3"/>
  <c r="N23" i="3"/>
  <c r="F25" i="3"/>
  <c r="R4" i="4"/>
  <c r="E10" i="4" s="1"/>
  <c r="E31" i="4" s="1"/>
  <c r="L15" i="5"/>
  <c r="J37" i="3" s="1"/>
  <c r="C2" i="13"/>
  <c r="E60" i="7"/>
  <c r="AI2" i="13"/>
  <c r="AK60" i="7"/>
  <c r="J2" i="6"/>
  <c r="H5" i="7"/>
  <c r="F22" i="6"/>
  <c r="D26" i="7"/>
  <c r="AS26" i="6"/>
  <c r="D27" i="6"/>
  <c r="L26" i="6"/>
  <c r="AU26" i="6" s="1"/>
  <c r="T26" i="7"/>
  <c r="T27" i="6"/>
  <c r="AB26" i="6"/>
  <c r="AY26" i="6" s="1"/>
  <c r="AJ26" i="7"/>
  <c r="AJ27" i="6"/>
  <c r="AS25" i="6"/>
  <c r="I26" i="7"/>
  <c r="I27" i="7" s="1"/>
  <c r="I27" i="6"/>
  <c r="Y26" i="7"/>
  <c r="Y27" i="7" s="1"/>
  <c r="Y27" i="6"/>
  <c r="AO26" i="7"/>
  <c r="AO27" i="7" s="1"/>
  <c r="AO27" i="6"/>
  <c r="F27" i="6"/>
  <c r="V27" i="6"/>
  <c r="AL27" i="6"/>
  <c r="H29" i="7"/>
  <c r="H34" i="6"/>
  <c r="P29" i="7"/>
  <c r="P34" i="6"/>
  <c r="X29" i="7"/>
  <c r="X34" i="6"/>
  <c r="AF29" i="7"/>
  <c r="AF34" i="6"/>
  <c r="AN29" i="7"/>
  <c r="AN34" i="6"/>
  <c r="AC30" i="7"/>
  <c r="AY30" i="7" s="1"/>
  <c r="AH31" i="7"/>
  <c r="AC34" i="6"/>
  <c r="AC35" i="6" s="1"/>
  <c r="AJ48" i="7"/>
  <c r="P47" i="6"/>
  <c r="E59" i="6"/>
  <c r="AK59" i="6"/>
  <c r="K77" i="6"/>
  <c r="Q1" i="7"/>
  <c r="E23" i="7"/>
  <c r="E24" i="7" s="1"/>
  <c r="AW30" i="7"/>
  <c r="P33" i="7"/>
  <c r="AV33" i="7" s="1"/>
  <c r="AF59" i="6"/>
  <c r="AF1" i="7"/>
  <c r="AS15" i="6"/>
  <c r="K27" i="6"/>
  <c r="AA27" i="6"/>
  <c r="AO35" i="6"/>
  <c r="AS37" i="7"/>
  <c r="D47" i="7"/>
  <c r="L37" i="7"/>
  <c r="X37" i="7"/>
  <c r="AF37" i="7"/>
  <c r="L41" i="7"/>
  <c r="AU41" i="7" s="1"/>
  <c r="X41" i="7"/>
  <c r="AX41" i="7" s="1"/>
  <c r="AF41" i="7"/>
  <c r="AZ41" i="7" s="1"/>
  <c r="AH43" i="7"/>
  <c r="AZ43" i="7" s="1"/>
  <c r="L45" i="7"/>
  <c r="AU45" i="7" s="1"/>
  <c r="B18" i="12"/>
  <c r="K2" i="13"/>
  <c r="M60" i="7"/>
  <c r="S2" i="13"/>
  <c r="U60" i="7"/>
  <c r="AA2" i="13"/>
  <c r="AC60" i="7"/>
  <c r="H4" i="7"/>
  <c r="I4" i="6"/>
  <c r="H26" i="7"/>
  <c r="H27" i="6"/>
  <c r="P26" i="6"/>
  <c r="AV26" i="6" s="1"/>
  <c r="X26" i="7"/>
  <c r="X27" i="6"/>
  <c r="AF26" i="6"/>
  <c r="AZ26" i="6" s="1"/>
  <c r="AN26" i="7"/>
  <c r="AN27" i="6"/>
  <c r="Q26" i="7"/>
  <c r="Q27" i="7" s="1"/>
  <c r="Q27" i="6"/>
  <c r="AG26" i="7"/>
  <c r="AG27" i="7" s="1"/>
  <c r="AG27" i="6"/>
  <c r="N27" i="6"/>
  <c r="AD27" i="6"/>
  <c r="D29" i="7"/>
  <c r="D34" i="6"/>
  <c r="L29" i="7"/>
  <c r="L34" i="6"/>
  <c r="T29" i="7"/>
  <c r="T34" i="6"/>
  <c r="AB29" i="7"/>
  <c r="AB34" i="6"/>
  <c r="AJ29" i="7"/>
  <c r="AJ34" i="6"/>
  <c r="AS29" i="6"/>
  <c r="M30" i="7"/>
  <c r="M34" i="7" s="1"/>
  <c r="M35" i="7" s="1"/>
  <c r="AO30" i="7"/>
  <c r="BB30" i="7" s="1"/>
  <c r="BC30" i="7" s="1"/>
  <c r="R31" i="7"/>
  <c r="AV31" i="7" s="1"/>
  <c r="R3" i="3"/>
  <c r="B14" i="3" s="1"/>
  <c r="C21" i="13"/>
  <c r="C9" i="14" s="1"/>
  <c r="C11" i="14" s="1"/>
  <c r="D21" i="13"/>
  <c r="D9" i="14" s="1"/>
  <c r="D11" i="14" s="1"/>
  <c r="E21" i="13"/>
  <c r="E9" i="14" s="1"/>
  <c r="E11" i="14" s="1"/>
  <c r="C23" i="3"/>
  <c r="G23" i="3"/>
  <c r="K23" i="3"/>
  <c r="O23" i="3"/>
  <c r="C18" i="12"/>
  <c r="C4" i="13" s="1"/>
  <c r="N17" i="5"/>
  <c r="I5" i="6"/>
  <c r="D7" i="6"/>
  <c r="H6" i="6"/>
  <c r="H10" i="7"/>
  <c r="I14" i="6"/>
  <c r="H15" i="6"/>
  <c r="H18" i="7"/>
  <c r="H19" i="7"/>
  <c r="AT19" i="7" s="1"/>
  <c r="L19" i="7"/>
  <c r="AU19" i="7" s="1"/>
  <c r="AV19" i="7"/>
  <c r="AW19" i="7"/>
  <c r="X19" i="7"/>
  <c r="AX19" i="7" s="1"/>
  <c r="AB19" i="7"/>
  <c r="AY19" i="7" s="1"/>
  <c r="AZ19" i="7"/>
  <c r="BA19" i="7"/>
  <c r="AN19" i="7"/>
  <c r="BB19" i="7" s="1"/>
  <c r="BC19" i="7" s="1"/>
  <c r="AS19" i="6"/>
  <c r="G27" i="6"/>
  <c r="O27" i="6"/>
  <c r="W27" i="6"/>
  <c r="AE27" i="6"/>
  <c r="AM27" i="6"/>
  <c r="E34" i="7"/>
  <c r="E35" i="7" s="1"/>
  <c r="I34" i="7"/>
  <c r="I35" i="7" s="1"/>
  <c r="U34" i="7"/>
  <c r="U35" i="7" s="1"/>
  <c r="Y34" i="7"/>
  <c r="Y35" i="7" s="1"/>
  <c r="AC34" i="7"/>
  <c r="AC35" i="7" s="1"/>
  <c r="AK34" i="7"/>
  <c r="AK35" i="7" s="1"/>
  <c r="AT32" i="7"/>
  <c r="Q34" i="6"/>
  <c r="Q35" i="6" s="1"/>
  <c r="F47" i="7"/>
  <c r="F48" i="7" s="1"/>
  <c r="V47" i="7"/>
  <c r="V48" i="7" s="1"/>
  <c r="M38" i="7"/>
  <c r="AC38" i="7"/>
  <c r="AY38" i="7" s="1"/>
  <c r="AU39" i="7"/>
  <c r="M42" i="7"/>
  <c r="AC42" i="7"/>
  <c r="AY42" i="7" s="1"/>
  <c r="AV43" i="7"/>
  <c r="M46" i="7"/>
  <c r="AU46" i="7" s="1"/>
  <c r="AC46" i="7"/>
  <c r="AK46" i="7"/>
  <c r="AK47" i="7" s="1"/>
  <c r="AK48" i="7" s="1"/>
  <c r="AK47" i="6"/>
  <c r="AK48" i="6" s="1"/>
  <c r="AO46" i="7"/>
  <c r="BB46" i="7" s="1"/>
  <c r="BC46" i="7" s="1"/>
  <c r="AO47" i="6"/>
  <c r="D47" i="6"/>
  <c r="T47" i="6"/>
  <c r="M59" i="6"/>
  <c r="Y1" i="7"/>
  <c r="BA30" i="7"/>
  <c r="AY39" i="7"/>
  <c r="AA2" i="3"/>
  <c r="D23" i="3"/>
  <c r="H23" i="3"/>
  <c r="L23" i="3"/>
  <c r="P23" i="3"/>
  <c r="B40" i="12"/>
  <c r="C40" i="12"/>
  <c r="D40" i="12"/>
  <c r="E40" i="12"/>
  <c r="F40" i="12"/>
  <c r="G40" i="12"/>
  <c r="H40" i="12"/>
  <c r="I40" i="12"/>
  <c r="J40" i="12"/>
  <c r="K40" i="12"/>
  <c r="L40" i="12"/>
  <c r="H77" i="6"/>
  <c r="J15" i="5"/>
  <c r="H37" i="3" s="1"/>
  <c r="H17" i="5"/>
  <c r="I4" i="5"/>
  <c r="J4" i="5" s="1"/>
  <c r="K4" i="5" s="1"/>
  <c r="Y4" i="5"/>
  <c r="Z4" i="5" s="1"/>
  <c r="AA4" i="5" s="1"/>
  <c r="F18" i="5"/>
  <c r="L17" i="5"/>
  <c r="M17" i="5"/>
  <c r="N18" i="5"/>
  <c r="H9" i="7"/>
  <c r="I9" i="6"/>
  <c r="I10" i="6"/>
  <c r="U13" i="7"/>
  <c r="V13" i="7" s="1"/>
  <c r="W13" i="7" s="1"/>
  <c r="X13" i="7" s="1"/>
  <c r="D18" i="7"/>
  <c r="D23" i="6"/>
  <c r="I18" i="7"/>
  <c r="F21" i="6"/>
  <c r="J27" i="6"/>
  <c r="R27" i="6"/>
  <c r="Z27" i="6"/>
  <c r="AH27" i="6"/>
  <c r="AP27" i="6"/>
  <c r="E34" i="6"/>
  <c r="E35" i="6" s="1"/>
  <c r="U34" i="6"/>
  <c r="U35" i="6" s="1"/>
  <c r="AK34" i="6"/>
  <c r="AK35" i="6" s="1"/>
  <c r="AZ40" i="7"/>
  <c r="H47" i="6"/>
  <c r="X47" i="6"/>
  <c r="AN48" i="6"/>
  <c r="E56" i="7"/>
  <c r="E58" i="6"/>
  <c r="E58" i="7" s="1"/>
  <c r="U59" i="6"/>
  <c r="AG1" i="7"/>
  <c r="F6" i="7"/>
  <c r="AS2" i="7"/>
  <c r="AS32" i="7"/>
  <c r="AU32" i="7"/>
  <c r="AV32" i="7"/>
  <c r="AW32" i="7"/>
  <c r="AX32" i="7"/>
  <c r="AY32" i="7"/>
  <c r="AZ32" i="7"/>
  <c r="BA32" i="7"/>
  <c r="BB32" i="7"/>
  <c r="BC32" i="7" s="1"/>
  <c r="AS32" i="6"/>
  <c r="F34" i="6"/>
  <c r="F35" i="6" s="1"/>
  <c r="J34" i="6"/>
  <c r="J35" i="6" s="1"/>
  <c r="N34" i="6"/>
  <c r="N35" i="6" s="1"/>
  <c r="R34" i="6"/>
  <c r="R35" i="6" s="1"/>
  <c r="V34" i="6"/>
  <c r="V35" i="6" s="1"/>
  <c r="Z34" i="6"/>
  <c r="Z35" i="6" s="1"/>
  <c r="AD34" i="6"/>
  <c r="AD35" i="6" s="1"/>
  <c r="AH34" i="6"/>
  <c r="AH35" i="6" s="1"/>
  <c r="AL34" i="6"/>
  <c r="AL35" i="6" s="1"/>
  <c r="AP34" i="6"/>
  <c r="AP35" i="6" s="1"/>
  <c r="E47" i="7"/>
  <c r="E48" i="7" s="1"/>
  <c r="I47" i="7"/>
  <c r="I48" i="7" s="1"/>
  <c r="Q47" i="7"/>
  <c r="Q48" i="7" s="1"/>
  <c r="U47" i="7"/>
  <c r="U48" i="7" s="1"/>
  <c r="Y47" i="7"/>
  <c r="Y48" i="7" s="1"/>
  <c r="AG47" i="7"/>
  <c r="AG48" i="7" s="1"/>
  <c r="AS40" i="7"/>
  <c r="AT40" i="7"/>
  <c r="AU40" i="7"/>
  <c r="AV40" i="7"/>
  <c r="AW40" i="7"/>
  <c r="AX40" i="7"/>
  <c r="AY40" i="7"/>
  <c r="AS40" i="6"/>
  <c r="AS44" i="7"/>
  <c r="AT44" i="7"/>
  <c r="AU44" i="7"/>
  <c r="AV44" i="7"/>
  <c r="AW44" i="7"/>
  <c r="AX44" i="7"/>
  <c r="AY44" i="7"/>
  <c r="AZ44" i="7"/>
  <c r="AS44" i="6"/>
  <c r="E47" i="6"/>
  <c r="E48" i="6" s="1"/>
  <c r="I47" i="6"/>
  <c r="I48" i="6" s="1"/>
  <c r="M47" i="6"/>
  <c r="M48" i="6" s="1"/>
  <c r="Q47" i="6"/>
  <c r="Q48" i="6" s="1"/>
  <c r="U47" i="6"/>
  <c r="U48" i="6" s="1"/>
  <c r="Y47" i="6"/>
  <c r="Y48" i="6" s="1"/>
  <c r="AC47" i="6"/>
  <c r="AC48" i="6" s="1"/>
  <c r="AG47" i="6"/>
  <c r="AG48" i="6" s="1"/>
  <c r="F56" i="7"/>
  <c r="F58" i="6"/>
  <c r="F58" i="7" s="1"/>
  <c r="AS57" i="7"/>
  <c r="AT57" i="7"/>
  <c r="AU57" i="7"/>
  <c r="AV57" i="7"/>
  <c r="F59" i="6"/>
  <c r="N59" i="6"/>
  <c r="V59" i="6"/>
  <c r="AD59" i="6"/>
  <c r="AL59" i="6"/>
  <c r="B66" i="6"/>
  <c r="C66" i="6" s="1"/>
  <c r="AS10" i="7"/>
  <c r="D15" i="7"/>
  <c r="D2" i="13"/>
  <c r="F60" i="7"/>
  <c r="H2" i="13"/>
  <c r="J60" i="7"/>
  <c r="L2" i="13"/>
  <c r="N60" i="7"/>
  <c r="P2" i="13"/>
  <c r="R60" i="7"/>
  <c r="T2" i="13"/>
  <c r="V60" i="7"/>
  <c r="X2" i="13"/>
  <c r="Z60" i="7"/>
  <c r="AB2" i="13"/>
  <c r="AD60" i="7"/>
  <c r="AF2" i="13"/>
  <c r="AH60" i="7"/>
  <c r="AJ2" i="13"/>
  <c r="AL60" i="7"/>
  <c r="AN2" i="13"/>
  <c r="AP60" i="7"/>
  <c r="F34" i="7"/>
  <c r="F35" i="7" s="1"/>
  <c r="J34" i="7"/>
  <c r="J35" i="7" s="1"/>
  <c r="N34" i="7"/>
  <c r="N35" i="7" s="1"/>
  <c r="V34" i="7"/>
  <c r="V35" i="7" s="1"/>
  <c r="Z34" i="7"/>
  <c r="Z35" i="7" s="1"/>
  <c r="AD34" i="7"/>
  <c r="AD35" i="7" s="1"/>
  <c r="AH34" i="7"/>
  <c r="AH35" i="7" s="1"/>
  <c r="AL34" i="7"/>
  <c r="AL35" i="7" s="1"/>
  <c r="AP34" i="7"/>
  <c r="AP35" i="7" s="1"/>
  <c r="AS31" i="7"/>
  <c r="AT31" i="7"/>
  <c r="AU31" i="7"/>
  <c r="AW31" i="7"/>
  <c r="AX31" i="7"/>
  <c r="AY31" i="7"/>
  <c r="AZ31" i="7"/>
  <c r="BA31" i="7"/>
  <c r="BB31" i="7"/>
  <c r="BC31" i="7" s="1"/>
  <c r="AS31" i="6"/>
  <c r="G34" i="6"/>
  <c r="G35" i="6" s="1"/>
  <c r="K34" i="6"/>
  <c r="K35" i="6" s="1"/>
  <c r="O34" i="6"/>
  <c r="O35" i="6" s="1"/>
  <c r="S34" i="6"/>
  <c r="S35" i="6" s="1"/>
  <c r="W34" i="6"/>
  <c r="W35" i="6" s="1"/>
  <c r="AA34" i="6"/>
  <c r="AA35" i="6" s="1"/>
  <c r="AE34" i="6"/>
  <c r="AE35" i="6" s="1"/>
  <c r="AI34" i="6"/>
  <c r="AI35" i="6" s="1"/>
  <c r="AM34" i="6"/>
  <c r="AM35" i="6" s="1"/>
  <c r="AQ34" i="6"/>
  <c r="AQ35" i="6" s="1"/>
  <c r="J47" i="7"/>
  <c r="J48" i="7" s="1"/>
  <c r="N47" i="7"/>
  <c r="N48" i="7" s="1"/>
  <c r="Z47" i="7"/>
  <c r="Z48" i="7" s="1"/>
  <c r="AD47" i="7"/>
  <c r="AD48" i="7" s="1"/>
  <c r="AS39" i="7"/>
  <c r="AT39" i="7"/>
  <c r="AW39" i="7"/>
  <c r="AX39" i="7"/>
  <c r="AS39" i="6"/>
  <c r="AS43" i="7"/>
  <c r="AT43" i="7"/>
  <c r="AU43" i="7"/>
  <c r="AW43" i="7"/>
  <c r="AX43" i="7"/>
  <c r="AY43" i="7"/>
  <c r="AS43" i="6"/>
  <c r="F47" i="6"/>
  <c r="F48" i="6" s="1"/>
  <c r="J47" i="6"/>
  <c r="J48" i="6" s="1"/>
  <c r="N47" i="6"/>
  <c r="N48" i="6" s="1"/>
  <c r="R47" i="6"/>
  <c r="R48" i="6" s="1"/>
  <c r="V47" i="6"/>
  <c r="V48" i="6" s="1"/>
  <c r="Z47" i="6"/>
  <c r="Z48" i="6" s="1"/>
  <c r="AD47" i="6"/>
  <c r="AD48" i="6" s="1"/>
  <c r="AH47" i="6"/>
  <c r="AH48" i="6" s="1"/>
  <c r="AL47" i="6"/>
  <c r="AL48" i="6" s="1"/>
  <c r="AP47" i="6"/>
  <c r="AP48" i="6" s="1"/>
  <c r="G56" i="7"/>
  <c r="G58" i="6"/>
  <c r="G58" i="7" s="1"/>
  <c r="D58" i="6"/>
  <c r="D58" i="7" s="1"/>
  <c r="AS13" i="7"/>
  <c r="G1" i="7"/>
  <c r="G59" i="6"/>
  <c r="K1" i="7"/>
  <c r="K59" i="6"/>
  <c r="O1" i="7"/>
  <c r="O59" i="6"/>
  <c r="S1" i="7"/>
  <c r="S59" i="6"/>
  <c r="W1" i="7"/>
  <c r="W59" i="6"/>
  <c r="AA1" i="7"/>
  <c r="AA59" i="6"/>
  <c r="AE1" i="7"/>
  <c r="AE59" i="6"/>
  <c r="AI1" i="7"/>
  <c r="AI59" i="6"/>
  <c r="AM1" i="7"/>
  <c r="AM59" i="6"/>
  <c r="AQ1" i="7"/>
  <c r="AQ59" i="6"/>
  <c r="I3" i="6"/>
  <c r="I12" i="6"/>
  <c r="AS19" i="7"/>
  <c r="K34" i="7"/>
  <c r="K35" i="7" s="1"/>
  <c r="O34" i="7"/>
  <c r="O35" i="7" s="1"/>
  <c r="S34" i="7"/>
  <c r="S35" i="7" s="1"/>
  <c r="AA34" i="7"/>
  <c r="AA35" i="7" s="1"/>
  <c r="AE34" i="7"/>
  <c r="AE35" i="7" s="1"/>
  <c r="AI34" i="7"/>
  <c r="AI35" i="7" s="1"/>
  <c r="AQ34" i="7"/>
  <c r="AQ35" i="7" s="1"/>
  <c r="G47" i="7"/>
  <c r="G48" i="7" s="1"/>
  <c r="K47" i="7"/>
  <c r="K48" i="7" s="1"/>
  <c r="O47" i="7"/>
  <c r="O48" i="7" s="1"/>
  <c r="S47" i="7"/>
  <c r="S48" i="7" s="1"/>
  <c r="W47" i="7"/>
  <c r="W48" i="7" s="1"/>
  <c r="AA47" i="7"/>
  <c r="AA48" i="7" s="1"/>
  <c r="AE47" i="7"/>
  <c r="AE48" i="7" s="1"/>
  <c r="AI47" i="7"/>
  <c r="AI48" i="7" s="1"/>
  <c r="AS38" i="7"/>
  <c r="AT38" i="7"/>
  <c r="AV38" i="7"/>
  <c r="AW38" i="7"/>
  <c r="AX38" i="7"/>
  <c r="AZ38" i="7"/>
  <c r="AS38" i="6"/>
  <c r="AS42" i="7"/>
  <c r="AU42" i="7"/>
  <c r="AV42" i="7"/>
  <c r="AW42" i="7"/>
  <c r="AX42" i="7"/>
  <c r="AZ42" i="7"/>
  <c r="AS42" i="6"/>
  <c r="AS46" i="7"/>
  <c r="AT46" i="7"/>
  <c r="AV46" i="7"/>
  <c r="AW46" i="7"/>
  <c r="AX46" i="7"/>
  <c r="AY46" i="7"/>
  <c r="AZ46" i="7"/>
  <c r="AS46" i="6"/>
  <c r="G47" i="6"/>
  <c r="G48" i="6" s="1"/>
  <c r="K47" i="6"/>
  <c r="K48" i="6" s="1"/>
  <c r="O47" i="6"/>
  <c r="O48" i="6" s="1"/>
  <c r="S47" i="6"/>
  <c r="S48" i="6" s="1"/>
  <c r="W47" i="6"/>
  <c r="W48" i="6" s="1"/>
  <c r="AA47" i="6"/>
  <c r="AA48" i="6" s="1"/>
  <c r="AE47" i="6"/>
  <c r="AE48" i="6" s="1"/>
  <c r="AI47" i="6"/>
  <c r="AI48" i="6" s="1"/>
  <c r="AM47" i="6"/>
  <c r="AM48" i="6" s="1"/>
  <c r="AQ47" i="6"/>
  <c r="AQ48" i="6" s="1"/>
  <c r="J59" i="6"/>
  <c r="R59" i="6"/>
  <c r="Z59" i="6"/>
  <c r="AH59" i="6"/>
  <c r="AP59" i="6"/>
  <c r="E6" i="7"/>
  <c r="G7" i="7"/>
  <c r="AS9" i="7"/>
  <c r="AN47" i="7"/>
  <c r="E4" i="8"/>
  <c r="AL47" i="7"/>
  <c r="AL48" i="7" s="1"/>
  <c r="AP47" i="7"/>
  <c r="AP48" i="7" s="1"/>
  <c r="BA44" i="7"/>
  <c r="BA45" i="7"/>
  <c r="BB45" i="7"/>
  <c r="BC45" i="7" s="1"/>
  <c r="AM47" i="7"/>
  <c r="AM48" i="7" s="1"/>
  <c r="AQ47" i="7"/>
  <c r="AQ48" i="7" s="1"/>
  <c r="BA40" i="7"/>
  <c r="BA41" i="7"/>
  <c r="BB41" i="7"/>
  <c r="BC41" i="7" s="1"/>
  <c r="BB44" i="7"/>
  <c r="BC44" i="7" s="1"/>
  <c r="BB37" i="7"/>
  <c r="BC37" i="7" s="1"/>
  <c r="E5" i="8"/>
  <c r="C25" i="8"/>
  <c r="G25" i="8"/>
  <c r="K25" i="8"/>
  <c r="B2" i="9"/>
  <c r="B27" i="9" s="1"/>
  <c r="F2" i="9"/>
  <c r="F27" i="9" s="1"/>
  <c r="J2" i="9"/>
  <c r="J27" i="9" s="1"/>
  <c r="D25" i="8"/>
  <c r="H25" i="8"/>
  <c r="L25" i="8"/>
  <c r="E25" i="8"/>
  <c r="I25" i="8"/>
  <c r="D18" i="12"/>
  <c r="D4" i="13" s="1"/>
  <c r="E2" i="12"/>
  <c r="B9" i="11"/>
  <c r="C9" i="11" s="1"/>
  <c r="J9" i="11" s="1"/>
  <c r="E9" i="11"/>
  <c r="D2" i="10"/>
  <c r="F3" i="14"/>
  <c r="G3" i="14" s="1"/>
  <c r="H3" i="14" s="1"/>
  <c r="I3" i="14" s="1"/>
  <c r="J3" i="14" s="1"/>
  <c r="K3" i="14" s="1"/>
  <c r="L3" i="14" s="1"/>
  <c r="G25" i="15"/>
  <c r="F25" i="15"/>
  <c r="F10" i="16"/>
  <c r="G10" i="16"/>
  <c r="G17" i="16"/>
  <c r="F17" i="16"/>
  <c r="G5" i="17"/>
  <c r="F5" i="17"/>
  <c r="G19" i="17"/>
  <c r="F19" i="17"/>
  <c r="G5" i="18"/>
  <c r="F5" i="18"/>
  <c r="G9" i="18"/>
  <c r="F9" i="18"/>
  <c r="F11" i="18"/>
  <c r="G11" i="18"/>
  <c r="G14" i="24"/>
  <c r="F14" i="24"/>
  <c r="G23" i="24"/>
  <c r="F23" i="24"/>
  <c r="F12" i="25"/>
  <c r="G12" i="25"/>
  <c r="F20" i="25"/>
  <c r="G20" i="25"/>
  <c r="G8" i="15"/>
  <c r="F8" i="15"/>
  <c r="G13" i="15"/>
  <c r="F13" i="15"/>
  <c r="F22" i="15"/>
  <c r="G22" i="15"/>
  <c r="G7" i="16"/>
  <c r="F7" i="16"/>
  <c r="G16" i="16"/>
  <c r="F16" i="16"/>
  <c r="G24" i="16"/>
  <c r="F24" i="16"/>
  <c r="F5" i="19"/>
  <c r="G10" i="20"/>
  <c r="F10" i="20"/>
  <c r="F11" i="20"/>
  <c r="G11" i="20"/>
  <c r="G7" i="23"/>
  <c r="F7" i="23"/>
  <c r="F16" i="23"/>
  <c r="G16" i="23"/>
  <c r="I30" i="13"/>
  <c r="F11" i="14"/>
  <c r="G19" i="15"/>
  <c r="F19" i="15"/>
  <c r="F14" i="16"/>
  <c r="G14" i="16"/>
  <c r="F18" i="16"/>
  <c r="G18" i="16"/>
  <c r="G25" i="17"/>
  <c r="F25" i="17"/>
  <c r="F21" i="18"/>
  <c r="G21" i="18"/>
  <c r="G24" i="18"/>
  <c r="F24" i="18"/>
  <c r="K30" i="13"/>
  <c r="F14" i="15"/>
  <c r="G14" i="15"/>
  <c r="G13" i="16"/>
  <c r="F13" i="16"/>
  <c r="G24" i="17"/>
  <c r="F24" i="17"/>
  <c r="G13" i="18"/>
  <c r="F13" i="18"/>
  <c r="G17" i="18"/>
  <c r="F17" i="18"/>
  <c r="F19" i="18"/>
  <c r="G19" i="18"/>
  <c r="I27" i="13"/>
  <c r="I8" i="14" s="1"/>
  <c r="J27" i="13"/>
  <c r="J8" i="14" s="1"/>
  <c r="AF14" i="13"/>
  <c r="L30" i="13"/>
  <c r="L27" i="13"/>
  <c r="L8" i="14" s="1"/>
  <c r="G11" i="14"/>
  <c r="G17" i="15"/>
  <c r="F17" i="15"/>
  <c r="G5" i="16"/>
  <c r="F5" i="16"/>
  <c r="G22" i="16"/>
  <c r="F22" i="16"/>
  <c r="G11" i="17"/>
  <c r="F11" i="17"/>
  <c r="G17" i="17"/>
  <c r="F17" i="17"/>
  <c r="F6" i="18"/>
  <c r="G6" i="18"/>
  <c r="G8" i="18"/>
  <c r="F8" i="18"/>
  <c r="F14" i="18"/>
  <c r="G14" i="18"/>
  <c r="G16" i="18"/>
  <c r="F16" i="18"/>
  <c r="G23" i="18"/>
  <c r="F23" i="18"/>
  <c r="G8" i="19"/>
  <c r="F8" i="19"/>
  <c r="F15" i="19"/>
  <c r="G15" i="19"/>
  <c r="G8" i="20"/>
  <c r="F8" i="20"/>
  <c r="G24" i="20"/>
  <c r="F24" i="20"/>
  <c r="F5" i="21"/>
  <c r="G5" i="21"/>
  <c r="F12" i="21"/>
  <c r="G12" i="21"/>
  <c r="G18" i="22"/>
  <c r="F18" i="22"/>
  <c r="G23" i="22"/>
  <c r="F23" i="22"/>
  <c r="F8" i="23"/>
  <c r="G8" i="23"/>
  <c r="G9" i="24"/>
  <c r="F9" i="24"/>
  <c r="G22" i="24"/>
  <c r="F22" i="24"/>
  <c r="AB14" i="13"/>
  <c r="H30" i="13" s="1"/>
  <c r="F18" i="15"/>
  <c r="G18" i="15"/>
  <c r="F6" i="16"/>
  <c r="G6" i="16"/>
  <c r="F21" i="16"/>
  <c r="F23" i="16"/>
  <c r="G23" i="16"/>
  <c r="G9" i="17"/>
  <c r="F9" i="17"/>
  <c r="F16" i="17"/>
  <c r="F18" i="17"/>
  <c r="G18" i="17"/>
  <c r="G21" i="17"/>
  <c r="F21" i="17"/>
  <c r="F13" i="19"/>
  <c r="G13" i="19"/>
  <c r="E5" i="15"/>
  <c r="G7" i="15"/>
  <c r="F9" i="15"/>
  <c r="G10" i="15"/>
  <c r="F12" i="15"/>
  <c r="G16" i="15"/>
  <c r="F16" i="15"/>
  <c r="F21" i="15"/>
  <c r="F9" i="16"/>
  <c r="F8" i="17"/>
  <c r="F10" i="17"/>
  <c r="G10" i="17"/>
  <c r="G13" i="17"/>
  <c r="F13" i="17"/>
  <c r="G7" i="19"/>
  <c r="F7" i="19"/>
  <c r="F19" i="19"/>
  <c r="G19" i="19"/>
  <c r="F9" i="20"/>
  <c r="G9" i="20"/>
  <c r="F15" i="20"/>
  <c r="G15" i="20"/>
  <c r="F25" i="20"/>
  <c r="G25" i="20"/>
  <c r="F9" i="21"/>
  <c r="G9" i="21"/>
  <c r="G23" i="21"/>
  <c r="F23" i="21"/>
  <c r="G13" i="22"/>
  <c r="F13" i="22"/>
  <c r="E15" i="15"/>
  <c r="E19" i="16"/>
  <c r="F25" i="16"/>
  <c r="E6" i="17"/>
  <c r="F12" i="17"/>
  <c r="E14" i="17"/>
  <c r="F20" i="17"/>
  <c r="E22" i="17"/>
  <c r="F17" i="19"/>
  <c r="G17" i="19"/>
  <c r="G24" i="19"/>
  <c r="F24" i="19"/>
  <c r="F13" i="20"/>
  <c r="G13" i="20"/>
  <c r="G20" i="20"/>
  <c r="F20" i="20"/>
  <c r="G22" i="20"/>
  <c r="F22" i="20"/>
  <c r="G6" i="21"/>
  <c r="F6" i="21"/>
  <c r="F7" i="21"/>
  <c r="G7" i="21"/>
  <c r="E25" i="18"/>
  <c r="E9" i="19"/>
  <c r="G20" i="19"/>
  <c r="F20" i="19"/>
  <c r="F7" i="20"/>
  <c r="G7" i="20"/>
  <c r="G16" i="20"/>
  <c r="F16" i="20"/>
  <c r="F23" i="20"/>
  <c r="G23" i="20"/>
  <c r="G11" i="21"/>
  <c r="F11" i="21"/>
  <c r="G15" i="21"/>
  <c r="F15" i="21"/>
  <c r="G19" i="21"/>
  <c r="F19" i="21"/>
  <c r="G7" i="22"/>
  <c r="F7" i="22"/>
  <c r="G11" i="22"/>
  <c r="F11" i="22"/>
  <c r="G21" i="22"/>
  <c r="F21" i="22"/>
  <c r="G19" i="23"/>
  <c r="F19" i="23"/>
  <c r="G23" i="23"/>
  <c r="F23" i="23"/>
  <c r="G7" i="24"/>
  <c r="F7" i="24"/>
  <c r="G17" i="24"/>
  <c r="F17" i="24"/>
  <c r="E22" i="18"/>
  <c r="G12" i="19"/>
  <c r="F12" i="19"/>
  <c r="G16" i="19"/>
  <c r="F16" i="19"/>
  <c r="F23" i="19"/>
  <c r="G23" i="19"/>
  <c r="G12" i="20"/>
  <c r="F12" i="20"/>
  <c r="F19" i="20"/>
  <c r="G19" i="20"/>
  <c r="G8" i="21"/>
  <c r="F8" i="21"/>
  <c r="F20" i="21"/>
  <c r="G20" i="21"/>
  <c r="G10" i="22"/>
  <c r="F10" i="22"/>
  <c r="G15" i="22"/>
  <c r="F15" i="22"/>
  <c r="G19" i="22"/>
  <c r="F19" i="22"/>
  <c r="G11" i="23"/>
  <c r="F11" i="23"/>
  <c r="G15" i="23"/>
  <c r="F15" i="23"/>
  <c r="F24" i="23"/>
  <c r="G24" i="23"/>
  <c r="G6" i="24"/>
  <c r="F6" i="24"/>
  <c r="G15" i="24"/>
  <c r="F15" i="24"/>
  <c r="G25" i="24"/>
  <c r="F25" i="24"/>
  <c r="G7" i="25"/>
  <c r="F7" i="25"/>
  <c r="G11" i="25"/>
  <c r="F11" i="25"/>
  <c r="G15" i="25"/>
  <c r="F15" i="25"/>
  <c r="G19" i="25"/>
  <c r="F19" i="25"/>
  <c r="G23" i="25"/>
  <c r="F23" i="25"/>
  <c r="F14" i="21"/>
  <c r="F22" i="21"/>
  <c r="F10" i="23"/>
  <c r="F18" i="23"/>
  <c r="G11" i="24"/>
  <c r="F11" i="24"/>
  <c r="G19" i="24"/>
  <c r="F19" i="24"/>
  <c r="F24" i="25"/>
  <c r="G24" i="25"/>
  <c r="F6" i="22"/>
  <c r="E8" i="22"/>
  <c r="G12" i="22"/>
  <c r="F14" i="22"/>
  <c r="E16" i="22"/>
  <c r="G20" i="22"/>
  <c r="F22" i="22"/>
  <c r="E24" i="22"/>
  <c r="F10" i="24"/>
  <c r="E12" i="24"/>
  <c r="F18" i="24"/>
  <c r="E20" i="24"/>
  <c r="G25" i="25"/>
  <c r="F25" i="25"/>
  <c r="E8" i="24"/>
  <c r="E16" i="24"/>
  <c r="E24" i="24"/>
  <c r="F5" i="24" l="1"/>
  <c r="F5" i="22"/>
  <c r="D16" i="5"/>
  <c r="E22" i="12"/>
  <c r="E23" i="12" s="1"/>
  <c r="E15" i="12" s="1"/>
  <c r="B39" i="12" s="1"/>
  <c r="F6" i="20"/>
  <c r="K11" i="14"/>
  <c r="J11" i="14"/>
  <c r="E31" i="3"/>
  <c r="Q47" i="3"/>
  <c r="Q49" i="3" s="1"/>
  <c r="L51" i="3"/>
  <c r="G6" i="15"/>
  <c r="AU34" i="6"/>
  <c r="BB34" i="6"/>
  <c r="BC34" i="6" s="1"/>
  <c r="AT34" i="6"/>
  <c r="F25" i="21"/>
  <c r="G25" i="21"/>
  <c r="BB26" i="6"/>
  <c r="BC26" i="6" s="1"/>
  <c r="F16" i="21"/>
  <c r="G16" i="21"/>
  <c r="G15" i="17"/>
  <c r="F15" i="17"/>
  <c r="G9" i="23"/>
  <c r="F9" i="23"/>
  <c r="G12" i="16"/>
  <c r="F12" i="16"/>
  <c r="F20" i="15"/>
  <c r="G20" i="15"/>
  <c r="F11" i="16"/>
  <c r="G11" i="16"/>
  <c r="G10" i="21"/>
  <c r="F10" i="21"/>
  <c r="AX47" i="6"/>
  <c r="I18" i="5"/>
  <c r="BA34" i="6"/>
  <c r="BB27" i="6"/>
  <c r="BC27" i="6" s="1"/>
  <c r="AZ34" i="6"/>
  <c r="F5" i="23"/>
  <c r="G5" i="23"/>
  <c r="F24" i="21"/>
  <c r="G24" i="21"/>
  <c r="F10" i="19"/>
  <c r="G10" i="19"/>
  <c r="AT47" i="6"/>
  <c r="AW47" i="6"/>
  <c r="AV47" i="6"/>
  <c r="H18" i="5"/>
  <c r="BB47" i="6"/>
  <c r="BC47" i="6" s="1"/>
  <c r="F12" i="23"/>
  <c r="G12" i="23"/>
  <c r="G15" i="16"/>
  <c r="F15" i="16"/>
  <c r="G25" i="23"/>
  <c r="F25" i="23"/>
  <c r="AY34" i="6"/>
  <c r="AX34" i="6"/>
  <c r="AZ47" i="6"/>
  <c r="AO3" i="29"/>
  <c r="D18" i="5"/>
  <c r="G25" i="22"/>
  <c r="F25" i="22"/>
  <c r="G13" i="21"/>
  <c r="F13" i="21"/>
  <c r="F10" i="18"/>
  <c r="G10" i="18"/>
  <c r="AY47" i="6"/>
  <c r="I17" i="5"/>
  <c r="L48" i="6"/>
  <c r="AU48" i="6" s="1"/>
  <c r="AU47" i="6"/>
  <c r="F21" i="23"/>
  <c r="G21" i="23"/>
  <c r="F15" i="18"/>
  <c r="G15" i="18"/>
  <c r="D17" i="5"/>
  <c r="G23" i="17"/>
  <c r="F23" i="17"/>
  <c r="AW34" i="6"/>
  <c r="AV34" i="6"/>
  <c r="D20" i="5"/>
  <c r="B20" i="8" s="1"/>
  <c r="BA47" i="6"/>
  <c r="D23" i="4"/>
  <c r="D26" i="4" s="1"/>
  <c r="D31" i="4"/>
  <c r="F20" i="23"/>
  <c r="G20" i="23"/>
  <c r="E5" i="5"/>
  <c r="C3" i="13" s="1"/>
  <c r="F18" i="18"/>
  <c r="G18" i="18"/>
  <c r="G20" i="16"/>
  <c r="F20" i="16"/>
  <c r="M18" i="6"/>
  <c r="AT11" i="6"/>
  <c r="R9" i="12"/>
  <c r="R25" i="29"/>
  <c r="E44" i="29" s="1"/>
  <c r="E33" i="12"/>
  <c r="W12" i="3"/>
  <c r="K3" i="29"/>
  <c r="L3" i="29" s="1"/>
  <c r="E23" i="4"/>
  <c r="L4" i="4"/>
  <c r="AN6" i="12"/>
  <c r="E14" i="29"/>
  <c r="J6" i="12"/>
  <c r="AM6" i="12"/>
  <c r="AW27" i="6"/>
  <c r="AT27" i="6"/>
  <c r="BA27" i="6"/>
  <c r="BA48" i="6"/>
  <c r="AX27" i="6"/>
  <c r="AZ48" i="6"/>
  <c r="BA46" i="7"/>
  <c r="F23" i="6"/>
  <c r="F49" i="6" s="1"/>
  <c r="M47" i="7"/>
  <c r="M48" i="7" s="1"/>
  <c r="AO34" i="7"/>
  <c r="AO35" i="7" s="1"/>
  <c r="AS56" i="7"/>
  <c r="AH47" i="7"/>
  <c r="AH48" i="7" s="1"/>
  <c r="R47" i="7"/>
  <c r="R48" i="7" s="1"/>
  <c r="AV39" i="7"/>
  <c r="AC47" i="7"/>
  <c r="AC48" i="7" s="1"/>
  <c r="AO47" i="7"/>
  <c r="AO48" i="7" s="1"/>
  <c r="AZ39" i="7"/>
  <c r="J11" i="7"/>
  <c r="B92" i="6"/>
  <c r="J2" i="7"/>
  <c r="E51" i="6"/>
  <c r="E61" i="6" s="1"/>
  <c r="AQ3" i="29"/>
  <c r="H3" i="29"/>
  <c r="F22" i="29"/>
  <c r="B26" i="12"/>
  <c r="B24" i="8" s="1"/>
  <c r="L17" i="12"/>
  <c r="L27" i="29"/>
  <c r="B36" i="12"/>
  <c r="F26" i="29"/>
  <c r="B45" i="29" s="1"/>
  <c r="F3" i="29"/>
  <c r="F26" i="3"/>
  <c r="F12" i="12" s="1"/>
  <c r="G26" i="29" s="1"/>
  <c r="AW13" i="7"/>
  <c r="G5" i="5"/>
  <c r="E3" i="13" s="1"/>
  <c r="AO60" i="7"/>
  <c r="I60" i="7"/>
  <c r="M47" i="3"/>
  <c r="M49" i="3" s="1"/>
  <c r="B52" i="3"/>
  <c r="E35" i="3"/>
  <c r="D4" i="10"/>
  <c r="F2" i="12"/>
  <c r="G22" i="29" s="1"/>
  <c r="AN48" i="7"/>
  <c r="AU38" i="7"/>
  <c r="I3" i="7"/>
  <c r="J3" i="6"/>
  <c r="K3" i="6" s="1"/>
  <c r="L3" i="6" s="1"/>
  <c r="AK2" i="13"/>
  <c r="AM60" i="7"/>
  <c r="AC2" i="13"/>
  <c r="AE60" i="7"/>
  <c r="U2" i="13"/>
  <c r="W60" i="7"/>
  <c r="M2" i="13"/>
  <c r="O60" i="7"/>
  <c r="E2" i="13"/>
  <c r="G60" i="7"/>
  <c r="W2" i="13"/>
  <c r="Y60" i="7"/>
  <c r="T48" i="6"/>
  <c r="AW48" i="6" s="1"/>
  <c r="AO48" i="6"/>
  <c r="BB48" i="6" s="1"/>
  <c r="BC48" i="6" s="1"/>
  <c r="I14" i="7"/>
  <c r="J14" i="6"/>
  <c r="I5" i="7"/>
  <c r="J5" i="6"/>
  <c r="AJ34" i="7"/>
  <c r="BA29" i="7"/>
  <c r="T35" i="6"/>
  <c r="AW35" i="6" s="1"/>
  <c r="L34" i="7"/>
  <c r="AU29" i="7"/>
  <c r="AN27" i="7"/>
  <c r="BB27" i="7" s="1"/>
  <c r="BC27" i="7" s="1"/>
  <c r="BB26" i="7"/>
  <c r="BC26" i="7" s="1"/>
  <c r="X27" i="7"/>
  <c r="AX27" i="7" s="1"/>
  <c r="AX26" i="7"/>
  <c r="H27" i="7"/>
  <c r="AT27" i="7" s="1"/>
  <c r="AT26" i="7"/>
  <c r="L11" i="14"/>
  <c r="D48" i="7"/>
  <c r="AS48" i="7" s="1"/>
  <c r="AS47" i="7"/>
  <c r="AU30" i="7"/>
  <c r="BA47" i="7"/>
  <c r="X35" i="6"/>
  <c r="AX35" i="6" s="1"/>
  <c r="P34" i="7"/>
  <c r="AV29" i="7"/>
  <c r="AJ27" i="7"/>
  <c r="BA27" i="7" s="1"/>
  <c r="BA26" i="7"/>
  <c r="AS27" i="6"/>
  <c r="J51" i="3"/>
  <c r="J45" i="3"/>
  <c r="B40" i="9"/>
  <c r="P11" i="8"/>
  <c r="AH2" i="13"/>
  <c r="AJ60" i="7"/>
  <c r="T48" i="7"/>
  <c r="AW48" i="7" s="1"/>
  <c r="AW47" i="7"/>
  <c r="D7" i="7"/>
  <c r="AS6" i="7"/>
  <c r="AX37" i="7"/>
  <c r="X47" i="7"/>
  <c r="AD2" i="13"/>
  <c r="AF60" i="7"/>
  <c r="BA48" i="7"/>
  <c r="AF35" i="6"/>
  <c r="AZ35" i="6" s="1"/>
  <c r="X34" i="7"/>
  <c r="AX29" i="7"/>
  <c r="T27" i="7"/>
  <c r="AW27" i="7" s="1"/>
  <c r="AW26" i="7"/>
  <c r="F47" i="3"/>
  <c r="F49" i="3" s="1"/>
  <c r="F31" i="3"/>
  <c r="AB47" i="7"/>
  <c r="AY37" i="7"/>
  <c r="AT37" i="7"/>
  <c r="H47" i="7"/>
  <c r="K11" i="7"/>
  <c r="C86" i="6"/>
  <c r="D86" i="6" s="1"/>
  <c r="E86" i="6" s="1"/>
  <c r="F86" i="6" s="1"/>
  <c r="G86" i="6" s="1"/>
  <c r="H86" i="6" s="1"/>
  <c r="I86" i="6" s="1"/>
  <c r="J86" i="6" s="1"/>
  <c r="K86" i="6" s="1"/>
  <c r="L86" i="6" s="1"/>
  <c r="V2" i="13"/>
  <c r="X60" i="7"/>
  <c r="N2" i="13"/>
  <c r="P60" i="7"/>
  <c r="F2" i="13"/>
  <c r="H60" i="7"/>
  <c r="C6" i="13"/>
  <c r="C8" i="13" s="1"/>
  <c r="C9" i="13" s="1"/>
  <c r="B3" i="13"/>
  <c r="F12" i="24"/>
  <c r="G12" i="24"/>
  <c r="F8" i="22"/>
  <c r="G8" i="22"/>
  <c r="F25" i="18"/>
  <c r="G25" i="18"/>
  <c r="G15" i="15"/>
  <c r="F15" i="15"/>
  <c r="F24" i="24"/>
  <c r="G24" i="24"/>
  <c r="F16" i="22"/>
  <c r="G16" i="22"/>
  <c r="F22" i="17"/>
  <c r="G22" i="17"/>
  <c r="F6" i="17"/>
  <c r="G6" i="17"/>
  <c r="F16" i="24"/>
  <c r="G16" i="24"/>
  <c r="F20" i="24"/>
  <c r="G20" i="24"/>
  <c r="F24" i="22"/>
  <c r="G24" i="22"/>
  <c r="G22" i="18"/>
  <c r="F22" i="18"/>
  <c r="F5" i="15"/>
  <c r="G5" i="15"/>
  <c r="F5" i="8"/>
  <c r="B6" i="2"/>
  <c r="B5" i="2"/>
  <c r="X48" i="6"/>
  <c r="AX48" i="6" s="1"/>
  <c r="F21" i="7"/>
  <c r="G21" i="6"/>
  <c r="J10" i="6"/>
  <c r="I10" i="7"/>
  <c r="H15" i="7"/>
  <c r="D48" i="6"/>
  <c r="AS48" i="6" s="1"/>
  <c r="AS47" i="6"/>
  <c r="AT18" i="7"/>
  <c r="H56" i="7"/>
  <c r="H7" i="6"/>
  <c r="T34" i="7"/>
  <c r="AW29" i="7"/>
  <c r="AS34" i="6"/>
  <c r="D35" i="6"/>
  <c r="AS35" i="6" s="1"/>
  <c r="F8" i="24"/>
  <c r="G8" i="24"/>
  <c r="F9" i="19"/>
  <c r="G9" i="19"/>
  <c r="F14" i="17"/>
  <c r="G14" i="17"/>
  <c r="F19" i="16"/>
  <c r="G19" i="16"/>
  <c r="B11" i="14"/>
  <c r="M9" i="14"/>
  <c r="N9" i="14"/>
  <c r="E49" i="7"/>
  <c r="E7" i="7"/>
  <c r="E51" i="7" s="1"/>
  <c r="E62" i="7" s="1"/>
  <c r="I12" i="7"/>
  <c r="J12" i="6"/>
  <c r="AO2" i="13"/>
  <c r="AQ60" i="7"/>
  <c r="AG2" i="13"/>
  <c r="AI60" i="7"/>
  <c r="Y2" i="13"/>
  <c r="AA60" i="7"/>
  <c r="Q2" i="13"/>
  <c r="S60" i="7"/>
  <c r="I2" i="13"/>
  <c r="K60" i="7"/>
  <c r="AS58" i="7"/>
  <c r="B10" i="8" s="1"/>
  <c r="P10" i="8" s="1"/>
  <c r="R34" i="7"/>
  <c r="R35" i="7" s="1"/>
  <c r="F7" i="7"/>
  <c r="H48" i="6"/>
  <c r="AT48" i="6" s="1"/>
  <c r="D24" i="6"/>
  <c r="I6" i="6"/>
  <c r="H6" i="7"/>
  <c r="H45" i="3"/>
  <c r="H51" i="3"/>
  <c r="D49" i="6"/>
  <c r="AB35" i="6"/>
  <c r="AY35" i="6" s="1"/>
  <c r="D34" i="7"/>
  <c r="AS29" i="7"/>
  <c r="AF26" i="7"/>
  <c r="AF27" i="6"/>
  <c r="AZ27" i="6" s="1"/>
  <c r="P26" i="7"/>
  <c r="P27" i="6"/>
  <c r="AV27" i="6" s="1"/>
  <c r="B4" i="13"/>
  <c r="H11" i="14"/>
  <c r="AN35" i="6"/>
  <c r="BB35" i="6" s="1"/>
  <c r="BC35" i="6" s="1"/>
  <c r="AF34" i="7"/>
  <c r="AZ29" i="7"/>
  <c r="H35" i="6"/>
  <c r="AT35" i="6" s="1"/>
  <c r="AB26" i="7"/>
  <c r="AB27" i="6"/>
  <c r="AY27" i="6" s="1"/>
  <c r="D27" i="7"/>
  <c r="AS27" i="7" s="1"/>
  <c r="AS26" i="7"/>
  <c r="B22" i="9"/>
  <c r="P22" i="8" s="1"/>
  <c r="B41" i="9"/>
  <c r="P12" i="8"/>
  <c r="AL2" i="13"/>
  <c r="AN60" i="7"/>
  <c r="Z2" i="13"/>
  <c r="AB60" i="7"/>
  <c r="AB48" i="6"/>
  <c r="AY48" i="6" s="1"/>
  <c r="G20" i="6"/>
  <c r="F20" i="7"/>
  <c r="G17" i="5"/>
  <c r="B28" i="9"/>
  <c r="D4" i="25"/>
  <c r="E4" i="25" s="1"/>
  <c r="D4" i="23"/>
  <c r="D4" i="22"/>
  <c r="D4" i="18"/>
  <c r="D4" i="19"/>
  <c r="D4" i="20"/>
  <c r="D4" i="24"/>
  <c r="D4" i="21"/>
  <c r="F10" i="4"/>
  <c r="F31" i="4" s="1"/>
  <c r="H18" i="9"/>
  <c r="V18" i="8" s="1"/>
  <c r="H46" i="3"/>
  <c r="G26" i="3"/>
  <c r="G12" i="12" s="1"/>
  <c r="H26" i="29" s="1"/>
  <c r="H27" i="3"/>
  <c r="H33" i="3" s="1"/>
  <c r="R12" i="3"/>
  <c r="D9" i="11"/>
  <c r="E10" i="11"/>
  <c r="L9" i="11"/>
  <c r="F4" i="8"/>
  <c r="D16" i="7"/>
  <c r="AS16" i="7" s="1"/>
  <c r="AS15" i="7"/>
  <c r="AE2" i="13"/>
  <c r="AG60" i="7"/>
  <c r="D23" i="7"/>
  <c r="AS18" i="7"/>
  <c r="Y13" i="7"/>
  <c r="Z13" i="7" s="1"/>
  <c r="AA13" i="7" s="1"/>
  <c r="AB13" i="7" s="1"/>
  <c r="I9" i="7"/>
  <c r="J9" i="6"/>
  <c r="I15" i="6"/>
  <c r="I16" i="6" s="1"/>
  <c r="E49" i="6"/>
  <c r="E18" i="5"/>
  <c r="AA12" i="3"/>
  <c r="H16" i="6"/>
  <c r="AS7" i="6"/>
  <c r="B15" i="3"/>
  <c r="B16" i="3" s="1"/>
  <c r="AJ35" i="6"/>
  <c r="BA35" i="6" s="1"/>
  <c r="AB34" i="7"/>
  <c r="AY29" i="7"/>
  <c r="L35" i="6"/>
  <c r="AU35" i="6" s="1"/>
  <c r="I4" i="7"/>
  <c r="J4" i="6"/>
  <c r="I11" i="14"/>
  <c r="AZ37" i="7"/>
  <c r="AF47" i="7"/>
  <c r="L47" i="7"/>
  <c r="AU37" i="7"/>
  <c r="AS16" i="6"/>
  <c r="O2" i="13"/>
  <c r="Q60" i="7"/>
  <c r="P48" i="6"/>
  <c r="AV48" i="6" s="1"/>
  <c r="AN34" i="7"/>
  <c r="BB29" i="7"/>
  <c r="BC29" i="7" s="1"/>
  <c r="P35" i="6"/>
  <c r="AV35" i="6" s="1"/>
  <c r="H34" i="7"/>
  <c r="AT29" i="7"/>
  <c r="L26" i="7"/>
  <c r="L27" i="6"/>
  <c r="AU27" i="6" s="1"/>
  <c r="F22" i="7"/>
  <c r="G22" i="6"/>
  <c r="K2" i="6"/>
  <c r="C78" i="6" s="1"/>
  <c r="D78" i="6" s="1"/>
  <c r="E78" i="6" s="1"/>
  <c r="F78" i="6" s="1"/>
  <c r="G78" i="6" s="1"/>
  <c r="H78" i="6" s="1"/>
  <c r="I78" i="6" s="1"/>
  <c r="J78" i="6" s="1"/>
  <c r="K78" i="6" s="1"/>
  <c r="L78" i="6" s="1"/>
  <c r="AV37" i="7"/>
  <c r="P47" i="7"/>
  <c r="R2" i="13"/>
  <c r="T60" i="7"/>
  <c r="J2" i="13"/>
  <c r="L60" i="7"/>
  <c r="B2" i="13"/>
  <c r="D60" i="7"/>
  <c r="F5" i="5"/>
  <c r="D3" i="13" s="1"/>
  <c r="D6" i="13" s="1"/>
  <c r="I45" i="3"/>
  <c r="I51" i="3"/>
  <c r="T4" i="4"/>
  <c r="G10" i="4" s="1"/>
  <c r="C4" i="17"/>
  <c r="H2" i="5" l="1"/>
  <c r="B41" i="29"/>
  <c r="B47" i="29" s="1"/>
  <c r="F28" i="29"/>
  <c r="AP3" i="29"/>
  <c r="F24" i="6"/>
  <c r="F51" i="6" s="1"/>
  <c r="F61" i="6" s="1"/>
  <c r="N18" i="6"/>
  <c r="M18" i="7"/>
  <c r="AT2" i="6"/>
  <c r="AT3" i="6"/>
  <c r="H58" i="7"/>
  <c r="AT11" i="7"/>
  <c r="S9" i="12"/>
  <c r="S25" i="29"/>
  <c r="O3" i="29"/>
  <c r="F23" i="4"/>
  <c r="M4" i="4"/>
  <c r="M23" i="4" s="1"/>
  <c r="AR2" i="5" s="1"/>
  <c r="AP22" i="12" s="1"/>
  <c r="L23" i="4"/>
  <c r="K6" i="12"/>
  <c r="N6" i="12"/>
  <c r="F14" i="29"/>
  <c r="B35" i="29" s="1"/>
  <c r="G6" i="12"/>
  <c r="AP6" i="12"/>
  <c r="AO6" i="12"/>
  <c r="BB48" i="7"/>
  <c r="BC48" i="7" s="1"/>
  <c r="BB47" i="7"/>
  <c r="BC47" i="7" s="1"/>
  <c r="J6" i="6"/>
  <c r="K2" i="7"/>
  <c r="AT2" i="7" s="1"/>
  <c r="L2" i="6"/>
  <c r="D51" i="6"/>
  <c r="D61" i="6" s="1"/>
  <c r="AR3" i="29"/>
  <c r="I3" i="29"/>
  <c r="M3" i="29"/>
  <c r="I15" i="7"/>
  <c r="I16" i="7" s="1"/>
  <c r="M17" i="12"/>
  <c r="D41" i="12" s="1"/>
  <c r="M27" i="29"/>
  <c r="B19" i="13"/>
  <c r="B5" i="14" s="1"/>
  <c r="B19" i="9"/>
  <c r="C52" i="3"/>
  <c r="D24" i="7"/>
  <c r="I18" i="9"/>
  <c r="W18" i="8" s="1"/>
  <c r="I46" i="3"/>
  <c r="T35" i="7"/>
  <c r="AW35" i="7" s="1"/>
  <c r="AW34" i="7"/>
  <c r="G21" i="7"/>
  <c r="AS21" i="7" s="1"/>
  <c r="H21" i="6"/>
  <c r="AT47" i="7"/>
  <c r="H48" i="7"/>
  <c r="AT48" i="7" s="1"/>
  <c r="C43" i="12"/>
  <c r="P35" i="7"/>
  <c r="AV35" i="7" s="1"/>
  <c r="AV34" i="7"/>
  <c r="J5" i="7"/>
  <c r="K5" i="6"/>
  <c r="L5" i="6" s="1"/>
  <c r="AS21" i="6"/>
  <c r="D7" i="13"/>
  <c r="D35" i="7"/>
  <c r="AS35" i="7" s="1"/>
  <c r="AS34" i="7"/>
  <c r="B6" i="13"/>
  <c r="E26" i="4"/>
  <c r="L2" i="5"/>
  <c r="J22" i="12" s="1"/>
  <c r="L35" i="7"/>
  <c r="AU35" i="7" s="1"/>
  <c r="AU34" i="7"/>
  <c r="J14" i="7"/>
  <c r="K14" i="6"/>
  <c r="L14" i="6" s="1"/>
  <c r="I6" i="7"/>
  <c r="U4" i="4"/>
  <c r="E65" i="6"/>
  <c r="E64" i="6"/>
  <c r="E63" i="6"/>
  <c r="E52" i="6"/>
  <c r="E53" i="6"/>
  <c r="E60" i="6" s="1"/>
  <c r="K9" i="11"/>
  <c r="B10" i="11"/>
  <c r="H7" i="7"/>
  <c r="C4" i="18"/>
  <c r="E4" i="18" s="1"/>
  <c r="D4" i="17"/>
  <c r="E4" i="17" s="1"/>
  <c r="G31" i="4"/>
  <c r="AS50" i="6"/>
  <c r="AS51" i="6"/>
  <c r="AS52" i="6" s="1"/>
  <c r="AS53" i="6"/>
  <c r="AU47" i="7"/>
  <c r="L48" i="7"/>
  <c r="AU48" i="7" s="1"/>
  <c r="J4" i="7"/>
  <c r="K4" i="6"/>
  <c r="L4" i="6" s="1"/>
  <c r="AB35" i="7"/>
  <c r="AY35" i="7" s="1"/>
  <c r="AY34" i="7"/>
  <c r="AX13" i="7"/>
  <c r="H26" i="3"/>
  <c r="H12" i="12" s="1"/>
  <c r="I26" i="29" s="1"/>
  <c r="I27" i="3"/>
  <c r="I33" i="3" s="1"/>
  <c r="F4" i="25"/>
  <c r="F27" i="25" s="1"/>
  <c r="G4" i="25"/>
  <c r="G27" i="25" s="1"/>
  <c r="B29" i="9"/>
  <c r="F23" i="7"/>
  <c r="AF27" i="7"/>
  <c r="AZ27" i="7" s="1"/>
  <c r="AZ26" i="7"/>
  <c r="I7" i="6"/>
  <c r="E66" i="7"/>
  <c r="E65" i="7"/>
  <c r="E64" i="7"/>
  <c r="E53" i="7"/>
  <c r="E61" i="7" s="1"/>
  <c r="E52" i="7"/>
  <c r="E54" i="7" s="1"/>
  <c r="H16" i="7"/>
  <c r="I56" i="7"/>
  <c r="I58" i="6"/>
  <c r="I58" i="7" s="1"/>
  <c r="L11" i="7"/>
  <c r="M11" i="6"/>
  <c r="I2" i="5"/>
  <c r="G22" i="12" s="1"/>
  <c r="AS7" i="7"/>
  <c r="G2" i="12"/>
  <c r="H22" i="29" s="1"/>
  <c r="F34" i="3"/>
  <c r="F65" i="6"/>
  <c r="F64" i="6"/>
  <c r="F63" i="6"/>
  <c r="F52" i="6"/>
  <c r="F53" i="6"/>
  <c r="F60" i="6" s="1"/>
  <c r="AB27" i="7"/>
  <c r="AY27" i="7" s="1"/>
  <c r="AY26" i="7"/>
  <c r="D65" i="6"/>
  <c r="D64" i="6"/>
  <c r="D63" i="6"/>
  <c r="D53" i="6"/>
  <c r="D60" i="6" s="1"/>
  <c r="AY47" i="7"/>
  <c r="AB48" i="7"/>
  <c r="AY48" i="7" s="1"/>
  <c r="AJ35" i="7"/>
  <c r="BA35" i="7" s="1"/>
  <c r="BA34" i="7"/>
  <c r="AC13" i="7"/>
  <c r="AD13" i="7" s="1"/>
  <c r="AE13" i="7" s="1"/>
  <c r="AF13" i="7" s="1"/>
  <c r="AF35" i="7"/>
  <c r="AZ35" i="7" s="1"/>
  <c r="AZ34" i="7"/>
  <c r="P48" i="7"/>
  <c r="AV48" i="7" s="1"/>
  <c r="AV47" i="7"/>
  <c r="J7" i="6"/>
  <c r="G22" i="7"/>
  <c r="AS22" i="7" s="1"/>
  <c r="H22" i="6"/>
  <c r="AS22" i="6"/>
  <c r="L27" i="7"/>
  <c r="AU27" i="7" s="1"/>
  <c r="AU26" i="7"/>
  <c r="H35" i="7"/>
  <c r="AT35" i="7" s="1"/>
  <c r="AT34" i="7"/>
  <c r="AN35" i="7"/>
  <c r="BB35" i="7" s="1"/>
  <c r="BC35" i="7" s="1"/>
  <c r="BB34" i="7"/>
  <c r="BC34" i="7" s="1"/>
  <c r="AF48" i="7"/>
  <c r="AZ48" i="7" s="1"/>
  <c r="AZ47" i="7"/>
  <c r="J9" i="7"/>
  <c r="J15" i="6"/>
  <c r="K9" i="6"/>
  <c r="L9" i="6" s="1"/>
  <c r="E11" i="11"/>
  <c r="G20" i="7"/>
  <c r="H20" i="6"/>
  <c r="G23" i="6"/>
  <c r="AS20" i="6"/>
  <c r="P27" i="7"/>
  <c r="AV27" i="7" s="1"/>
  <c r="AV26" i="7"/>
  <c r="J12" i="7"/>
  <c r="K12" i="6"/>
  <c r="L12" i="6" s="1"/>
  <c r="N11" i="14"/>
  <c r="M11" i="14"/>
  <c r="J10" i="7"/>
  <c r="K10" i="6"/>
  <c r="L10" i="6" s="1"/>
  <c r="G6" i="5"/>
  <c r="C10" i="13"/>
  <c r="C12" i="13" s="1"/>
  <c r="X35" i="7"/>
  <c r="AX35" i="7" s="1"/>
  <c r="AX34" i="7"/>
  <c r="AX47" i="7"/>
  <c r="X48" i="7"/>
  <c r="AX48" i="7" s="1"/>
  <c r="D49" i="7"/>
  <c r="J3" i="7"/>
  <c r="E34" i="3"/>
  <c r="B39" i="3"/>
  <c r="B6" i="9" s="1"/>
  <c r="H5" i="5" l="1"/>
  <c r="AS54" i="6"/>
  <c r="AY13" i="7"/>
  <c r="G35" i="3"/>
  <c r="D51" i="7"/>
  <c r="P3" i="29"/>
  <c r="Q3" i="29" s="1"/>
  <c r="K35" i="29"/>
  <c r="N18" i="7"/>
  <c r="O18" i="6"/>
  <c r="AT14" i="6"/>
  <c r="AT5" i="6"/>
  <c r="AT4" i="6"/>
  <c r="AT10" i="6"/>
  <c r="AT9" i="6"/>
  <c r="AT12" i="6"/>
  <c r="T9" i="12"/>
  <c r="T25" i="29"/>
  <c r="S3" i="29"/>
  <c r="G23" i="4"/>
  <c r="L6" i="12"/>
  <c r="H6" i="12"/>
  <c r="R6" i="12"/>
  <c r="O6" i="12"/>
  <c r="AQ6" i="12"/>
  <c r="G23" i="7"/>
  <c r="G24" i="7" s="1"/>
  <c r="G51" i="7" s="1"/>
  <c r="G62" i="7" s="1"/>
  <c r="D52" i="6"/>
  <c r="D54" i="6" s="1"/>
  <c r="L2" i="7"/>
  <c r="M2" i="6"/>
  <c r="AS3" i="29"/>
  <c r="J6" i="7"/>
  <c r="T3" i="29"/>
  <c r="J3" i="29"/>
  <c r="N3" i="29"/>
  <c r="N17" i="12"/>
  <c r="N27" i="29"/>
  <c r="D46" i="29" s="1"/>
  <c r="G24" i="29"/>
  <c r="D8" i="13"/>
  <c r="D9" i="13" s="1"/>
  <c r="D10" i="13" s="1"/>
  <c r="C19" i="9"/>
  <c r="D52" i="3"/>
  <c r="B38" i="9"/>
  <c r="B37" i="9" s="1"/>
  <c r="P19" i="8"/>
  <c r="B18" i="9"/>
  <c r="P18" i="8" s="1"/>
  <c r="B23" i="9"/>
  <c r="P23" i="8" s="1"/>
  <c r="J7" i="7"/>
  <c r="D66" i="7"/>
  <c r="D65" i="7"/>
  <c r="D64" i="7"/>
  <c r="D53" i="7"/>
  <c r="D52" i="7"/>
  <c r="C87" i="6"/>
  <c r="D87" i="6" s="1"/>
  <c r="E87" i="6" s="1"/>
  <c r="F87" i="6" s="1"/>
  <c r="G87" i="6" s="1"/>
  <c r="H87" i="6" s="1"/>
  <c r="I87" i="6" s="1"/>
  <c r="J87" i="6" s="1"/>
  <c r="K87" i="6" s="1"/>
  <c r="L87" i="6" s="1"/>
  <c r="K12" i="7"/>
  <c r="AT12" i="7" s="1"/>
  <c r="G49" i="7"/>
  <c r="E12" i="11"/>
  <c r="F12" i="11" s="1"/>
  <c r="G9" i="11"/>
  <c r="G4" i="17"/>
  <c r="G26" i="17" s="1"/>
  <c r="F4" i="17"/>
  <c r="F26" i="17" s="1"/>
  <c r="D62" i="7"/>
  <c r="AS20" i="7"/>
  <c r="C79" i="6"/>
  <c r="D79" i="6" s="1"/>
  <c r="E79" i="6" s="1"/>
  <c r="F79" i="6" s="1"/>
  <c r="G79" i="6" s="1"/>
  <c r="H79" i="6" s="1"/>
  <c r="I79" i="6" s="1"/>
  <c r="J79" i="6" s="1"/>
  <c r="K79" i="6" s="1"/>
  <c r="L79" i="6" s="1"/>
  <c r="K3" i="7"/>
  <c r="J56" i="7"/>
  <c r="J58" i="6"/>
  <c r="J58" i="7" s="1"/>
  <c r="K9" i="7"/>
  <c r="C84" i="6"/>
  <c r="K15" i="6"/>
  <c r="K16" i="6" s="1"/>
  <c r="AG13" i="7"/>
  <c r="AH13" i="7" s="1"/>
  <c r="AI13" i="7" s="1"/>
  <c r="AJ13" i="7" s="1"/>
  <c r="B34" i="9"/>
  <c r="B33" i="9" s="1"/>
  <c r="B7" i="9"/>
  <c r="H20" i="7"/>
  <c r="I20" i="6"/>
  <c r="H23" i="6"/>
  <c r="J15" i="7"/>
  <c r="J2" i="5"/>
  <c r="H22" i="12" s="1"/>
  <c r="I5" i="5"/>
  <c r="F24" i="7"/>
  <c r="F51" i="7" s="1"/>
  <c r="F62" i="7" s="1"/>
  <c r="F49" i="7"/>
  <c r="D4" i="16"/>
  <c r="E4" i="16" s="1"/>
  <c r="H10" i="4"/>
  <c r="H31" i="4" s="1"/>
  <c r="H21" i="7"/>
  <c r="I21" i="6"/>
  <c r="AS55" i="6"/>
  <c r="C4" i="19"/>
  <c r="E4" i="19" s="1"/>
  <c r="C10" i="11"/>
  <c r="E54" i="6"/>
  <c r="V4" i="4"/>
  <c r="K14" i="7"/>
  <c r="AT14" i="7" s="1"/>
  <c r="C89" i="6"/>
  <c r="D89" i="6" s="1"/>
  <c r="E89" i="6" s="1"/>
  <c r="F89" i="6" s="1"/>
  <c r="G89" i="6" s="1"/>
  <c r="H89" i="6" s="1"/>
  <c r="I89" i="6" s="1"/>
  <c r="J89" i="6" s="1"/>
  <c r="K89" i="6" s="1"/>
  <c r="L89" i="6" s="1"/>
  <c r="B8" i="13"/>
  <c r="J27" i="3"/>
  <c r="J33" i="3" s="1"/>
  <c r="I26" i="3"/>
  <c r="I12" i="12" s="1"/>
  <c r="G4" i="18"/>
  <c r="G26" i="18" s="1"/>
  <c r="F4" i="18"/>
  <c r="F26" i="18" s="1"/>
  <c r="D5" i="10"/>
  <c r="I7" i="7"/>
  <c r="M2" i="5"/>
  <c r="K22" i="12" s="1"/>
  <c r="L5" i="5"/>
  <c r="K5" i="7"/>
  <c r="AT5" i="7" s="1"/>
  <c r="C81" i="6"/>
  <c r="D81" i="6" s="1"/>
  <c r="E81" i="6" s="1"/>
  <c r="F81" i="6" s="1"/>
  <c r="G81" i="6" s="1"/>
  <c r="H81" i="6" s="1"/>
  <c r="I81" i="6" s="1"/>
  <c r="J81" i="6" s="1"/>
  <c r="K81" i="6" s="1"/>
  <c r="L81" i="6" s="1"/>
  <c r="E14" i="12"/>
  <c r="B38" i="12" s="1"/>
  <c r="B8" i="9" s="1"/>
  <c r="B38" i="3"/>
  <c r="B7" i="8" s="1"/>
  <c r="F3" i="13"/>
  <c r="K10" i="7"/>
  <c r="AT10" i="7" s="1"/>
  <c r="C85" i="6"/>
  <c r="D85" i="6" s="1"/>
  <c r="E85" i="6" s="1"/>
  <c r="F85" i="6" s="1"/>
  <c r="G85" i="6" s="1"/>
  <c r="H85" i="6" s="1"/>
  <c r="I85" i="6" s="1"/>
  <c r="J85" i="6" s="1"/>
  <c r="K85" i="6" s="1"/>
  <c r="L85" i="6" s="1"/>
  <c r="AT56" i="6"/>
  <c r="G24" i="6"/>
  <c r="G49" i="6"/>
  <c r="AS23" i="6"/>
  <c r="J16" i="6"/>
  <c r="I22" i="6"/>
  <c r="H22" i="7"/>
  <c r="F54" i="6"/>
  <c r="F14" i="12"/>
  <c r="H2" i="12"/>
  <c r="I22" i="29" s="1"/>
  <c r="M11" i="7"/>
  <c r="N11" i="6"/>
  <c r="E63" i="7"/>
  <c r="F26" i="4"/>
  <c r="P2" i="5"/>
  <c r="N22" i="12" s="1"/>
  <c r="K4" i="7"/>
  <c r="AT4" i="7" s="1"/>
  <c r="C80" i="6"/>
  <c r="D80" i="6" s="1"/>
  <c r="E80" i="6" s="1"/>
  <c r="F80" i="6" s="1"/>
  <c r="G80" i="6" s="1"/>
  <c r="H80" i="6" s="1"/>
  <c r="I80" i="6" s="1"/>
  <c r="J80" i="6" s="1"/>
  <c r="K80" i="6" s="1"/>
  <c r="L80" i="6" s="1"/>
  <c r="K6" i="6"/>
  <c r="AT6" i="6" s="1"/>
  <c r="AT3" i="7"/>
  <c r="D43" i="12"/>
  <c r="J18" i="9"/>
  <c r="X18" i="8" s="1"/>
  <c r="J46" i="3"/>
  <c r="G34" i="3" l="1"/>
  <c r="G14" i="12" s="1"/>
  <c r="AS23" i="7"/>
  <c r="AU18" i="6"/>
  <c r="O18" i="7"/>
  <c r="AU18" i="7" s="1"/>
  <c r="P18" i="6"/>
  <c r="AT15" i="6"/>
  <c r="U9" i="12"/>
  <c r="F33" i="12" s="1"/>
  <c r="U25" i="29"/>
  <c r="W3" i="29"/>
  <c r="H23" i="4"/>
  <c r="S6" i="12"/>
  <c r="P6" i="12"/>
  <c r="M6" i="12"/>
  <c r="I6" i="12"/>
  <c r="AR6" i="12"/>
  <c r="AT16" i="6"/>
  <c r="C91" i="6"/>
  <c r="D84" i="6"/>
  <c r="AS24" i="7"/>
  <c r="AS51" i="7"/>
  <c r="B14" i="8" s="1"/>
  <c r="P14" i="8" s="1"/>
  <c r="C82" i="6"/>
  <c r="N2" i="6"/>
  <c r="M2" i="7"/>
  <c r="AT3" i="29"/>
  <c r="U3" i="29"/>
  <c r="R3" i="29"/>
  <c r="K6" i="7"/>
  <c r="K7" i="7" s="1"/>
  <c r="AT7" i="7" s="1"/>
  <c r="O17" i="12"/>
  <c r="O27" i="29"/>
  <c r="C36" i="12"/>
  <c r="J26" i="29"/>
  <c r="C45" i="29" s="1"/>
  <c r="K24" i="29"/>
  <c r="H24" i="29"/>
  <c r="AZ13" i="7"/>
  <c r="D19" i="9"/>
  <c r="E52" i="3"/>
  <c r="Q19" i="8"/>
  <c r="C23" i="9"/>
  <c r="Q23" i="8" s="1"/>
  <c r="C38" i="9"/>
  <c r="C37" i="9" s="1"/>
  <c r="C18" i="9"/>
  <c r="Q18" i="8" s="1"/>
  <c r="K7" i="6"/>
  <c r="AT7" i="6" s="1"/>
  <c r="N11" i="7"/>
  <c r="O11" i="6"/>
  <c r="AU11" i="6" s="1"/>
  <c r="D4" i="15"/>
  <c r="E4" i="15" s="1"/>
  <c r="I10" i="4"/>
  <c r="I31" i="4" s="1"/>
  <c r="D10" i="11"/>
  <c r="G4" i="19"/>
  <c r="G27" i="19" s="1"/>
  <c r="F4" i="19"/>
  <c r="F27" i="19" s="1"/>
  <c r="F66" i="7"/>
  <c r="F65" i="7"/>
  <c r="F64" i="7"/>
  <c r="F53" i="7"/>
  <c r="F61" i="7" s="1"/>
  <c r="F52" i="7"/>
  <c r="J5" i="5"/>
  <c r="K2" i="5"/>
  <c r="I22" i="12" s="1"/>
  <c r="H23" i="7"/>
  <c r="L3" i="7"/>
  <c r="M3" i="6"/>
  <c r="G65" i="7"/>
  <c r="G66" i="7"/>
  <c r="G64" i="7"/>
  <c r="G53" i="7"/>
  <c r="G61" i="7" s="1"/>
  <c r="G52" i="7"/>
  <c r="G50" i="7"/>
  <c r="AS50" i="7" s="1"/>
  <c r="G65" i="6"/>
  <c r="B73" i="6" s="1"/>
  <c r="G64" i="6"/>
  <c r="B72" i="6" s="1"/>
  <c r="G63" i="6"/>
  <c r="B71" i="6" s="1"/>
  <c r="G53" i="6"/>
  <c r="G60" i="6" s="1"/>
  <c r="B68" i="6" s="1"/>
  <c r="G50" i="6"/>
  <c r="L10" i="7"/>
  <c r="M10" i="6"/>
  <c r="B21" i="8"/>
  <c r="B6" i="8"/>
  <c r="P6" i="8" s="1"/>
  <c r="L5" i="7"/>
  <c r="M5" i="6"/>
  <c r="D11" i="13"/>
  <c r="D7" i="10"/>
  <c r="D6" i="10"/>
  <c r="T2" i="5"/>
  <c r="R22" i="12" s="1"/>
  <c r="G26" i="4"/>
  <c r="L6" i="6"/>
  <c r="K27" i="3"/>
  <c r="K33" i="3" s="1"/>
  <c r="J26" i="3"/>
  <c r="J12" i="12" s="1"/>
  <c r="K26" i="29" s="1"/>
  <c r="L14" i="7"/>
  <c r="M14" i="6"/>
  <c r="X4" i="4"/>
  <c r="W4" i="4"/>
  <c r="J10" i="4" s="1"/>
  <c r="J31" i="4" s="1"/>
  <c r="I21" i="7"/>
  <c r="J21" i="6"/>
  <c r="H24" i="6"/>
  <c r="P7" i="8"/>
  <c r="B70" i="7"/>
  <c r="D54" i="7"/>
  <c r="D63" i="7"/>
  <c r="L4" i="7"/>
  <c r="M4" i="6"/>
  <c r="P5" i="5"/>
  <c r="Q2" i="5"/>
  <c r="O22" i="12" s="1"/>
  <c r="I2" i="12"/>
  <c r="I22" i="7"/>
  <c r="J22" i="6"/>
  <c r="G51" i="6"/>
  <c r="G61" i="6" s="1"/>
  <c r="B69" i="6" s="1"/>
  <c r="AS24" i="6"/>
  <c r="K56" i="7"/>
  <c r="AT56" i="7" s="1"/>
  <c r="K58" i="6"/>
  <c r="K58" i="7" s="1"/>
  <c r="AT58" i="7" s="1"/>
  <c r="C10" i="8" s="1"/>
  <c r="B9" i="9"/>
  <c r="P8" i="8"/>
  <c r="J3" i="13"/>
  <c r="J16" i="7"/>
  <c r="AK13" i="7"/>
  <c r="AL13" i="7" s="1"/>
  <c r="AM13" i="7" s="1"/>
  <c r="AN13" i="7" s="1"/>
  <c r="K15" i="7"/>
  <c r="K16" i="7" s="1"/>
  <c r="AT9" i="7"/>
  <c r="E13" i="11"/>
  <c r="D61" i="7"/>
  <c r="K18" i="9"/>
  <c r="Y18" i="8" s="1"/>
  <c r="K46" i="3"/>
  <c r="E43" i="12"/>
  <c r="N2" i="5"/>
  <c r="L22" i="12" s="1"/>
  <c r="M5" i="5"/>
  <c r="B10" i="13"/>
  <c r="C4" i="20"/>
  <c r="E4" i="20" s="1"/>
  <c r="G4" i="16"/>
  <c r="G26" i="16" s="1"/>
  <c r="F4" i="16"/>
  <c r="F26" i="16" s="1"/>
  <c r="G3" i="13"/>
  <c r="L10" i="11"/>
  <c r="I20" i="7"/>
  <c r="I23" i="7" s="1"/>
  <c r="J20" i="6"/>
  <c r="I23" i="6"/>
  <c r="L9" i="7"/>
  <c r="M9" i="6"/>
  <c r="L15" i="6"/>
  <c r="L12" i="7"/>
  <c r="M12" i="6"/>
  <c r="AS49" i="7"/>
  <c r="H34" i="3" l="1"/>
  <c r="H14" i="12" s="1"/>
  <c r="H35" i="3"/>
  <c r="K10" i="4"/>
  <c r="K31" i="4" s="1"/>
  <c r="Q18" i="6"/>
  <c r="P18" i="7"/>
  <c r="C92" i="6"/>
  <c r="AT58" i="6"/>
  <c r="C10" i="9" s="1"/>
  <c r="C12" i="9" s="1"/>
  <c r="C22" i="9" s="1"/>
  <c r="V9" i="12"/>
  <c r="V25" i="29"/>
  <c r="F44" i="29" s="1"/>
  <c r="AE3" i="29"/>
  <c r="J23" i="4"/>
  <c r="AA3" i="29"/>
  <c r="I23" i="4"/>
  <c r="X3" i="29"/>
  <c r="V6" i="12"/>
  <c r="D35" i="29"/>
  <c r="C35" i="29"/>
  <c r="W6" i="12"/>
  <c r="Q6" i="12"/>
  <c r="T6" i="12"/>
  <c r="AS6" i="12"/>
  <c r="B74" i="7"/>
  <c r="E84" i="6"/>
  <c r="D91" i="6"/>
  <c r="L6" i="7"/>
  <c r="L7" i="7" s="1"/>
  <c r="AS52" i="7"/>
  <c r="B72" i="7"/>
  <c r="M6" i="6"/>
  <c r="B73" i="7"/>
  <c r="AS53" i="7"/>
  <c r="B15" i="8" s="1"/>
  <c r="P15" i="8" s="1"/>
  <c r="B69" i="7"/>
  <c r="B75" i="7" s="1"/>
  <c r="G63" i="7"/>
  <c r="F54" i="7"/>
  <c r="O2" i="6"/>
  <c r="AU2" i="6" s="1"/>
  <c r="N2" i="7"/>
  <c r="AT6" i="7"/>
  <c r="V3" i="29"/>
  <c r="I35" i="3"/>
  <c r="C39" i="3" s="1"/>
  <c r="P11" i="6"/>
  <c r="AT15" i="7"/>
  <c r="AT16" i="7"/>
  <c r="C26" i="12"/>
  <c r="C24" i="8" s="1"/>
  <c r="J22" i="29"/>
  <c r="C41" i="29" s="1"/>
  <c r="P17" i="12"/>
  <c r="P27" i="29"/>
  <c r="O24" i="29"/>
  <c r="K5" i="5"/>
  <c r="I3" i="13" s="1"/>
  <c r="E16" i="5"/>
  <c r="E20" i="5" s="1"/>
  <c r="L24" i="29"/>
  <c r="I24" i="29"/>
  <c r="D12" i="13"/>
  <c r="E19" i="9"/>
  <c r="F52" i="3"/>
  <c r="D23" i="9"/>
  <c r="R23" i="8" s="1"/>
  <c r="R19" i="8"/>
  <c r="D18" i="9"/>
  <c r="R18" i="8" s="1"/>
  <c r="D38" i="9"/>
  <c r="D37" i="9" s="1"/>
  <c r="B12" i="13"/>
  <c r="I24" i="6"/>
  <c r="I51" i="6" s="1"/>
  <c r="I61" i="6" s="1"/>
  <c r="J20" i="7"/>
  <c r="K20" i="6"/>
  <c r="AT20" i="6" s="1"/>
  <c r="J23" i="6"/>
  <c r="I24" i="7"/>
  <c r="I51" i="7" s="1"/>
  <c r="I62" i="7" s="1"/>
  <c r="I49" i="7"/>
  <c r="C4" i="21"/>
  <c r="E4" i="21" s="1"/>
  <c r="E14" i="11"/>
  <c r="G12" i="11" s="1"/>
  <c r="X2" i="5"/>
  <c r="V22" i="12" s="1"/>
  <c r="H26" i="4"/>
  <c r="C11" i="8"/>
  <c r="C12" i="8"/>
  <c r="C22" i="8" s="1"/>
  <c r="J2" i="12"/>
  <c r="K22" i="29" s="1"/>
  <c r="H65" i="6"/>
  <c r="H64" i="6"/>
  <c r="H63" i="6"/>
  <c r="H53" i="6"/>
  <c r="U2" i="5"/>
  <c r="S22" i="12" s="1"/>
  <c r="T5" i="5"/>
  <c r="B74" i="6"/>
  <c r="M3" i="7"/>
  <c r="N3" i="6"/>
  <c r="H24" i="7"/>
  <c r="H49" i="7"/>
  <c r="G4" i="15"/>
  <c r="G26" i="15" s="1"/>
  <c r="F4" i="15"/>
  <c r="F26" i="15" s="1"/>
  <c r="L16" i="6"/>
  <c r="M9" i="7"/>
  <c r="N9" i="6"/>
  <c r="M15" i="6"/>
  <c r="M16" i="6" s="1"/>
  <c r="M12" i="7"/>
  <c r="N12" i="6"/>
  <c r="L15" i="7"/>
  <c r="G4" i="20"/>
  <c r="G27" i="20" s="1"/>
  <c r="F4" i="20"/>
  <c r="F27" i="20" s="1"/>
  <c r="K3" i="13"/>
  <c r="J22" i="7"/>
  <c r="K22" i="6"/>
  <c r="AT22" i="6" s="1"/>
  <c r="N4" i="6"/>
  <c r="M4" i="7"/>
  <c r="H51" i="6"/>
  <c r="K26" i="3"/>
  <c r="K12" i="12" s="1"/>
  <c r="L26" i="29" s="1"/>
  <c r="L27" i="3"/>
  <c r="L33" i="3" s="1"/>
  <c r="N5" i="6"/>
  <c r="M5" i="7"/>
  <c r="G54" i="7"/>
  <c r="F63" i="7"/>
  <c r="B11" i="11"/>
  <c r="N5" i="5"/>
  <c r="O2" i="5"/>
  <c r="L18" i="9"/>
  <c r="Z18" i="8" s="1"/>
  <c r="L46" i="3"/>
  <c r="BA13" i="7"/>
  <c r="P9" i="8"/>
  <c r="R2" i="5"/>
  <c r="P22" i="12" s="1"/>
  <c r="Q5" i="5"/>
  <c r="L7" i="6"/>
  <c r="N10" i="6"/>
  <c r="M10" i="7"/>
  <c r="H3" i="13"/>
  <c r="AO13" i="7"/>
  <c r="AP13" i="7" s="1"/>
  <c r="AQ13" i="7" s="1"/>
  <c r="N3" i="13"/>
  <c r="J21" i="7"/>
  <c r="K21" i="6"/>
  <c r="AT21" i="6" s="1"/>
  <c r="M14" i="7"/>
  <c r="N14" i="6"/>
  <c r="F43" i="12"/>
  <c r="D13" i="13"/>
  <c r="D14" i="13"/>
  <c r="G52" i="6"/>
  <c r="G54" i="6" s="1"/>
  <c r="G55" i="6" s="1"/>
  <c r="O11" i="7"/>
  <c r="AU11" i="7" s="1"/>
  <c r="B2" i="2" l="1"/>
  <c r="K23" i="4"/>
  <c r="AI3" i="29"/>
  <c r="AJ3" i="29" s="1"/>
  <c r="AK3" i="29" s="1"/>
  <c r="O5" i="5"/>
  <c r="M3" i="13" s="1"/>
  <c r="M22" i="12"/>
  <c r="M7" i="6"/>
  <c r="C41" i="9"/>
  <c r="C39" i="9"/>
  <c r="AH6" i="12"/>
  <c r="I34" i="3"/>
  <c r="I14" i="12" s="1"/>
  <c r="C38" i="12" s="1"/>
  <c r="C49" i="12" s="1"/>
  <c r="Q18" i="7"/>
  <c r="R18" i="6"/>
  <c r="C11" i="9"/>
  <c r="C40" i="9" s="1"/>
  <c r="Q10" i="8"/>
  <c r="W9" i="12"/>
  <c r="W25" i="29"/>
  <c r="AF3" i="29"/>
  <c r="AB3" i="29"/>
  <c r="Z6" i="12"/>
  <c r="E35" i="29"/>
  <c r="AD6" i="12"/>
  <c r="Y3" i="29"/>
  <c r="L35" i="29"/>
  <c r="AE6" i="12"/>
  <c r="U6" i="12"/>
  <c r="AA6" i="12"/>
  <c r="AI6" i="12"/>
  <c r="H60" i="6"/>
  <c r="H61" i="6"/>
  <c r="F84" i="6"/>
  <c r="E91" i="6"/>
  <c r="G55" i="7"/>
  <c r="AS55" i="7" s="1"/>
  <c r="P2" i="6"/>
  <c r="O2" i="7"/>
  <c r="AU2" i="7" s="1"/>
  <c r="Q22" i="8"/>
  <c r="Q12" i="8"/>
  <c r="Q17" i="12"/>
  <c r="E41" i="12" s="1"/>
  <c r="Q27" i="29"/>
  <c r="K6" i="5"/>
  <c r="C19" i="13"/>
  <c r="C5" i="14" s="1"/>
  <c r="P24" i="29"/>
  <c r="M24" i="29"/>
  <c r="D30" i="12"/>
  <c r="C30" i="12"/>
  <c r="F16" i="5"/>
  <c r="F20" i="5" s="1"/>
  <c r="S24" i="29"/>
  <c r="N24" i="29"/>
  <c r="M6" i="7"/>
  <c r="M7" i="7" s="1"/>
  <c r="F19" i="9"/>
  <c r="G52" i="3"/>
  <c r="E38" i="9"/>
  <c r="E37" i="9" s="1"/>
  <c r="E23" i="9"/>
  <c r="S23" i="8" s="1"/>
  <c r="E18" i="9"/>
  <c r="S18" i="8" s="1"/>
  <c r="S19" i="8"/>
  <c r="O3" i="13"/>
  <c r="L3" i="13"/>
  <c r="L26" i="3"/>
  <c r="L12" i="12" s="1"/>
  <c r="M26" i="29" s="1"/>
  <c r="M27" i="3"/>
  <c r="M33" i="3" s="1"/>
  <c r="N12" i="7"/>
  <c r="O12" i="6"/>
  <c r="P12" i="6" s="1"/>
  <c r="M15" i="7"/>
  <c r="M16" i="7" s="1"/>
  <c r="N3" i="7"/>
  <c r="O3" i="6"/>
  <c r="R3" i="13"/>
  <c r="H52" i="6"/>
  <c r="K2" i="12"/>
  <c r="L22" i="29" s="1"/>
  <c r="N6" i="6"/>
  <c r="C38" i="3"/>
  <c r="C7" i="8" s="1"/>
  <c r="E15" i="11"/>
  <c r="L13" i="11" s="1"/>
  <c r="J23" i="7"/>
  <c r="D15" i="13"/>
  <c r="K21" i="7"/>
  <c r="AT21" i="7" s="1"/>
  <c r="L21" i="6"/>
  <c r="BB13" i="7"/>
  <c r="BC13" i="7" s="1"/>
  <c r="R5" i="5"/>
  <c r="S2" i="5"/>
  <c r="B27" i="12"/>
  <c r="E18" i="12"/>
  <c r="AS54" i="7"/>
  <c r="N4" i="7"/>
  <c r="O4" i="6"/>
  <c r="P4" i="6" s="1"/>
  <c r="H66" i="7"/>
  <c r="H65" i="7"/>
  <c r="H64" i="7"/>
  <c r="H53" i="7"/>
  <c r="V2" i="5"/>
  <c r="T22" i="12" s="1"/>
  <c r="U5" i="5"/>
  <c r="C4" i="22"/>
  <c r="E4" i="22" s="1"/>
  <c r="I52" i="6"/>
  <c r="I53" i="6"/>
  <c r="I60" i="6" s="1"/>
  <c r="I65" i="6"/>
  <c r="I64" i="6"/>
  <c r="I63" i="6"/>
  <c r="Q11" i="6"/>
  <c r="P11" i="7"/>
  <c r="I26" i="4"/>
  <c r="AB2" i="5"/>
  <c r="Z22" i="12" s="1"/>
  <c r="N10" i="7"/>
  <c r="O10" i="6"/>
  <c r="P10" i="6" s="1"/>
  <c r="C11" i="11"/>
  <c r="N5" i="7"/>
  <c r="O5" i="6"/>
  <c r="P5" i="6" s="1"/>
  <c r="K22" i="7"/>
  <c r="AT22" i="7" s="1"/>
  <c r="L22" i="6"/>
  <c r="G43" i="12"/>
  <c r="G4" i="21"/>
  <c r="G27" i="21" s="1"/>
  <c r="F4" i="21"/>
  <c r="F27" i="21" s="1"/>
  <c r="J24" i="6"/>
  <c r="N14" i="7"/>
  <c r="O14" i="6"/>
  <c r="P14" i="6" s="1"/>
  <c r="C7" i="9"/>
  <c r="C6" i="9"/>
  <c r="AF2" i="5"/>
  <c r="AD22" i="12" s="1"/>
  <c r="J26" i="4"/>
  <c r="L16" i="7"/>
  <c r="N9" i="7"/>
  <c r="N15" i="6"/>
  <c r="O9" i="6"/>
  <c r="H51" i="7"/>
  <c r="X5" i="5"/>
  <c r="Y2" i="5"/>
  <c r="W22" i="12" s="1"/>
  <c r="I66" i="7"/>
  <c r="I65" i="7"/>
  <c r="I64" i="7"/>
  <c r="I53" i="7"/>
  <c r="I61" i="7" s="1"/>
  <c r="I52" i="7"/>
  <c r="K20" i="7"/>
  <c r="L20" i="6"/>
  <c r="K23" i="6"/>
  <c r="AT23" i="6" s="1"/>
  <c r="O6" i="5" l="1"/>
  <c r="S5" i="5"/>
  <c r="Q3" i="13" s="1"/>
  <c r="Q22" i="12"/>
  <c r="Q11" i="8"/>
  <c r="J35" i="3"/>
  <c r="J34" i="3"/>
  <c r="J14" i="12" s="1"/>
  <c r="X6" i="12"/>
  <c r="AG3" i="29"/>
  <c r="AH3" i="29" s="1"/>
  <c r="R18" i="7"/>
  <c r="S18" i="6"/>
  <c r="AU14" i="6"/>
  <c r="P3" i="6"/>
  <c r="AU3" i="6"/>
  <c r="P2" i="7"/>
  <c r="AU5" i="6"/>
  <c r="AU4" i="6"/>
  <c r="AU12" i="6"/>
  <c r="P9" i="6"/>
  <c r="AU9" i="6"/>
  <c r="AU10" i="6"/>
  <c r="X9" i="12"/>
  <c r="X25" i="29"/>
  <c r="AC3" i="29"/>
  <c r="AD3" i="29" s="1"/>
  <c r="Z3" i="29"/>
  <c r="F35" i="29"/>
  <c r="AB6" i="12"/>
  <c r="AJ6" i="12"/>
  <c r="AF6" i="12"/>
  <c r="H54" i="6"/>
  <c r="G84" i="6"/>
  <c r="F91" i="6"/>
  <c r="O6" i="6"/>
  <c r="D43" i="29"/>
  <c r="AL3" i="29"/>
  <c r="N6" i="7"/>
  <c r="N7" i="7" s="1"/>
  <c r="I54" i="6"/>
  <c r="R17" i="12"/>
  <c r="R27" i="29"/>
  <c r="E46" i="29" s="1"/>
  <c r="C32" i="12"/>
  <c r="J24" i="29"/>
  <c r="W24" i="29"/>
  <c r="T24" i="29"/>
  <c r="Q24" i="29"/>
  <c r="R24" i="29"/>
  <c r="E30" i="12"/>
  <c r="G16" i="5"/>
  <c r="G20" i="5" s="1"/>
  <c r="D19" i="13"/>
  <c r="D5" i="14" s="1"/>
  <c r="H52" i="3"/>
  <c r="G19" i="9"/>
  <c r="T19" i="8"/>
  <c r="F18" i="9"/>
  <c r="F38" i="9"/>
  <c r="F37" i="9" s="1"/>
  <c r="F23" i="9"/>
  <c r="T23" i="8" s="1"/>
  <c r="I54" i="7"/>
  <c r="G3" i="12" s="1"/>
  <c r="H62" i="7"/>
  <c r="N15" i="7"/>
  <c r="O14" i="7"/>
  <c r="AU14" i="7" s="1"/>
  <c r="J65" i="6"/>
  <c r="J64" i="6"/>
  <c r="J63" i="6"/>
  <c r="J53" i="6"/>
  <c r="J60" i="6" s="1"/>
  <c r="Q11" i="7"/>
  <c r="R11" i="6"/>
  <c r="C8" i="9"/>
  <c r="V5" i="5"/>
  <c r="W2" i="5"/>
  <c r="L21" i="7"/>
  <c r="M21" i="6"/>
  <c r="C6" i="8"/>
  <c r="Q6" i="8" s="1"/>
  <c r="C21" i="8"/>
  <c r="J51" i="6"/>
  <c r="D11" i="11"/>
  <c r="AC2" i="5"/>
  <c r="AA22" i="12" s="1"/>
  <c r="AB5" i="5"/>
  <c r="H52" i="7"/>
  <c r="O4" i="7"/>
  <c r="AU4" i="7" s="1"/>
  <c r="N7" i="6"/>
  <c r="C34" i="9"/>
  <c r="C33" i="9" s="1"/>
  <c r="L20" i="7"/>
  <c r="M20" i="6"/>
  <c r="L23" i="6"/>
  <c r="L49" i="6" s="1"/>
  <c r="L56" i="6" s="1"/>
  <c r="Q2" i="6"/>
  <c r="Q2" i="7" s="1"/>
  <c r="O9" i="7"/>
  <c r="O15" i="6"/>
  <c r="M22" i="6"/>
  <c r="L22" i="7"/>
  <c r="O5" i="7"/>
  <c r="AU5" i="7" s="1"/>
  <c r="H43" i="12"/>
  <c r="C4" i="23"/>
  <c r="E4" i="23" s="1"/>
  <c r="E4" i="13"/>
  <c r="B42" i="12"/>
  <c r="E19" i="12"/>
  <c r="P3" i="13"/>
  <c r="J24" i="7"/>
  <c r="J49" i="7"/>
  <c r="E16" i="11"/>
  <c r="O3" i="7"/>
  <c r="D32" i="12"/>
  <c r="K24" i="6"/>
  <c r="K51" i="6" s="1"/>
  <c r="K61" i="6" s="1"/>
  <c r="I63" i="7"/>
  <c r="Z2" i="5"/>
  <c r="X22" i="12" s="1"/>
  <c r="Y5" i="5"/>
  <c r="I43" i="12"/>
  <c r="Q7" i="8"/>
  <c r="K23" i="7"/>
  <c r="AT20" i="7"/>
  <c r="V3" i="13"/>
  <c r="N16" i="6"/>
  <c r="AG2" i="5"/>
  <c r="AE22" i="12" s="1"/>
  <c r="AF5" i="5"/>
  <c r="O10" i="7"/>
  <c r="AU10" i="7" s="1"/>
  <c r="F4" i="22"/>
  <c r="F27" i="22" s="1"/>
  <c r="G4" i="22"/>
  <c r="G27" i="22" s="1"/>
  <c r="S3" i="13"/>
  <c r="H61" i="7"/>
  <c r="H63" i="7"/>
  <c r="L2" i="12"/>
  <c r="M22" i="29" s="1"/>
  <c r="O12" i="7"/>
  <c r="AU12" i="7" s="1"/>
  <c r="N27" i="3"/>
  <c r="N33" i="3" s="1"/>
  <c r="M26" i="3"/>
  <c r="M12" i="12" s="1"/>
  <c r="S6" i="5" l="1"/>
  <c r="W5" i="5"/>
  <c r="W6" i="5" s="1"/>
  <c r="U22" i="12"/>
  <c r="L58" i="6"/>
  <c r="L58" i="7" s="1"/>
  <c r="L56" i="7"/>
  <c r="K35" i="3"/>
  <c r="K34" i="3"/>
  <c r="K14" i="12" s="1"/>
  <c r="T18" i="6"/>
  <c r="S18" i="7"/>
  <c r="AV18" i="7" s="1"/>
  <c r="AV18" i="6"/>
  <c r="O7" i="6"/>
  <c r="AU7" i="6" s="1"/>
  <c r="AU6" i="6"/>
  <c r="O16" i="6"/>
  <c r="AU16" i="6" s="1"/>
  <c r="AU15" i="6"/>
  <c r="Y9" i="12"/>
  <c r="G33" i="12" s="1"/>
  <c r="Y25" i="29"/>
  <c r="Y6" i="12"/>
  <c r="G35" i="29"/>
  <c r="AC6" i="12"/>
  <c r="AK6" i="12"/>
  <c r="AG6" i="12"/>
  <c r="J61" i="6"/>
  <c r="C69" i="6" s="1"/>
  <c r="AT51" i="6"/>
  <c r="AT24" i="6"/>
  <c r="H84" i="6"/>
  <c r="G91" i="6"/>
  <c r="D82" i="6"/>
  <c r="D92" i="6" s="1"/>
  <c r="C43" i="29"/>
  <c r="E43" i="29"/>
  <c r="G5" i="12"/>
  <c r="H13" i="29" s="1"/>
  <c r="H23" i="29"/>
  <c r="H28" i="29" s="1"/>
  <c r="S17" i="12"/>
  <c r="S27" i="29"/>
  <c r="D36" i="12"/>
  <c r="N26" i="29"/>
  <c r="D45" i="29" s="1"/>
  <c r="H16" i="5"/>
  <c r="H20" i="5" s="1"/>
  <c r="E19" i="13"/>
  <c r="E5" i="14" s="1"/>
  <c r="AA24" i="29"/>
  <c r="V24" i="29"/>
  <c r="AE24" i="29"/>
  <c r="X24" i="29"/>
  <c r="O6" i="7"/>
  <c r="AU6" i="7" s="1"/>
  <c r="AU3" i="7"/>
  <c r="P6" i="6"/>
  <c r="E32" i="12"/>
  <c r="T18" i="8"/>
  <c r="G18" i="9"/>
  <c r="U18" i="8" s="1"/>
  <c r="U19" i="8"/>
  <c r="G38" i="9"/>
  <c r="G37" i="9" s="1"/>
  <c r="G23" i="9"/>
  <c r="U23" i="8" s="1"/>
  <c r="H19" i="9"/>
  <c r="I52" i="3"/>
  <c r="O27" i="3"/>
  <c r="O33" i="3" s="1"/>
  <c r="N26" i="3"/>
  <c r="N12" i="12" s="1"/>
  <c r="O26" i="29" s="1"/>
  <c r="AH2" i="5"/>
  <c r="AF22" i="12" s="1"/>
  <c r="AG5" i="5"/>
  <c r="K24" i="7"/>
  <c r="K51" i="7" s="1"/>
  <c r="K62" i="7" s="1"/>
  <c r="K49" i="7"/>
  <c r="K50" i="7" s="1"/>
  <c r="AT50" i="7" s="1"/>
  <c r="Z5" i="5"/>
  <c r="AA2" i="5"/>
  <c r="K65" i="6"/>
  <c r="C73" i="6" s="1"/>
  <c r="C45" i="9" s="1"/>
  <c r="K64" i="6"/>
  <c r="C72" i="6" s="1"/>
  <c r="C44" i="9" s="1"/>
  <c r="K63" i="6"/>
  <c r="C71" i="6" s="1"/>
  <c r="C43" i="9" s="1"/>
  <c r="K53" i="6"/>
  <c r="K60" i="6" s="1"/>
  <c r="C68" i="6" s="1"/>
  <c r="K52" i="6"/>
  <c r="E6" i="13"/>
  <c r="B20" i="13"/>
  <c r="B6" i="14" s="1"/>
  <c r="P5" i="7"/>
  <c r="Q5" i="6"/>
  <c r="AD2" i="5"/>
  <c r="AB22" i="12" s="1"/>
  <c r="AC5" i="5"/>
  <c r="C9" i="9"/>
  <c r="Q8" i="8"/>
  <c r="K50" i="6"/>
  <c r="AT50" i="6" s="1"/>
  <c r="P10" i="7"/>
  <c r="Q10" i="6"/>
  <c r="P3" i="7"/>
  <c r="Q3" i="6"/>
  <c r="AT23" i="7"/>
  <c r="AJ2" i="5"/>
  <c r="AH22" i="12" s="1"/>
  <c r="K26" i="4"/>
  <c r="M22" i="7"/>
  <c r="N22" i="6"/>
  <c r="O15" i="7"/>
  <c r="O16" i="7" s="1"/>
  <c r="L23" i="7"/>
  <c r="AU9" i="7"/>
  <c r="P14" i="7"/>
  <c r="Q14" i="6"/>
  <c r="E17" i="11"/>
  <c r="J66" i="7"/>
  <c r="J65" i="7"/>
  <c r="J64" i="7"/>
  <c r="J53" i="7"/>
  <c r="C4" i="24"/>
  <c r="E4" i="24" s="1"/>
  <c r="L24" i="6"/>
  <c r="P4" i="7"/>
  <c r="Q4" i="6"/>
  <c r="Z3" i="13"/>
  <c r="R11" i="7"/>
  <c r="S11" i="6"/>
  <c r="AV11" i="6" s="1"/>
  <c r="J52" i="6"/>
  <c r="N16" i="7"/>
  <c r="P12" i="7"/>
  <c r="Q12" i="6"/>
  <c r="M2" i="12"/>
  <c r="AD3" i="13"/>
  <c r="W3" i="13"/>
  <c r="J51" i="7"/>
  <c r="J52" i="7" s="1"/>
  <c r="F4" i="23"/>
  <c r="F27" i="23" s="1"/>
  <c r="G4" i="23"/>
  <c r="G27" i="23" s="1"/>
  <c r="P9" i="7"/>
  <c r="Q9" i="6"/>
  <c r="P15" i="6"/>
  <c r="R2" i="6"/>
  <c r="R2" i="7" s="1"/>
  <c r="M20" i="7"/>
  <c r="N20" i="6"/>
  <c r="M23" i="6"/>
  <c r="M49" i="6" s="1"/>
  <c r="M56" i="6" s="1"/>
  <c r="H54" i="7"/>
  <c r="H9" i="11"/>
  <c r="B12" i="11"/>
  <c r="M21" i="7"/>
  <c r="N21" i="6"/>
  <c r="F30" i="12"/>
  <c r="T3" i="13"/>
  <c r="U3" i="13" l="1"/>
  <c r="F19" i="13" s="1"/>
  <c r="F5" i="14" s="1"/>
  <c r="AA5" i="5"/>
  <c r="AA6" i="5" s="1"/>
  <c r="Y22" i="12"/>
  <c r="M58" i="6"/>
  <c r="M58" i="7" s="1"/>
  <c r="M56" i="7"/>
  <c r="AG12" i="29"/>
  <c r="AG16" i="29" s="1"/>
  <c r="AF10" i="12" s="1"/>
  <c r="G12" i="29"/>
  <c r="AC12" i="29"/>
  <c r="AC16" i="29" s="1"/>
  <c r="AB10" i="12" s="1"/>
  <c r="AD15" i="29"/>
  <c r="AC7" i="12" s="1"/>
  <c r="C12" i="29"/>
  <c r="D12" i="29"/>
  <c r="D16" i="29" s="1"/>
  <c r="E12" i="29"/>
  <c r="E16" i="29" s="1"/>
  <c r="AM12" i="29"/>
  <c r="AN12" i="29"/>
  <c r="L12" i="29"/>
  <c r="AO12" i="29"/>
  <c r="H12" i="29"/>
  <c r="AQ12" i="29"/>
  <c r="F12" i="29"/>
  <c r="F16" i="29" s="1"/>
  <c r="K12" i="29"/>
  <c r="I12" i="29"/>
  <c r="AP12" i="29"/>
  <c r="O12" i="29"/>
  <c r="M12" i="29"/>
  <c r="AR12" i="29"/>
  <c r="S12" i="29"/>
  <c r="N12" i="29"/>
  <c r="Q12" i="29"/>
  <c r="J12" i="29"/>
  <c r="P12" i="29"/>
  <c r="T12" i="29"/>
  <c r="AS12" i="29"/>
  <c r="R12" i="29"/>
  <c r="U12" i="29"/>
  <c r="W12" i="29"/>
  <c r="AT12" i="29"/>
  <c r="AA12" i="29"/>
  <c r="V12" i="29"/>
  <c r="X12" i="29"/>
  <c r="AE12" i="29"/>
  <c r="AI12" i="29"/>
  <c r="AB12" i="29"/>
  <c r="Y12" i="29"/>
  <c r="AF12" i="29"/>
  <c r="AK12" i="29"/>
  <c r="AJ12" i="29"/>
  <c r="AH12" i="29"/>
  <c r="Z12" i="29"/>
  <c r="AH15" i="29"/>
  <c r="AG7" i="12" s="1"/>
  <c r="AD12" i="29"/>
  <c r="L34" i="3"/>
  <c r="L14" i="12" s="1"/>
  <c r="AL12" i="29"/>
  <c r="T18" i="7"/>
  <c r="U18" i="6"/>
  <c r="P7" i="6"/>
  <c r="AU15" i="7"/>
  <c r="AT53" i="6"/>
  <c r="C15" i="9" s="1"/>
  <c r="C46" i="9" s="1"/>
  <c r="Z9" i="12"/>
  <c r="Z25" i="29"/>
  <c r="G44" i="29" s="1"/>
  <c r="H35" i="29"/>
  <c r="B4" i="2"/>
  <c r="C15" i="29"/>
  <c r="AM15" i="29"/>
  <c r="D15" i="29"/>
  <c r="AO15" i="29"/>
  <c r="AN7" i="12" s="1"/>
  <c r="E15" i="29"/>
  <c r="G15" i="29"/>
  <c r="K15" i="29"/>
  <c r="AN15" i="29"/>
  <c r="AM7" i="12" s="1"/>
  <c r="L15" i="29"/>
  <c r="K7" i="12" s="1"/>
  <c r="O15" i="29"/>
  <c r="H15" i="29"/>
  <c r="G7" i="12" s="1"/>
  <c r="AP15" i="29"/>
  <c r="AO7" i="12" s="1"/>
  <c r="F15" i="29"/>
  <c r="AQ15" i="29"/>
  <c r="M15" i="29"/>
  <c r="L7" i="12" s="1"/>
  <c r="P15" i="29"/>
  <c r="O7" i="12" s="1"/>
  <c r="AR15" i="29"/>
  <c r="AQ7" i="12" s="1"/>
  <c r="S15" i="29"/>
  <c r="I15" i="29"/>
  <c r="H7" i="12" s="1"/>
  <c r="T15" i="29"/>
  <c r="S7" i="12" s="1"/>
  <c r="W15" i="29"/>
  <c r="J15" i="29"/>
  <c r="I7" i="12" s="1"/>
  <c r="Q15" i="29"/>
  <c r="P7" i="12" s="1"/>
  <c r="N15" i="29"/>
  <c r="M7" i="12" s="1"/>
  <c r="AS15" i="29"/>
  <c r="AR7" i="12" s="1"/>
  <c r="AA15" i="29"/>
  <c r="X15" i="29"/>
  <c r="W7" i="12" s="1"/>
  <c r="R15" i="29"/>
  <c r="Q7" i="12" s="1"/>
  <c r="AI15" i="29"/>
  <c r="AH7" i="12" s="1"/>
  <c r="AE15" i="29"/>
  <c r="AD7" i="12" s="1"/>
  <c r="U15" i="29"/>
  <c r="T7" i="12" s="1"/>
  <c r="AT15" i="29"/>
  <c r="AS7" i="12" s="1"/>
  <c r="AF15" i="29"/>
  <c r="AE7" i="12" s="1"/>
  <c r="V15" i="29"/>
  <c r="U7" i="12" s="1"/>
  <c r="AB15" i="29"/>
  <c r="AA7" i="12" s="1"/>
  <c r="AJ15" i="29"/>
  <c r="AI7" i="12" s="1"/>
  <c r="Y15" i="29"/>
  <c r="X7" i="12" s="1"/>
  <c r="AK15" i="29"/>
  <c r="AJ7" i="12" s="1"/>
  <c r="AG15" i="29"/>
  <c r="AF7" i="12" s="1"/>
  <c r="AC15" i="29"/>
  <c r="AB7" i="12" s="1"/>
  <c r="Z15" i="29"/>
  <c r="Y7" i="12" s="1"/>
  <c r="AL15" i="29"/>
  <c r="AK7" i="12" s="1"/>
  <c r="I35" i="29"/>
  <c r="J35" i="29"/>
  <c r="J54" i="6"/>
  <c r="AT52" i="6"/>
  <c r="I84" i="6"/>
  <c r="H91" i="6"/>
  <c r="Q6" i="6"/>
  <c r="AT24" i="7"/>
  <c r="P6" i="7"/>
  <c r="P7" i="7" s="1"/>
  <c r="O7" i="7"/>
  <c r="AU7" i="7" s="1"/>
  <c r="T11" i="6"/>
  <c r="AT49" i="7"/>
  <c r="D26" i="12"/>
  <c r="D24" i="8" s="1"/>
  <c r="N22" i="29"/>
  <c r="D41" i="29" s="1"/>
  <c r="T17" i="12"/>
  <c r="T27" i="29"/>
  <c r="F32" i="12"/>
  <c r="U24" i="29"/>
  <c r="F43" i="29" s="1"/>
  <c r="Z24" i="29"/>
  <c r="I16" i="5"/>
  <c r="I20" i="5" s="1"/>
  <c r="Y24" i="29"/>
  <c r="AB24" i="29"/>
  <c r="AF24" i="29"/>
  <c r="AU16" i="7"/>
  <c r="AA18" i="8"/>
  <c r="I19" i="9"/>
  <c r="J52" i="3"/>
  <c r="H38" i="9"/>
  <c r="H37" i="9" s="1"/>
  <c r="H23" i="9"/>
  <c r="V23" i="8" s="1"/>
  <c r="V19" i="8"/>
  <c r="Q18" i="9"/>
  <c r="J54" i="7"/>
  <c r="H3" i="12" s="1"/>
  <c r="C12" i="11"/>
  <c r="Q9" i="7"/>
  <c r="R9" i="6"/>
  <c r="Q15" i="6"/>
  <c r="Q16" i="6" s="1"/>
  <c r="AN2" i="5"/>
  <c r="AL22" i="12" s="1"/>
  <c r="M26" i="4"/>
  <c r="L26" i="4"/>
  <c r="C14" i="9"/>
  <c r="AD5" i="5"/>
  <c r="AE2" i="5"/>
  <c r="B22" i="13"/>
  <c r="X3" i="13"/>
  <c r="M24" i="6"/>
  <c r="M51" i="6" s="1"/>
  <c r="M61" i="6" s="1"/>
  <c r="F3" i="12"/>
  <c r="O20" i="6"/>
  <c r="AU20" i="6" s="1"/>
  <c r="N23" i="6"/>
  <c r="N49" i="6" s="1"/>
  <c r="N56" i="6" s="1"/>
  <c r="N20" i="7"/>
  <c r="P15" i="7"/>
  <c r="Q4" i="7"/>
  <c r="R4" i="6"/>
  <c r="E18" i="11"/>
  <c r="G15" i="11"/>
  <c r="C74" i="6"/>
  <c r="J43" i="12"/>
  <c r="Q10" i="7"/>
  <c r="R10" i="6"/>
  <c r="K54" i="6"/>
  <c r="K55" i="6" s="1"/>
  <c r="AT55" i="6" s="1"/>
  <c r="AE3" i="13"/>
  <c r="O26" i="3"/>
  <c r="O12" i="12" s="1"/>
  <c r="P26" i="29" s="1"/>
  <c r="P27" i="3"/>
  <c r="P33" i="3" s="1"/>
  <c r="Q12" i="7"/>
  <c r="R12" i="6"/>
  <c r="S11" i="7"/>
  <c r="AV11" i="7" s="1"/>
  <c r="L65" i="6"/>
  <c r="L64" i="6"/>
  <c r="L63" i="6"/>
  <c r="L53" i="6"/>
  <c r="F4" i="24"/>
  <c r="F27" i="24" s="1"/>
  <c r="G4" i="24"/>
  <c r="G27" i="24" s="1"/>
  <c r="J61" i="7"/>
  <c r="Q14" i="7"/>
  <c r="R14" i="6"/>
  <c r="L24" i="7"/>
  <c r="L49" i="7"/>
  <c r="AK2" i="5"/>
  <c r="AI22" i="12" s="1"/>
  <c r="AJ5" i="5"/>
  <c r="Q3" i="7"/>
  <c r="R3" i="6"/>
  <c r="K65" i="7"/>
  <c r="C73" i="7" s="1"/>
  <c r="K53" i="7"/>
  <c r="K61" i="7" s="1"/>
  <c r="K52" i="7"/>
  <c r="K66" i="7"/>
  <c r="C74" i="7" s="1"/>
  <c r="K64" i="7"/>
  <c r="AH5" i="5"/>
  <c r="AI2" i="5"/>
  <c r="M23" i="7"/>
  <c r="N21" i="7"/>
  <c r="O21" i="6"/>
  <c r="AU21" i="6" s="1"/>
  <c r="S2" i="6"/>
  <c r="AV2" i="6" s="1"/>
  <c r="P16" i="6"/>
  <c r="J62" i="7"/>
  <c r="C70" i="7" s="1"/>
  <c r="C44" i="12" s="1"/>
  <c r="AT51" i="7"/>
  <c r="C14" i="8" s="1"/>
  <c r="N2" i="12"/>
  <c r="O22" i="29" s="1"/>
  <c r="L51" i="6"/>
  <c r="J63" i="7"/>
  <c r="N22" i="7"/>
  <c r="O22" i="6"/>
  <c r="AU22" i="6" s="1"/>
  <c r="Q9" i="8"/>
  <c r="AA3" i="13"/>
  <c r="Q5" i="7"/>
  <c r="R5" i="6"/>
  <c r="Y3" i="13" l="1"/>
  <c r="G19" i="13" s="1"/>
  <c r="G5" i="14" s="1"/>
  <c r="AI5" i="5"/>
  <c r="AG3" i="13" s="1"/>
  <c r="AG22" i="12"/>
  <c r="J16" i="5"/>
  <c r="J20" i="5" s="1"/>
  <c r="AC22" i="12"/>
  <c r="N56" i="7"/>
  <c r="N58" i="6"/>
  <c r="AB4" i="12"/>
  <c r="Q7" i="6"/>
  <c r="AF4" i="12"/>
  <c r="E17" i="29"/>
  <c r="I33" i="29"/>
  <c r="L35" i="3"/>
  <c r="G33" i="29"/>
  <c r="D17" i="29"/>
  <c r="J33" i="29"/>
  <c r="AB16" i="29"/>
  <c r="AA10" i="12" s="1"/>
  <c r="AA4" i="12"/>
  <c r="U16" i="29"/>
  <c r="T10" i="12" s="1"/>
  <c r="T4" i="12"/>
  <c r="S16" i="29"/>
  <c r="R4" i="12"/>
  <c r="F33" i="29"/>
  <c r="AQ16" i="29"/>
  <c r="AP4" i="12"/>
  <c r="L33" i="29"/>
  <c r="AI16" i="29"/>
  <c r="AH4" i="12"/>
  <c r="R16" i="29"/>
  <c r="Q10" i="12" s="1"/>
  <c r="Q4" i="12"/>
  <c r="AR16" i="29"/>
  <c r="AQ10" i="12" s="1"/>
  <c r="AQ4" i="12"/>
  <c r="H16" i="29"/>
  <c r="G10" i="12" s="1"/>
  <c r="G4" i="12"/>
  <c r="G21" i="12" s="1"/>
  <c r="G23" i="12" s="1"/>
  <c r="G15" i="12" s="1"/>
  <c r="C16" i="29"/>
  <c r="C17" i="29" s="1"/>
  <c r="B33" i="29"/>
  <c r="H33" i="29"/>
  <c r="Z16" i="29"/>
  <c r="Y10" i="12" s="1"/>
  <c r="Y4" i="12"/>
  <c r="AE16" i="29"/>
  <c r="AD4" i="12"/>
  <c r="AS16" i="29"/>
  <c r="AR10" i="12" s="1"/>
  <c r="AR4" i="12"/>
  <c r="M16" i="29"/>
  <c r="L10" i="12" s="1"/>
  <c r="L4" i="12"/>
  <c r="AO16" i="29"/>
  <c r="AN10" i="12" s="1"/>
  <c r="AN4" i="12"/>
  <c r="AH16" i="29"/>
  <c r="AG10" i="12" s="1"/>
  <c r="AG4" i="12"/>
  <c r="X16" i="29"/>
  <c r="W10" i="12" s="1"/>
  <c r="W4" i="12"/>
  <c r="T16" i="29"/>
  <c r="S10" i="12" s="1"/>
  <c r="S4" i="12"/>
  <c r="O16" i="29"/>
  <c r="N4" i="12"/>
  <c r="E33" i="29"/>
  <c r="L16" i="29"/>
  <c r="K10" i="12" s="1"/>
  <c r="K4" i="12"/>
  <c r="AJ16" i="29"/>
  <c r="AI10" i="12" s="1"/>
  <c r="AI4" i="12"/>
  <c r="V16" i="29"/>
  <c r="U10" i="12" s="1"/>
  <c r="U4" i="12"/>
  <c r="P16" i="29"/>
  <c r="O10" i="12" s="1"/>
  <c r="O4" i="12"/>
  <c r="AP16" i="29"/>
  <c r="AO10" i="12" s="1"/>
  <c r="AO4" i="12"/>
  <c r="AN16" i="29"/>
  <c r="AM10" i="12" s="1"/>
  <c r="AM4" i="12"/>
  <c r="AL16" i="29"/>
  <c r="AK10" i="12" s="1"/>
  <c r="AK4" i="12"/>
  <c r="AK16" i="29"/>
  <c r="AJ10" i="12" s="1"/>
  <c r="AJ4" i="12"/>
  <c r="AA16" i="29"/>
  <c r="Z4" i="12"/>
  <c r="J16" i="29"/>
  <c r="I10" i="12" s="1"/>
  <c r="I4" i="12"/>
  <c r="I16" i="29"/>
  <c r="H10" i="12" s="1"/>
  <c r="H4" i="12"/>
  <c r="AM16" i="29"/>
  <c r="AL4" i="12"/>
  <c r="K33" i="29"/>
  <c r="AF16" i="29"/>
  <c r="AE10" i="12" s="1"/>
  <c r="AE4" i="12"/>
  <c r="AT16" i="29"/>
  <c r="AS10" i="12" s="1"/>
  <c r="AS4" i="12"/>
  <c r="Q16" i="29"/>
  <c r="P10" i="12" s="1"/>
  <c r="P4" i="12"/>
  <c r="K16" i="29"/>
  <c r="J4" i="12"/>
  <c r="D33" i="29"/>
  <c r="G16" i="29"/>
  <c r="F4" i="12"/>
  <c r="C33" i="29"/>
  <c r="AD16" i="29"/>
  <c r="AC10" i="12" s="1"/>
  <c r="AC4" i="12"/>
  <c r="Y16" i="29"/>
  <c r="X10" i="12" s="1"/>
  <c r="X4" i="12"/>
  <c r="W16" i="29"/>
  <c r="V4" i="12"/>
  <c r="N16" i="29"/>
  <c r="M10" i="12" s="1"/>
  <c r="M4" i="12"/>
  <c r="U18" i="7"/>
  <c r="V18" i="6"/>
  <c r="AA9" i="12"/>
  <c r="AA25" i="29"/>
  <c r="AP7" i="12"/>
  <c r="L36" i="29"/>
  <c r="F7" i="12"/>
  <c r="C36" i="29"/>
  <c r="V7" i="12"/>
  <c r="G31" i="12" s="1"/>
  <c r="G36" i="29"/>
  <c r="B36" i="29"/>
  <c r="F17" i="29"/>
  <c r="F30" i="29" s="1"/>
  <c r="Z7" i="12"/>
  <c r="H36" i="29"/>
  <c r="R7" i="12"/>
  <c r="F31" i="12" s="1"/>
  <c r="F36" i="29"/>
  <c r="AL7" i="12"/>
  <c r="K36" i="29"/>
  <c r="I36" i="29"/>
  <c r="N7" i="12"/>
  <c r="E31" i="12" s="1"/>
  <c r="E36" i="29"/>
  <c r="J36" i="29"/>
  <c r="J7" i="12"/>
  <c r="D31" i="12" s="1"/>
  <c r="D36" i="29"/>
  <c r="AT54" i="6"/>
  <c r="L61" i="6"/>
  <c r="L60" i="6"/>
  <c r="J84" i="6"/>
  <c r="I91" i="6"/>
  <c r="G43" i="29"/>
  <c r="S2" i="7"/>
  <c r="AV2" i="7" s="1"/>
  <c r="T2" i="6"/>
  <c r="U11" i="6"/>
  <c r="T11" i="7"/>
  <c r="H5" i="12"/>
  <c r="I13" i="29" s="1"/>
  <c r="I23" i="29"/>
  <c r="I28" i="29" s="1"/>
  <c r="K63" i="7"/>
  <c r="G23" i="29"/>
  <c r="G28" i="29" s="1"/>
  <c r="F5" i="12"/>
  <c r="G13" i="29" s="1"/>
  <c r="U17" i="12"/>
  <c r="F41" i="12" s="1"/>
  <c r="U27" i="29"/>
  <c r="AI24" i="29"/>
  <c r="AH24" i="29"/>
  <c r="AC24" i="29"/>
  <c r="K16" i="5"/>
  <c r="K20" i="5" s="1"/>
  <c r="AG24" i="29"/>
  <c r="AT53" i="7"/>
  <c r="C15" i="8" s="1"/>
  <c r="Q15" i="8" s="1"/>
  <c r="K54" i="7"/>
  <c r="I3" i="12" s="1"/>
  <c r="C27" i="12" s="1"/>
  <c r="R6" i="6"/>
  <c r="Q6" i="7"/>
  <c r="Q7" i="7" s="1"/>
  <c r="G30" i="12"/>
  <c r="G32" i="12"/>
  <c r="K52" i="3"/>
  <c r="J19" i="9"/>
  <c r="W19" i="8"/>
  <c r="I38" i="9"/>
  <c r="I37" i="9" s="1"/>
  <c r="I23" i="9"/>
  <c r="W23" i="8" s="1"/>
  <c r="C72" i="7"/>
  <c r="AF3" i="13"/>
  <c r="AI6" i="5"/>
  <c r="AL2" i="5"/>
  <c r="AJ22" i="12" s="1"/>
  <c r="AK5" i="5"/>
  <c r="L66" i="7"/>
  <c r="L65" i="7"/>
  <c r="L64" i="7"/>
  <c r="L53" i="7"/>
  <c r="R14" i="7"/>
  <c r="S14" i="6"/>
  <c r="T14" i="6" s="1"/>
  <c r="C69" i="7"/>
  <c r="C75" i="7" s="1"/>
  <c r="L52" i="6"/>
  <c r="AB3" i="13"/>
  <c r="L43" i="12"/>
  <c r="Q15" i="7"/>
  <c r="Q16" i="7" s="1"/>
  <c r="R5" i="7"/>
  <c r="S5" i="6"/>
  <c r="T5" i="6" s="1"/>
  <c r="O21" i="7"/>
  <c r="AU21" i="7" s="1"/>
  <c r="P21" i="6"/>
  <c r="M24" i="7"/>
  <c r="M51" i="7" s="1"/>
  <c r="M62" i="7" s="1"/>
  <c r="M49" i="7"/>
  <c r="R3" i="7"/>
  <c r="S3" i="6"/>
  <c r="T3" i="6" s="1"/>
  <c r="L51" i="7"/>
  <c r="E19" i="11"/>
  <c r="L16" i="11"/>
  <c r="S4" i="6"/>
  <c r="T4" i="6" s="1"/>
  <c r="R4" i="7"/>
  <c r="N23" i="7"/>
  <c r="C42" i="9"/>
  <c r="Q14" i="8"/>
  <c r="AO2" i="5"/>
  <c r="AM22" i="12" s="1"/>
  <c r="AN5" i="5"/>
  <c r="AT52" i="7"/>
  <c r="O2" i="12"/>
  <c r="P22" i="29" s="1"/>
  <c r="R12" i="7"/>
  <c r="S12" i="6"/>
  <c r="T12" i="6" s="1"/>
  <c r="R10" i="7"/>
  <c r="S10" i="6"/>
  <c r="T10" i="6" s="1"/>
  <c r="P16" i="7"/>
  <c r="N24" i="6"/>
  <c r="O22" i="7"/>
  <c r="AU22" i="7" s="1"/>
  <c r="P22" i="6"/>
  <c r="AH3" i="13"/>
  <c r="P26" i="3"/>
  <c r="P12" i="12" s="1"/>
  <c r="Q26" i="29" s="1"/>
  <c r="Q27" i="3"/>
  <c r="Q33" i="3" s="1"/>
  <c r="O20" i="7"/>
  <c r="P20" i="6"/>
  <c r="O23" i="6"/>
  <c r="M65" i="6"/>
  <c r="M64" i="6"/>
  <c r="M63" i="6"/>
  <c r="M52" i="6"/>
  <c r="M53" i="6"/>
  <c r="M60" i="6" s="1"/>
  <c r="AE5" i="5"/>
  <c r="K43" i="12"/>
  <c r="B3" i="2"/>
  <c r="R15" i="6"/>
  <c r="R9" i="7"/>
  <c r="S9" i="6"/>
  <c r="AV9" i="6" s="1"/>
  <c r="D12" i="11"/>
  <c r="J10" i="11"/>
  <c r="F21" i="12" l="1"/>
  <c r="F23" i="12" s="1"/>
  <c r="F15" i="12" s="1"/>
  <c r="I17" i="29"/>
  <c r="I19" i="29" s="1"/>
  <c r="H21" i="12"/>
  <c r="H23" i="12" s="1"/>
  <c r="H15" i="12" s="1"/>
  <c r="H18" i="12" s="1"/>
  <c r="H4" i="13" s="1"/>
  <c r="H6" i="13" s="1"/>
  <c r="AU23" i="6"/>
  <c r="AU49" i="6" s="1"/>
  <c r="O49" i="6"/>
  <c r="O56" i="6" s="1"/>
  <c r="N58" i="7"/>
  <c r="R7" i="6"/>
  <c r="G18" i="12"/>
  <c r="G4" i="13" s="1"/>
  <c r="G6" i="13" s="1"/>
  <c r="H17" i="29"/>
  <c r="H30" i="29" s="1"/>
  <c r="M34" i="3"/>
  <c r="M35" i="3"/>
  <c r="D39" i="3" s="1"/>
  <c r="H28" i="12"/>
  <c r="N34" i="3"/>
  <c r="N14" i="12" s="1"/>
  <c r="D28" i="12"/>
  <c r="G28" i="12"/>
  <c r="C28" i="12"/>
  <c r="C37" i="29"/>
  <c r="F10" i="12"/>
  <c r="C34" i="12" s="1"/>
  <c r="E37" i="29"/>
  <c r="N10" i="12"/>
  <c r="E34" i="12" s="1"/>
  <c r="AP10" i="12"/>
  <c r="L37" i="29"/>
  <c r="G37" i="29"/>
  <c r="V10" i="12"/>
  <c r="G34" i="12" s="1"/>
  <c r="F28" i="12"/>
  <c r="I30" i="29"/>
  <c r="J10" i="12"/>
  <c r="D34" i="12" s="1"/>
  <c r="D37" i="29"/>
  <c r="Z10" i="12"/>
  <c r="H34" i="12" s="1"/>
  <c r="H37" i="29"/>
  <c r="J28" i="12"/>
  <c r="F37" i="29"/>
  <c r="R10" i="12"/>
  <c r="F34" i="12" s="1"/>
  <c r="K28" i="12"/>
  <c r="AH10" i="12"/>
  <c r="J34" i="12" s="1"/>
  <c r="J37" i="29"/>
  <c r="K37" i="29"/>
  <c r="AL10" i="12"/>
  <c r="K34" i="12" s="1"/>
  <c r="I28" i="12"/>
  <c r="G17" i="29"/>
  <c r="B38" i="29"/>
  <c r="B48" i="29" s="1"/>
  <c r="E28" i="12"/>
  <c r="AD10" i="12"/>
  <c r="I34" i="12" s="1"/>
  <c r="I37" i="29"/>
  <c r="L28" i="12"/>
  <c r="W18" i="6"/>
  <c r="V18" i="7"/>
  <c r="AV14" i="6"/>
  <c r="AV4" i="6"/>
  <c r="AV5" i="6"/>
  <c r="T2" i="7"/>
  <c r="AV3" i="6"/>
  <c r="AV12" i="6"/>
  <c r="AV10" i="6"/>
  <c r="AB9" i="12"/>
  <c r="AB25" i="29"/>
  <c r="C31" i="12"/>
  <c r="I29" i="29"/>
  <c r="L54" i="6"/>
  <c r="K84" i="6"/>
  <c r="J91" i="6"/>
  <c r="K55" i="7"/>
  <c r="AT55" i="7" s="1"/>
  <c r="U5" i="6"/>
  <c r="T5" i="7"/>
  <c r="T3" i="7"/>
  <c r="U3" i="6"/>
  <c r="I43" i="29"/>
  <c r="U2" i="6"/>
  <c r="U2" i="7" s="1"/>
  <c r="T6" i="6"/>
  <c r="U4" i="6"/>
  <c r="T4" i="7"/>
  <c r="R6" i="7"/>
  <c r="R7" i="7" s="1"/>
  <c r="AT54" i="7"/>
  <c r="T9" i="6"/>
  <c r="V11" i="6"/>
  <c r="U11" i="7"/>
  <c r="T14" i="7"/>
  <c r="U14" i="6"/>
  <c r="T12" i="7"/>
  <c r="U12" i="6"/>
  <c r="U10" i="6"/>
  <c r="T10" i="7"/>
  <c r="I5" i="12"/>
  <c r="I21" i="12" s="1"/>
  <c r="I23" i="12" s="1"/>
  <c r="I15" i="12" s="1"/>
  <c r="J23" i="29"/>
  <c r="J28" i="29" s="1"/>
  <c r="V17" i="12"/>
  <c r="V27" i="29"/>
  <c r="F46" i="29" s="1"/>
  <c r="AM24" i="29"/>
  <c r="AJ24" i="29"/>
  <c r="AE6" i="5"/>
  <c r="AD24" i="29"/>
  <c r="H43" i="29" s="1"/>
  <c r="H30" i="12"/>
  <c r="I30" i="12"/>
  <c r="I32" i="12"/>
  <c r="J23" i="9"/>
  <c r="X23" i="8" s="1"/>
  <c r="J38" i="9"/>
  <c r="J37" i="9" s="1"/>
  <c r="X19" i="8"/>
  <c r="K19" i="9"/>
  <c r="L52" i="3"/>
  <c r="L19" i="9" s="1"/>
  <c r="E4" i="10"/>
  <c r="O23" i="7"/>
  <c r="AU23" i="7" s="1"/>
  <c r="AU20" i="7"/>
  <c r="R27" i="3"/>
  <c r="R33" i="3" s="1"/>
  <c r="Q26" i="3"/>
  <c r="Q12" i="12" s="1"/>
  <c r="S10" i="7"/>
  <c r="AV10" i="7" s="1"/>
  <c r="AP2" i="5"/>
  <c r="AN22" i="12" s="1"/>
  <c r="AO5" i="5"/>
  <c r="E20" i="11"/>
  <c r="G18" i="11" s="1"/>
  <c r="S5" i="7"/>
  <c r="AV5" i="7" s="1"/>
  <c r="S14" i="7"/>
  <c r="AV14" i="7" s="1"/>
  <c r="L61" i="7"/>
  <c r="R16" i="6"/>
  <c r="N24" i="7"/>
  <c r="N51" i="7" s="1"/>
  <c r="N62" i="7" s="1"/>
  <c r="N49" i="7"/>
  <c r="S3" i="7"/>
  <c r="AV3" i="7" s="1"/>
  <c r="AI3" i="13"/>
  <c r="M54" i="6"/>
  <c r="O24" i="6"/>
  <c r="O50" i="6"/>
  <c r="AU50" i="6" s="1"/>
  <c r="N65" i="6"/>
  <c r="N64" i="6"/>
  <c r="N63" i="6"/>
  <c r="N53" i="6"/>
  <c r="N60" i="6" s="1"/>
  <c r="L62" i="7"/>
  <c r="L52" i="7"/>
  <c r="L63" i="7"/>
  <c r="AL5" i="5"/>
  <c r="AM2" i="5"/>
  <c r="I31" i="12"/>
  <c r="S6" i="6"/>
  <c r="R15" i="7"/>
  <c r="AC3" i="13"/>
  <c r="H19" i="13" s="1"/>
  <c r="H5" i="14" s="1"/>
  <c r="H31" i="12"/>
  <c r="K10" i="11"/>
  <c r="B13" i="11"/>
  <c r="S9" i="7"/>
  <c r="S15" i="6"/>
  <c r="S16" i="6" s="1"/>
  <c r="P20" i="7"/>
  <c r="Q20" i="6"/>
  <c r="P23" i="6"/>
  <c r="P49" i="6" s="1"/>
  <c r="P56" i="6" s="1"/>
  <c r="P22" i="7"/>
  <c r="Q22" i="6"/>
  <c r="N51" i="6"/>
  <c r="S12" i="7"/>
  <c r="AV12" i="7" s="1"/>
  <c r="P2" i="12"/>
  <c r="Q22" i="29" s="1"/>
  <c r="AL3" i="13"/>
  <c r="S4" i="7"/>
  <c r="E82" i="6"/>
  <c r="M66" i="7"/>
  <c r="M65" i="7"/>
  <c r="M64" i="7"/>
  <c r="M53" i="7"/>
  <c r="M61" i="7" s="1"/>
  <c r="M52" i="7"/>
  <c r="P21" i="7"/>
  <c r="Q21" i="6"/>
  <c r="I19" i="13"/>
  <c r="I5" i="14" s="1"/>
  <c r="C39" i="12" l="1"/>
  <c r="AM5" i="5"/>
  <c r="AK3" i="13" s="1"/>
  <c r="AK22" i="12"/>
  <c r="AV6" i="6"/>
  <c r="P58" i="6"/>
  <c r="P58" i="7" s="1"/>
  <c r="P56" i="7"/>
  <c r="O56" i="7"/>
  <c r="AU56" i="7" s="1"/>
  <c r="O58" i="6"/>
  <c r="AU56" i="6"/>
  <c r="H19" i="29"/>
  <c r="H29" i="29"/>
  <c r="D6" i="9"/>
  <c r="D34" i="9" s="1"/>
  <c r="D33" i="9" s="1"/>
  <c r="D7" i="9"/>
  <c r="D38" i="3"/>
  <c r="D7" i="8" s="1"/>
  <c r="M14" i="12"/>
  <c r="D38" i="12" s="1"/>
  <c r="N35" i="3"/>
  <c r="F18" i="12"/>
  <c r="F4" i="13" s="1"/>
  <c r="O34" i="3"/>
  <c r="O14" i="12" s="1"/>
  <c r="G19" i="29"/>
  <c r="G30" i="29"/>
  <c r="X18" i="6"/>
  <c r="W18" i="7"/>
  <c r="AW18" i="7" s="1"/>
  <c r="AW18" i="6"/>
  <c r="T7" i="6"/>
  <c r="AV15" i="6"/>
  <c r="T15" i="6"/>
  <c r="AC9" i="12"/>
  <c r="H33" i="12" s="1"/>
  <c r="AC25" i="29"/>
  <c r="G29" i="29"/>
  <c r="O51" i="6"/>
  <c r="O61" i="6" s="1"/>
  <c r="AU24" i="6"/>
  <c r="AV16" i="6"/>
  <c r="N61" i="6"/>
  <c r="L84" i="6"/>
  <c r="K91" i="6"/>
  <c r="U6" i="6"/>
  <c r="V5" i="6"/>
  <c r="U5" i="7"/>
  <c r="U3" i="7"/>
  <c r="V3" i="6"/>
  <c r="V2" i="6"/>
  <c r="V2" i="7" s="1"/>
  <c r="C42" i="29"/>
  <c r="C47" i="29" s="1"/>
  <c r="T6" i="7"/>
  <c r="T7" i="7" s="1"/>
  <c r="V4" i="6"/>
  <c r="U4" i="7"/>
  <c r="T9" i="7"/>
  <c r="T15" i="7" s="1"/>
  <c r="U9" i="6"/>
  <c r="U15" i="6" s="1"/>
  <c r="U16" i="6" s="1"/>
  <c r="W11" i="6"/>
  <c r="AW11" i="6" s="1"/>
  <c r="V11" i="7"/>
  <c r="U14" i="7"/>
  <c r="V14" i="6"/>
  <c r="V12" i="6"/>
  <c r="U12" i="7"/>
  <c r="J13" i="29"/>
  <c r="I18" i="12"/>
  <c r="I4" i="13" s="1"/>
  <c r="I6" i="13" s="1"/>
  <c r="C29" i="12"/>
  <c r="U10" i="7"/>
  <c r="V10" i="6"/>
  <c r="W17" i="12"/>
  <c r="W27" i="29"/>
  <c r="E36" i="12"/>
  <c r="R26" i="29"/>
  <c r="E45" i="29" s="1"/>
  <c r="H32" i="12"/>
  <c r="AN24" i="29"/>
  <c r="L16" i="5"/>
  <c r="L20" i="5" s="1"/>
  <c r="AK24" i="29"/>
  <c r="AL24" i="29"/>
  <c r="S15" i="7"/>
  <c r="S16" i="7" s="1"/>
  <c r="S6" i="7"/>
  <c r="S7" i="7" s="1"/>
  <c r="AV7" i="7" s="1"/>
  <c r="K38" i="9"/>
  <c r="K37" i="9" s="1"/>
  <c r="Y19" i="8"/>
  <c r="K23" i="9"/>
  <c r="Y23" i="8" s="1"/>
  <c r="Z19" i="8"/>
  <c r="L38" i="9"/>
  <c r="L37" i="9" s="1"/>
  <c r="L23" i="9"/>
  <c r="Z23" i="8" s="1"/>
  <c r="L34" i="12"/>
  <c r="M54" i="7"/>
  <c r="K3" i="12" s="1"/>
  <c r="E92" i="6"/>
  <c r="AV4" i="7"/>
  <c r="O65" i="6"/>
  <c r="D73" i="6" s="1"/>
  <c r="D45" i="9" s="1"/>
  <c r="O64" i="6"/>
  <c r="D72" i="6" s="1"/>
  <c r="D44" i="9" s="1"/>
  <c r="O63" i="6"/>
  <c r="D71" i="6" s="1"/>
  <c r="D43" i="9" s="1"/>
  <c r="O53" i="6"/>
  <c r="O60" i="6" s="1"/>
  <c r="D68" i="6" s="1"/>
  <c r="AM3" i="13"/>
  <c r="Q21" i="7"/>
  <c r="R21" i="6"/>
  <c r="Q2" i="12"/>
  <c r="P23" i="7"/>
  <c r="AV9" i="7"/>
  <c r="N52" i="6"/>
  <c r="E21" i="11"/>
  <c r="AP5" i="5"/>
  <c r="AQ2" i="5"/>
  <c r="M63" i="7"/>
  <c r="Q22" i="7"/>
  <c r="R22" i="6"/>
  <c r="P24" i="6"/>
  <c r="C13" i="11"/>
  <c r="R16" i="7"/>
  <c r="S7" i="6"/>
  <c r="AV7" i="6" s="1"/>
  <c r="L54" i="7"/>
  <c r="N66" i="7"/>
  <c r="N65" i="7"/>
  <c r="N64" i="7"/>
  <c r="N53" i="7"/>
  <c r="N61" i="7" s="1"/>
  <c r="N52" i="7"/>
  <c r="S27" i="3"/>
  <c r="S33" i="3" s="1"/>
  <c r="R26" i="3"/>
  <c r="R12" i="12" s="1"/>
  <c r="S26" i="29" s="1"/>
  <c r="O24" i="7"/>
  <c r="O49" i="7"/>
  <c r="E7" i="13"/>
  <c r="B23" i="13" s="1"/>
  <c r="Q20" i="7"/>
  <c r="R20" i="6"/>
  <c r="Q23" i="6"/>
  <c r="Q49" i="6" s="1"/>
  <c r="E5" i="10"/>
  <c r="E6" i="10" s="1"/>
  <c r="W13" i="3" s="1"/>
  <c r="AJ3" i="13"/>
  <c r="C16" i="9" l="1"/>
  <c r="C16" i="8"/>
  <c r="C17" i="8" s="1"/>
  <c r="C20" i="8" s="1"/>
  <c r="AM6" i="5"/>
  <c r="M16" i="5"/>
  <c r="M20" i="5" s="1"/>
  <c r="AO22" i="12"/>
  <c r="C42" i="12"/>
  <c r="C50" i="12" s="1"/>
  <c r="C48" i="12" s="1"/>
  <c r="W2" i="6"/>
  <c r="O58" i="7"/>
  <c r="AU58" i="7" s="1"/>
  <c r="D10" i="8" s="1"/>
  <c r="AU58" i="6"/>
  <c r="D10" i="9" s="1"/>
  <c r="U7" i="6"/>
  <c r="Q58" i="6"/>
  <c r="Q58" i="7" s="1"/>
  <c r="Q56" i="7"/>
  <c r="O35" i="3"/>
  <c r="D8" i="9"/>
  <c r="D49" i="12"/>
  <c r="D37" i="12"/>
  <c r="D6" i="8"/>
  <c r="R6" i="8" s="1"/>
  <c r="R7" i="8"/>
  <c r="P35" i="3"/>
  <c r="X18" i="7"/>
  <c r="Y18" i="6"/>
  <c r="AW2" i="6"/>
  <c r="D69" i="6"/>
  <c r="D14" i="9" s="1"/>
  <c r="D42" i="9" s="1"/>
  <c r="O52" i="6"/>
  <c r="AU52" i="6" s="1"/>
  <c r="T16" i="6"/>
  <c r="AD9" i="12"/>
  <c r="AD25" i="29"/>
  <c r="H44" i="29" s="1"/>
  <c r="AU51" i="6"/>
  <c r="N54" i="6"/>
  <c r="AU53" i="6"/>
  <c r="D15" i="9" s="1"/>
  <c r="D46" i="9" s="1"/>
  <c r="Q23" i="7"/>
  <c r="V6" i="6"/>
  <c r="U6" i="7"/>
  <c r="U7" i="7" s="1"/>
  <c r="W5" i="6"/>
  <c r="AW5" i="6" s="1"/>
  <c r="V5" i="7"/>
  <c r="V3" i="7"/>
  <c r="W3" i="6"/>
  <c r="AW3" i="6" s="1"/>
  <c r="W2" i="7"/>
  <c r="AW2" i="7" s="1"/>
  <c r="X2" i="6"/>
  <c r="J17" i="29"/>
  <c r="C34" i="29"/>
  <c r="C38" i="29" s="1"/>
  <c r="C48" i="29" s="1"/>
  <c r="J43" i="29"/>
  <c r="W4" i="6"/>
  <c r="V4" i="7"/>
  <c r="AV16" i="7"/>
  <c r="U9" i="7"/>
  <c r="U15" i="7" s="1"/>
  <c r="U16" i="7" s="1"/>
  <c r="V9" i="6"/>
  <c r="V15" i="6" s="1"/>
  <c r="W11" i="7"/>
  <c r="AW11" i="7" s="1"/>
  <c r="X11" i="6"/>
  <c r="V14" i="7"/>
  <c r="W14" i="6"/>
  <c r="AW14" i="6" s="1"/>
  <c r="AV15" i="7"/>
  <c r="W12" i="6"/>
  <c r="AW12" i="6" s="1"/>
  <c r="V12" i="7"/>
  <c r="T16" i="7"/>
  <c r="I19" i="12"/>
  <c r="K5" i="12"/>
  <c r="L23" i="29"/>
  <c r="L28" i="29" s="1"/>
  <c r="V10" i="7"/>
  <c r="W10" i="6"/>
  <c r="AW10" i="6" s="1"/>
  <c r="E26" i="12"/>
  <c r="E24" i="8" s="1"/>
  <c r="R22" i="29"/>
  <c r="E41" i="29" s="1"/>
  <c r="X17" i="12"/>
  <c r="X27" i="29"/>
  <c r="J31" i="12"/>
  <c r="AO24" i="29"/>
  <c r="AV6" i="7"/>
  <c r="J30" i="12"/>
  <c r="J32" i="12"/>
  <c r="J19" i="13"/>
  <c r="J5" i="14" s="1"/>
  <c r="N54" i="7"/>
  <c r="L3" i="12" s="1"/>
  <c r="M23" i="29" s="1"/>
  <c r="M28" i="29" s="1"/>
  <c r="AA23" i="8"/>
  <c r="AA19" i="8"/>
  <c r="AA13" i="3"/>
  <c r="W14" i="3"/>
  <c r="T17" i="3" s="1"/>
  <c r="C20" i="13"/>
  <c r="C6" i="14" s="1"/>
  <c r="F6" i="13"/>
  <c r="E8" i="13"/>
  <c r="S26" i="3"/>
  <c r="S12" i="12" s="1"/>
  <c r="T26" i="29" s="1"/>
  <c r="T27" i="3"/>
  <c r="T33" i="3" s="1"/>
  <c r="D13" i="11"/>
  <c r="P51" i="6"/>
  <c r="P24" i="7"/>
  <c r="P49" i="7"/>
  <c r="J3" i="12"/>
  <c r="R22" i="7"/>
  <c r="S22" i="6"/>
  <c r="AV22" i="6" s="1"/>
  <c r="E22" i="11"/>
  <c r="L19" i="11"/>
  <c r="Q24" i="6"/>
  <c r="Q51" i="6" s="1"/>
  <c r="Q61" i="6" s="1"/>
  <c r="S20" i="6"/>
  <c r="AV20" i="6" s="1"/>
  <c r="R20" i="7"/>
  <c r="R23" i="6"/>
  <c r="R49" i="6" s="1"/>
  <c r="R56" i="6" s="1"/>
  <c r="O66" i="7"/>
  <c r="D74" i="7" s="1"/>
  <c r="O64" i="7"/>
  <c r="D72" i="7" s="1"/>
  <c r="O65" i="7"/>
  <c r="D73" i="7" s="1"/>
  <c r="O53" i="7"/>
  <c r="O61" i="7" s="1"/>
  <c r="D69" i="7" s="1"/>
  <c r="O50" i="7"/>
  <c r="AU50" i="7" s="1"/>
  <c r="Q24" i="7"/>
  <c r="Q51" i="7" s="1"/>
  <c r="Q62" i="7" s="1"/>
  <c r="Q49" i="7"/>
  <c r="O51" i="7"/>
  <c r="AU24" i="7"/>
  <c r="N63" i="7"/>
  <c r="P65" i="6"/>
  <c r="P64" i="6"/>
  <c r="P63" i="6"/>
  <c r="P53" i="6"/>
  <c r="AQ5" i="5"/>
  <c r="E11" i="13"/>
  <c r="E7" i="10"/>
  <c r="AU49" i="7"/>
  <c r="AN3" i="13"/>
  <c r="R2" i="12"/>
  <c r="S22" i="29" s="1"/>
  <c r="R21" i="7"/>
  <c r="S21" i="6"/>
  <c r="AV21" i="6" s="1"/>
  <c r="Q16" i="8" l="1"/>
  <c r="C17" i="9"/>
  <c r="C28" i="9"/>
  <c r="L13" i="29"/>
  <c r="L17" i="29" s="1"/>
  <c r="L30" i="29" s="1"/>
  <c r="K21" i="12"/>
  <c r="K23" i="12" s="1"/>
  <c r="K15" i="12" s="1"/>
  <c r="K18" i="12" s="1"/>
  <c r="K4" i="13" s="1"/>
  <c r="K6" i="13" s="1"/>
  <c r="D39" i="9"/>
  <c r="R10" i="8"/>
  <c r="D12" i="9"/>
  <c r="D11" i="9"/>
  <c r="D11" i="8"/>
  <c r="D21" i="8" s="1"/>
  <c r="D27" i="8" s="1"/>
  <c r="D12" i="8"/>
  <c r="D22" i="8" s="1"/>
  <c r="D28" i="8" s="1"/>
  <c r="R56" i="7"/>
  <c r="R58" i="6"/>
  <c r="R58" i="7" s="1"/>
  <c r="V7" i="6"/>
  <c r="D9" i="9"/>
  <c r="R9" i="8" s="1"/>
  <c r="R8" i="8"/>
  <c r="P34" i="3"/>
  <c r="P14" i="12" s="1"/>
  <c r="Q35" i="3"/>
  <c r="E39" i="3" s="1"/>
  <c r="E6" i="9" s="1"/>
  <c r="Q34" i="3"/>
  <c r="Q14" i="12" s="1"/>
  <c r="J19" i="29"/>
  <c r="J30" i="29"/>
  <c r="Z18" i="6"/>
  <c r="Y18" i="7"/>
  <c r="O54" i="6"/>
  <c r="AU54" i="6" s="1"/>
  <c r="D74" i="6"/>
  <c r="W6" i="6"/>
  <c r="X2" i="7"/>
  <c r="AW4" i="6"/>
  <c r="AE9" i="12"/>
  <c r="AE25" i="29"/>
  <c r="J29" i="29"/>
  <c r="C39" i="29"/>
  <c r="P60" i="6"/>
  <c r="P61" i="6"/>
  <c r="W5" i="7"/>
  <c r="AW5" i="7" s="1"/>
  <c r="X5" i="6"/>
  <c r="V6" i="7"/>
  <c r="V7" i="7" s="1"/>
  <c r="W3" i="7"/>
  <c r="AW3" i="7" s="1"/>
  <c r="X3" i="6"/>
  <c r="C45" i="12"/>
  <c r="W4" i="7"/>
  <c r="AW4" i="7" s="1"/>
  <c r="X4" i="6"/>
  <c r="V9" i="7"/>
  <c r="V15" i="7" s="1"/>
  <c r="V16" i="7" s="1"/>
  <c r="W9" i="6"/>
  <c r="AW9" i="6" s="1"/>
  <c r="X11" i="7"/>
  <c r="Y11" i="6"/>
  <c r="X14" i="6"/>
  <c r="W14" i="7"/>
  <c r="AW14" i="7" s="1"/>
  <c r="W12" i="7"/>
  <c r="AW12" i="7" s="1"/>
  <c r="X12" i="6"/>
  <c r="J5" i="12"/>
  <c r="K23" i="29"/>
  <c r="V16" i="6"/>
  <c r="X10" i="6"/>
  <c r="W10" i="7"/>
  <c r="AW10" i="7" s="1"/>
  <c r="Y17" i="12"/>
  <c r="G41" i="12" s="1"/>
  <c r="Y27" i="29"/>
  <c r="AP24" i="29"/>
  <c r="K43" i="29" s="1"/>
  <c r="K30" i="12"/>
  <c r="AQ6" i="5"/>
  <c r="L5" i="12"/>
  <c r="L21" i="12" s="1"/>
  <c r="L23" i="12" s="1"/>
  <c r="L15" i="12" s="1"/>
  <c r="E14" i="13"/>
  <c r="E15" i="13" s="1"/>
  <c r="B31" i="13" s="1"/>
  <c r="B8" i="14"/>
  <c r="Y2" i="6"/>
  <c r="Y2" i="7" s="1"/>
  <c r="P52" i="6"/>
  <c r="O63" i="7"/>
  <c r="O62" i="7"/>
  <c r="D70" i="7" s="1"/>
  <c r="D44" i="12" s="1"/>
  <c r="AU51" i="7"/>
  <c r="D14" i="8" s="1"/>
  <c r="R24" i="6"/>
  <c r="R51" i="6" s="1"/>
  <c r="R61" i="6" s="1"/>
  <c r="AU53" i="7"/>
  <c r="D15" i="8" s="1"/>
  <c r="R15" i="8" s="1"/>
  <c r="S22" i="7"/>
  <c r="AV22" i="7" s="1"/>
  <c r="T22" i="6"/>
  <c r="P66" i="7"/>
  <c r="P65" i="7"/>
  <c r="P64" i="7"/>
  <c r="P53" i="7"/>
  <c r="T26" i="3"/>
  <c r="T12" i="12" s="1"/>
  <c r="U26" i="29" s="1"/>
  <c r="U27" i="3"/>
  <c r="U33" i="3" s="1"/>
  <c r="S21" i="7"/>
  <c r="AV21" i="7" s="1"/>
  <c r="T21" i="6"/>
  <c r="Q66" i="7"/>
  <c r="Q65" i="7"/>
  <c r="Q64" i="7"/>
  <c r="Q53" i="7"/>
  <c r="Q61" i="7" s="1"/>
  <c r="Q52" i="7"/>
  <c r="R23" i="7"/>
  <c r="C22" i="13"/>
  <c r="AA14" i="3"/>
  <c r="AB13" i="3" s="1"/>
  <c r="W16" i="3"/>
  <c r="W20" i="3"/>
  <c r="S20" i="7"/>
  <c r="S23" i="7" s="1"/>
  <c r="T20" i="6"/>
  <c r="S23" i="6"/>
  <c r="Q52" i="6"/>
  <c r="Q53" i="6"/>
  <c r="Q60" i="6" s="1"/>
  <c r="Q64" i="6"/>
  <c r="Q63" i="6"/>
  <c r="Q65" i="6"/>
  <c r="E23" i="11"/>
  <c r="G21" i="11" s="1"/>
  <c r="P51" i="7"/>
  <c r="B14" i="11"/>
  <c r="E9" i="13"/>
  <c r="B24" i="13"/>
  <c r="B3" i="9" s="1"/>
  <c r="E13" i="13"/>
  <c r="B29" i="13" s="1"/>
  <c r="AO3" i="13"/>
  <c r="K19" i="13" s="1"/>
  <c r="S2" i="12"/>
  <c r="T22" i="29" s="1"/>
  <c r="AS2" i="5"/>
  <c r="AQ22" i="12" s="1"/>
  <c r="AR5" i="5"/>
  <c r="O52" i="7"/>
  <c r="C46" i="12" l="1"/>
  <c r="C52" i="12" s="1"/>
  <c r="C25" i="13"/>
  <c r="Q17" i="8"/>
  <c r="C29" i="9"/>
  <c r="L29" i="29"/>
  <c r="K13" i="29"/>
  <c r="J21" i="12"/>
  <c r="J23" i="12" s="1"/>
  <c r="J15" i="12" s="1"/>
  <c r="J18" i="12" s="1"/>
  <c r="L19" i="29"/>
  <c r="E38" i="3"/>
  <c r="E7" i="8" s="1"/>
  <c r="E6" i="8" s="1"/>
  <c r="D40" i="9"/>
  <c r="R11" i="8"/>
  <c r="AW6" i="6"/>
  <c r="D41" i="9"/>
  <c r="D22" i="9"/>
  <c r="R22" i="8" s="1"/>
  <c r="R12" i="8"/>
  <c r="AV23" i="6"/>
  <c r="AV49" i="6" s="1"/>
  <c r="S49" i="6"/>
  <c r="S56" i="6" s="1"/>
  <c r="E38" i="12"/>
  <c r="E37" i="12" s="1"/>
  <c r="B3" i="8"/>
  <c r="P3" i="8" s="1"/>
  <c r="E7" i="9"/>
  <c r="S7" i="8" s="1"/>
  <c r="R35" i="3"/>
  <c r="O55" i="6"/>
  <c r="AU55" i="6" s="1"/>
  <c r="W7" i="6"/>
  <c r="AW7" i="6" s="1"/>
  <c r="R34" i="3"/>
  <c r="AA18" i="6"/>
  <c r="AX18" i="6" s="1"/>
  <c r="Z18" i="7"/>
  <c r="C49" i="29"/>
  <c r="AF9" i="12"/>
  <c r="AF25" i="29"/>
  <c r="P54" i="6"/>
  <c r="X5" i="7"/>
  <c r="Y5" i="6"/>
  <c r="X6" i="6"/>
  <c r="W6" i="7"/>
  <c r="AW6" i="7" s="1"/>
  <c r="X3" i="7"/>
  <c r="Y3" i="6"/>
  <c r="F82" i="6"/>
  <c r="B30" i="13"/>
  <c r="C51" i="12"/>
  <c r="K17" i="29"/>
  <c r="K28" i="29"/>
  <c r="X4" i="7"/>
  <c r="Y4" i="6"/>
  <c r="W9" i="7"/>
  <c r="W15" i="7" s="1"/>
  <c r="X9" i="6"/>
  <c r="W15" i="6"/>
  <c r="AW9" i="7"/>
  <c r="Z11" i="6"/>
  <c r="Y11" i="7"/>
  <c r="X14" i="7"/>
  <c r="Y14" i="6"/>
  <c r="X12" i="7"/>
  <c r="Y12" i="6"/>
  <c r="X10" i="7"/>
  <c r="Y10" i="6"/>
  <c r="L18" i="12"/>
  <c r="L4" i="13" s="1"/>
  <c r="L6" i="13" s="1"/>
  <c r="M13" i="29"/>
  <c r="M17" i="29" s="1"/>
  <c r="Z17" i="12"/>
  <c r="Z27" i="29"/>
  <c r="G46" i="29" s="1"/>
  <c r="K32" i="12"/>
  <c r="K31" i="12"/>
  <c r="AQ24" i="29"/>
  <c r="Z2" i="6"/>
  <c r="Z2" i="7" s="1"/>
  <c r="Q63" i="7"/>
  <c r="Q54" i="6"/>
  <c r="E10" i="13"/>
  <c r="B7" i="14" s="1"/>
  <c r="B13" i="14" s="1"/>
  <c r="B15" i="14" s="1"/>
  <c r="AT2" i="5"/>
  <c r="AR22" i="12" s="1"/>
  <c r="AS5" i="5"/>
  <c r="O54" i="7"/>
  <c r="AU52" i="7"/>
  <c r="T2" i="12"/>
  <c r="U22" i="29" s="1"/>
  <c r="AP3" i="13"/>
  <c r="P62" i="7"/>
  <c r="E24" i="11"/>
  <c r="L22" i="11" s="1"/>
  <c r="T20" i="7"/>
  <c r="U20" i="6"/>
  <c r="T23" i="6"/>
  <c r="T49" i="6" s="1"/>
  <c r="T56" i="6" s="1"/>
  <c r="AB16" i="3"/>
  <c r="R65" i="6"/>
  <c r="R64" i="6"/>
  <c r="R63" i="6"/>
  <c r="R52" i="6"/>
  <c r="R53" i="6"/>
  <c r="R60" i="6" s="1"/>
  <c r="B30" i="9"/>
  <c r="B4" i="9"/>
  <c r="B5" i="9" s="1"/>
  <c r="C14" i="11"/>
  <c r="S24" i="7"/>
  <c r="S51" i="7" s="1"/>
  <c r="S62" i="7" s="1"/>
  <c r="S49" i="7"/>
  <c r="AB11" i="3"/>
  <c r="AB7" i="3"/>
  <c r="B10" i="2"/>
  <c r="AB6" i="3"/>
  <c r="AB17" i="3"/>
  <c r="AB10" i="3"/>
  <c r="AB4" i="3"/>
  <c r="AB3" i="3"/>
  <c r="AB8" i="3"/>
  <c r="AB9" i="3"/>
  <c r="AB5" i="3"/>
  <c r="AB2" i="3"/>
  <c r="V27" i="3"/>
  <c r="V33" i="3" s="1"/>
  <c r="U26" i="3"/>
  <c r="U12" i="12" s="1"/>
  <c r="P52" i="7"/>
  <c r="P63" i="7"/>
  <c r="R14" i="12"/>
  <c r="E34" i="9"/>
  <c r="E33" i="9" s="1"/>
  <c r="S6" i="8"/>
  <c r="AV20" i="7"/>
  <c r="T21" i="7"/>
  <c r="U21" i="6"/>
  <c r="P61" i="7"/>
  <c r="U22" i="6"/>
  <c r="T22" i="7"/>
  <c r="D29" i="8"/>
  <c r="R14" i="8"/>
  <c r="D75" i="7"/>
  <c r="K5" i="14"/>
  <c r="S24" i="6"/>
  <c r="AV24" i="6" s="1"/>
  <c r="R24" i="7"/>
  <c r="R49" i="7"/>
  <c r="AV23" i="7"/>
  <c r="Q54" i="7"/>
  <c r="O3" i="12" s="1"/>
  <c r="E8" i="9" l="1"/>
  <c r="S8" i="8" s="1"/>
  <c r="E49" i="12"/>
  <c r="X7" i="6"/>
  <c r="S56" i="7"/>
  <c r="AV56" i="7" s="1"/>
  <c r="S58" i="6"/>
  <c r="AV56" i="6"/>
  <c r="T56" i="7"/>
  <c r="T58" i="6"/>
  <c r="T58" i="7" s="1"/>
  <c r="E9" i="9"/>
  <c r="S9" i="8" s="1"/>
  <c r="S35" i="3"/>
  <c r="K19" i="29"/>
  <c r="K30" i="29"/>
  <c r="M19" i="29"/>
  <c r="M30" i="29"/>
  <c r="S34" i="3"/>
  <c r="S14" i="12" s="1"/>
  <c r="AA18" i="7"/>
  <c r="AX18" i="7" s="1"/>
  <c r="AB18" i="6"/>
  <c r="W16" i="6"/>
  <c r="AW16" i="6" s="1"/>
  <c r="AW15" i="6"/>
  <c r="X15" i="6"/>
  <c r="X16" i="6" s="1"/>
  <c r="AG9" i="12"/>
  <c r="I33" i="12" s="1"/>
  <c r="AG25" i="29"/>
  <c r="M29" i="29"/>
  <c r="K29" i="29"/>
  <c r="Z5" i="6"/>
  <c r="Y5" i="7"/>
  <c r="W7" i="7"/>
  <c r="AW7" i="7" s="1"/>
  <c r="F92" i="6"/>
  <c r="Y3" i="7"/>
  <c r="Z3" i="6"/>
  <c r="X6" i="7"/>
  <c r="X7" i="7" s="1"/>
  <c r="Y6" i="6"/>
  <c r="T35" i="3"/>
  <c r="Z4" i="6"/>
  <c r="Y4" i="7"/>
  <c r="W16" i="7"/>
  <c r="AW16" i="7" s="1"/>
  <c r="AW15" i="7"/>
  <c r="X9" i="7"/>
  <c r="Y9" i="6"/>
  <c r="Y15" i="6" s="1"/>
  <c r="Y16" i="6" s="1"/>
  <c r="AA11" i="6"/>
  <c r="AX11" i="6" s="1"/>
  <c r="Z11" i="7"/>
  <c r="Y14" i="7"/>
  <c r="Z14" i="6"/>
  <c r="Z12" i="6"/>
  <c r="Y12" i="7"/>
  <c r="O5" i="12"/>
  <c r="P23" i="29"/>
  <c r="P28" i="29" s="1"/>
  <c r="Y10" i="7"/>
  <c r="Z10" i="6"/>
  <c r="AA17" i="12"/>
  <c r="AA27" i="29"/>
  <c r="F36" i="12"/>
  <c r="V26" i="29"/>
  <c r="F45" i="29" s="1"/>
  <c r="E12" i="13"/>
  <c r="B28" i="13" s="1"/>
  <c r="AR24" i="29"/>
  <c r="AA2" i="6"/>
  <c r="AX2" i="6" s="1"/>
  <c r="R54" i="6"/>
  <c r="J4" i="13"/>
  <c r="B12" i="14"/>
  <c r="B18" i="14"/>
  <c r="B34" i="14" s="1"/>
  <c r="P54" i="7"/>
  <c r="D14" i="11"/>
  <c r="B21" i="9"/>
  <c r="P21" i="8" s="1"/>
  <c r="B32" i="9"/>
  <c r="P5" i="8"/>
  <c r="T24" i="6"/>
  <c r="E25" i="11"/>
  <c r="F24" i="11"/>
  <c r="AT5" i="5"/>
  <c r="AU2" i="5"/>
  <c r="N5" i="14"/>
  <c r="M5" i="14"/>
  <c r="U22" i="7"/>
  <c r="V22" i="6"/>
  <c r="U20" i="7"/>
  <c r="V20" i="6"/>
  <c r="U23" i="6"/>
  <c r="U49" i="6" s="1"/>
  <c r="U56" i="6" s="1"/>
  <c r="R66" i="7"/>
  <c r="R65" i="7"/>
  <c r="R64" i="7"/>
  <c r="R53" i="7"/>
  <c r="S50" i="7"/>
  <c r="AV50" i="7" s="1"/>
  <c r="AV49" i="7"/>
  <c r="S65" i="6"/>
  <c r="E73" i="6" s="1"/>
  <c r="E45" i="9" s="1"/>
  <c r="S64" i="6"/>
  <c r="E72" i="6" s="1"/>
  <c r="E44" i="9" s="1"/>
  <c r="S63" i="6"/>
  <c r="E71" i="6" s="1"/>
  <c r="E43" i="9" s="1"/>
  <c r="S53" i="6"/>
  <c r="S60" i="6" s="1"/>
  <c r="E68" i="6" s="1"/>
  <c r="U21" i="7"/>
  <c r="V21" i="6"/>
  <c r="W27" i="3"/>
  <c r="W33" i="3" s="1"/>
  <c r="V26" i="3"/>
  <c r="V12" i="12" s="1"/>
  <c r="W26" i="29" s="1"/>
  <c r="S66" i="7"/>
  <c r="S64" i="7"/>
  <c r="S53" i="7"/>
  <c r="S61" i="7" s="1"/>
  <c r="S52" i="7"/>
  <c r="S65" i="7"/>
  <c r="B20" i="9"/>
  <c r="P20" i="8" s="1"/>
  <c r="B31" i="9"/>
  <c r="P4" i="8"/>
  <c r="M3" i="12"/>
  <c r="O55" i="7"/>
  <c r="AU55" i="7" s="1"/>
  <c r="AU54" i="7"/>
  <c r="R51" i="7"/>
  <c r="AV24" i="7"/>
  <c r="S51" i="6"/>
  <c r="S50" i="6"/>
  <c r="AV50" i="6" s="1"/>
  <c r="T23" i="7"/>
  <c r="U2" i="12"/>
  <c r="V22" i="29" s="1"/>
  <c r="F41" i="29" s="1"/>
  <c r="AQ3" i="13"/>
  <c r="N16" i="5" l="1"/>
  <c r="N20" i="5" s="1"/>
  <c r="AS22" i="12"/>
  <c r="P13" i="29"/>
  <c r="P17" i="29" s="1"/>
  <c r="P29" i="29" s="1"/>
  <c r="O21" i="12"/>
  <c r="O23" i="12" s="1"/>
  <c r="O15" i="12" s="1"/>
  <c r="O18" i="12" s="1"/>
  <c r="O4" i="13" s="1"/>
  <c r="O6" i="13" s="1"/>
  <c r="S58" i="7"/>
  <c r="AV58" i="7" s="1"/>
  <c r="E10" i="8" s="1"/>
  <c r="AV58" i="6"/>
  <c r="E10" i="9" s="1"/>
  <c r="Y7" i="6"/>
  <c r="U56" i="7"/>
  <c r="U58" i="6"/>
  <c r="T34" i="3"/>
  <c r="T14" i="12" s="1"/>
  <c r="AB18" i="7"/>
  <c r="AC18" i="6"/>
  <c r="AH9" i="12"/>
  <c r="AH25" i="29"/>
  <c r="I44" i="29" s="1"/>
  <c r="AV53" i="6"/>
  <c r="E15" i="9" s="1"/>
  <c r="E46" i="9" s="1"/>
  <c r="S61" i="6"/>
  <c r="E69" i="6" s="1"/>
  <c r="E74" i="6" s="1"/>
  <c r="AV51" i="6"/>
  <c r="Z6" i="6"/>
  <c r="AA5" i="6"/>
  <c r="AX5" i="6" s="1"/>
  <c r="Z5" i="7"/>
  <c r="Z3" i="7"/>
  <c r="AA3" i="6"/>
  <c r="AX3" i="6" s="1"/>
  <c r="Y6" i="7"/>
  <c r="Y7" i="7" s="1"/>
  <c r="AA2" i="7"/>
  <c r="AB2" i="6"/>
  <c r="AA4" i="6"/>
  <c r="AX4" i="6" s="1"/>
  <c r="Z4" i="7"/>
  <c r="Y9" i="7"/>
  <c r="Y15" i="7" s="1"/>
  <c r="Y16" i="7" s="1"/>
  <c r="Z9" i="6"/>
  <c r="X15" i="7"/>
  <c r="X16" i="7" s="1"/>
  <c r="AA11" i="7"/>
  <c r="AX11" i="7" s="1"/>
  <c r="AB11" i="6"/>
  <c r="Z14" i="7"/>
  <c r="AA14" i="6"/>
  <c r="AX14" i="6" s="1"/>
  <c r="AA12" i="6"/>
  <c r="AX12" i="6" s="1"/>
  <c r="Z12" i="7"/>
  <c r="Z10" i="7"/>
  <c r="AA10" i="6"/>
  <c r="AX10" i="6" s="1"/>
  <c r="M5" i="12"/>
  <c r="N23" i="29"/>
  <c r="D42" i="29" s="1"/>
  <c r="D47" i="29" s="1"/>
  <c r="AB17" i="12"/>
  <c r="AB27" i="29"/>
  <c r="AS24" i="29"/>
  <c r="AX2" i="7"/>
  <c r="S63" i="7"/>
  <c r="V21" i="7"/>
  <c r="W21" i="6"/>
  <c r="AW21" i="6" s="1"/>
  <c r="S52" i="6"/>
  <c r="R61" i="7"/>
  <c r="E69" i="7" s="1"/>
  <c r="AV53" i="7"/>
  <c r="E15" i="8" s="1"/>
  <c r="W20" i="6"/>
  <c r="AW20" i="6" s="1"/>
  <c r="V20" i="7"/>
  <c r="V23" i="6"/>
  <c r="V49" i="6" s="1"/>
  <c r="V56" i="6" s="1"/>
  <c r="E26" i="11"/>
  <c r="T51" i="6"/>
  <c r="R63" i="7"/>
  <c r="E72" i="7"/>
  <c r="U23" i="7"/>
  <c r="N3" i="12"/>
  <c r="B19" i="14"/>
  <c r="B20" i="14"/>
  <c r="J6" i="13"/>
  <c r="R62" i="7"/>
  <c r="E70" i="7" s="1"/>
  <c r="AV51" i="7"/>
  <c r="E14" i="8" s="1"/>
  <c r="V2" i="12"/>
  <c r="W22" i="29" s="1"/>
  <c r="F26" i="12"/>
  <c r="T24" i="7"/>
  <c r="T49" i="7"/>
  <c r="D27" i="12"/>
  <c r="S54" i="7"/>
  <c r="Q3" i="12" s="1"/>
  <c r="E73" i="7"/>
  <c r="AU5" i="5"/>
  <c r="B17" i="14"/>
  <c r="B16" i="14"/>
  <c r="W26" i="3"/>
  <c r="W12" i="12" s="1"/>
  <c r="X26" i="29" s="1"/>
  <c r="X27" i="3"/>
  <c r="X33" i="3" s="1"/>
  <c r="R52" i="7"/>
  <c r="E74" i="7"/>
  <c r="U24" i="6"/>
  <c r="U51" i="6" s="1"/>
  <c r="U61" i="6" s="1"/>
  <c r="V22" i="7"/>
  <c r="W22" i="6"/>
  <c r="AW22" i="6" s="1"/>
  <c r="AR3" i="13"/>
  <c r="T65" i="6"/>
  <c r="T64" i="6"/>
  <c r="T63" i="6"/>
  <c r="T53" i="6"/>
  <c r="H12" i="11"/>
  <c r="B15" i="11"/>
  <c r="P30" i="29" l="1"/>
  <c r="P19" i="29"/>
  <c r="N13" i="29"/>
  <c r="D34" i="29" s="1"/>
  <c r="M21" i="12"/>
  <c r="M23" i="12" s="1"/>
  <c r="M15" i="12" s="1"/>
  <c r="E12" i="9"/>
  <c r="E11" i="9"/>
  <c r="S10" i="8"/>
  <c r="E39" i="9"/>
  <c r="E12" i="8"/>
  <c r="E22" i="8" s="1"/>
  <c r="E28" i="8" s="1"/>
  <c r="E11" i="8"/>
  <c r="E21" i="8" s="1"/>
  <c r="E27" i="8" s="1"/>
  <c r="V56" i="7"/>
  <c r="V58" i="6"/>
  <c r="V58" i="7" s="1"/>
  <c r="U58" i="7"/>
  <c r="D38" i="29"/>
  <c r="D39" i="29" s="1"/>
  <c r="U34" i="3"/>
  <c r="U14" i="12" s="1"/>
  <c r="F38" i="12" s="1"/>
  <c r="F37" i="12" s="1"/>
  <c r="AC18" i="7"/>
  <c r="AD18" i="6"/>
  <c r="Z7" i="6"/>
  <c r="AB2" i="7"/>
  <c r="E14" i="9"/>
  <c r="E42" i="9" s="1"/>
  <c r="S15" i="8"/>
  <c r="Z15" i="6"/>
  <c r="Z16" i="6" s="1"/>
  <c r="E44" i="12"/>
  <c r="AI9" i="12"/>
  <c r="AI25" i="29"/>
  <c r="S54" i="6"/>
  <c r="AV52" i="6"/>
  <c r="T60" i="6"/>
  <c r="T61" i="6"/>
  <c r="AA5" i="7"/>
  <c r="AX5" i="7" s="1"/>
  <c r="AB5" i="6"/>
  <c r="AB3" i="6"/>
  <c r="AA3" i="7"/>
  <c r="AX3" i="7" s="1"/>
  <c r="N28" i="29"/>
  <c r="AA4" i="7"/>
  <c r="AX4" i="7" s="1"/>
  <c r="AB4" i="6"/>
  <c r="G82" i="6"/>
  <c r="Z6" i="7"/>
  <c r="Z7" i="7" s="1"/>
  <c r="AA6" i="6"/>
  <c r="Z9" i="7"/>
  <c r="Z15" i="7" s="1"/>
  <c r="AA9" i="6"/>
  <c r="AA15" i="6" s="1"/>
  <c r="AA16" i="6" s="1"/>
  <c r="AB11" i="7"/>
  <c r="AC11" i="6"/>
  <c r="AA14" i="7"/>
  <c r="AX14" i="7" s="1"/>
  <c r="AB14" i="6"/>
  <c r="AB12" i="6"/>
  <c r="AA12" i="7"/>
  <c r="AX12" i="7" s="1"/>
  <c r="T52" i="6"/>
  <c r="D29" i="12"/>
  <c r="E29" i="8"/>
  <c r="N5" i="12"/>
  <c r="O23" i="29"/>
  <c r="Q5" i="12"/>
  <c r="R23" i="29"/>
  <c r="R28" i="29" s="1"/>
  <c r="AB10" i="6"/>
  <c r="AA10" i="7"/>
  <c r="AC17" i="12"/>
  <c r="H41" i="12" s="1"/>
  <c r="AC27" i="29"/>
  <c r="AT24" i="29"/>
  <c r="L43" i="29" s="1"/>
  <c r="AC2" i="6"/>
  <c r="AC2" i="7" s="1"/>
  <c r="R54" i="7"/>
  <c r="AV52" i="7"/>
  <c r="T51" i="7"/>
  <c r="T52" i="7" s="1"/>
  <c r="W22" i="7"/>
  <c r="AW22" i="7" s="1"/>
  <c r="X22" i="6"/>
  <c r="X26" i="3"/>
  <c r="X12" i="12" s="1"/>
  <c r="Y26" i="29" s="1"/>
  <c r="Y27" i="3"/>
  <c r="Y33" i="3" s="1"/>
  <c r="E27" i="11"/>
  <c r="L25" i="11" s="1"/>
  <c r="G24" i="11"/>
  <c r="V24" i="6"/>
  <c r="V51" i="6" s="1"/>
  <c r="V61" i="6" s="1"/>
  <c r="C15" i="11"/>
  <c r="T66" i="7"/>
  <c r="T65" i="7"/>
  <c r="T64" i="7"/>
  <c r="T53" i="7"/>
  <c r="W2" i="12"/>
  <c r="X22" i="29" s="1"/>
  <c r="U24" i="7"/>
  <c r="U51" i="7" s="1"/>
  <c r="U62" i="7" s="1"/>
  <c r="U49" i="7"/>
  <c r="V23" i="7"/>
  <c r="W21" i="7"/>
  <c r="AW21" i="7" s="1"/>
  <c r="X21" i="6"/>
  <c r="U65" i="6"/>
  <c r="U64" i="6"/>
  <c r="U63" i="6"/>
  <c r="U52" i="6"/>
  <c r="U53" i="6"/>
  <c r="U60" i="6" s="1"/>
  <c r="AS3" i="13"/>
  <c r="L19" i="13" s="1"/>
  <c r="L5" i="14" s="1"/>
  <c r="L30" i="12"/>
  <c r="F24" i="8"/>
  <c r="AU6" i="5"/>
  <c r="W20" i="7"/>
  <c r="X20" i="6"/>
  <c r="W23" i="6"/>
  <c r="E75" i="7"/>
  <c r="F38" i="3" l="1"/>
  <c r="F7" i="8" s="1"/>
  <c r="N17" i="29"/>
  <c r="N19" i="29" s="1"/>
  <c r="M18" i="12"/>
  <c r="M4" i="13" s="1"/>
  <c r="M6" i="13" s="1"/>
  <c r="D39" i="12"/>
  <c r="R13" i="29"/>
  <c r="R17" i="29" s="1"/>
  <c r="R29" i="29" s="1"/>
  <c r="Q21" i="12"/>
  <c r="Q23" i="12" s="1"/>
  <c r="Q15" i="12" s="1"/>
  <c r="Q18" i="12" s="1"/>
  <c r="Q4" i="13" s="1"/>
  <c r="Q6" i="13" s="1"/>
  <c r="O13" i="29"/>
  <c r="N21" i="12"/>
  <c r="N23" i="12" s="1"/>
  <c r="N15" i="12" s="1"/>
  <c r="N18" i="12" s="1"/>
  <c r="N4" i="13" s="1"/>
  <c r="AW23" i="6"/>
  <c r="AW49" i="6" s="1"/>
  <c r="W49" i="6"/>
  <c r="W56" i="6" s="1"/>
  <c r="AA7" i="6"/>
  <c r="E40" i="9"/>
  <c r="S11" i="8"/>
  <c r="S12" i="8"/>
  <c r="E22" i="9"/>
  <c r="S22" i="8" s="1"/>
  <c r="E41" i="9"/>
  <c r="D48" i="29"/>
  <c r="D49" i="29" s="1"/>
  <c r="U35" i="3"/>
  <c r="F39" i="3" s="1"/>
  <c r="F7" i="9" s="1"/>
  <c r="T7" i="8" s="1"/>
  <c r="F8" i="9"/>
  <c r="F9" i="9" s="1"/>
  <c r="AX7" i="6"/>
  <c r="AE18" i="6"/>
  <c r="AY18" i="6" s="1"/>
  <c r="AD18" i="7"/>
  <c r="S14" i="8"/>
  <c r="AX16" i="6"/>
  <c r="AX6" i="6"/>
  <c r="AX9" i="6"/>
  <c r="AX15" i="6"/>
  <c r="AJ9" i="12"/>
  <c r="AJ25" i="29"/>
  <c r="T54" i="6"/>
  <c r="S55" i="6"/>
  <c r="AV55" i="6" s="1"/>
  <c r="AV54" i="6"/>
  <c r="W23" i="7"/>
  <c r="W24" i="7" s="1"/>
  <c r="W51" i="7" s="1"/>
  <c r="W62" i="7" s="1"/>
  <c r="AB6" i="6"/>
  <c r="AA6" i="7"/>
  <c r="AA7" i="7" s="1"/>
  <c r="AX7" i="7" s="1"/>
  <c r="AB5" i="7"/>
  <c r="AC5" i="6"/>
  <c r="AB3" i="7"/>
  <c r="AC3" i="6"/>
  <c r="O28" i="29"/>
  <c r="O17" i="29"/>
  <c r="L31" i="12"/>
  <c r="AB4" i="7"/>
  <c r="AC4" i="6"/>
  <c r="AA9" i="7"/>
  <c r="AA15" i="7" s="1"/>
  <c r="AA16" i="7" s="1"/>
  <c r="AB9" i="6"/>
  <c r="G92" i="6"/>
  <c r="AD11" i="6"/>
  <c r="AC11" i="7"/>
  <c r="AB14" i="7"/>
  <c r="AC14" i="6"/>
  <c r="AB12" i="7"/>
  <c r="AC12" i="6"/>
  <c r="AB10" i="7"/>
  <c r="AC10" i="6"/>
  <c r="AX10" i="7"/>
  <c r="Z16" i="7"/>
  <c r="AD17" i="12"/>
  <c r="AD27" i="29"/>
  <c r="H46" i="29" s="1"/>
  <c r="L32" i="12"/>
  <c r="AD2" i="6"/>
  <c r="T61" i="7"/>
  <c r="U54" i="6"/>
  <c r="X21" i="7"/>
  <c r="Y21" i="6"/>
  <c r="U66" i="7"/>
  <c r="U65" i="7"/>
  <c r="U64" i="7"/>
  <c r="U53" i="7"/>
  <c r="U61" i="7" s="1"/>
  <c r="U52" i="7"/>
  <c r="X2" i="12"/>
  <c r="Y22" i="29" s="1"/>
  <c r="D15" i="11"/>
  <c r="J13" i="11"/>
  <c r="Y22" i="6"/>
  <c r="X22" i="7"/>
  <c r="V24" i="7"/>
  <c r="V49" i="7"/>
  <c r="W24" i="6"/>
  <c r="W51" i="6" s="1"/>
  <c r="W61" i="6" s="1"/>
  <c r="F69" i="6" s="1"/>
  <c r="X20" i="7"/>
  <c r="Y20" i="6"/>
  <c r="X23" i="6"/>
  <c r="X49" i="6" s="1"/>
  <c r="X56" i="6" s="1"/>
  <c r="F6" i="8"/>
  <c r="P3" i="12"/>
  <c r="S55" i="7"/>
  <c r="AV55" i="7" s="1"/>
  <c r="AV54" i="7"/>
  <c r="AW20" i="7"/>
  <c r="T54" i="7"/>
  <c r="T63" i="7"/>
  <c r="V65" i="6"/>
  <c r="V64" i="6"/>
  <c r="V63" i="6"/>
  <c r="V52" i="6"/>
  <c r="V53" i="6"/>
  <c r="V60" i="6" s="1"/>
  <c r="E28" i="11"/>
  <c r="Z27" i="3"/>
  <c r="Z33" i="3" s="1"/>
  <c r="Y26" i="3"/>
  <c r="Y12" i="12" s="1"/>
  <c r="T62" i="7"/>
  <c r="D42" i="12" l="1"/>
  <c r="D50" i="12" s="1"/>
  <c r="D48" i="12" s="1"/>
  <c r="D16" i="9"/>
  <c r="D16" i="8"/>
  <c r="D17" i="8" s="1"/>
  <c r="D20" i="8" s="1"/>
  <c r="D26" i="8" s="1"/>
  <c r="D30" i="8" s="1"/>
  <c r="F49" i="12"/>
  <c r="F6" i="9"/>
  <c r="F34" i="9" s="1"/>
  <c r="F33" i="9" s="1"/>
  <c r="N29" i="29"/>
  <c r="N30" i="29"/>
  <c r="M19" i="12"/>
  <c r="W50" i="6"/>
  <c r="AW50" i="6" s="1"/>
  <c r="R30" i="29"/>
  <c r="R19" i="29"/>
  <c r="X56" i="7"/>
  <c r="X58" i="6"/>
  <c r="X58" i="7" s="1"/>
  <c r="W58" i="6"/>
  <c r="W56" i="7"/>
  <c r="AW56" i="7" s="1"/>
  <c r="AW56" i="6"/>
  <c r="Q8" i="9"/>
  <c r="T8" i="8"/>
  <c r="AA8" i="8" s="1"/>
  <c r="V35" i="3"/>
  <c r="V34" i="3"/>
  <c r="W34" i="3"/>
  <c r="W14" i="12" s="1"/>
  <c r="O19" i="29"/>
  <c r="O30" i="29"/>
  <c r="AW23" i="7"/>
  <c r="W49" i="7"/>
  <c r="W50" i="7" s="1"/>
  <c r="AW50" i="7" s="1"/>
  <c r="AE18" i="7"/>
  <c r="AY18" i="7" s="1"/>
  <c r="AF18" i="6"/>
  <c r="AD2" i="7"/>
  <c r="AB7" i="6"/>
  <c r="AX9" i="7"/>
  <c r="AB15" i="6"/>
  <c r="AB16" i="6" s="1"/>
  <c r="AK9" i="12"/>
  <c r="J33" i="12" s="1"/>
  <c r="AK25" i="29"/>
  <c r="O29" i="29"/>
  <c r="AW51" i="6"/>
  <c r="AW24" i="6"/>
  <c r="AX6" i="7"/>
  <c r="AX16" i="7"/>
  <c r="AD5" i="6"/>
  <c r="AC5" i="7"/>
  <c r="AC3" i="7"/>
  <c r="AD3" i="6"/>
  <c r="AC6" i="6"/>
  <c r="AB6" i="7"/>
  <c r="AB7" i="7" s="1"/>
  <c r="AD4" i="6"/>
  <c r="AC4" i="7"/>
  <c r="AB9" i="7"/>
  <c r="AB15" i="7" s="1"/>
  <c r="AC9" i="6"/>
  <c r="AC15" i="6" s="1"/>
  <c r="AC16" i="6" s="1"/>
  <c r="AX15" i="7"/>
  <c r="AE11" i="6"/>
  <c r="AY11" i="6" s="1"/>
  <c r="AD11" i="7"/>
  <c r="AC14" i="7"/>
  <c r="AD14" i="6"/>
  <c r="AD12" i="6"/>
  <c r="AC12" i="7"/>
  <c r="P5" i="12"/>
  <c r="Q23" i="29"/>
  <c r="AC10" i="7"/>
  <c r="AD10" i="6"/>
  <c r="AE17" i="12"/>
  <c r="AE27" i="29"/>
  <c r="G36" i="12"/>
  <c r="Z26" i="29"/>
  <c r="G45" i="29" s="1"/>
  <c r="D20" i="13"/>
  <c r="D6" i="14" s="1"/>
  <c r="AE2" i="6"/>
  <c r="AE2" i="7" s="1"/>
  <c r="U63" i="7"/>
  <c r="F14" i="9"/>
  <c r="Y20" i="7"/>
  <c r="Z20" i="6"/>
  <c r="Y23" i="6"/>
  <c r="Y49" i="6" s="1"/>
  <c r="Y56" i="6" s="1"/>
  <c r="Y21" i="7"/>
  <c r="Z21" i="6"/>
  <c r="AA27" i="3"/>
  <c r="AA33" i="3" s="1"/>
  <c r="Z26" i="3"/>
  <c r="Z12" i="12" s="1"/>
  <c r="AA26" i="29" s="1"/>
  <c r="T9" i="8"/>
  <c r="AA9" i="8" s="1"/>
  <c r="Q9" i="9"/>
  <c r="Y2" i="12"/>
  <c r="Z22" i="29" s="1"/>
  <c r="G41" i="29" s="1"/>
  <c r="D22" i="13"/>
  <c r="V51" i="7"/>
  <c r="V52" i="7" s="1"/>
  <c r="AW24" i="7"/>
  <c r="V54" i="6"/>
  <c r="X23" i="7"/>
  <c r="Y22" i="7"/>
  <c r="Z22" i="6"/>
  <c r="R3" i="12"/>
  <c r="K13" i="11"/>
  <c r="B16" i="11"/>
  <c r="E29" i="11"/>
  <c r="N6" i="13"/>
  <c r="E27" i="12"/>
  <c r="X24" i="6"/>
  <c r="W65" i="6"/>
  <c r="F73" i="6" s="1"/>
  <c r="F45" i="9" s="1"/>
  <c r="W64" i="6"/>
  <c r="F72" i="6" s="1"/>
  <c r="F44" i="9" s="1"/>
  <c r="W63" i="6"/>
  <c r="F71" i="6" s="1"/>
  <c r="F43" i="9" s="1"/>
  <c r="W53" i="6"/>
  <c r="W52" i="6"/>
  <c r="AW52" i="6" s="1"/>
  <c r="V66" i="7"/>
  <c r="V65" i="7"/>
  <c r="V64" i="7"/>
  <c r="V53" i="7"/>
  <c r="V61" i="7" s="1"/>
  <c r="W53" i="7"/>
  <c r="W61" i="7" s="1"/>
  <c r="F4" i="10"/>
  <c r="U54" i="7"/>
  <c r="S3" i="12" s="1"/>
  <c r="D45" i="12" l="1"/>
  <c r="R16" i="8"/>
  <c r="D17" i="9"/>
  <c r="D28" i="9"/>
  <c r="D46" i="12"/>
  <c r="D52" i="12" s="1"/>
  <c r="D25" i="13"/>
  <c r="T6" i="8"/>
  <c r="Q13" i="29"/>
  <c r="E34" i="29" s="1"/>
  <c r="E38" i="29" s="1"/>
  <c r="P21" i="12"/>
  <c r="P23" i="12" s="1"/>
  <c r="P15" i="12" s="1"/>
  <c r="E39" i="12" s="1"/>
  <c r="W64" i="7"/>
  <c r="W66" i="7"/>
  <c r="AC7" i="6"/>
  <c r="W58" i="7"/>
  <c r="AW58" i="7" s="1"/>
  <c r="F10" i="8" s="1"/>
  <c r="AW58" i="6"/>
  <c r="F10" i="9" s="1"/>
  <c r="W65" i="7"/>
  <c r="W63" i="7" s="1"/>
  <c r="Y58" i="6"/>
  <c r="Y56" i="7"/>
  <c r="V14" i="12"/>
  <c r="W52" i="7"/>
  <c r="AW49" i="7"/>
  <c r="W35" i="3"/>
  <c r="AY2" i="6"/>
  <c r="AG18" i="6"/>
  <c r="AF18" i="7"/>
  <c r="AL9" i="12"/>
  <c r="AL25" i="29"/>
  <c r="J44" i="29" s="1"/>
  <c r="W60" i="6"/>
  <c r="F68" i="6" s="1"/>
  <c r="F74" i="6" s="1"/>
  <c r="AW53" i="6"/>
  <c r="F15" i="9" s="1"/>
  <c r="F46" i="9" s="1"/>
  <c r="D51" i="12"/>
  <c r="AE5" i="6"/>
  <c r="AY5" i="6" s="1"/>
  <c r="AD5" i="7"/>
  <c r="AD3" i="7"/>
  <c r="AE3" i="6"/>
  <c r="AY3" i="6" s="1"/>
  <c r="AD6" i="6"/>
  <c r="AC6" i="7"/>
  <c r="AC7" i="7" s="1"/>
  <c r="Q17" i="29"/>
  <c r="Q28" i="29"/>
  <c r="E42" i="29"/>
  <c r="E47" i="29" s="1"/>
  <c r="AE4" i="6"/>
  <c r="AY4" i="6" s="1"/>
  <c r="AD4" i="7"/>
  <c r="AC9" i="7"/>
  <c r="AC15" i="7" s="1"/>
  <c r="AC16" i="7" s="1"/>
  <c r="AD9" i="6"/>
  <c r="AD15" i="6" s="1"/>
  <c r="AD16" i="6" s="1"/>
  <c r="AF11" i="6"/>
  <c r="AE11" i="7"/>
  <c r="AY11" i="7" s="1"/>
  <c r="AD14" i="7"/>
  <c r="AE14" i="6"/>
  <c r="AY14" i="6" s="1"/>
  <c r="AE12" i="6"/>
  <c r="AY12" i="6" s="1"/>
  <c r="AD12" i="7"/>
  <c r="E29" i="12"/>
  <c r="AB16" i="7"/>
  <c r="S5" i="12"/>
  <c r="T23" i="29"/>
  <c r="T28" i="29" s="1"/>
  <c r="R5" i="12"/>
  <c r="S23" i="29"/>
  <c r="AD10" i="7"/>
  <c r="AE10" i="6"/>
  <c r="AY10" i="6" s="1"/>
  <c r="AF17" i="12"/>
  <c r="AF27" i="29"/>
  <c r="F69" i="7"/>
  <c r="W54" i="7"/>
  <c r="U3" i="12" s="1"/>
  <c r="AF2" i="6"/>
  <c r="W54" i="6"/>
  <c r="F74" i="7"/>
  <c r="AW53" i="7"/>
  <c r="F15" i="8" s="1"/>
  <c r="V54" i="7"/>
  <c r="T3" i="12" s="1"/>
  <c r="U23" i="29" s="1"/>
  <c r="U28" i="29" s="1"/>
  <c r="AW52" i="7"/>
  <c r="AA26" i="3"/>
  <c r="AA12" i="12" s="1"/>
  <c r="AB26" i="29" s="1"/>
  <c r="AB27" i="3"/>
  <c r="AB33" i="3" s="1"/>
  <c r="E30" i="11"/>
  <c r="L28" i="11" s="1"/>
  <c r="G27" i="11"/>
  <c r="X24" i="7"/>
  <c r="X49" i="7"/>
  <c r="Z2" i="12"/>
  <c r="AA22" i="29" s="1"/>
  <c r="G26" i="12"/>
  <c r="Y24" i="6"/>
  <c r="Y51" i="6" s="1"/>
  <c r="Y61" i="6" s="1"/>
  <c r="X65" i="6"/>
  <c r="X64" i="6"/>
  <c r="X63" i="6"/>
  <c r="X53" i="6"/>
  <c r="V63" i="7"/>
  <c r="F72" i="7"/>
  <c r="X51" i="6"/>
  <c r="Z22" i="7"/>
  <c r="AA22" i="6"/>
  <c r="AX22" i="6" s="1"/>
  <c r="Z20" i="7"/>
  <c r="AA20" i="6"/>
  <c r="AX20" i="6" s="1"/>
  <c r="Z23" i="6"/>
  <c r="Z49" i="6" s="1"/>
  <c r="Z56" i="6" s="1"/>
  <c r="F42" i="9"/>
  <c r="F5" i="10"/>
  <c r="F7" i="13"/>
  <c r="F73" i="7"/>
  <c r="C16" i="11"/>
  <c r="V62" i="7"/>
  <c r="F70" i="7" s="1"/>
  <c r="F44" i="12" s="1"/>
  <c r="AW51" i="7"/>
  <c r="F14" i="8" s="1"/>
  <c r="Z21" i="7"/>
  <c r="AA21" i="6"/>
  <c r="AX21" i="6" s="1"/>
  <c r="Y23" i="7"/>
  <c r="D29" i="9" l="1"/>
  <c r="E16" i="8"/>
  <c r="E17" i="8" s="1"/>
  <c r="E20" i="8" s="1"/>
  <c r="E26" i="8" s="1"/>
  <c r="E30" i="8" s="1"/>
  <c r="E16" i="9"/>
  <c r="R17" i="8"/>
  <c r="P18" i="12"/>
  <c r="P4" i="13" s="1"/>
  <c r="P6" i="13" s="1"/>
  <c r="E42" i="12"/>
  <c r="E45" i="12" s="1"/>
  <c r="T13" i="29"/>
  <c r="T17" i="29" s="1"/>
  <c r="T29" i="29" s="1"/>
  <c r="S21" i="12"/>
  <c r="S23" i="12" s="1"/>
  <c r="S15" i="12" s="1"/>
  <c r="S18" i="12" s="1"/>
  <c r="S4" i="13" s="1"/>
  <c r="S6" i="13" s="1"/>
  <c r="S13" i="29"/>
  <c r="S17" i="29" s="1"/>
  <c r="R21" i="12"/>
  <c r="R23" i="12" s="1"/>
  <c r="R15" i="12" s="1"/>
  <c r="Y58" i="7"/>
  <c r="AD7" i="6"/>
  <c r="F39" i="9"/>
  <c r="F12" i="9"/>
  <c r="F11" i="9"/>
  <c r="T10" i="8"/>
  <c r="F12" i="8"/>
  <c r="F22" i="8" s="1"/>
  <c r="F28" i="8" s="1"/>
  <c r="F11" i="8"/>
  <c r="F21" i="8" s="1"/>
  <c r="F27" i="8" s="1"/>
  <c r="Z56" i="7"/>
  <c r="Z58" i="6"/>
  <c r="Z58" i="7" s="1"/>
  <c r="X34" i="3"/>
  <c r="X35" i="3"/>
  <c r="Y14" i="12"/>
  <c r="Q19" i="29"/>
  <c r="Q30" i="29"/>
  <c r="AG18" i="7"/>
  <c r="AH18" i="6"/>
  <c r="AF2" i="7"/>
  <c r="AM9" i="12"/>
  <c r="AM25" i="29"/>
  <c r="Q29" i="29"/>
  <c r="T15" i="8"/>
  <c r="X61" i="6"/>
  <c r="X60" i="6"/>
  <c r="W55" i="6"/>
  <c r="AW55" i="6" s="1"/>
  <c r="AW54" i="6"/>
  <c r="AD6" i="7"/>
  <c r="AD7" i="7" s="1"/>
  <c r="AE5" i="7"/>
  <c r="AY5" i="7" s="1"/>
  <c r="AF5" i="6"/>
  <c r="AE3" i="7"/>
  <c r="AY3" i="7" s="1"/>
  <c r="AF3" i="6"/>
  <c r="AE6" i="6"/>
  <c r="E39" i="29"/>
  <c r="S28" i="29"/>
  <c r="AE4" i="7"/>
  <c r="AY4" i="7" s="1"/>
  <c r="AF4" i="6"/>
  <c r="H82" i="6"/>
  <c r="AD9" i="7"/>
  <c r="AE9" i="6"/>
  <c r="AE15" i="6" s="1"/>
  <c r="AY15" i="6" s="1"/>
  <c r="AF11" i="7"/>
  <c r="AG11" i="6"/>
  <c r="AF14" i="6"/>
  <c r="AE14" i="7"/>
  <c r="AY14" i="7" s="1"/>
  <c r="AF12" i="6"/>
  <c r="AE12" i="7"/>
  <c r="AY12" i="7" s="1"/>
  <c r="AF10" i="6"/>
  <c r="AE10" i="7"/>
  <c r="U5" i="12"/>
  <c r="V23" i="29"/>
  <c r="V28" i="29" s="1"/>
  <c r="AG17" i="12"/>
  <c r="I41" i="12" s="1"/>
  <c r="AG27" i="29"/>
  <c r="F29" i="8"/>
  <c r="F27" i="12"/>
  <c r="T5" i="12"/>
  <c r="T21" i="12" s="1"/>
  <c r="T23" i="12" s="1"/>
  <c r="T15" i="12" s="1"/>
  <c r="AY2" i="7"/>
  <c r="AG2" i="6"/>
  <c r="AG2" i="7" s="1"/>
  <c r="AW54" i="7"/>
  <c r="W55" i="7"/>
  <c r="AW55" i="7" s="1"/>
  <c r="D16" i="11"/>
  <c r="F11" i="13"/>
  <c r="F14" i="13" s="1"/>
  <c r="F7" i="10"/>
  <c r="Z24" i="6"/>
  <c r="Z51" i="6" s="1"/>
  <c r="Z61" i="6" s="1"/>
  <c r="X52" i="6"/>
  <c r="G24" i="8"/>
  <c r="Y24" i="7"/>
  <c r="Y51" i="7" s="1"/>
  <c r="Y62" i="7" s="1"/>
  <c r="Y49" i="7"/>
  <c r="AA21" i="7"/>
  <c r="AB21" i="6"/>
  <c r="F8" i="13"/>
  <c r="AA20" i="7"/>
  <c r="AX20" i="7" s="1"/>
  <c r="AB20" i="6"/>
  <c r="AA23" i="6"/>
  <c r="AA2" i="12"/>
  <c r="AB22" i="29" s="1"/>
  <c r="X51" i="7"/>
  <c r="X52" i="7" s="1"/>
  <c r="AB26" i="3"/>
  <c r="AB12" i="12" s="1"/>
  <c r="AC26" i="29" s="1"/>
  <c r="AC27" i="3"/>
  <c r="AC33" i="3" s="1"/>
  <c r="Y52" i="6"/>
  <c r="Y53" i="6"/>
  <c r="Y60" i="6" s="1"/>
  <c r="Y63" i="6"/>
  <c r="Y65" i="6"/>
  <c r="Y64" i="6"/>
  <c r="X66" i="7"/>
  <c r="X65" i="7"/>
  <c r="X64" i="7"/>
  <c r="X53" i="7"/>
  <c r="F6" i="10"/>
  <c r="AX21" i="7"/>
  <c r="T14" i="8"/>
  <c r="Z23" i="7"/>
  <c r="AA22" i="7"/>
  <c r="AX22" i="7" s="1"/>
  <c r="AB22" i="6"/>
  <c r="E31" i="11"/>
  <c r="F75" i="7"/>
  <c r="E46" i="12" l="1"/>
  <c r="E25" i="13"/>
  <c r="S16" i="8"/>
  <c r="E28" i="9"/>
  <c r="E17" i="9"/>
  <c r="R18" i="12"/>
  <c r="R4" i="13" s="1"/>
  <c r="R6" i="13" s="1"/>
  <c r="F39" i="12"/>
  <c r="Q19" i="12"/>
  <c r="E50" i="12"/>
  <c r="E48" i="12" s="1"/>
  <c r="E52" i="12" s="1"/>
  <c r="T30" i="29"/>
  <c r="T19" i="29"/>
  <c r="U21" i="12"/>
  <c r="U23" i="12" s="1"/>
  <c r="U15" i="12" s="1"/>
  <c r="U18" i="12" s="1"/>
  <c r="U4" i="13" s="1"/>
  <c r="U6" i="13" s="1"/>
  <c r="AY6" i="6"/>
  <c r="X14" i="12"/>
  <c r="G38" i="12" s="1"/>
  <c r="G37" i="12" s="1"/>
  <c r="G38" i="3"/>
  <c r="G7" i="8" s="1"/>
  <c r="G6" i="8" s="1"/>
  <c r="F40" i="9"/>
  <c r="T11" i="8"/>
  <c r="AX23" i="6"/>
  <c r="AX49" i="6" s="1"/>
  <c r="AA49" i="6"/>
  <c r="AA56" i="6" s="1"/>
  <c r="T12" i="8"/>
  <c r="F41" i="9"/>
  <c r="F22" i="9"/>
  <c r="T22" i="8" s="1"/>
  <c r="G39" i="3"/>
  <c r="G7" i="9" s="1"/>
  <c r="Z35" i="3"/>
  <c r="S19" i="29"/>
  <c r="S30" i="29"/>
  <c r="AI18" i="6"/>
  <c r="AH18" i="7"/>
  <c r="AY9" i="6"/>
  <c r="AN9" i="12"/>
  <c r="AN25" i="29"/>
  <c r="S29" i="29"/>
  <c r="X54" i="6"/>
  <c r="AF5" i="7"/>
  <c r="AG5" i="6"/>
  <c r="AE7" i="6"/>
  <c r="AY7" i="6" s="1"/>
  <c r="AF3" i="7"/>
  <c r="AG3" i="6"/>
  <c r="E48" i="29"/>
  <c r="E49" i="29" s="1"/>
  <c r="AE6" i="7"/>
  <c r="AE7" i="7" s="1"/>
  <c r="AY7" i="7" s="1"/>
  <c r="F42" i="29"/>
  <c r="F47" i="29" s="1"/>
  <c r="AF4" i="7"/>
  <c r="AG4" i="6"/>
  <c r="AF6" i="6"/>
  <c r="AD15" i="7"/>
  <c r="AD16" i="7" s="1"/>
  <c r="AE9" i="7"/>
  <c r="AE15" i="7" s="1"/>
  <c r="AE16" i="7" s="1"/>
  <c r="AF9" i="6"/>
  <c r="H92" i="6"/>
  <c r="AH11" i="6"/>
  <c r="AG11" i="7"/>
  <c r="AF14" i="7"/>
  <c r="AG14" i="6"/>
  <c r="V13" i="29"/>
  <c r="V17" i="29" s="1"/>
  <c r="AF12" i="7"/>
  <c r="AG12" i="6"/>
  <c r="AF10" i="7"/>
  <c r="AG10" i="6"/>
  <c r="AE16" i="6"/>
  <c r="AY16" i="6" s="1"/>
  <c r="AY10" i="7"/>
  <c r="F29" i="12"/>
  <c r="U13" i="29"/>
  <c r="AH17" i="12"/>
  <c r="AH27" i="29"/>
  <c r="I46" i="29" s="1"/>
  <c r="E20" i="13"/>
  <c r="E6" i="14" s="1"/>
  <c r="AH2" i="6"/>
  <c r="AH2" i="7" s="1"/>
  <c r="Y54" i="6"/>
  <c r="T18" i="12"/>
  <c r="X54" i="7"/>
  <c r="AC22" i="6"/>
  <c r="AB22" i="7"/>
  <c r="AD27" i="3"/>
  <c r="AD33" i="3" s="1"/>
  <c r="AC26" i="3"/>
  <c r="AC12" i="12" s="1"/>
  <c r="AA23" i="7"/>
  <c r="F15" i="13"/>
  <c r="Z65" i="6"/>
  <c r="Z64" i="6"/>
  <c r="Z63" i="6"/>
  <c r="Z52" i="6"/>
  <c r="Z53" i="6"/>
  <c r="Z60" i="6" s="1"/>
  <c r="F13" i="13"/>
  <c r="AB20" i="7"/>
  <c r="AC20" i="6"/>
  <c r="AB23" i="6"/>
  <c r="AB49" i="6" s="1"/>
  <c r="AB56" i="6" s="1"/>
  <c r="B17" i="11"/>
  <c r="Z24" i="7"/>
  <c r="Z49" i="7"/>
  <c r="E22" i="13"/>
  <c r="E32" i="11"/>
  <c r="X61" i="7"/>
  <c r="X63" i="7"/>
  <c r="X62" i="7"/>
  <c r="AB2" i="12"/>
  <c r="AC22" i="29" s="1"/>
  <c r="AA24" i="6"/>
  <c r="AX24" i="6" s="1"/>
  <c r="F9" i="13"/>
  <c r="F10" i="13" s="1"/>
  <c r="AB21" i="7"/>
  <c r="AC21" i="6"/>
  <c r="Y66" i="7"/>
  <c r="Y65" i="7"/>
  <c r="Y64" i="7"/>
  <c r="Y53" i="7"/>
  <c r="Y61" i="7" s="1"/>
  <c r="Y52" i="7"/>
  <c r="F16" i="8" l="1"/>
  <c r="F17" i="8" s="1"/>
  <c r="F20" i="8" s="1"/>
  <c r="F26" i="8" s="1"/>
  <c r="F30" i="8" s="1"/>
  <c r="F16" i="9"/>
  <c r="E29" i="9"/>
  <c r="S17" i="8"/>
  <c r="E51" i="12"/>
  <c r="F42" i="12"/>
  <c r="AB56" i="7"/>
  <c r="AB58" i="6"/>
  <c r="AB58" i="7" s="1"/>
  <c r="G49" i="12"/>
  <c r="G6" i="9"/>
  <c r="G34" i="9" s="1"/>
  <c r="G33" i="9" s="1"/>
  <c r="AA58" i="6"/>
  <c r="AA56" i="7"/>
  <c r="AX56" i="7" s="1"/>
  <c r="AX56" i="6"/>
  <c r="AA50" i="6"/>
  <c r="AX50" i="6" s="1"/>
  <c r="U7" i="8"/>
  <c r="AA14" i="12"/>
  <c r="AA35" i="3"/>
  <c r="V19" i="29"/>
  <c r="V30" i="29"/>
  <c r="AJ18" i="6"/>
  <c r="AI18" i="7"/>
  <c r="AZ18" i="7" s="1"/>
  <c r="AZ18" i="6"/>
  <c r="AF7" i="6"/>
  <c r="AF15" i="6"/>
  <c r="AF16" i="6" s="1"/>
  <c r="AO9" i="12"/>
  <c r="K33" i="12" s="1"/>
  <c r="AO25" i="29"/>
  <c r="V29" i="29"/>
  <c r="AY9" i="7"/>
  <c r="AG6" i="6"/>
  <c r="AF6" i="7"/>
  <c r="AY6" i="7"/>
  <c r="AH5" i="6"/>
  <c r="AG5" i="7"/>
  <c r="AG3" i="7"/>
  <c r="AH3" i="6"/>
  <c r="AY16" i="7"/>
  <c r="F34" i="29"/>
  <c r="F38" i="29" s="1"/>
  <c r="U17" i="29"/>
  <c r="AB35" i="3"/>
  <c r="AH4" i="6"/>
  <c r="AG4" i="7"/>
  <c r="AY15" i="7"/>
  <c r="AF9" i="7"/>
  <c r="AG9" i="6"/>
  <c r="AG15" i="6" s="1"/>
  <c r="AG16" i="6" s="1"/>
  <c r="AI11" i="6"/>
  <c r="AZ11" i="6" s="1"/>
  <c r="AH11" i="7"/>
  <c r="AG14" i="7"/>
  <c r="AH14" i="6"/>
  <c r="AH12" i="6"/>
  <c r="AG12" i="7"/>
  <c r="AG10" i="7"/>
  <c r="AH10" i="6"/>
  <c r="AI17" i="12"/>
  <c r="AI27" i="29"/>
  <c r="H36" i="12"/>
  <c r="AD26" i="29"/>
  <c r="H45" i="29" s="1"/>
  <c r="T4" i="13"/>
  <c r="T6" i="13" s="1"/>
  <c r="F22" i="13" s="1"/>
  <c r="U19" i="12"/>
  <c r="AF7" i="7"/>
  <c r="AI2" i="6"/>
  <c r="AZ2" i="6" s="1"/>
  <c r="Z54" i="6"/>
  <c r="Y63" i="7"/>
  <c r="AC21" i="7"/>
  <c r="AD21" i="6"/>
  <c r="AC2" i="12"/>
  <c r="Z66" i="7"/>
  <c r="Z65" i="7"/>
  <c r="Z64" i="7"/>
  <c r="Z53" i="7"/>
  <c r="Z61" i="7" s="1"/>
  <c r="AB23" i="7"/>
  <c r="AE27" i="3"/>
  <c r="AE33" i="3" s="1"/>
  <c r="AD26" i="3"/>
  <c r="AD12" i="12" s="1"/>
  <c r="AE26" i="29" s="1"/>
  <c r="AC22" i="7"/>
  <c r="AD22" i="6"/>
  <c r="Z14" i="12"/>
  <c r="AA65" i="6"/>
  <c r="G73" i="6" s="1"/>
  <c r="G45" i="9" s="1"/>
  <c r="AA64" i="6"/>
  <c r="G72" i="6" s="1"/>
  <c r="G44" i="9" s="1"/>
  <c r="AA63" i="6"/>
  <c r="G71" i="6" s="1"/>
  <c r="G43" i="9" s="1"/>
  <c r="AA53" i="6"/>
  <c r="AA60" i="6" s="1"/>
  <c r="G68" i="6" s="1"/>
  <c r="Z51" i="7"/>
  <c r="Z52" i="7" s="1"/>
  <c r="AB24" i="6"/>
  <c r="Y54" i="7"/>
  <c r="W3" i="12" s="1"/>
  <c r="AA51" i="6"/>
  <c r="E33" i="11"/>
  <c r="G30" i="11"/>
  <c r="AC20" i="7"/>
  <c r="AD20" i="6"/>
  <c r="AC23" i="6"/>
  <c r="AC49" i="6" s="1"/>
  <c r="AC56" i="6" s="1"/>
  <c r="V3" i="12"/>
  <c r="F12" i="13"/>
  <c r="C17" i="11"/>
  <c r="AA24" i="7"/>
  <c r="AA51" i="7" s="1"/>
  <c r="AA62" i="7" s="1"/>
  <c r="AA49" i="7"/>
  <c r="AX23" i="7"/>
  <c r="T16" i="8" l="1"/>
  <c r="F28" i="9"/>
  <c r="F17" i="9"/>
  <c r="F45" i="12"/>
  <c r="F50" i="12"/>
  <c r="F48" i="12" s="1"/>
  <c r="AA58" i="7"/>
  <c r="AX58" i="7" s="1"/>
  <c r="G10" i="8" s="1"/>
  <c r="AX58" i="6"/>
  <c r="G10" i="9" s="1"/>
  <c r="AC56" i="7"/>
  <c r="AC58" i="6"/>
  <c r="AG7" i="6"/>
  <c r="U6" i="8"/>
  <c r="AG6" i="7"/>
  <c r="AG7" i="7" s="1"/>
  <c r="U19" i="29"/>
  <c r="U30" i="29"/>
  <c r="AJ18" i="7"/>
  <c r="AK18" i="6"/>
  <c r="AP9" i="12"/>
  <c r="AP25" i="29"/>
  <c r="K44" i="29" s="1"/>
  <c r="F39" i="29"/>
  <c r="U29" i="29"/>
  <c r="AX53" i="6"/>
  <c r="G15" i="9" s="1"/>
  <c r="G46" i="9" s="1"/>
  <c r="AA61" i="6"/>
  <c r="G69" i="6" s="1"/>
  <c r="G74" i="6" s="1"/>
  <c r="AX51" i="6"/>
  <c r="AC23" i="7"/>
  <c r="AC49" i="7" s="1"/>
  <c r="AH6" i="6"/>
  <c r="AI5" i="6"/>
  <c r="AZ5" i="6" s="1"/>
  <c r="AH5" i="7"/>
  <c r="AH3" i="7"/>
  <c r="AI3" i="6"/>
  <c r="AZ3" i="6" s="1"/>
  <c r="AI2" i="7"/>
  <c r="AZ2" i="7" s="1"/>
  <c r="AJ2" i="6"/>
  <c r="AC35" i="3"/>
  <c r="AI4" i="6"/>
  <c r="AZ4" i="6" s="1"/>
  <c r="AH4" i="7"/>
  <c r="AG9" i="7"/>
  <c r="AH9" i="6"/>
  <c r="AF15" i="7"/>
  <c r="AF16" i="7" s="1"/>
  <c r="AI11" i="7"/>
  <c r="AZ11" i="7" s="1"/>
  <c r="AJ11" i="6"/>
  <c r="AH14" i="7"/>
  <c r="AI14" i="6"/>
  <c r="AZ14" i="6" s="1"/>
  <c r="AI12" i="6"/>
  <c r="AZ12" i="6" s="1"/>
  <c r="AH12" i="7"/>
  <c r="W5" i="12"/>
  <c r="X23" i="29"/>
  <c r="X28" i="29" s="1"/>
  <c r="AH10" i="7"/>
  <c r="AI10" i="6"/>
  <c r="AZ10" i="6" s="1"/>
  <c r="V5" i="12"/>
  <c r="W23" i="29"/>
  <c r="H26" i="12"/>
  <c r="H24" i="8" s="1"/>
  <c r="AD22" i="29"/>
  <c r="H41" i="29" s="1"/>
  <c r="AJ17" i="12"/>
  <c r="AJ27" i="29"/>
  <c r="F20" i="13"/>
  <c r="F6" i="14" s="1"/>
  <c r="Z54" i="7"/>
  <c r="X3" i="12" s="1"/>
  <c r="AA52" i="6"/>
  <c r="AC24" i="6"/>
  <c r="AC51" i="6" s="1"/>
  <c r="AC61" i="6" s="1"/>
  <c r="AB51" i="6"/>
  <c r="AB24" i="7"/>
  <c r="AB49" i="7"/>
  <c r="AE20" i="6"/>
  <c r="AY20" i="6" s="1"/>
  <c r="AD23" i="6"/>
  <c r="AD49" i="6" s="1"/>
  <c r="AD56" i="6" s="1"/>
  <c r="AD20" i="7"/>
  <c r="AC14" i="12"/>
  <c r="E34" i="11"/>
  <c r="AA65" i="7"/>
  <c r="G73" i="7" s="1"/>
  <c r="AA53" i="7"/>
  <c r="AA52" i="7"/>
  <c r="AX52" i="7" s="1"/>
  <c r="AA66" i="7"/>
  <c r="G74" i="7" s="1"/>
  <c r="AA64" i="7"/>
  <c r="AC24" i="7"/>
  <c r="AC51" i="7" s="1"/>
  <c r="AC62" i="7" s="1"/>
  <c r="G14" i="9"/>
  <c r="AX24" i="7"/>
  <c r="AX49" i="7"/>
  <c r="Z63" i="7"/>
  <c r="AD2" i="12"/>
  <c r="AE22" i="29" s="1"/>
  <c r="L31" i="11"/>
  <c r="AD22" i="7"/>
  <c r="AE22" i="6"/>
  <c r="AY22" i="6" s="1"/>
  <c r="AD21" i="7"/>
  <c r="AE21" i="6"/>
  <c r="AY21" i="6" s="1"/>
  <c r="D17" i="11"/>
  <c r="AB65" i="6"/>
  <c r="AB64" i="6"/>
  <c r="AB63" i="6"/>
  <c r="AB53" i="6"/>
  <c r="Z62" i="7"/>
  <c r="G70" i="7" s="1"/>
  <c r="AX51" i="7"/>
  <c r="G14" i="8" s="1"/>
  <c r="AE26" i="3"/>
  <c r="AE12" i="12" s="1"/>
  <c r="AF26" i="29" s="1"/>
  <c r="AF27" i="3"/>
  <c r="AF33" i="3" s="1"/>
  <c r="AA50" i="7"/>
  <c r="AX50" i="7" s="1"/>
  <c r="F46" i="12" l="1"/>
  <c r="F25" i="13"/>
  <c r="F29" i="9"/>
  <c r="T17" i="8"/>
  <c r="F52" i="12"/>
  <c r="F51" i="12"/>
  <c r="X13" i="29"/>
  <c r="X17" i="29" s="1"/>
  <c r="X30" i="29" s="1"/>
  <c r="W21" i="12"/>
  <c r="W23" i="12" s="1"/>
  <c r="W15" i="12" s="1"/>
  <c r="W18" i="12" s="1"/>
  <c r="W4" i="13" s="1"/>
  <c r="W6" i="13" s="1"/>
  <c r="W13" i="29"/>
  <c r="W17" i="29" s="1"/>
  <c r="V21" i="12"/>
  <c r="V23" i="12" s="1"/>
  <c r="V15" i="12" s="1"/>
  <c r="V18" i="12" s="1"/>
  <c r="AH7" i="6"/>
  <c r="AD58" i="6"/>
  <c r="AD58" i="7" s="1"/>
  <c r="AD56" i="7"/>
  <c r="AC58" i="7"/>
  <c r="G12" i="9"/>
  <c r="G11" i="9"/>
  <c r="G40" i="9" s="1"/>
  <c r="G39" i="9"/>
  <c r="U10" i="8"/>
  <c r="G12" i="8"/>
  <c r="G22" i="8" s="1"/>
  <c r="G28" i="8" s="1"/>
  <c r="G11" i="8"/>
  <c r="U11" i="8" s="1"/>
  <c r="AK18" i="7"/>
  <c r="AL18" i="6"/>
  <c r="AJ2" i="7"/>
  <c r="G44" i="12"/>
  <c r="AQ9" i="12"/>
  <c r="AQ25" i="29"/>
  <c r="F48" i="29"/>
  <c r="F49" i="29" s="1"/>
  <c r="AB60" i="6"/>
  <c r="AB61" i="6"/>
  <c r="AA54" i="6"/>
  <c r="AX52" i="6"/>
  <c r="AH6" i="7"/>
  <c r="AH7" i="7" s="1"/>
  <c r="AI6" i="6"/>
  <c r="AI5" i="7"/>
  <c r="AJ5" i="6"/>
  <c r="AJ3" i="6"/>
  <c r="AI3" i="7"/>
  <c r="AZ3" i="7" s="1"/>
  <c r="W28" i="29"/>
  <c r="AD35" i="3"/>
  <c r="AJ4" i="6"/>
  <c r="AI4" i="7"/>
  <c r="AZ4" i="7" s="1"/>
  <c r="I82" i="6"/>
  <c r="AH9" i="7"/>
  <c r="AH15" i="7" s="1"/>
  <c r="AI9" i="6"/>
  <c r="AI15" i="6" s="1"/>
  <c r="AI16" i="6" s="1"/>
  <c r="AG15" i="7"/>
  <c r="AG16" i="7" s="1"/>
  <c r="AH15" i="6"/>
  <c r="AJ11" i="7"/>
  <c r="AK11" i="6"/>
  <c r="AJ14" i="6"/>
  <c r="AI14" i="7"/>
  <c r="AZ14" i="7" s="1"/>
  <c r="AJ12" i="6"/>
  <c r="AI12" i="7"/>
  <c r="AZ12" i="7" s="1"/>
  <c r="AI10" i="7"/>
  <c r="AJ10" i="6"/>
  <c r="X5" i="12"/>
  <c r="X21" i="12" s="1"/>
  <c r="X23" i="12" s="1"/>
  <c r="X15" i="12" s="1"/>
  <c r="Y23" i="29"/>
  <c r="Y28" i="29" s="1"/>
  <c r="AK17" i="12"/>
  <c r="J41" i="12" s="1"/>
  <c r="AK27" i="29"/>
  <c r="H39" i="3"/>
  <c r="H6" i="9" s="1"/>
  <c r="AK2" i="6"/>
  <c r="AK2" i="7" s="1"/>
  <c r="AB52" i="6"/>
  <c r="AB14" i="12"/>
  <c r="H38" i="12" s="1"/>
  <c r="H37" i="12" s="1"/>
  <c r="H38" i="3"/>
  <c r="H7" i="8" s="1"/>
  <c r="H6" i="8" s="1"/>
  <c r="AA63" i="7"/>
  <c r="G72" i="7"/>
  <c r="AD24" i="6"/>
  <c r="AB51" i="7"/>
  <c r="AB52" i="7" s="1"/>
  <c r="AA61" i="7"/>
  <c r="G69" i="7" s="1"/>
  <c r="G75" i="7" s="1"/>
  <c r="AX53" i="7"/>
  <c r="G15" i="8" s="1"/>
  <c r="U15" i="8" s="1"/>
  <c r="AD23" i="7"/>
  <c r="AB66" i="7"/>
  <c r="AB65" i="7"/>
  <c r="AB64" i="7"/>
  <c r="AB53" i="7"/>
  <c r="AF26" i="3"/>
  <c r="AF12" i="12" s="1"/>
  <c r="AG26" i="29" s="1"/>
  <c r="AG27" i="3"/>
  <c r="AG33" i="3" s="1"/>
  <c r="H15" i="11"/>
  <c r="B18" i="11"/>
  <c r="AE21" i="7"/>
  <c r="AY21" i="7" s="1"/>
  <c r="AF21" i="6"/>
  <c r="AE2" i="12"/>
  <c r="AF22" i="29" s="1"/>
  <c r="G42" i="9"/>
  <c r="U14" i="8"/>
  <c r="AC66" i="7"/>
  <c r="AC65" i="7"/>
  <c r="AC64" i="7"/>
  <c r="AC53" i="7"/>
  <c r="AC61" i="7" s="1"/>
  <c r="AC52" i="7"/>
  <c r="E35" i="11"/>
  <c r="AE20" i="7"/>
  <c r="AF20" i="6"/>
  <c r="AE23" i="6"/>
  <c r="AE22" i="7"/>
  <c r="AY22" i="7" s="1"/>
  <c r="AF22" i="6"/>
  <c r="AA54" i="7"/>
  <c r="AC65" i="6"/>
  <c r="AC64" i="6"/>
  <c r="AC63" i="6"/>
  <c r="AC52" i="6"/>
  <c r="AC53" i="6"/>
  <c r="AC60" i="6" s="1"/>
  <c r="X19" i="29" l="1"/>
  <c r="X29" i="29"/>
  <c r="G22" i="9"/>
  <c r="U22" i="8" s="1"/>
  <c r="G41" i="9"/>
  <c r="U12" i="8"/>
  <c r="AZ6" i="6"/>
  <c r="AY23" i="6"/>
  <c r="AY49" i="6" s="1"/>
  <c r="AE49" i="6"/>
  <c r="AE56" i="6" s="1"/>
  <c r="W19" i="29"/>
  <c r="W30" i="29"/>
  <c r="AM18" i="6"/>
  <c r="AL18" i="7"/>
  <c r="AH16" i="6"/>
  <c r="AZ16" i="6" s="1"/>
  <c r="AZ15" i="6"/>
  <c r="AZ9" i="6"/>
  <c r="AR9" i="12"/>
  <c r="AR25" i="29"/>
  <c r="W29" i="29"/>
  <c r="AB54" i="6"/>
  <c r="H7" i="9"/>
  <c r="V7" i="8" s="1"/>
  <c r="AA55" i="6"/>
  <c r="AX55" i="6" s="1"/>
  <c r="AX54" i="6"/>
  <c r="AI7" i="6"/>
  <c r="AZ7" i="6" s="1"/>
  <c r="AI6" i="7"/>
  <c r="AI7" i="7" s="1"/>
  <c r="AZ7" i="7" s="1"/>
  <c r="AZ5" i="7"/>
  <c r="AJ6" i="6"/>
  <c r="AJ5" i="7"/>
  <c r="AK5" i="6"/>
  <c r="AJ3" i="7"/>
  <c r="AK3" i="6"/>
  <c r="AE35" i="3"/>
  <c r="AJ4" i="7"/>
  <c r="AK4" i="6"/>
  <c r="AI9" i="7"/>
  <c r="AZ9" i="7" s="1"/>
  <c r="AJ9" i="6"/>
  <c r="AZ10" i="7"/>
  <c r="AL11" i="6"/>
  <c r="AK11" i="7"/>
  <c r="I92" i="6"/>
  <c r="AJ14" i="7"/>
  <c r="AK14" i="6"/>
  <c r="AJ12" i="7"/>
  <c r="AK12" i="6"/>
  <c r="AH16" i="7"/>
  <c r="Y13" i="29"/>
  <c r="X18" i="12"/>
  <c r="X4" i="13" s="1"/>
  <c r="X6" i="13" s="1"/>
  <c r="AJ10" i="7"/>
  <c r="AK10" i="6"/>
  <c r="AL17" i="12"/>
  <c r="AL27" i="29"/>
  <c r="J46" i="29" s="1"/>
  <c r="AL2" i="6"/>
  <c r="AL2" i="7" s="1"/>
  <c r="G29" i="8"/>
  <c r="H49" i="12"/>
  <c r="AB61" i="7"/>
  <c r="AE23" i="7"/>
  <c r="AY23" i="7" s="1"/>
  <c r="E36" i="11"/>
  <c r="G33" i="11"/>
  <c r="AY20" i="7"/>
  <c r="AC54" i="7"/>
  <c r="AA3" i="12" s="1"/>
  <c r="AF2" i="12"/>
  <c r="AG22" i="29" s="1"/>
  <c r="AB62" i="7"/>
  <c r="V4" i="13"/>
  <c r="AF20" i="7"/>
  <c r="AG20" i="6"/>
  <c r="AF23" i="6"/>
  <c r="AF49" i="6" s="1"/>
  <c r="AF56" i="6" s="1"/>
  <c r="H34" i="9"/>
  <c r="H33" i="9" s="1"/>
  <c r="V6" i="8"/>
  <c r="AE14" i="12"/>
  <c r="C18" i="11"/>
  <c r="AB54" i="7"/>
  <c r="AB63" i="7"/>
  <c r="AD24" i="7"/>
  <c r="AD49" i="7"/>
  <c r="AD65" i="6"/>
  <c r="AD64" i="6"/>
  <c r="AD63" i="6"/>
  <c r="AD53" i="6"/>
  <c r="AD60" i="6" s="1"/>
  <c r="AF21" i="7"/>
  <c r="AG21" i="6"/>
  <c r="AH27" i="3"/>
  <c r="AH33" i="3" s="1"/>
  <c r="AG26" i="3"/>
  <c r="AG12" i="12" s="1"/>
  <c r="AF22" i="7"/>
  <c r="AG22" i="6"/>
  <c r="AC54" i="6"/>
  <c r="Y3" i="12"/>
  <c r="AX54" i="7"/>
  <c r="AA55" i="7"/>
  <c r="AX55" i="7" s="1"/>
  <c r="AE24" i="6"/>
  <c r="AE51" i="6" s="1"/>
  <c r="AE61" i="6" s="1"/>
  <c r="AC63" i="7"/>
  <c r="AD51" i="6"/>
  <c r="AE50" i="6" l="1"/>
  <c r="AY50" i="6" s="1"/>
  <c r="AE56" i="7"/>
  <c r="AY56" i="7" s="1"/>
  <c r="AE58" i="6"/>
  <c r="AY56" i="6"/>
  <c r="AF56" i="7"/>
  <c r="AF58" i="6"/>
  <c r="AF58" i="7" s="1"/>
  <c r="AY24" i="6"/>
  <c r="AM18" i="7"/>
  <c r="AN18" i="6"/>
  <c r="BA18" i="6"/>
  <c r="AJ7" i="6"/>
  <c r="AJ15" i="6"/>
  <c r="AS9" i="12"/>
  <c r="AS25" i="29"/>
  <c r="AD61" i="6"/>
  <c r="H69" i="6" s="1"/>
  <c r="AY51" i="6"/>
  <c r="AZ6" i="7"/>
  <c r="AI15" i="7"/>
  <c r="AI16" i="7" s="1"/>
  <c r="AZ16" i="7" s="1"/>
  <c r="AJ6" i="7"/>
  <c r="AJ7" i="7" s="1"/>
  <c r="AK6" i="6"/>
  <c r="AL5" i="6"/>
  <c r="AK5" i="7"/>
  <c r="AK3" i="7"/>
  <c r="AL3" i="6"/>
  <c r="Y17" i="29"/>
  <c r="AF35" i="3"/>
  <c r="AL4" i="6"/>
  <c r="AK4" i="7"/>
  <c r="AJ9" i="7"/>
  <c r="AJ15" i="7" s="1"/>
  <c r="AK9" i="6"/>
  <c r="AK15" i="6" s="1"/>
  <c r="AK16" i="6" s="1"/>
  <c r="AM11" i="6"/>
  <c r="BA11" i="6" s="1"/>
  <c r="AL11" i="7"/>
  <c r="AK14" i="7"/>
  <c r="AL14" i="6"/>
  <c r="AL12" i="6"/>
  <c r="AK12" i="7"/>
  <c r="AK10" i="7"/>
  <c r="AL10" i="6"/>
  <c r="Y5" i="12"/>
  <c r="Z23" i="29"/>
  <c r="AA5" i="12"/>
  <c r="AB23" i="29"/>
  <c r="AB28" i="29" s="1"/>
  <c r="AM17" i="12"/>
  <c r="AM27" i="29"/>
  <c r="I36" i="12"/>
  <c r="AH26" i="29"/>
  <c r="I45" i="29" s="1"/>
  <c r="AM2" i="6"/>
  <c r="BA2" i="6" s="1"/>
  <c r="AD66" i="7"/>
  <c r="AD65" i="7"/>
  <c r="AD64" i="7"/>
  <c r="AD53" i="7"/>
  <c r="Z3" i="12"/>
  <c r="AG2" i="12"/>
  <c r="AD14" i="12"/>
  <c r="AI27" i="3"/>
  <c r="AI33" i="3" s="1"/>
  <c r="AH26" i="3"/>
  <c r="AH12" i="12" s="1"/>
  <c r="AI26" i="29" s="1"/>
  <c r="AD51" i="7"/>
  <c r="AF23" i="7"/>
  <c r="AG22" i="7"/>
  <c r="AH22" i="6"/>
  <c r="AF24" i="6"/>
  <c r="E37" i="11"/>
  <c r="F36" i="11"/>
  <c r="L34" i="11"/>
  <c r="AG21" i="7"/>
  <c r="AH21" i="6"/>
  <c r="AE65" i="6"/>
  <c r="H73" i="6" s="1"/>
  <c r="H45" i="9" s="1"/>
  <c r="AE64" i="6"/>
  <c r="H72" i="6" s="1"/>
  <c r="H44" i="9" s="1"/>
  <c r="AE63" i="6"/>
  <c r="H71" i="6" s="1"/>
  <c r="H43" i="9" s="1"/>
  <c r="AE53" i="6"/>
  <c r="AE60" i="6" s="1"/>
  <c r="H68" i="6" s="1"/>
  <c r="AE52" i="6"/>
  <c r="G27" i="12"/>
  <c r="AD52" i="6"/>
  <c r="D18" i="11"/>
  <c r="J16" i="11"/>
  <c r="AG20" i="7"/>
  <c r="AG23" i="7" s="1"/>
  <c r="AH20" i="6"/>
  <c r="AG23" i="6"/>
  <c r="AG49" i="6" s="1"/>
  <c r="AG56" i="6" s="1"/>
  <c r="V6" i="13"/>
  <c r="AE24" i="7"/>
  <c r="AE51" i="7" s="1"/>
  <c r="AE62" i="7" s="1"/>
  <c r="AE49" i="7"/>
  <c r="AE50" i="7" s="1"/>
  <c r="AY50" i="7" s="1"/>
  <c r="AB13" i="29" l="1"/>
  <c r="AB17" i="29" s="1"/>
  <c r="AB19" i="29" s="1"/>
  <c r="AA21" i="12"/>
  <c r="AA23" i="12" s="1"/>
  <c r="AA15" i="12" s="1"/>
  <c r="AA18" i="12" s="1"/>
  <c r="AA4" i="13" s="1"/>
  <c r="AA6" i="13" s="1"/>
  <c r="AA8" i="13" s="1"/>
  <c r="AA9" i="13" s="1"/>
  <c r="Z13" i="29"/>
  <c r="Z17" i="29" s="1"/>
  <c r="Z19" i="29" s="1"/>
  <c r="Y21" i="12"/>
  <c r="Y23" i="12" s="1"/>
  <c r="Y15" i="12" s="1"/>
  <c r="G39" i="12" s="1"/>
  <c r="AK7" i="6"/>
  <c r="AG58" i="6"/>
  <c r="AG56" i="7"/>
  <c r="AE58" i="7"/>
  <c r="AY58" i="7" s="1"/>
  <c r="H10" i="8" s="1"/>
  <c r="AY58" i="6"/>
  <c r="H10" i="9" s="1"/>
  <c r="Y19" i="29"/>
  <c r="Y30" i="29"/>
  <c r="AO18" i="6"/>
  <c r="AN18" i="7"/>
  <c r="BA18" i="7"/>
  <c r="H74" i="6"/>
  <c r="AZ15" i="7"/>
  <c r="AJ16" i="6"/>
  <c r="AT25" i="29"/>
  <c r="L44" i="29" s="1"/>
  <c r="L33" i="12"/>
  <c r="Y29" i="29"/>
  <c r="AD54" i="6"/>
  <c r="AY52" i="6"/>
  <c r="AY53" i="6"/>
  <c r="H15" i="9" s="1"/>
  <c r="H46" i="9" s="1"/>
  <c r="AK6" i="7"/>
  <c r="AK7" i="7" s="1"/>
  <c r="AM5" i="6"/>
  <c r="BA5" i="6" s="1"/>
  <c r="AL5" i="7"/>
  <c r="AL3" i="7"/>
  <c r="AM3" i="6"/>
  <c r="BA3" i="6" s="1"/>
  <c r="AL6" i="6"/>
  <c r="AM2" i="7"/>
  <c r="AN2" i="6"/>
  <c r="Z28" i="29"/>
  <c r="G42" i="29"/>
  <c r="G47" i="29" s="1"/>
  <c r="G34" i="29"/>
  <c r="G38" i="29" s="1"/>
  <c r="G39" i="29" s="1"/>
  <c r="AG35" i="3"/>
  <c r="I39" i="3" s="1"/>
  <c r="AM4" i="6"/>
  <c r="AL4" i="7"/>
  <c r="AK9" i="7"/>
  <c r="AK15" i="7" s="1"/>
  <c r="AK16" i="7" s="1"/>
  <c r="AL9" i="6"/>
  <c r="AL15" i="6" s="1"/>
  <c r="AL16" i="6" s="1"/>
  <c r="G29" i="12"/>
  <c r="AM11" i="7"/>
  <c r="BA11" i="7" s="1"/>
  <c r="AN11" i="6"/>
  <c r="AL14" i="7"/>
  <c r="AM14" i="6"/>
  <c r="BA14" i="6" s="1"/>
  <c r="AM12" i="6"/>
  <c r="BA12" i="6" s="1"/>
  <c r="AL12" i="7"/>
  <c r="Z5" i="12"/>
  <c r="AA23" i="29"/>
  <c r="AL10" i="7"/>
  <c r="AM10" i="6"/>
  <c r="BA10" i="6" s="1"/>
  <c r="AJ16" i="7"/>
  <c r="I26" i="12"/>
  <c r="I24" i="8" s="1"/>
  <c r="AH22" i="29"/>
  <c r="I41" i="29" s="1"/>
  <c r="AN17" i="12"/>
  <c r="AN27" i="29"/>
  <c r="G4" i="10"/>
  <c r="AE54" i="6"/>
  <c r="AY24" i="7"/>
  <c r="AH2" i="12"/>
  <c r="AI22" i="29" s="1"/>
  <c r="AE66" i="7"/>
  <c r="H74" i="7" s="1"/>
  <c r="AE64" i="7"/>
  <c r="H72" i="7" s="1"/>
  <c r="AE65" i="7"/>
  <c r="H73" i="7" s="1"/>
  <c r="AE53" i="7"/>
  <c r="AE61" i="7" s="1"/>
  <c r="AE52" i="7"/>
  <c r="AG24" i="6"/>
  <c r="AG51" i="6" s="1"/>
  <c r="AG61" i="6" s="1"/>
  <c r="K16" i="11"/>
  <c r="B19" i="11"/>
  <c r="H14" i="9"/>
  <c r="AF51" i="6"/>
  <c r="AH22" i="7"/>
  <c r="AI22" i="6"/>
  <c r="AZ22" i="6" s="1"/>
  <c r="AF24" i="7"/>
  <c r="AF49" i="7"/>
  <c r="AD62" i="7"/>
  <c r="H70" i="7" s="1"/>
  <c r="H44" i="12" s="1"/>
  <c r="AY51" i="7"/>
  <c r="H14" i="8" s="1"/>
  <c r="AD52" i="7"/>
  <c r="AI20" i="6"/>
  <c r="AZ20" i="6" s="1"/>
  <c r="AH20" i="7"/>
  <c r="AH23" i="6"/>
  <c r="AH49" i="6" s="1"/>
  <c r="AH56" i="6" s="1"/>
  <c r="AH21" i="7"/>
  <c r="AI21" i="6"/>
  <c r="AZ21" i="6" s="1"/>
  <c r="E38" i="11"/>
  <c r="G36" i="11" s="1"/>
  <c r="AG14" i="12"/>
  <c r="AD61" i="7"/>
  <c r="AG24" i="7"/>
  <c r="AG51" i="7" s="1"/>
  <c r="AG62" i="7" s="1"/>
  <c r="AG49" i="7"/>
  <c r="AF65" i="6"/>
  <c r="AF64" i="6"/>
  <c r="AF63" i="6"/>
  <c r="AF53" i="6"/>
  <c r="AI26" i="3"/>
  <c r="AI12" i="12" s="1"/>
  <c r="AJ26" i="29" s="1"/>
  <c r="AJ27" i="3"/>
  <c r="AJ33" i="3" s="1"/>
  <c r="AY49" i="7"/>
  <c r="AD63" i="7"/>
  <c r="G16" i="8" l="1"/>
  <c r="G17" i="8" s="1"/>
  <c r="G16" i="9"/>
  <c r="AB29" i="29"/>
  <c r="Y18" i="12"/>
  <c r="Y4" i="13" s="1"/>
  <c r="Y6" i="13" s="1"/>
  <c r="G42" i="12"/>
  <c r="G45" i="12" s="1"/>
  <c r="Z29" i="29"/>
  <c r="AA13" i="29"/>
  <c r="Z21" i="12"/>
  <c r="Z23" i="12" s="1"/>
  <c r="Z15" i="12" s="1"/>
  <c r="Z18" i="12" s="1"/>
  <c r="AB30" i="29"/>
  <c r="H12" i="8"/>
  <c r="H22" i="8" s="1"/>
  <c r="H28" i="8" s="1"/>
  <c r="H11" i="8"/>
  <c r="H11" i="9"/>
  <c r="H12" i="9"/>
  <c r="V10" i="8"/>
  <c r="H39" i="9"/>
  <c r="AG58" i="7"/>
  <c r="AH58" i="6"/>
  <c r="AH58" i="7" s="1"/>
  <c r="AH56" i="7"/>
  <c r="AM6" i="6"/>
  <c r="Z30" i="29"/>
  <c r="AP18" i="6"/>
  <c r="AO18" i="7"/>
  <c r="BA4" i="6"/>
  <c r="AN2" i="7"/>
  <c r="AL7" i="6"/>
  <c r="BA6" i="6"/>
  <c r="AE55" i="6"/>
  <c r="AY55" i="6" s="1"/>
  <c r="AF61" i="6"/>
  <c r="AF60" i="6"/>
  <c r="AY54" i="6"/>
  <c r="AH23" i="7"/>
  <c r="AH49" i="7" s="1"/>
  <c r="AL6" i="7"/>
  <c r="AL7" i="7" s="1"/>
  <c r="AM5" i="7"/>
  <c r="BA5" i="7" s="1"/>
  <c r="AN5" i="6"/>
  <c r="AN3" i="6"/>
  <c r="AM3" i="7"/>
  <c r="BA3" i="7" s="1"/>
  <c r="G48" i="29"/>
  <c r="G49" i="29" s="1"/>
  <c r="AA28" i="29"/>
  <c r="AA17" i="29"/>
  <c r="AH35" i="3"/>
  <c r="AM4" i="7"/>
  <c r="BA4" i="7" s="1"/>
  <c r="AN4" i="6"/>
  <c r="J82" i="6"/>
  <c r="AL9" i="7"/>
  <c r="AL15" i="7" s="1"/>
  <c r="AL16" i="7" s="1"/>
  <c r="AM9" i="6"/>
  <c r="BA9" i="6" s="1"/>
  <c r="AN11" i="7"/>
  <c r="AO11" i="6"/>
  <c r="AN14" i="6"/>
  <c r="AM14" i="7"/>
  <c r="BA14" i="7" s="1"/>
  <c r="AM12" i="7"/>
  <c r="BA12" i="7" s="1"/>
  <c r="AN12" i="6"/>
  <c r="AN10" i="6"/>
  <c r="AM10" i="7"/>
  <c r="AO17" i="12"/>
  <c r="K41" i="12" s="1"/>
  <c r="AO27" i="29"/>
  <c r="AA10" i="13"/>
  <c r="AA12" i="13" s="1"/>
  <c r="H69" i="7"/>
  <c r="H75" i="7" s="1"/>
  <c r="AF52" i="6"/>
  <c r="BA2" i="7"/>
  <c r="AO2" i="6"/>
  <c r="AO2" i="7" s="1"/>
  <c r="AY53" i="7"/>
  <c r="H15" i="8" s="1"/>
  <c r="V15" i="8" s="1"/>
  <c r="AE63" i="7"/>
  <c r="AH24" i="7"/>
  <c r="AH51" i="7" s="1"/>
  <c r="AH62" i="7" s="1"/>
  <c r="AI20" i="7"/>
  <c r="AJ20" i="6"/>
  <c r="AI23" i="6"/>
  <c r="AF51" i="7"/>
  <c r="AF52" i="7" s="1"/>
  <c r="AG52" i="6"/>
  <c r="AG53" i="6"/>
  <c r="AG60" i="6" s="1"/>
  <c r="AG65" i="6"/>
  <c r="AG64" i="6"/>
  <c r="AG63" i="6"/>
  <c r="AI2" i="12"/>
  <c r="AJ22" i="29" s="1"/>
  <c r="I7" i="9"/>
  <c r="I6" i="9"/>
  <c r="AF14" i="12"/>
  <c r="I38" i="12" s="1"/>
  <c r="I37" i="12" s="1"/>
  <c r="I38" i="3"/>
  <c r="I7" i="8" s="1"/>
  <c r="I6" i="8" s="1"/>
  <c r="AG66" i="7"/>
  <c r="AG65" i="7"/>
  <c r="AG64" i="7"/>
  <c r="AG53" i="7"/>
  <c r="AG61" i="7" s="1"/>
  <c r="AG52" i="7"/>
  <c r="AI21" i="7"/>
  <c r="AZ21" i="7" s="1"/>
  <c r="AJ21" i="6"/>
  <c r="C19" i="11"/>
  <c r="G7" i="13"/>
  <c r="E39" i="11"/>
  <c r="L37" i="11" s="1"/>
  <c r="AI22" i="7"/>
  <c r="AZ22" i="7" s="1"/>
  <c r="AJ22" i="6"/>
  <c r="AJ26" i="3"/>
  <c r="AJ12" i="12" s="1"/>
  <c r="AK26" i="29" s="1"/>
  <c r="AK27" i="3"/>
  <c r="AK33" i="3" s="1"/>
  <c r="AZ20" i="7"/>
  <c r="AH24" i="6"/>
  <c r="AD54" i="7"/>
  <c r="AY52" i="7"/>
  <c r="AF66" i="7"/>
  <c r="AF65" i="7"/>
  <c r="AF64" i="7"/>
  <c r="AF53" i="7"/>
  <c r="H42" i="9"/>
  <c r="V14" i="8"/>
  <c r="G5" i="10"/>
  <c r="G6" i="10" s="1"/>
  <c r="AE54" i="7"/>
  <c r="AC3" i="12" s="1"/>
  <c r="G46" i="12" l="1"/>
  <c r="G25" i="13"/>
  <c r="U16" i="8"/>
  <c r="G28" i="9"/>
  <c r="G17" i="9"/>
  <c r="G50" i="12"/>
  <c r="G51" i="12" s="1"/>
  <c r="Y19" i="12"/>
  <c r="AM7" i="6"/>
  <c r="H22" i="9"/>
  <c r="V22" i="8" s="1"/>
  <c r="H41" i="9"/>
  <c r="V12" i="8"/>
  <c r="BA7" i="6"/>
  <c r="H40" i="9"/>
  <c r="V11" i="8"/>
  <c r="AZ23" i="6"/>
  <c r="AZ49" i="6" s="1"/>
  <c r="AI49" i="6"/>
  <c r="AI56" i="6" s="1"/>
  <c r="AA19" i="29"/>
  <c r="AA30" i="29"/>
  <c r="AP18" i="7"/>
  <c r="AQ18" i="6"/>
  <c r="AQ18" i="7" s="1"/>
  <c r="AA29" i="29"/>
  <c r="AF54" i="6"/>
  <c r="AM15" i="6"/>
  <c r="AM6" i="7"/>
  <c r="AM7" i="7" s="1"/>
  <c r="AN5" i="7"/>
  <c r="AO5" i="6"/>
  <c r="AN6" i="6"/>
  <c r="AN3" i="7"/>
  <c r="AO3" i="6"/>
  <c r="AI35" i="3"/>
  <c r="W7" i="8"/>
  <c r="AN4" i="7"/>
  <c r="AO4" i="6"/>
  <c r="J92" i="6"/>
  <c r="AM9" i="7"/>
  <c r="AM15" i="7" s="1"/>
  <c r="AN9" i="6"/>
  <c r="AO11" i="7"/>
  <c r="AP11" i="6"/>
  <c r="AN14" i="7"/>
  <c r="AO14" i="6"/>
  <c r="AN12" i="7"/>
  <c r="AO12" i="6"/>
  <c r="BA10" i="7"/>
  <c r="AN10" i="7"/>
  <c r="AO10" i="6"/>
  <c r="AC5" i="12"/>
  <c r="AD23" i="29"/>
  <c r="AD28" i="29" s="1"/>
  <c r="AP17" i="12"/>
  <c r="AP27" i="29"/>
  <c r="K46" i="29" s="1"/>
  <c r="G20" i="13"/>
  <c r="G6" i="14" s="1"/>
  <c r="H29" i="8"/>
  <c r="AP2" i="6"/>
  <c r="AP2" i="7" s="1"/>
  <c r="AG54" i="7"/>
  <c r="AE3" i="12" s="1"/>
  <c r="AH65" i="6"/>
  <c r="AH64" i="6"/>
  <c r="AH63" i="6"/>
  <c r="AH53" i="6"/>
  <c r="AH60" i="6" s="1"/>
  <c r="D19" i="11"/>
  <c r="I34" i="9"/>
  <c r="I33" i="9" s="1"/>
  <c r="W6" i="8"/>
  <c r="AJ2" i="12"/>
  <c r="AK22" i="29" s="1"/>
  <c r="AI23" i="7"/>
  <c r="AI14" i="12"/>
  <c r="AH66" i="7"/>
  <c r="AH65" i="7"/>
  <c r="AH64" i="7"/>
  <c r="AH53" i="7"/>
  <c r="AH61" i="7" s="1"/>
  <c r="AH52" i="7"/>
  <c r="AF61" i="7"/>
  <c r="AL27" i="3"/>
  <c r="AL33" i="3" s="1"/>
  <c r="AK26" i="3"/>
  <c r="AK12" i="12" s="1"/>
  <c r="I49" i="12"/>
  <c r="AG54" i="6"/>
  <c r="AI24" i="6"/>
  <c r="AI51" i="6" s="1"/>
  <c r="AI61" i="6" s="1"/>
  <c r="Y8" i="13"/>
  <c r="Y9" i="13" s="1"/>
  <c r="G22" i="13"/>
  <c r="G11" i="13"/>
  <c r="G7" i="10"/>
  <c r="AH51" i="6"/>
  <c r="E40" i="11"/>
  <c r="AF54" i="7"/>
  <c r="AF63" i="7"/>
  <c r="AB3" i="12"/>
  <c r="AE55" i="7"/>
  <c r="AY55" i="7" s="1"/>
  <c r="AY54" i="7"/>
  <c r="Z4" i="13"/>
  <c r="AK22" i="6"/>
  <c r="AJ22" i="7"/>
  <c r="G8" i="13"/>
  <c r="AJ21" i="7"/>
  <c r="AK21" i="6"/>
  <c r="AG63" i="7"/>
  <c r="AF62" i="7"/>
  <c r="AJ20" i="7"/>
  <c r="AK20" i="6"/>
  <c r="AJ23" i="6"/>
  <c r="AJ49" i="6" s="1"/>
  <c r="AJ56" i="6" s="1"/>
  <c r="G29" i="9" l="1"/>
  <c r="U17" i="8"/>
  <c r="G48" i="12"/>
  <c r="G52" i="12" s="1"/>
  <c r="AD13" i="29"/>
  <c r="AD17" i="29" s="1"/>
  <c r="AD30" i="29" s="1"/>
  <c r="AC21" i="12"/>
  <c r="AC23" i="12" s="1"/>
  <c r="AC15" i="12" s="1"/>
  <c r="AC18" i="12" s="1"/>
  <c r="AC4" i="13" s="1"/>
  <c r="AC6" i="13" s="1"/>
  <c r="AC8" i="13" s="1"/>
  <c r="AC9" i="13" s="1"/>
  <c r="AI56" i="7"/>
  <c r="AZ56" i="7" s="1"/>
  <c r="AI58" i="6"/>
  <c r="AZ56" i="6"/>
  <c r="AJ56" i="7"/>
  <c r="AJ58" i="6"/>
  <c r="AJ58" i="7" s="1"/>
  <c r="BB18" i="6"/>
  <c r="BC18" i="6" s="1"/>
  <c r="AJ23" i="7"/>
  <c r="BB18" i="7"/>
  <c r="BC18" i="7" s="1"/>
  <c r="AN7" i="6"/>
  <c r="BA6" i="7"/>
  <c r="AM16" i="6"/>
  <c r="BA16" i="6" s="1"/>
  <c r="BA15" i="6"/>
  <c r="AN15" i="6"/>
  <c r="AH61" i="6"/>
  <c r="I69" i="6" s="1"/>
  <c r="I14" i="9" s="1"/>
  <c r="AZ51" i="6"/>
  <c r="AZ24" i="6"/>
  <c r="AN6" i="7"/>
  <c r="BA9" i="7"/>
  <c r="AP5" i="6"/>
  <c r="AO5" i="7"/>
  <c r="AO6" i="6"/>
  <c r="AO3" i="7"/>
  <c r="AP3" i="6"/>
  <c r="AP4" i="6"/>
  <c r="AO4" i="7"/>
  <c r="AN9" i="7"/>
  <c r="AN15" i="7" s="1"/>
  <c r="AO9" i="6"/>
  <c r="AQ11" i="6"/>
  <c r="BB11" i="6" s="1"/>
  <c r="BC11" i="6" s="1"/>
  <c r="AP11" i="7"/>
  <c r="AO14" i="7"/>
  <c r="AP14" i="6"/>
  <c r="AO12" i="7"/>
  <c r="AP12" i="6"/>
  <c r="AM16" i="7"/>
  <c r="BA16" i="7" s="1"/>
  <c r="BA15" i="7"/>
  <c r="AE5" i="12"/>
  <c r="AF23" i="29"/>
  <c r="AF28" i="29" s="1"/>
  <c r="AB5" i="12"/>
  <c r="AC23" i="29"/>
  <c r="AO10" i="7"/>
  <c r="AP10" i="6"/>
  <c r="AQ17" i="12"/>
  <c r="AQ27" i="29"/>
  <c r="J36" i="12"/>
  <c r="AL26" i="29"/>
  <c r="J45" i="29" s="1"/>
  <c r="AN7" i="7"/>
  <c r="BA7" i="7"/>
  <c r="AQ2" i="6"/>
  <c r="AQ2" i="7" s="1"/>
  <c r="AH54" i="7"/>
  <c r="AF3" i="12" s="1"/>
  <c r="AG23" i="29" s="1"/>
  <c r="AG28" i="29" s="1"/>
  <c r="E41" i="11"/>
  <c r="G39" i="11" s="1"/>
  <c r="AI65" i="6"/>
  <c r="I73" i="6" s="1"/>
  <c r="I45" i="9" s="1"/>
  <c r="AI64" i="6"/>
  <c r="I72" i="6" s="1"/>
  <c r="I44" i="9" s="1"/>
  <c r="AI63" i="6"/>
  <c r="I71" i="6" s="1"/>
  <c r="I43" i="9" s="1"/>
  <c r="AI53" i="6"/>
  <c r="AI52" i="6"/>
  <c r="AK20" i="7"/>
  <c r="AL20" i="6"/>
  <c r="AK23" i="6"/>
  <c r="AK49" i="6" s="1"/>
  <c r="AK56" i="6" s="1"/>
  <c r="G9" i="13"/>
  <c r="G13" i="13"/>
  <c r="AM27" i="3"/>
  <c r="AM33" i="3" s="1"/>
  <c r="AL26" i="3"/>
  <c r="AL12" i="12" s="1"/>
  <c r="AM26" i="29" s="1"/>
  <c r="AK2" i="12"/>
  <c r="AL22" i="29" s="1"/>
  <c r="J41" i="29" s="1"/>
  <c r="B20" i="11"/>
  <c r="AH52" i="6"/>
  <c r="AI24" i="7"/>
  <c r="AI49" i="7"/>
  <c r="AZ23" i="7"/>
  <c r="AK21" i="7"/>
  <c r="AL21" i="6"/>
  <c r="AK22" i="7"/>
  <c r="AL22" i="6"/>
  <c r="AH14" i="12"/>
  <c r="G14" i="13"/>
  <c r="H27" i="12"/>
  <c r="AD3" i="12"/>
  <c r="AJ24" i="6"/>
  <c r="Z6" i="13"/>
  <c r="Y10" i="13"/>
  <c r="Y12" i="13" s="1"/>
  <c r="AH63" i="7"/>
  <c r="AI50" i="6"/>
  <c r="AZ50" i="6" s="1"/>
  <c r="AD19" i="29" l="1"/>
  <c r="AD29" i="29"/>
  <c r="AC13" i="29"/>
  <c r="H34" i="29" s="1"/>
  <c r="H38" i="29" s="1"/>
  <c r="AB21" i="12"/>
  <c r="AB23" i="12" s="1"/>
  <c r="AB15" i="12" s="1"/>
  <c r="H39" i="12" s="1"/>
  <c r="AF13" i="29"/>
  <c r="AF17" i="29" s="1"/>
  <c r="AF29" i="29" s="1"/>
  <c r="AE21" i="12"/>
  <c r="AE23" i="12" s="1"/>
  <c r="AE15" i="12" s="1"/>
  <c r="AE18" i="12" s="1"/>
  <c r="AE4" i="13" s="1"/>
  <c r="AE6" i="13" s="1"/>
  <c r="AE8" i="13" s="1"/>
  <c r="AE9" i="13" s="1"/>
  <c r="AK56" i="7"/>
  <c r="AK58" i="6"/>
  <c r="AK58" i="7" s="1"/>
  <c r="AO7" i="6"/>
  <c r="AI58" i="7"/>
  <c r="AZ58" i="7" s="1"/>
  <c r="I10" i="8" s="1"/>
  <c r="AZ58" i="6"/>
  <c r="I10" i="9" s="1"/>
  <c r="AJ35" i="3"/>
  <c r="AK23" i="7"/>
  <c r="AJ24" i="7"/>
  <c r="AJ51" i="7" s="1"/>
  <c r="AJ62" i="7" s="1"/>
  <c r="AJ49" i="7"/>
  <c r="BB2" i="6"/>
  <c r="BC2" i="6" s="1"/>
  <c r="AN16" i="6"/>
  <c r="AI60" i="6"/>
  <c r="I68" i="6" s="1"/>
  <c r="I74" i="6" s="1"/>
  <c r="AZ53" i="6"/>
  <c r="I15" i="9" s="1"/>
  <c r="I46" i="9" s="1"/>
  <c r="AH54" i="6"/>
  <c r="AZ52" i="6"/>
  <c r="AO6" i="7"/>
  <c r="AP6" i="6"/>
  <c r="AQ5" i="6"/>
  <c r="BB5" i="6" s="1"/>
  <c r="BC5" i="6" s="1"/>
  <c r="AP5" i="7"/>
  <c r="AP3" i="7"/>
  <c r="AQ3" i="6"/>
  <c r="BB3" i="6" s="1"/>
  <c r="BC3" i="6" s="1"/>
  <c r="AC28" i="29"/>
  <c r="H42" i="29"/>
  <c r="H47" i="29" s="1"/>
  <c r="AC17" i="29"/>
  <c r="AK35" i="3"/>
  <c r="AQ4" i="6"/>
  <c r="BB4" i="6" s="1"/>
  <c r="BC4" i="6" s="1"/>
  <c r="AP4" i="7"/>
  <c r="AO9" i="7"/>
  <c r="AO15" i="7" s="1"/>
  <c r="AO16" i="7" s="1"/>
  <c r="AP9" i="6"/>
  <c r="AP15" i="6" s="1"/>
  <c r="AP16" i="6" s="1"/>
  <c r="AO15" i="6"/>
  <c r="AO16" i="6" s="1"/>
  <c r="AQ11" i="7"/>
  <c r="BB11" i="7" s="1"/>
  <c r="BC11" i="7" s="1"/>
  <c r="AP14" i="7"/>
  <c r="AQ14" i="6"/>
  <c r="BB14" i="6" s="1"/>
  <c r="BC14" i="6" s="1"/>
  <c r="AQ12" i="6"/>
  <c r="BB12" i="6" s="1"/>
  <c r="BC12" i="6" s="1"/>
  <c r="AP12" i="7"/>
  <c r="H29" i="12"/>
  <c r="AD5" i="12"/>
  <c r="AE23" i="29"/>
  <c r="AP10" i="7"/>
  <c r="AQ10" i="6"/>
  <c r="BB10" i="6" s="1"/>
  <c r="BC10" i="6" s="1"/>
  <c r="AN16" i="7"/>
  <c r="AR17" i="12"/>
  <c r="AR27" i="29"/>
  <c r="AC10" i="13"/>
  <c r="AC12" i="13" s="1"/>
  <c r="AF5" i="12"/>
  <c r="AF21" i="12" s="1"/>
  <c r="AF23" i="12" s="1"/>
  <c r="AF15" i="12" s="1"/>
  <c r="AO7" i="7"/>
  <c r="AI51" i="7"/>
  <c r="AI52" i="7" s="1"/>
  <c r="AZ24" i="7"/>
  <c r="E42" i="11"/>
  <c r="L40" i="11" s="1"/>
  <c r="AJ65" i="6"/>
  <c r="AJ64" i="6"/>
  <c r="AJ63" i="6"/>
  <c r="AJ53" i="6"/>
  <c r="AJ51" i="6"/>
  <c r="AL22" i="7"/>
  <c r="AM22" i="6"/>
  <c r="BA22" i="6" s="1"/>
  <c r="G10" i="13"/>
  <c r="AI54" i="6"/>
  <c r="AK14" i="12"/>
  <c r="I42" i="9"/>
  <c r="G15" i="13"/>
  <c r="AL2" i="12"/>
  <c r="AM22" i="29" s="1"/>
  <c r="J26" i="12"/>
  <c r="AK24" i="6"/>
  <c r="AK51" i="6" s="1"/>
  <c r="AK61" i="6" s="1"/>
  <c r="Z8" i="13"/>
  <c r="Z9" i="13" s="1"/>
  <c r="AL21" i="7"/>
  <c r="AM21" i="6"/>
  <c r="BA21" i="6" s="1"/>
  <c r="AI66" i="7"/>
  <c r="I74" i="7" s="1"/>
  <c r="AI64" i="7"/>
  <c r="AI53" i="7"/>
  <c r="AI65" i="7"/>
  <c r="I73" i="7" s="1"/>
  <c r="AZ49" i="7"/>
  <c r="AI50" i="7"/>
  <c r="AZ50" i="7" s="1"/>
  <c r="C20" i="11"/>
  <c r="AM26" i="3"/>
  <c r="AM12" i="12" s="1"/>
  <c r="AN26" i="29" s="1"/>
  <c r="AN27" i="3"/>
  <c r="AN33" i="3" s="1"/>
  <c r="AM20" i="6"/>
  <c r="BA20" i="6" s="1"/>
  <c r="AL20" i="7"/>
  <c r="AL23" i="7" s="1"/>
  <c r="AL23" i="6"/>
  <c r="AL49" i="6" s="1"/>
  <c r="AL56" i="6" s="1"/>
  <c r="H16" i="8" l="1"/>
  <c r="H17" i="8" s="1"/>
  <c r="H16" i="9"/>
  <c r="AB18" i="12"/>
  <c r="AC19" i="12" s="1"/>
  <c r="AF30" i="29"/>
  <c r="H42" i="12"/>
  <c r="H50" i="12" s="1"/>
  <c r="AF19" i="29"/>
  <c r="AE13" i="29"/>
  <c r="AD21" i="12"/>
  <c r="AD23" i="12" s="1"/>
  <c r="AD15" i="12" s="1"/>
  <c r="I39" i="9"/>
  <c r="I11" i="9"/>
  <c r="W10" i="8"/>
  <c r="I12" i="9"/>
  <c r="I12" i="8"/>
  <c r="I22" i="8" s="1"/>
  <c r="I28" i="8" s="1"/>
  <c r="I11" i="8"/>
  <c r="AL56" i="7"/>
  <c r="AL58" i="6"/>
  <c r="AL58" i="7" s="1"/>
  <c r="AK24" i="7"/>
  <c r="AK51" i="7" s="1"/>
  <c r="AK62" i="7" s="1"/>
  <c r="AK49" i="7"/>
  <c r="AJ64" i="7"/>
  <c r="AJ66" i="7"/>
  <c r="AJ53" i="7"/>
  <c r="AJ61" i="7" s="1"/>
  <c r="AJ52" i="7"/>
  <c r="AJ65" i="7"/>
  <c r="AL24" i="7"/>
  <c r="AL51" i="7" s="1"/>
  <c r="AL62" i="7" s="1"/>
  <c r="AL49" i="7"/>
  <c r="AC19" i="29"/>
  <c r="AC30" i="29"/>
  <c r="AI55" i="6"/>
  <c r="AZ55" i="6" s="1"/>
  <c r="AP7" i="6"/>
  <c r="AC29" i="29"/>
  <c r="AJ61" i="6"/>
  <c r="AJ60" i="6"/>
  <c r="AZ54" i="6"/>
  <c r="AQ6" i="6"/>
  <c r="AQ5" i="7"/>
  <c r="BB5" i="7" s="1"/>
  <c r="BC5" i="7" s="1"/>
  <c r="AQ3" i="7"/>
  <c r="BB3" i="7" s="1"/>
  <c r="BC3" i="7" s="1"/>
  <c r="AE28" i="29"/>
  <c r="H39" i="29"/>
  <c r="AE17" i="29"/>
  <c r="AQ4" i="7"/>
  <c r="AP6" i="7"/>
  <c r="AP7" i="7" s="1"/>
  <c r="AP9" i="7"/>
  <c r="AP15" i="7" s="1"/>
  <c r="AP16" i="7" s="1"/>
  <c r="AQ9" i="6"/>
  <c r="AQ15" i="6" s="1"/>
  <c r="BB15" i="6" s="1"/>
  <c r="BC15" i="6" s="1"/>
  <c r="AE10" i="13"/>
  <c r="AE12" i="13" s="1"/>
  <c r="AQ14" i="7"/>
  <c r="BB14" i="7" s="1"/>
  <c r="BC14" i="7" s="1"/>
  <c r="AQ12" i="7"/>
  <c r="BB12" i="7" s="1"/>
  <c r="BC12" i="7" s="1"/>
  <c r="AQ10" i="7"/>
  <c r="AS17" i="12"/>
  <c r="AT27" i="29" s="1"/>
  <c r="AS27" i="29"/>
  <c r="AF18" i="12"/>
  <c r="AF4" i="13" s="1"/>
  <c r="AF6" i="13" s="1"/>
  <c r="AF8" i="13" s="1"/>
  <c r="AG13" i="29"/>
  <c r="AG17" i="29" s="1"/>
  <c r="J39" i="3"/>
  <c r="J7" i="9" s="1"/>
  <c r="BB2" i="7"/>
  <c r="BC2" i="7" s="1"/>
  <c r="AI54" i="7"/>
  <c r="AZ52" i="7"/>
  <c r="AM21" i="7"/>
  <c r="BA21" i="7" s="1"/>
  <c r="AN21" i="6"/>
  <c r="J24" i="8"/>
  <c r="AK65" i="6"/>
  <c r="AK64" i="6"/>
  <c r="AK63" i="6"/>
  <c r="AK52" i="6"/>
  <c r="AK53" i="6"/>
  <c r="AK60" i="6" s="1"/>
  <c r="AM2" i="12"/>
  <c r="AN22" i="29" s="1"/>
  <c r="G12" i="13"/>
  <c r="AI61" i="7"/>
  <c r="I69" i="7" s="1"/>
  <c r="AZ53" i="7"/>
  <c r="I15" i="8" s="1"/>
  <c r="W15" i="8" s="1"/>
  <c r="AL24" i="6"/>
  <c r="AL51" i="6" s="1"/>
  <c r="AL61" i="6" s="1"/>
  <c r="AJ14" i="12"/>
  <c r="J38" i="3"/>
  <c r="J7" i="8" s="1"/>
  <c r="J6" i="8" s="1"/>
  <c r="AI62" i="7"/>
  <c r="I70" i="7" s="1"/>
  <c r="I44" i="12" s="1"/>
  <c r="AZ51" i="7"/>
  <c r="I14" i="8" s="1"/>
  <c r="AM20" i="7"/>
  <c r="AN20" i="6"/>
  <c r="AM23" i="6"/>
  <c r="AN26" i="3"/>
  <c r="AN12" i="12" s="1"/>
  <c r="AO26" i="29" s="1"/>
  <c r="AO27" i="3"/>
  <c r="AO33" i="3" s="1"/>
  <c r="AI63" i="7"/>
  <c r="I72" i="7"/>
  <c r="BA20" i="7"/>
  <c r="D20" i="11"/>
  <c r="Z10" i="13"/>
  <c r="AM22" i="7"/>
  <c r="BA22" i="7" s="1"/>
  <c r="AN22" i="6"/>
  <c r="AJ52" i="6"/>
  <c r="E43" i="11"/>
  <c r="V16" i="8" l="1"/>
  <c r="H28" i="9"/>
  <c r="H17" i="9"/>
  <c r="AB4" i="13"/>
  <c r="AB6" i="13" s="1"/>
  <c r="AB8" i="13" s="1"/>
  <c r="AB9" i="13" s="1"/>
  <c r="H45" i="12"/>
  <c r="AD18" i="12"/>
  <c r="AD4" i="13" s="1"/>
  <c r="AD6" i="13" s="1"/>
  <c r="BB6" i="6"/>
  <c r="I22" i="9"/>
  <c r="W22" i="8" s="1"/>
  <c r="W12" i="8"/>
  <c r="I41" i="9"/>
  <c r="I40" i="9"/>
  <c r="W11" i="8"/>
  <c r="BA23" i="6"/>
  <c r="BA49" i="6" s="1"/>
  <c r="AM49" i="6"/>
  <c r="AM56" i="6" s="1"/>
  <c r="AF9" i="13"/>
  <c r="AF10" i="13" s="1"/>
  <c r="AF12" i="13" s="1"/>
  <c r="AL35" i="3"/>
  <c r="AJ54" i="7"/>
  <c r="AH3" i="12" s="1"/>
  <c r="AE19" i="29"/>
  <c r="AE30" i="29"/>
  <c r="AG19" i="29"/>
  <c r="AG30" i="29"/>
  <c r="AK65" i="7"/>
  <c r="AK53" i="7"/>
  <c r="AK64" i="7"/>
  <c r="AK52" i="7"/>
  <c r="AK54" i="7" s="1"/>
  <c r="AI3" i="12" s="1"/>
  <c r="AK66" i="7"/>
  <c r="AJ63" i="7"/>
  <c r="AM23" i="7"/>
  <c r="AQ7" i="6"/>
  <c r="BB7" i="6" s="1"/>
  <c r="BC7" i="6" s="1"/>
  <c r="AL64" i="7"/>
  <c r="AL52" i="7"/>
  <c r="AL53" i="7"/>
  <c r="AL61" i="7" s="1"/>
  <c r="AL66" i="7"/>
  <c r="AL65" i="7"/>
  <c r="AQ6" i="7"/>
  <c r="AQ7" i="7" s="1"/>
  <c r="BB7" i="7" s="1"/>
  <c r="BC7" i="7" s="1"/>
  <c r="BB9" i="6"/>
  <c r="BC9" i="6" s="1"/>
  <c r="AG29" i="29"/>
  <c r="AE29" i="29"/>
  <c r="AJ54" i="6"/>
  <c r="K82" i="6"/>
  <c r="L82" i="6" s="1"/>
  <c r="L41" i="12"/>
  <c r="H48" i="29"/>
  <c r="H49" i="29" s="1"/>
  <c r="L46" i="29"/>
  <c r="AM35" i="3"/>
  <c r="J6" i="9"/>
  <c r="J34" i="9" s="1"/>
  <c r="J33" i="9" s="1"/>
  <c r="BB4" i="7"/>
  <c r="BC4" i="7" s="1"/>
  <c r="AQ9" i="7"/>
  <c r="BB9" i="7" s="1"/>
  <c r="BC9" i="7" s="1"/>
  <c r="AQ16" i="6"/>
  <c r="BB16" i="6" s="1"/>
  <c r="BC16" i="6" s="1"/>
  <c r="BB10" i="7"/>
  <c r="BC10" i="7" s="1"/>
  <c r="L91" i="6"/>
  <c r="H48" i="12"/>
  <c r="Z12" i="13"/>
  <c r="X7" i="8"/>
  <c r="I29" i="8"/>
  <c r="W14" i="8"/>
  <c r="AG3" i="12"/>
  <c r="AZ54" i="7"/>
  <c r="AI55" i="7"/>
  <c r="AZ55" i="7" s="1"/>
  <c r="E44" i="11"/>
  <c r="G42" i="11" s="1"/>
  <c r="AM24" i="6"/>
  <c r="AM51" i="6" s="1"/>
  <c r="AM61" i="6" s="1"/>
  <c r="J69" i="6" s="1"/>
  <c r="J38" i="12"/>
  <c r="I75" i="7"/>
  <c r="AK54" i="6"/>
  <c r="AN21" i="7"/>
  <c r="AO21" i="6"/>
  <c r="AM14" i="12"/>
  <c r="AO22" i="6"/>
  <c r="AN22" i="7"/>
  <c r="H18" i="11"/>
  <c r="B21" i="11"/>
  <c r="AP27" i="3"/>
  <c r="AP33" i="3" s="1"/>
  <c r="AO26" i="3"/>
  <c r="AO12" i="12" s="1"/>
  <c r="AN20" i="7"/>
  <c r="AN23" i="7" s="1"/>
  <c r="AO20" i="6"/>
  <c r="AN23" i="6"/>
  <c r="AN49" i="6" s="1"/>
  <c r="AN56" i="6" s="1"/>
  <c r="AL65" i="6"/>
  <c r="AL64" i="6"/>
  <c r="AL63" i="6"/>
  <c r="AL52" i="6"/>
  <c r="AL53" i="6"/>
  <c r="AL60" i="6" s="1"/>
  <c r="AN2" i="12"/>
  <c r="AO22" i="29" s="1"/>
  <c r="H29" i="9" l="1"/>
  <c r="H46" i="12"/>
  <c r="H52" i="12" s="1"/>
  <c r="H25" i="13"/>
  <c r="V17" i="8"/>
  <c r="H22" i="13"/>
  <c r="H20" i="13"/>
  <c r="H6" i="14" s="1"/>
  <c r="H51" i="12"/>
  <c r="AN56" i="7"/>
  <c r="AN58" i="6"/>
  <c r="AN58" i="7" s="1"/>
  <c r="BB6" i="7"/>
  <c r="BC6" i="7" s="1"/>
  <c r="AM58" i="6"/>
  <c r="AM56" i="7"/>
  <c r="BA56" i="7" s="1"/>
  <c r="BA56" i="6"/>
  <c r="BC6" i="6"/>
  <c r="AI5" i="12"/>
  <c r="AJ23" i="29"/>
  <c r="AJ28" i="29" s="1"/>
  <c r="AL54" i="7"/>
  <c r="AJ3" i="12" s="1"/>
  <c r="AK63" i="7"/>
  <c r="AN24" i="7"/>
  <c r="AN51" i="7" s="1"/>
  <c r="AN49" i="7"/>
  <c r="AL63" i="7"/>
  <c r="AK61" i="7"/>
  <c r="AH5" i="12"/>
  <c r="AI23" i="29"/>
  <c r="AI28" i="29" s="1"/>
  <c r="AM24" i="7"/>
  <c r="AM49" i="7"/>
  <c r="BA23" i="7"/>
  <c r="BA24" i="6"/>
  <c r="BA51" i="6"/>
  <c r="X6" i="8"/>
  <c r="AQ15" i="7"/>
  <c r="K92" i="6"/>
  <c r="O81" i="6" s="1"/>
  <c r="AG5" i="12"/>
  <c r="AH23" i="29"/>
  <c r="K36" i="12"/>
  <c r="AP26" i="29"/>
  <c r="K45" i="29" s="1"/>
  <c r="AO2" i="12"/>
  <c r="AP22" i="29" s="1"/>
  <c r="K41" i="29" s="1"/>
  <c r="AO20" i="7"/>
  <c r="AP20" i="6"/>
  <c r="AO23" i="6"/>
  <c r="AO49" i="6" s="1"/>
  <c r="AO56" i="6" s="1"/>
  <c r="AL54" i="6"/>
  <c r="AN24" i="6"/>
  <c r="AO22" i="7"/>
  <c r="AP22" i="6"/>
  <c r="AO21" i="7"/>
  <c r="AP21" i="6"/>
  <c r="J37" i="12"/>
  <c r="J49" i="12"/>
  <c r="AQ27" i="3"/>
  <c r="AQ33" i="3" s="1"/>
  <c r="AP26" i="3"/>
  <c r="AP12" i="12" s="1"/>
  <c r="AQ26" i="29" s="1"/>
  <c r="AD8" i="13"/>
  <c r="AD9" i="13" s="1"/>
  <c r="C21" i="11"/>
  <c r="AN14" i="12"/>
  <c r="AM65" i="6"/>
  <c r="J73" i="6" s="1"/>
  <c r="J45" i="9" s="1"/>
  <c r="AM64" i="6"/>
  <c r="J72" i="6" s="1"/>
  <c r="J44" i="9" s="1"/>
  <c r="AM63" i="6"/>
  <c r="J71" i="6" s="1"/>
  <c r="J43" i="9" s="1"/>
  <c r="AM53" i="6"/>
  <c r="AM60" i="6" s="1"/>
  <c r="J68" i="6" s="1"/>
  <c r="J74" i="6" s="1"/>
  <c r="AM52" i="6"/>
  <c r="BA52" i="6" s="1"/>
  <c r="AM50" i="6"/>
  <c r="BA50" i="6" s="1"/>
  <c r="E45" i="11"/>
  <c r="H3" i="8"/>
  <c r="H24" i="13"/>
  <c r="J14" i="9"/>
  <c r="AL14" i="12"/>
  <c r="I27" i="12"/>
  <c r="H3" i="9" l="1"/>
  <c r="H26" i="13"/>
  <c r="AI13" i="29"/>
  <c r="AI17" i="29" s="1"/>
  <c r="AI30" i="29" s="1"/>
  <c r="AH21" i="12"/>
  <c r="AH23" i="12" s="1"/>
  <c r="AH15" i="12" s="1"/>
  <c r="AJ13" i="29"/>
  <c r="AJ17" i="29" s="1"/>
  <c r="AJ29" i="29" s="1"/>
  <c r="AI21" i="12"/>
  <c r="AI23" i="12" s="1"/>
  <c r="AI15" i="12" s="1"/>
  <c r="AI18" i="12" s="1"/>
  <c r="AI4" i="13" s="1"/>
  <c r="AI6" i="13" s="1"/>
  <c r="AI8" i="13" s="1"/>
  <c r="AI9" i="13" s="1"/>
  <c r="AH13" i="29"/>
  <c r="I34" i="29" s="1"/>
  <c r="I38" i="29" s="1"/>
  <c r="AG21" i="12"/>
  <c r="AG23" i="12" s="1"/>
  <c r="AG15" i="12" s="1"/>
  <c r="I39" i="12" s="1"/>
  <c r="AM58" i="7"/>
  <c r="BA58" i="7" s="1"/>
  <c r="J10" i="8" s="1"/>
  <c r="BA58" i="6"/>
  <c r="J10" i="9" s="1"/>
  <c r="AO56" i="7"/>
  <c r="AO58" i="6"/>
  <c r="H4" i="8"/>
  <c r="H20" i="8" s="1"/>
  <c r="H26" i="8" s="1"/>
  <c r="H5" i="8"/>
  <c r="AN35" i="3"/>
  <c r="AH18" i="12"/>
  <c r="AH4" i="13" s="1"/>
  <c r="AH6" i="13" s="1"/>
  <c r="AH8" i="13" s="1"/>
  <c r="AH9" i="13" s="1"/>
  <c r="BA24" i="7"/>
  <c r="AM51" i="7"/>
  <c r="AM52" i="7" s="1"/>
  <c r="AN52" i="7"/>
  <c r="AN62" i="7"/>
  <c r="AN66" i="7"/>
  <c r="AN53" i="7"/>
  <c r="AN61" i="7" s="1"/>
  <c r="AN64" i="7"/>
  <c r="AN65" i="7"/>
  <c r="AJ5" i="12"/>
  <c r="AK23" i="29"/>
  <c r="AK28" i="29" s="1"/>
  <c r="AO23" i="7"/>
  <c r="AM50" i="7"/>
  <c r="BA50" i="7" s="1"/>
  <c r="AM66" i="7"/>
  <c r="J74" i="7" s="1"/>
  <c r="AM53" i="7"/>
  <c r="AM65" i="7"/>
  <c r="J73" i="7" s="1"/>
  <c r="AM64" i="7"/>
  <c r="BA49" i="7"/>
  <c r="BA53" i="6"/>
  <c r="J15" i="9" s="1"/>
  <c r="BB15" i="7"/>
  <c r="BC15" i="7" s="1"/>
  <c r="AQ16" i="7"/>
  <c r="AH28" i="29"/>
  <c r="I42" i="29"/>
  <c r="I47" i="29" s="1"/>
  <c r="AO35" i="3"/>
  <c r="L92" i="6"/>
  <c r="O80" i="6"/>
  <c r="I29" i="12"/>
  <c r="AM54" i="6"/>
  <c r="AM55" i="6" s="1"/>
  <c r="BA55" i="6" s="1"/>
  <c r="AB10" i="13"/>
  <c r="AB12" i="13" s="1"/>
  <c r="J42" i="9"/>
  <c r="AP21" i="7"/>
  <c r="AQ21" i="6"/>
  <c r="BB21" i="6" s="1"/>
  <c r="BC21" i="6" s="1"/>
  <c r="AP22" i="7"/>
  <c r="AQ22" i="6"/>
  <c r="BB22" i="6" s="1"/>
  <c r="BC22" i="6" s="1"/>
  <c r="AP20" i="7"/>
  <c r="AQ20" i="6"/>
  <c r="BB20" i="6" s="1"/>
  <c r="BC20" i="6" s="1"/>
  <c r="AP23" i="6"/>
  <c r="AP49" i="6" s="1"/>
  <c r="AP56" i="6" s="1"/>
  <c r="AP2" i="12"/>
  <c r="AQ22" i="29" s="1"/>
  <c r="H30" i="9"/>
  <c r="V3" i="8"/>
  <c r="H4" i="9"/>
  <c r="H5" i="9" s="1"/>
  <c r="E46" i="11"/>
  <c r="AQ26" i="3"/>
  <c r="AQ12" i="12" s="1"/>
  <c r="AR26" i="29" s="1"/>
  <c r="AR27" i="3"/>
  <c r="AR33" i="3" s="1"/>
  <c r="AN65" i="6"/>
  <c r="AN64" i="6"/>
  <c r="AN63" i="6"/>
  <c r="AN53" i="6"/>
  <c r="L43" i="11"/>
  <c r="D21" i="11"/>
  <c r="J19" i="11"/>
  <c r="AN51" i="6"/>
  <c r="AO24" i="6"/>
  <c r="K26" i="12"/>
  <c r="I16" i="8" l="1"/>
  <c r="I17" i="8" s="1"/>
  <c r="I16" i="9"/>
  <c r="AJ19" i="29"/>
  <c r="AI29" i="29"/>
  <c r="AI19" i="29"/>
  <c r="AI10" i="13"/>
  <c r="AI12" i="13" s="1"/>
  <c r="AG18" i="12"/>
  <c r="AG19" i="12" s="1"/>
  <c r="I42" i="12"/>
  <c r="I50" i="12" s="1"/>
  <c r="AH17" i="29"/>
  <c r="AH19" i="29" s="1"/>
  <c r="AJ30" i="29"/>
  <c r="AK13" i="29"/>
  <c r="AK17" i="29" s="1"/>
  <c r="AK19" i="29" s="1"/>
  <c r="AJ21" i="12"/>
  <c r="AJ23" i="12" s="1"/>
  <c r="AJ15" i="12" s="1"/>
  <c r="AJ18" i="12" s="1"/>
  <c r="AJ4" i="13" s="1"/>
  <c r="AJ6" i="13" s="1"/>
  <c r="AJ8" i="13" s="1"/>
  <c r="AJ9" i="13" s="1"/>
  <c r="AN63" i="7"/>
  <c r="AO58" i="7"/>
  <c r="AP58" i="6"/>
  <c r="AP58" i="7" s="1"/>
  <c r="AP56" i="7"/>
  <c r="J39" i="9"/>
  <c r="J12" i="9"/>
  <c r="X10" i="8"/>
  <c r="J11" i="9"/>
  <c r="J11" i="8"/>
  <c r="J12" i="8"/>
  <c r="J22" i="8" s="1"/>
  <c r="J28" i="8" s="1"/>
  <c r="AN54" i="7"/>
  <c r="AL3" i="12" s="1"/>
  <c r="AM54" i="7"/>
  <c r="BA52" i="7"/>
  <c r="J72" i="7"/>
  <c r="J70" i="7" s="1"/>
  <c r="J44" i="12" s="1"/>
  <c r="AM63" i="7"/>
  <c r="AM61" i="7"/>
  <c r="J69" i="7" s="1"/>
  <c r="BA53" i="7"/>
  <c r="J15" i="8" s="1"/>
  <c r="X15" i="8" s="1"/>
  <c r="AM62" i="7"/>
  <c r="BA51" i="7"/>
  <c r="J14" i="8" s="1"/>
  <c r="AO24" i="7"/>
  <c r="AO51" i="7" s="1"/>
  <c r="AO62" i="7" s="1"/>
  <c r="AO49" i="7"/>
  <c r="AP23" i="7"/>
  <c r="AN61" i="6"/>
  <c r="AN60" i="6"/>
  <c r="J46" i="9"/>
  <c r="BA54" i="6"/>
  <c r="BB16" i="7"/>
  <c r="BC16" i="7" s="1"/>
  <c r="I39" i="29"/>
  <c r="AP35" i="3"/>
  <c r="H7" i="14"/>
  <c r="K39" i="3"/>
  <c r="K6" i="9" s="1"/>
  <c r="H21" i="8"/>
  <c r="H27" i="8" s="1"/>
  <c r="H30" i="8" s="1"/>
  <c r="H32" i="9"/>
  <c r="H21" i="9"/>
  <c r="AQ22" i="7"/>
  <c r="BB22" i="7" s="1"/>
  <c r="BC22" i="7" s="1"/>
  <c r="AO53" i="6"/>
  <c r="AO60" i="6" s="1"/>
  <c r="AO65" i="6"/>
  <c r="AO64" i="6"/>
  <c r="AO63" i="6"/>
  <c r="H4" i="10"/>
  <c r="AN52" i="6"/>
  <c r="AR26" i="3"/>
  <c r="AR12" i="12" s="1"/>
  <c r="AS26" i="29" s="1"/>
  <c r="AS27" i="3"/>
  <c r="AS26" i="3" s="1"/>
  <c r="AS12" i="12" s="1"/>
  <c r="AT26" i="29" s="1"/>
  <c r="E47" i="11"/>
  <c r="G45" i="11" s="1"/>
  <c r="AP24" i="6"/>
  <c r="AO51" i="6"/>
  <c r="AO61" i="6" s="1"/>
  <c r="AD10" i="13"/>
  <c r="K19" i="11"/>
  <c r="B22" i="11"/>
  <c r="AO14" i="12"/>
  <c r="K38" i="3"/>
  <c r="K7" i="8" s="1"/>
  <c r="K6" i="8" s="1"/>
  <c r="H31" i="9"/>
  <c r="H20" i="9"/>
  <c r="V20" i="8" s="1"/>
  <c r="V4" i="8"/>
  <c r="AQ20" i="7"/>
  <c r="AQ23" i="6"/>
  <c r="AQ21" i="7"/>
  <c r="BB21" i="7" s="1"/>
  <c r="BC21" i="7" s="1"/>
  <c r="K24" i="8"/>
  <c r="AH10" i="13"/>
  <c r="AQ2" i="12"/>
  <c r="AR22" i="29" s="1"/>
  <c r="W16" i="8" l="1"/>
  <c r="W17" i="8" s="1"/>
  <c r="I28" i="9"/>
  <c r="I17" i="9"/>
  <c r="I29" i="9" s="1"/>
  <c r="AG4" i="13"/>
  <c r="AG6" i="13" s="1"/>
  <c r="I22" i="13" s="1"/>
  <c r="AH29" i="29"/>
  <c r="H13" i="14"/>
  <c r="H15" i="14" s="1"/>
  <c r="H12" i="14"/>
  <c r="I45" i="12"/>
  <c r="AH30" i="29"/>
  <c r="AK29" i="29"/>
  <c r="AK30" i="29"/>
  <c r="BB23" i="6"/>
  <c r="AQ49" i="6"/>
  <c r="AQ56" i="6" s="1"/>
  <c r="J41" i="9"/>
  <c r="J22" i="9"/>
  <c r="X22" i="8" s="1"/>
  <c r="X12" i="8"/>
  <c r="J40" i="9"/>
  <c r="X11" i="8"/>
  <c r="AS33" i="3"/>
  <c r="AM23" i="29"/>
  <c r="AM28" i="29" s="1"/>
  <c r="AL5" i="12"/>
  <c r="AL21" i="12" s="1"/>
  <c r="AL23" i="12" s="1"/>
  <c r="AL15" i="12" s="1"/>
  <c r="BB20" i="7"/>
  <c r="BC20" i="7" s="1"/>
  <c r="AQ23" i="7"/>
  <c r="J29" i="8"/>
  <c r="X14" i="8"/>
  <c r="AP24" i="7"/>
  <c r="AP51" i="7" s="1"/>
  <c r="AP62" i="7" s="1"/>
  <c r="AP49" i="7"/>
  <c r="AO64" i="7"/>
  <c r="AO53" i="7"/>
  <c r="AO65" i="7"/>
  <c r="AO52" i="7"/>
  <c r="AO66" i="7"/>
  <c r="J75" i="7"/>
  <c r="AM55" i="7"/>
  <c r="BA55" i="7" s="1"/>
  <c r="BA54" i="7"/>
  <c r="AK3" i="12"/>
  <c r="AN54" i="6"/>
  <c r="L45" i="29"/>
  <c r="I48" i="29"/>
  <c r="I49" i="29" s="1"/>
  <c r="AQ35" i="3"/>
  <c r="K7" i="9"/>
  <c r="Q7" i="9" s="1"/>
  <c r="H28" i="13"/>
  <c r="I48" i="12"/>
  <c r="L36" i="12"/>
  <c r="V5" i="8"/>
  <c r="V21" i="8"/>
  <c r="AR2" i="12"/>
  <c r="AS22" i="29" s="1"/>
  <c r="C22" i="11"/>
  <c r="AO52" i="6"/>
  <c r="AO54" i="6" s="1"/>
  <c r="AQ24" i="6"/>
  <c r="BB24" i="6" s="1"/>
  <c r="BC24" i="6" s="1"/>
  <c r="AQ50" i="6"/>
  <c r="BB50" i="6" s="1"/>
  <c r="BC50" i="6" s="1"/>
  <c r="H5" i="10"/>
  <c r="H6" i="10" s="1"/>
  <c r="AD12" i="13"/>
  <c r="AP65" i="6"/>
  <c r="AP64" i="6"/>
  <c r="AP63" i="6"/>
  <c r="AP53" i="6"/>
  <c r="AP60" i="6" s="1"/>
  <c r="H7" i="13"/>
  <c r="K38" i="12"/>
  <c r="K34" i="9"/>
  <c r="K33" i="9" s="1"/>
  <c r="Y6" i="8"/>
  <c r="Q6" i="9"/>
  <c r="AP51" i="6"/>
  <c r="AP61" i="6" s="1"/>
  <c r="AH12" i="13"/>
  <c r="E48" i="11"/>
  <c r="AQ14" i="12"/>
  <c r="I46" i="12" l="1"/>
  <c r="I25" i="13"/>
  <c r="AG8" i="13"/>
  <c r="AG9" i="13" s="1"/>
  <c r="I20" i="13"/>
  <c r="I6" i="14" s="1"/>
  <c r="I51" i="12"/>
  <c r="I52" i="12"/>
  <c r="AQ56" i="7"/>
  <c r="BB56" i="7" s="1"/>
  <c r="BC56" i="7" s="1"/>
  <c r="AQ58" i="6"/>
  <c r="BB56" i="6"/>
  <c r="BC56" i="6" s="1"/>
  <c r="BC23" i="6"/>
  <c r="BB49" i="6"/>
  <c r="Y7" i="8"/>
  <c r="AM13" i="29"/>
  <c r="AM17" i="29" s="1"/>
  <c r="AL18" i="12"/>
  <c r="AL4" i="13" s="1"/>
  <c r="AL6" i="13" s="1"/>
  <c r="AL8" i="13" s="1"/>
  <c r="AL9" i="13" s="1"/>
  <c r="AK5" i="12"/>
  <c r="AK21" i="12" s="1"/>
  <c r="AK23" i="12" s="1"/>
  <c r="AK15" i="12" s="1"/>
  <c r="J39" i="12" s="1"/>
  <c r="AL23" i="29"/>
  <c r="J27" i="12"/>
  <c r="AO54" i="7"/>
  <c r="AO61" i="7"/>
  <c r="AO63" i="7"/>
  <c r="AQ24" i="7"/>
  <c r="AQ49" i="7"/>
  <c r="BB23" i="7"/>
  <c r="BC23" i="7" s="1"/>
  <c r="AP64" i="7"/>
  <c r="AP52" i="7"/>
  <c r="AP53" i="7"/>
  <c r="AP61" i="7" s="1"/>
  <c r="AP65" i="7"/>
  <c r="AP66" i="7"/>
  <c r="BC49" i="6"/>
  <c r="AR35" i="3"/>
  <c r="AR14" i="12"/>
  <c r="AQ65" i="6"/>
  <c r="K73" i="6" s="1"/>
  <c r="AQ64" i="6"/>
  <c r="K72" i="6" s="1"/>
  <c r="AQ63" i="6"/>
  <c r="K71" i="6" s="1"/>
  <c r="AQ53" i="6"/>
  <c r="AQ60" i="6" s="1"/>
  <c r="K68" i="6" s="1"/>
  <c r="AS2" i="12"/>
  <c r="AT22" i="29" s="1"/>
  <c r="L41" i="29" s="1"/>
  <c r="H8" i="13"/>
  <c r="AQ51" i="6"/>
  <c r="AQ61" i="6" s="1"/>
  <c r="K69" i="6" s="1"/>
  <c r="I3" i="8"/>
  <c r="I24" i="13"/>
  <c r="AJ10" i="13"/>
  <c r="E49" i="11"/>
  <c r="F48" i="11"/>
  <c r="L46" i="11"/>
  <c r="H11" i="13"/>
  <c r="H7" i="10"/>
  <c r="D22" i="11"/>
  <c r="H17" i="14"/>
  <c r="AP14" i="12"/>
  <c r="K37" i="12"/>
  <c r="K49" i="12"/>
  <c r="AP52" i="6"/>
  <c r="J16" i="9" l="1"/>
  <c r="J16" i="8"/>
  <c r="J17" i="8" s="1"/>
  <c r="I3" i="9"/>
  <c r="I4" i="9" s="1"/>
  <c r="I5" i="9" s="1"/>
  <c r="I26" i="13"/>
  <c r="AP63" i="7"/>
  <c r="AQ58" i="7"/>
  <c r="BB58" i="7" s="1"/>
  <c r="BB58" i="6"/>
  <c r="I5" i="8"/>
  <c r="I4" i="8"/>
  <c r="AM29" i="29"/>
  <c r="AM19" i="29"/>
  <c r="AM30" i="29"/>
  <c r="AP54" i="7"/>
  <c r="AN3" i="12" s="1"/>
  <c r="AM3" i="12"/>
  <c r="AQ64" i="7"/>
  <c r="K72" i="7" s="1"/>
  <c r="AQ66" i="7"/>
  <c r="K74" i="7" s="1"/>
  <c r="L74" i="7" s="1"/>
  <c r="AQ53" i="7"/>
  <c r="AQ65" i="7"/>
  <c r="K73" i="7" s="1"/>
  <c r="L73" i="7" s="1"/>
  <c r="AQ50" i="7"/>
  <c r="BB50" i="7" s="1"/>
  <c r="BC50" i="7" s="1"/>
  <c r="BB49" i="7"/>
  <c r="BC49" i="7" s="1"/>
  <c r="BB24" i="7"/>
  <c r="BC24" i="7" s="1"/>
  <c r="AQ51" i="7"/>
  <c r="J42" i="29"/>
  <c r="J47" i="29" s="1"/>
  <c r="AL28" i="29"/>
  <c r="AK18" i="12"/>
  <c r="AL13" i="29"/>
  <c r="J29" i="12"/>
  <c r="J42" i="12" s="1"/>
  <c r="BB51" i="6"/>
  <c r="BC51" i="6" s="1"/>
  <c r="AP54" i="6"/>
  <c r="BB53" i="6"/>
  <c r="L26" i="12"/>
  <c r="L24" i="8" s="1"/>
  <c r="K44" i="9"/>
  <c r="L44" i="9" s="1"/>
  <c r="L72" i="6"/>
  <c r="K14" i="9"/>
  <c r="L69" i="6"/>
  <c r="K74" i="6"/>
  <c r="N76" i="7" s="1"/>
  <c r="L68" i="6"/>
  <c r="K43" i="9"/>
  <c r="L43" i="9" s="1"/>
  <c r="L71" i="6"/>
  <c r="I30" i="9"/>
  <c r="H9" i="13"/>
  <c r="H10" i="13" s="1"/>
  <c r="AJ12" i="13"/>
  <c r="B23" i="11"/>
  <c r="H13" i="13"/>
  <c r="AG10" i="13"/>
  <c r="H14" i="13"/>
  <c r="K45" i="9"/>
  <c r="L45" i="9" s="1"/>
  <c r="L73" i="6"/>
  <c r="E50" i="11"/>
  <c r="I20" i="8"/>
  <c r="I26" i="8" s="1"/>
  <c r="AQ52" i="6"/>
  <c r="AQ54" i="6" s="1"/>
  <c r="AQ55" i="6" s="1"/>
  <c r="BB55" i="6" s="1"/>
  <c r="BC55" i="6" s="1"/>
  <c r="W3" i="8" l="1"/>
  <c r="X16" i="8"/>
  <c r="X17" i="8" s="1"/>
  <c r="J17" i="9"/>
  <c r="J29" i="9" s="1"/>
  <c r="J28" i="9"/>
  <c r="BC58" i="6"/>
  <c r="L10" i="9" s="1"/>
  <c r="K10" i="9"/>
  <c r="BC58" i="7"/>
  <c r="L10" i="8" s="1"/>
  <c r="K10" i="8"/>
  <c r="AQ63" i="7"/>
  <c r="AQ52" i="7"/>
  <c r="AQ62" i="7"/>
  <c r="BB51" i="7"/>
  <c r="AQ61" i="7"/>
  <c r="K69" i="7" s="1"/>
  <c r="BB53" i="7"/>
  <c r="J50" i="12"/>
  <c r="J45" i="12"/>
  <c r="AM5" i="12"/>
  <c r="AN23" i="29"/>
  <c r="J34" i="29"/>
  <c r="J38" i="29" s="1"/>
  <c r="AL17" i="29"/>
  <c r="K70" i="7"/>
  <c r="L72" i="7"/>
  <c r="AK19" i="12"/>
  <c r="AK4" i="13"/>
  <c r="AN5" i="12"/>
  <c r="AO23" i="29"/>
  <c r="AO28" i="29" s="1"/>
  <c r="AP3" i="12"/>
  <c r="BC53" i="6"/>
  <c r="L15" i="9" s="1"/>
  <c r="K15" i="9"/>
  <c r="BB52" i="6"/>
  <c r="BC52" i="6" s="1"/>
  <c r="BB54" i="6"/>
  <c r="BC54" i="6" s="1"/>
  <c r="I21" i="8"/>
  <c r="I27" i="8" s="1"/>
  <c r="I30" i="8" s="1"/>
  <c r="I32" i="9"/>
  <c r="I21" i="9"/>
  <c r="W5" i="8"/>
  <c r="AG12" i="13"/>
  <c r="AL10" i="13"/>
  <c r="H12" i="13"/>
  <c r="I20" i="9"/>
  <c r="W20" i="8" s="1"/>
  <c r="I31" i="9"/>
  <c r="W4" i="8"/>
  <c r="C23" i="11"/>
  <c r="L74" i="6"/>
  <c r="L14" i="9"/>
  <c r="E51" i="11"/>
  <c r="H15" i="13"/>
  <c r="K42" i="9"/>
  <c r="Q14" i="9"/>
  <c r="G48" i="11"/>
  <c r="J46" i="12" l="1"/>
  <c r="J25" i="13"/>
  <c r="AO13" i="29"/>
  <c r="AO17" i="29" s="1"/>
  <c r="AO30" i="29" s="1"/>
  <c r="AN21" i="12"/>
  <c r="AN23" i="12" s="1"/>
  <c r="AN15" i="12" s="1"/>
  <c r="AN18" i="12" s="1"/>
  <c r="AN4" i="13" s="1"/>
  <c r="AN6" i="13" s="1"/>
  <c r="AN8" i="13" s="1"/>
  <c r="AN9" i="13" s="1"/>
  <c r="AN10" i="13" s="1"/>
  <c r="AN12" i="13" s="1"/>
  <c r="AM21" i="12"/>
  <c r="AM23" i="12" s="1"/>
  <c r="AM15" i="12" s="1"/>
  <c r="K11" i="8"/>
  <c r="K12" i="8"/>
  <c r="K22" i="8" s="1"/>
  <c r="K28" i="8" s="1"/>
  <c r="L11" i="8"/>
  <c r="L12" i="8"/>
  <c r="L22" i="8" s="1"/>
  <c r="L28" i="8" s="1"/>
  <c r="K12" i="9"/>
  <c r="Q10" i="9"/>
  <c r="K11" i="9"/>
  <c r="Y10" i="8"/>
  <c r="K39" i="9"/>
  <c r="Z10" i="8"/>
  <c r="L11" i="9"/>
  <c r="L12" i="9"/>
  <c r="L39" i="9"/>
  <c r="AL19" i="29"/>
  <c r="AL30" i="29"/>
  <c r="AL29" i="29"/>
  <c r="J51" i="12"/>
  <c r="AQ23" i="29"/>
  <c r="AQ28" i="29" s="1"/>
  <c r="AP5" i="12"/>
  <c r="AR3" i="12"/>
  <c r="J39" i="29"/>
  <c r="J48" i="29"/>
  <c r="J49" i="29" s="1"/>
  <c r="BC53" i="7"/>
  <c r="L15" i="8" s="1"/>
  <c r="Z15" i="8" s="1"/>
  <c r="K15" i="8"/>
  <c r="Y15" i="8" s="1"/>
  <c r="L69" i="7"/>
  <c r="K75" i="7"/>
  <c r="N75" i="7" s="1"/>
  <c r="N77" i="7" s="1"/>
  <c r="AN28" i="29"/>
  <c r="K14" i="8"/>
  <c r="BC51" i="7"/>
  <c r="L14" i="8" s="1"/>
  <c r="AK6" i="13"/>
  <c r="J20" i="13"/>
  <c r="J6" i="14" s="1"/>
  <c r="AN13" i="29"/>
  <c r="AN17" i="29" s="1"/>
  <c r="AQ54" i="7"/>
  <c r="BB52" i="7"/>
  <c r="BC52" i="7" s="1"/>
  <c r="L70" i="7"/>
  <c r="K44" i="12"/>
  <c r="J48" i="12"/>
  <c r="J52" i="12" s="1"/>
  <c r="K46" i="9"/>
  <c r="Q15" i="9"/>
  <c r="Q21" i="9" s="1"/>
  <c r="L46" i="9"/>
  <c r="AS35" i="3"/>
  <c r="L39" i="3" s="1"/>
  <c r="L6" i="9" s="1"/>
  <c r="W21" i="8"/>
  <c r="E52" i="11"/>
  <c r="L49" i="11"/>
  <c r="L42" i="9"/>
  <c r="D23" i="11"/>
  <c r="AL12" i="13"/>
  <c r="AS14" i="12"/>
  <c r="L38" i="3"/>
  <c r="L7" i="8" s="1"/>
  <c r="L6" i="8" s="1"/>
  <c r="I7" i="14"/>
  <c r="I28" i="13"/>
  <c r="I12" i="14" l="1"/>
  <c r="I13" i="14"/>
  <c r="I15" i="14" s="1"/>
  <c r="AO19" i="29"/>
  <c r="AO29" i="29"/>
  <c r="AA10" i="8"/>
  <c r="AM18" i="12"/>
  <c r="AM4" i="13" s="1"/>
  <c r="AM6" i="13" s="1"/>
  <c r="AM8" i="13" s="1"/>
  <c r="AM9" i="13" s="1"/>
  <c r="AM10" i="13" s="1"/>
  <c r="AM12" i="13" s="1"/>
  <c r="AQ13" i="29"/>
  <c r="AQ17" i="29" s="1"/>
  <c r="AQ30" i="29" s="1"/>
  <c r="AP21" i="12"/>
  <c r="AP23" i="12" s="1"/>
  <c r="AP15" i="12" s="1"/>
  <c r="AP18" i="12" s="1"/>
  <c r="AP4" i="13" s="1"/>
  <c r="AP6" i="13" s="1"/>
  <c r="AP8" i="13" s="1"/>
  <c r="AP9" i="13" s="1"/>
  <c r="Y12" i="8"/>
  <c r="Q12" i="9"/>
  <c r="T5" i="9" s="1"/>
  <c r="K22" i="9"/>
  <c r="Y22" i="8" s="1"/>
  <c r="AA22" i="8" s="1"/>
  <c r="K41" i="9"/>
  <c r="Y11" i="8"/>
  <c r="Q11" i="9"/>
  <c r="K40" i="9"/>
  <c r="Z12" i="8"/>
  <c r="L22" i="9"/>
  <c r="Z22" i="8" s="1"/>
  <c r="L41" i="9"/>
  <c r="L40" i="9"/>
  <c r="Z11" i="8"/>
  <c r="L29" i="8"/>
  <c r="Z14" i="8"/>
  <c r="L7" i="9"/>
  <c r="Z7" i="8" s="1"/>
  <c r="AA7" i="8" s="1"/>
  <c r="AN29" i="29"/>
  <c r="AS23" i="29"/>
  <c r="AS28" i="29" s="1"/>
  <c r="AR5" i="12"/>
  <c r="AK8" i="13"/>
  <c r="AK9" i="13" s="1"/>
  <c r="J22" i="13"/>
  <c r="L75" i="7"/>
  <c r="L44" i="12"/>
  <c r="K29" i="8"/>
  <c r="Y14" i="8"/>
  <c r="AO3" i="12"/>
  <c r="BB54" i="7"/>
  <c r="AQ55" i="7"/>
  <c r="BB55" i="7" s="1"/>
  <c r="BC55" i="7" s="1"/>
  <c r="AN19" i="29"/>
  <c r="AN30" i="29"/>
  <c r="AA15" i="8"/>
  <c r="L38" i="12"/>
  <c r="H21" i="11"/>
  <c r="B24" i="11"/>
  <c r="E53" i="11"/>
  <c r="G51" i="11" s="1"/>
  <c r="I18" i="14"/>
  <c r="I34" i="14" s="1"/>
  <c r="L34" i="9"/>
  <c r="L33" i="9" s="1"/>
  <c r="Z6" i="8"/>
  <c r="AA6" i="8" s="1"/>
  <c r="AA11" i="8" l="1"/>
  <c r="AS13" i="29"/>
  <c r="AS17" i="29" s="1"/>
  <c r="AS19" i="29" s="1"/>
  <c r="AR21" i="12"/>
  <c r="AR23" i="12" s="1"/>
  <c r="AR15" i="12" s="1"/>
  <c r="AR18" i="12" s="1"/>
  <c r="AR4" i="13" s="1"/>
  <c r="AR6" i="13" s="1"/>
  <c r="AR8" i="13" s="1"/>
  <c r="AR9" i="13" s="1"/>
  <c r="AQ19" i="29"/>
  <c r="AQ29" i="29"/>
  <c r="AA14" i="8"/>
  <c r="AA12" i="8"/>
  <c r="B7" i="2"/>
  <c r="BC54" i="7"/>
  <c r="AQ3" i="12"/>
  <c r="AP23" i="29"/>
  <c r="AO5" i="12"/>
  <c r="K27" i="12"/>
  <c r="J3" i="8"/>
  <c r="J24" i="13"/>
  <c r="I20" i="14"/>
  <c r="C24" i="11"/>
  <c r="L37" i="12"/>
  <c r="L49" i="12"/>
  <c r="I17" i="14"/>
  <c r="E54" i="11"/>
  <c r="J3" i="9" l="1"/>
  <c r="J30" i="9" s="1"/>
  <c r="J26" i="13"/>
  <c r="AS29" i="29"/>
  <c r="AS30" i="29"/>
  <c r="AR10" i="13"/>
  <c r="AR12" i="13" s="1"/>
  <c r="AO21" i="12"/>
  <c r="AO23" i="12" s="1"/>
  <c r="AO15" i="12" s="1"/>
  <c r="J5" i="8"/>
  <c r="J21" i="8" s="1"/>
  <c r="J27" i="8" s="1"/>
  <c r="J4" i="8"/>
  <c r="J20" i="8" s="1"/>
  <c r="J26" i="8" s="1"/>
  <c r="AP28" i="29"/>
  <c r="K42" i="29"/>
  <c r="K47" i="29" s="1"/>
  <c r="AR23" i="29"/>
  <c r="AS3" i="12"/>
  <c r="L27" i="12" s="1"/>
  <c r="AQ5" i="12"/>
  <c r="AQ21" i="12" s="1"/>
  <c r="AQ23" i="12" s="1"/>
  <c r="AQ15" i="12" s="1"/>
  <c r="AK10" i="13"/>
  <c r="AP13" i="29"/>
  <c r="K29" i="12"/>
  <c r="J4" i="9"/>
  <c r="J5" i="9" s="1"/>
  <c r="D24" i="11"/>
  <c r="J22" i="11"/>
  <c r="I4" i="10" s="1"/>
  <c r="E55" i="11"/>
  <c r="L52" i="11"/>
  <c r="AP10" i="13"/>
  <c r="X3" i="8" l="1"/>
  <c r="AO18" i="12"/>
  <c r="AO19" i="12" s="1"/>
  <c r="K39" i="12"/>
  <c r="J30" i="8"/>
  <c r="AQ18" i="12"/>
  <c r="AR13" i="29"/>
  <c r="AS5" i="12"/>
  <c r="AT23" i="29"/>
  <c r="AT28" i="29" s="1"/>
  <c r="X4" i="8"/>
  <c r="J31" i="9"/>
  <c r="J20" i="9"/>
  <c r="X20" i="8" s="1"/>
  <c r="AR28" i="29"/>
  <c r="J21" i="9"/>
  <c r="X21" i="8" s="1"/>
  <c r="J32" i="9"/>
  <c r="X5" i="8"/>
  <c r="K34" i="29"/>
  <c r="K38" i="29" s="1"/>
  <c r="AP17" i="29"/>
  <c r="AK12" i="13"/>
  <c r="K22" i="11"/>
  <c r="I5" i="10" s="1"/>
  <c r="B25" i="11"/>
  <c r="AP12" i="13"/>
  <c r="E56" i="11"/>
  <c r="I7" i="13"/>
  <c r="C23" i="13" s="1"/>
  <c r="K42" i="12" l="1"/>
  <c r="K16" i="9"/>
  <c r="K16" i="8"/>
  <c r="K17" i="8" s="1"/>
  <c r="AO4" i="13"/>
  <c r="K20" i="13" s="1"/>
  <c r="K6" i="14" s="1"/>
  <c r="N6" i="14" s="1"/>
  <c r="K45" i="12"/>
  <c r="K50" i="12"/>
  <c r="K48" i="12" s="1"/>
  <c r="AT13" i="29"/>
  <c r="AT17" i="29" s="1"/>
  <c r="AT29" i="29" s="1"/>
  <c r="AS21" i="12"/>
  <c r="AS23" i="12" s="1"/>
  <c r="AS15" i="12" s="1"/>
  <c r="J7" i="14"/>
  <c r="J28" i="13"/>
  <c r="AP19" i="29"/>
  <c r="AP30" i="29"/>
  <c r="AP29" i="29"/>
  <c r="L42" i="29"/>
  <c r="L47" i="29" s="1"/>
  <c r="L29" i="12"/>
  <c r="K39" i="29"/>
  <c r="K48" i="29"/>
  <c r="K49" i="29" s="1"/>
  <c r="AR17" i="29"/>
  <c r="AQ4" i="13"/>
  <c r="I8" i="13"/>
  <c r="E57" i="11"/>
  <c r="C25" i="11"/>
  <c r="I11" i="13"/>
  <c r="I7" i="10"/>
  <c r="I6" i="10"/>
  <c r="G54" i="11"/>
  <c r="K46" i="12" l="1"/>
  <c r="K25" i="13"/>
  <c r="AT30" i="29"/>
  <c r="Y16" i="8"/>
  <c r="Y17" i="8" s="1"/>
  <c r="K28" i="9"/>
  <c r="K17" i="9"/>
  <c r="Q16" i="9"/>
  <c r="AT19" i="29"/>
  <c r="M6" i="14"/>
  <c r="AO6" i="13"/>
  <c r="K52" i="12"/>
  <c r="J12" i="14"/>
  <c r="J17" i="14" s="1"/>
  <c r="J13" i="14"/>
  <c r="J15" i="14" s="1"/>
  <c r="K51" i="12"/>
  <c r="AS18" i="12"/>
  <c r="AS4" i="13" s="1"/>
  <c r="AS6" i="13" s="1"/>
  <c r="AS8" i="13" s="1"/>
  <c r="AS9" i="13" s="1"/>
  <c r="AS10" i="13" s="1"/>
  <c r="L39" i="12"/>
  <c r="L34" i="29"/>
  <c r="L38" i="29" s="1"/>
  <c r="L48" i="29" s="1"/>
  <c r="L49" i="29" s="1"/>
  <c r="M49" i="29" s="1"/>
  <c r="B9" i="2" s="1"/>
  <c r="AR19" i="29"/>
  <c r="AR30" i="29"/>
  <c r="AR29" i="29"/>
  <c r="J18" i="14"/>
  <c r="AQ6" i="13"/>
  <c r="I14" i="13"/>
  <c r="I15" i="13" s="1"/>
  <c r="C27" i="13"/>
  <c r="D25" i="11"/>
  <c r="I9" i="13"/>
  <c r="C3" i="8" s="1"/>
  <c r="C24" i="13"/>
  <c r="I13" i="13"/>
  <c r="E58" i="11"/>
  <c r="L55" i="11"/>
  <c r="C3" i="9" l="1"/>
  <c r="C26" i="13"/>
  <c r="L42" i="12"/>
  <c r="L16" i="9"/>
  <c r="L16" i="8"/>
  <c r="L17" i="8" s="1"/>
  <c r="K29" i="9"/>
  <c r="Q17" i="9"/>
  <c r="C30" i="13"/>
  <c r="C31" i="13" s="1"/>
  <c r="AS19" i="12"/>
  <c r="K22" i="13"/>
  <c r="AO8" i="13"/>
  <c r="L39" i="29"/>
  <c r="L20" i="13"/>
  <c r="L6" i="14" s="1"/>
  <c r="L50" i="12"/>
  <c r="L48" i="12" s="1"/>
  <c r="L45" i="12"/>
  <c r="J34" i="14"/>
  <c r="J20" i="14"/>
  <c r="AQ8" i="13"/>
  <c r="AQ9" i="13" s="1"/>
  <c r="L22" i="13"/>
  <c r="AS12" i="13"/>
  <c r="B26" i="11"/>
  <c r="C30" i="9"/>
  <c r="Q3" i="8"/>
  <c r="C4" i="9"/>
  <c r="C29" i="13"/>
  <c r="C8" i="14"/>
  <c r="I10" i="13"/>
  <c r="E59" i="11"/>
  <c r="Z16" i="8" l="1"/>
  <c r="L28" i="9"/>
  <c r="L17" i="9"/>
  <c r="L29" i="9" s="1"/>
  <c r="L46" i="12"/>
  <c r="L25" i="13"/>
  <c r="AO9" i="13"/>
  <c r="K3" i="8" s="1"/>
  <c r="K24" i="13"/>
  <c r="L52" i="12"/>
  <c r="L54" i="12" s="1"/>
  <c r="B11" i="2" s="1"/>
  <c r="L51" i="12"/>
  <c r="L24" i="13"/>
  <c r="C5" i="9"/>
  <c r="Q5" i="8" s="1"/>
  <c r="C26" i="11"/>
  <c r="I12" i="13"/>
  <c r="C28" i="13" s="1"/>
  <c r="C7" i="14"/>
  <c r="E60" i="11"/>
  <c r="L58" i="11" s="1"/>
  <c r="C31" i="9"/>
  <c r="C20" i="9"/>
  <c r="Q20" i="8" s="1"/>
  <c r="Q4" i="8"/>
  <c r="G57" i="11"/>
  <c r="K3" i="9" l="1"/>
  <c r="K26" i="13"/>
  <c r="L55" i="12"/>
  <c r="L3" i="9"/>
  <c r="L30" i="9" s="1"/>
  <c r="L26" i="13"/>
  <c r="Z17" i="8"/>
  <c r="AA16" i="8"/>
  <c r="AA17" i="8" s="1"/>
  <c r="K4" i="8"/>
  <c r="K20" i="8" s="1"/>
  <c r="K26" i="8" s="1"/>
  <c r="K5" i="8"/>
  <c r="K21" i="8" s="1"/>
  <c r="K27" i="8" s="1"/>
  <c r="AO10" i="13"/>
  <c r="K30" i="9"/>
  <c r="K4" i="9"/>
  <c r="Y3" i="8"/>
  <c r="C12" i="14"/>
  <c r="C13" i="14"/>
  <c r="C15" i="14" s="1"/>
  <c r="AQ10" i="13"/>
  <c r="L3" i="8"/>
  <c r="C21" i="9"/>
  <c r="Q21" i="8" s="1"/>
  <c r="C32" i="9"/>
  <c r="C18" i="14"/>
  <c r="D26" i="11"/>
  <c r="E61" i="11"/>
  <c r="F60" i="11"/>
  <c r="L4" i="9" l="1"/>
  <c r="K5" i="9"/>
  <c r="Y4" i="8"/>
  <c r="K31" i="9"/>
  <c r="K20" i="9"/>
  <c r="Y20" i="8" s="1"/>
  <c r="AO12" i="13"/>
  <c r="K30" i="8"/>
  <c r="Z3" i="8"/>
  <c r="L4" i="8"/>
  <c r="L5" i="8"/>
  <c r="L5" i="9"/>
  <c r="L31" i="9"/>
  <c r="L20" i="9"/>
  <c r="L21" i="8"/>
  <c r="L27" i="8" s="1"/>
  <c r="AQ12" i="13"/>
  <c r="C34" i="14"/>
  <c r="C19" i="14"/>
  <c r="H24" i="11"/>
  <c r="B27" i="11"/>
  <c r="C20" i="14"/>
  <c r="E62" i="11"/>
  <c r="C17" i="14"/>
  <c r="C16" i="14"/>
  <c r="Y5" i="8" l="1"/>
  <c r="K32" i="9"/>
  <c r="K21" i="9"/>
  <c r="Y21" i="8" s="1"/>
  <c r="K7" i="14"/>
  <c r="K28" i="13"/>
  <c r="Z4" i="8"/>
  <c r="L20" i="8"/>
  <c r="L26" i="8" s="1"/>
  <c r="L30" i="8" s="1"/>
  <c r="L28" i="13"/>
  <c r="L7" i="14"/>
  <c r="L32" i="9"/>
  <c r="L21" i="9"/>
  <c r="Z21" i="8" s="1"/>
  <c r="Z5" i="8"/>
  <c r="C27" i="11"/>
  <c r="E63" i="11"/>
  <c r="G60" i="11"/>
  <c r="K12" i="14" l="1"/>
  <c r="K17" i="14" s="1"/>
  <c r="K18" i="14"/>
  <c r="K13" i="14"/>
  <c r="K15" i="14" s="1"/>
  <c r="L12" i="14"/>
  <c r="L17" i="14" s="1"/>
  <c r="L13" i="14"/>
  <c r="L15" i="14" s="1"/>
  <c r="L18" i="14"/>
  <c r="Z20" i="8"/>
  <c r="E64" i="11"/>
  <c r="L61" i="11"/>
  <c r="D27" i="11"/>
  <c r="J25" i="11"/>
  <c r="J4" i="10" s="1"/>
  <c r="K34" i="14" l="1"/>
  <c r="K20" i="14"/>
  <c r="L34" i="14"/>
  <c r="L20" i="14"/>
  <c r="K25" i="11"/>
  <c r="J5" i="10" s="1"/>
  <c r="J6" i="10" s="1"/>
  <c r="B28" i="11"/>
  <c r="J7" i="13"/>
  <c r="E65" i="11"/>
  <c r="E66" i="11" l="1"/>
  <c r="G63" i="11"/>
  <c r="J8" i="13"/>
  <c r="C28" i="11"/>
  <c r="J11" i="13"/>
  <c r="J7" i="10"/>
  <c r="D28" i="11" l="1"/>
  <c r="J9" i="13"/>
  <c r="J10" i="13" s="1"/>
  <c r="J13" i="13"/>
  <c r="J14" i="13"/>
  <c r="E67" i="11"/>
  <c r="L64" i="11"/>
  <c r="B29" i="11" l="1"/>
  <c r="E68" i="11"/>
  <c r="J15" i="13"/>
  <c r="J12" i="13"/>
  <c r="C29" i="11" l="1"/>
  <c r="E70" i="11"/>
  <c r="F68" i="11"/>
  <c r="F70" i="11" s="1"/>
  <c r="G66" i="11"/>
  <c r="G70" i="11" s="1"/>
  <c r="L67" i="11"/>
  <c r="L69" i="11" s="1"/>
  <c r="D29" i="11" l="1"/>
  <c r="D70" i="11"/>
  <c r="B5" i="11"/>
  <c r="H27" i="11" l="1"/>
  <c r="B30" i="11"/>
  <c r="C30" i="11" l="1"/>
  <c r="D30" i="11" l="1"/>
  <c r="J28" i="11"/>
  <c r="K4" i="10" s="1"/>
  <c r="K7" i="13" l="1"/>
  <c r="K28" i="11"/>
  <c r="K5" i="10" s="1"/>
  <c r="K6" i="10" s="1"/>
  <c r="B31" i="11"/>
  <c r="C31" i="11" l="1"/>
  <c r="K11" i="13"/>
  <c r="K7" i="10"/>
  <c r="K8" i="13"/>
  <c r="K13" i="13" l="1"/>
  <c r="K9" i="13"/>
  <c r="K10" i="13" s="1"/>
  <c r="D31" i="11"/>
  <c r="K14" i="13"/>
  <c r="K12" i="13" l="1"/>
  <c r="B32" i="11"/>
  <c r="K15" i="13"/>
  <c r="C32" i="11" l="1"/>
  <c r="D32" i="11" l="1"/>
  <c r="H30" i="11" l="1"/>
  <c r="B33" i="11"/>
  <c r="C33" i="11" l="1"/>
  <c r="D33" i="11" l="1"/>
  <c r="J31" i="11"/>
  <c r="L4" i="10" s="1"/>
  <c r="L7" i="13" l="1"/>
  <c r="K31" i="11"/>
  <c r="L5" i="10" s="1"/>
  <c r="L6" i="10" s="1"/>
  <c r="B34" i="11"/>
  <c r="C34" i="11" l="1"/>
  <c r="L11" i="13"/>
  <c r="L7" i="10"/>
  <c r="L8" i="13"/>
  <c r="L14" i="13" l="1"/>
  <c r="L13" i="13"/>
  <c r="L9" i="13"/>
  <c r="L10" i="13" s="1"/>
  <c r="D34" i="11"/>
  <c r="L15" i="13"/>
  <c r="B35" i="11" l="1"/>
  <c r="L12" i="13"/>
  <c r="C35" i="11" l="1"/>
  <c r="D35" i="11" l="1"/>
  <c r="H33" i="11" l="1"/>
  <c r="B36" i="11"/>
  <c r="C36" i="11" l="1"/>
  <c r="D36" i="11" l="1"/>
  <c r="J34" i="11"/>
  <c r="M4" i="10" s="1"/>
  <c r="M7" i="13" l="1"/>
  <c r="D23" i="13" s="1"/>
  <c r="K34" i="11"/>
  <c r="M5" i="10" s="1"/>
  <c r="M6" i="10" s="1"/>
  <c r="B37" i="11"/>
  <c r="C37" i="11" l="1"/>
  <c r="M11" i="13"/>
  <c r="D27" i="13" s="1"/>
  <c r="M7" i="10"/>
  <c r="M8" i="13"/>
  <c r="D8" i="14" l="1"/>
  <c r="D29" i="13"/>
  <c r="M13" i="13"/>
  <c r="M9" i="13"/>
  <c r="D3" i="8" s="1"/>
  <c r="D24" i="13"/>
  <c r="M14" i="13"/>
  <c r="D37" i="11"/>
  <c r="D3" i="9" l="1"/>
  <c r="D26" i="13"/>
  <c r="M10" i="13"/>
  <c r="M12" i="13" s="1"/>
  <c r="D28" i="13" s="1"/>
  <c r="B38" i="11"/>
  <c r="D30" i="13"/>
  <c r="D31" i="13" s="1"/>
  <c r="M15" i="13"/>
  <c r="D30" i="9"/>
  <c r="R3" i="8"/>
  <c r="D4" i="9"/>
  <c r="D7" i="14" l="1"/>
  <c r="D31" i="9"/>
  <c r="D20" i="9"/>
  <c r="R20" i="8" s="1"/>
  <c r="R4" i="8"/>
  <c r="D5" i="9"/>
  <c r="C38" i="11"/>
  <c r="D18" i="14" l="1"/>
  <c r="D19" i="14" s="1"/>
  <c r="D12" i="14"/>
  <c r="D17" i="14" s="1"/>
  <c r="D13" i="14"/>
  <c r="D15" i="14" s="1"/>
  <c r="D38" i="11"/>
  <c r="D32" i="9"/>
  <c r="D21" i="9"/>
  <c r="R21" i="8" s="1"/>
  <c r="R5" i="8"/>
  <c r="D34" i="14" l="1"/>
  <c r="D20" i="14"/>
  <c r="D16" i="14"/>
  <c r="H36" i="11"/>
  <c r="B39" i="11"/>
  <c r="C39" i="11" l="1"/>
  <c r="D39" i="11" l="1"/>
  <c r="J37" i="11"/>
  <c r="N4" i="10" s="1"/>
  <c r="N7" i="13" l="1"/>
  <c r="K37" i="11"/>
  <c r="N5" i="10" s="1"/>
  <c r="N6" i="10" s="1"/>
  <c r="B40" i="11"/>
  <c r="C40" i="11" l="1"/>
  <c r="N11" i="13"/>
  <c r="N7" i="10"/>
  <c r="N8" i="13"/>
  <c r="N13" i="13" l="1"/>
  <c r="N14" i="13"/>
  <c r="N9" i="13"/>
  <c r="N10" i="13" s="1"/>
  <c r="D40" i="11"/>
  <c r="N12" i="13" l="1"/>
  <c r="N15" i="13"/>
  <c r="B41" i="11"/>
  <c r="C41" i="11" l="1"/>
  <c r="D41" i="11" l="1"/>
  <c r="H39" i="11" l="1"/>
  <c r="B42" i="11"/>
  <c r="C42" i="11" l="1"/>
  <c r="D42" i="11" l="1"/>
  <c r="J40" i="11"/>
  <c r="O4" i="10" s="1"/>
  <c r="O7" i="13" l="1"/>
  <c r="K40" i="11"/>
  <c r="O5" i="10" s="1"/>
  <c r="O6" i="10" s="1"/>
  <c r="B43" i="11"/>
  <c r="C43" i="11" l="1"/>
  <c r="O11" i="13"/>
  <c r="O7" i="10"/>
  <c r="O8" i="13"/>
  <c r="O13" i="13" l="1"/>
  <c r="D43" i="11"/>
  <c r="O9" i="13"/>
  <c r="O14" i="13"/>
  <c r="O10" i="13" l="1"/>
  <c r="O15" i="13"/>
  <c r="B44" i="11"/>
  <c r="C44" i="11" l="1"/>
  <c r="O12" i="13"/>
  <c r="D44" i="11" l="1"/>
  <c r="H42" i="11" l="1"/>
  <c r="B45" i="11"/>
  <c r="C45" i="11" l="1"/>
  <c r="D45" i="11" l="1"/>
  <c r="J43" i="11"/>
  <c r="P4" i="10" s="1"/>
  <c r="P7" i="13" l="1"/>
  <c r="K43" i="11"/>
  <c r="P5" i="10" s="1"/>
  <c r="P6" i="10" s="1"/>
  <c r="B46" i="11"/>
  <c r="C46" i="11" l="1"/>
  <c r="P8" i="13"/>
  <c r="P11" i="13"/>
  <c r="P7" i="10"/>
  <c r="P14" i="13" l="1"/>
  <c r="P9" i="13"/>
  <c r="P15" i="13"/>
  <c r="P13" i="13"/>
  <c r="D46" i="11"/>
  <c r="B47" i="11" l="1"/>
  <c r="P10" i="13"/>
  <c r="C47" i="11" l="1"/>
  <c r="P12" i="13"/>
  <c r="D47" i="11" l="1"/>
  <c r="H45" i="11" l="1"/>
  <c r="B48" i="11"/>
  <c r="C48" i="11" l="1"/>
  <c r="D48" i="11" l="1"/>
  <c r="J46" i="11"/>
  <c r="Q4" i="10" s="1"/>
  <c r="K46" i="11" l="1"/>
  <c r="Q5" i="10" s="1"/>
  <c r="B49" i="11"/>
  <c r="Q7" i="13"/>
  <c r="E23" i="13" s="1"/>
  <c r="Q8" i="13" l="1"/>
  <c r="C49" i="11"/>
  <c r="Q11" i="13"/>
  <c r="E27" i="13" s="1"/>
  <c r="Q7" i="10"/>
  <c r="Q6" i="10"/>
  <c r="E8" i="14" l="1"/>
  <c r="E29" i="13"/>
  <c r="D49" i="11"/>
  <c r="Q13" i="13"/>
  <c r="Q9" i="13"/>
  <c r="E3" i="8" s="1"/>
  <c r="E24" i="13"/>
  <c r="Q14" i="13"/>
  <c r="E3" i="9" l="1"/>
  <c r="E26" i="13"/>
  <c r="Q10" i="13"/>
  <c r="E30" i="9"/>
  <c r="E4" i="9"/>
  <c r="S3" i="8"/>
  <c r="B50" i="11"/>
  <c r="E30" i="13"/>
  <c r="E31" i="13" s="1"/>
  <c r="Q15" i="13"/>
  <c r="E5" i="9" l="1"/>
  <c r="S5" i="8" s="1"/>
  <c r="Q12" i="13"/>
  <c r="C50" i="11"/>
  <c r="E28" i="13"/>
  <c r="E7" i="14"/>
  <c r="E20" i="9"/>
  <c r="S20" i="8" s="1"/>
  <c r="S4" i="8"/>
  <c r="E31" i="9"/>
  <c r="E12" i="14" l="1"/>
  <c r="E13" i="14"/>
  <c r="E15" i="14" s="1"/>
  <c r="E21" i="9"/>
  <c r="S21" i="8" s="1"/>
  <c r="E32" i="9"/>
  <c r="D50" i="11"/>
  <c r="E18" i="14"/>
  <c r="E34" i="14" l="1"/>
  <c r="E19" i="14"/>
  <c r="E16" i="14"/>
  <c r="E17" i="14"/>
  <c r="E20" i="14"/>
  <c r="H48" i="11"/>
  <c r="B51" i="11"/>
  <c r="C51" i="11" l="1"/>
  <c r="D51" i="11" l="1"/>
  <c r="J49" i="11"/>
  <c r="R4" i="10" s="1"/>
  <c r="R7" i="13" l="1"/>
  <c r="K49" i="11"/>
  <c r="R5" i="10" s="1"/>
  <c r="R6" i="10" s="1"/>
  <c r="B52" i="11"/>
  <c r="C52" i="11" l="1"/>
  <c r="R11" i="13"/>
  <c r="R7" i="10"/>
  <c r="R8" i="13"/>
  <c r="R13" i="13" l="1"/>
  <c r="D52" i="11"/>
  <c r="R9" i="13"/>
  <c r="R14" i="13"/>
  <c r="R10" i="13" l="1"/>
  <c r="R15" i="13"/>
  <c r="B53" i="11"/>
  <c r="R12" i="13" l="1"/>
  <c r="C53" i="11"/>
  <c r="D53" i="11" l="1"/>
  <c r="H51" i="11" l="1"/>
  <c r="B54" i="11"/>
  <c r="C54" i="11" l="1"/>
  <c r="D54" i="11" l="1"/>
  <c r="J52" i="11"/>
  <c r="S4" i="10" s="1"/>
  <c r="S7" i="13" l="1"/>
  <c r="K52" i="11"/>
  <c r="S5" i="10" s="1"/>
  <c r="S6" i="10" s="1"/>
  <c r="B55" i="11"/>
  <c r="C55" i="11" l="1"/>
  <c r="S11" i="13"/>
  <c r="S7" i="10"/>
  <c r="S8" i="13"/>
  <c r="S9" i="13" l="1"/>
  <c r="S13" i="13"/>
  <c r="D55" i="11"/>
  <c r="S14" i="13"/>
  <c r="B56" i="11" l="1"/>
  <c r="S15" i="13"/>
  <c r="S10" i="13"/>
  <c r="C56" i="11" l="1"/>
  <c r="S12" i="13"/>
  <c r="D56" i="11" l="1"/>
  <c r="H54" i="11" l="1"/>
  <c r="B57" i="11"/>
  <c r="C57" i="11" l="1"/>
  <c r="D57" i="11" l="1"/>
  <c r="J55" i="11"/>
  <c r="T4" i="10" s="1"/>
  <c r="T7" i="13" l="1"/>
  <c r="K55" i="11"/>
  <c r="T5" i="10" s="1"/>
  <c r="T6" i="10" s="1"/>
  <c r="B58" i="11"/>
  <c r="C58" i="11" l="1"/>
  <c r="T11" i="13"/>
  <c r="T7" i="10"/>
  <c r="T8" i="13"/>
  <c r="T13" i="13" l="1"/>
  <c r="T9" i="13"/>
  <c r="T10" i="13" s="1"/>
  <c r="T14" i="13"/>
  <c r="D58" i="11"/>
  <c r="T12" i="13" l="1"/>
  <c r="T15" i="13"/>
  <c r="B59" i="11"/>
  <c r="C59" i="11" l="1"/>
  <c r="D59" i="11" l="1"/>
  <c r="H57" i="11" l="1"/>
  <c r="B60" i="11"/>
  <c r="C60" i="11" l="1"/>
  <c r="D60" i="11" l="1"/>
  <c r="J58" i="11"/>
  <c r="U4" i="10" s="1"/>
  <c r="U7" i="13" l="1"/>
  <c r="F23" i="13" s="1"/>
  <c r="K58" i="11"/>
  <c r="U5" i="10" s="1"/>
  <c r="U6" i="10" s="1"/>
  <c r="B61" i="11"/>
  <c r="C61" i="11" l="1"/>
  <c r="U11" i="13"/>
  <c r="F27" i="13" s="1"/>
  <c r="U7" i="10"/>
  <c r="U8" i="13"/>
  <c r="F29" i="13" l="1"/>
  <c r="F8" i="14"/>
  <c r="U13" i="13"/>
  <c r="U9" i="13"/>
  <c r="F3" i="8" s="1"/>
  <c r="F24" i="13"/>
  <c r="D61" i="11"/>
  <c r="U14" i="13"/>
  <c r="F3" i="9" l="1"/>
  <c r="F26" i="13"/>
  <c r="B62" i="11"/>
  <c r="F30" i="9"/>
  <c r="T3" i="8"/>
  <c r="F4" i="9"/>
  <c r="F30" i="13"/>
  <c r="F31" i="13" s="1"/>
  <c r="U15" i="13"/>
  <c r="U10" i="13"/>
  <c r="U12" i="13" l="1"/>
  <c r="F20" i="9"/>
  <c r="T20" i="8" s="1"/>
  <c r="F31" i="9"/>
  <c r="T4" i="8"/>
  <c r="C62" i="11"/>
  <c r="F5" i="9"/>
  <c r="D62" i="11" l="1"/>
  <c r="F21" i="9"/>
  <c r="T21" i="8" s="1"/>
  <c r="F32" i="9"/>
  <c r="T5" i="8"/>
  <c r="F28" i="13"/>
  <c r="F7" i="14"/>
  <c r="F12" i="14" l="1"/>
  <c r="F13" i="14"/>
  <c r="F15" i="14" s="1"/>
  <c r="F18" i="14"/>
  <c r="F34" i="14" s="1"/>
  <c r="H60" i="11"/>
  <c r="B63" i="11"/>
  <c r="C63" i="11" l="1"/>
  <c r="F20" i="14"/>
  <c r="F19" i="14"/>
  <c r="F17" i="14"/>
  <c r="F16" i="14"/>
  <c r="B28" i="14" l="1"/>
  <c r="D63" i="11"/>
  <c r="J61" i="11"/>
  <c r="V4" i="10" s="1"/>
  <c r="K61" i="11" l="1"/>
  <c r="V5" i="10" s="1"/>
  <c r="V6" i="10" s="1"/>
  <c r="B64" i="11"/>
  <c r="V7" i="13"/>
  <c r="C64" i="11" l="1"/>
  <c r="V11" i="13"/>
  <c r="V7" i="10"/>
  <c r="V8" i="13"/>
  <c r="V13" i="13" l="1"/>
  <c r="D64" i="11"/>
  <c r="V9" i="13"/>
  <c r="V14" i="13"/>
  <c r="V10" i="13" l="1"/>
  <c r="V15" i="13"/>
  <c r="B65" i="11"/>
  <c r="C65" i="11" l="1"/>
  <c r="V12" i="13"/>
  <c r="D65" i="11" l="1"/>
  <c r="H63" i="11" l="1"/>
  <c r="B66" i="11"/>
  <c r="C66" i="11" l="1"/>
  <c r="D66" i="11" l="1"/>
  <c r="J64" i="11"/>
  <c r="W4" i="10" s="1"/>
  <c r="W7" i="13" l="1"/>
  <c r="K64" i="11"/>
  <c r="W5" i="10" s="1"/>
  <c r="W6" i="10" s="1"/>
  <c r="B67" i="11"/>
  <c r="C67" i="11" l="1"/>
  <c r="W11" i="13"/>
  <c r="W7" i="10"/>
  <c r="W8" i="13"/>
  <c r="W13" i="13" l="1"/>
  <c r="D67" i="11"/>
  <c r="W9" i="13"/>
  <c r="W10" i="13" s="1"/>
  <c r="W14" i="13"/>
  <c r="W12" i="13" l="1"/>
  <c r="W15" i="13"/>
  <c r="B68" i="11"/>
  <c r="C68" i="11" l="1"/>
  <c r="D68" i="11" l="1"/>
  <c r="J67" i="11"/>
  <c r="X4" i="10" l="1"/>
  <c r="J69" i="11"/>
  <c r="H66" i="11"/>
  <c r="B69" i="11"/>
  <c r="C69" i="11" s="1"/>
  <c r="D69" i="11" s="1"/>
  <c r="H69" i="11" s="1"/>
  <c r="H70" i="11" s="1"/>
  <c r="K67" i="11" l="1"/>
  <c r="X7" i="13"/>
  <c r="G23" i="13" s="1"/>
  <c r="X8" i="13" l="1"/>
  <c r="X9" i="13" s="1"/>
  <c r="X5" i="10"/>
  <c r="K69" i="11"/>
  <c r="G3" i="8" l="1"/>
  <c r="G24" i="13"/>
  <c r="X11" i="13"/>
  <c r="G27" i="13" s="1"/>
  <c r="X7" i="10"/>
  <c r="Y7" i="10" s="1"/>
  <c r="Z7" i="10" s="1"/>
  <c r="AA7" i="10" s="1"/>
  <c r="AB7" i="10" s="1"/>
  <c r="AC7" i="10" s="1"/>
  <c r="AD7" i="10" s="1"/>
  <c r="AE7" i="10" s="1"/>
  <c r="AF7" i="10" s="1"/>
  <c r="AG7" i="10" s="1"/>
  <c r="AH7" i="10" s="1"/>
  <c r="AI7" i="10" s="1"/>
  <c r="AJ7" i="10" s="1"/>
  <c r="AK7" i="10" s="1"/>
  <c r="AL7" i="10" s="1"/>
  <c r="AM7" i="10" s="1"/>
  <c r="AN7" i="10" s="1"/>
  <c r="AO7" i="10" s="1"/>
  <c r="AP7" i="10" s="1"/>
  <c r="AQ7" i="10" s="1"/>
  <c r="AR7" i="10" s="1"/>
  <c r="AS7" i="10" s="1"/>
  <c r="X6" i="10"/>
  <c r="G3" i="9" l="1"/>
  <c r="Q3" i="9" s="1"/>
  <c r="G26" i="13"/>
  <c r="G4" i="8"/>
  <c r="G20" i="8" s="1"/>
  <c r="G26" i="8" s="1"/>
  <c r="G5" i="8"/>
  <c r="G29" i="13"/>
  <c r="G8" i="14"/>
  <c r="X13" i="13"/>
  <c r="X14" i="13"/>
  <c r="G30" i="9"/>
  <c r="G4" i="9"/>
  <c r="Q4" i="9" s="1"/>
  <c r="Q20" i="9"/>
  <c r="X10" i="13"/>
  <c r="U3" i="8" l="1"/>
  <c r="AA3" i="8" s="1"/>
  <c r="G21" i="8"/>
  <c r="G27" i="8" s="1"/>
  <c r="G30" i="8" s="1"/>
  <c r="X12" i="13"/>
  <c r="G31" i="9"/>
  <c r="U4" i="8"/>
  <c r="AA4" i="8" s="1"/>
  <c r="G20" i="9"/>
  <c r="U20" i="8" s="1"/>
  <c r="AA20" i="8" s="1"/>
  <c r="T3" i="9"/>
  <c r="G30" i="13"/>
  <c r="G31" i="13" s="1"/>
  <c r="X15" i="13"/>
  <c r="G5" i="9"/>
  <c r="H8" i="14"/>
  <c r="H18" i="14" l="1"/>
  <c r="M8" i="14"/>
  <c r="N8" i="14"/>
  <c r="G32" i="9"/>
  <c r="G21" i="9"/>
  <c r="U21" i="8" s="1"/>
  <c r="AA21" i="8" s="1"/>
  <c r="AA24" i="8" s="1"/>
  <c r="B28" i="2" s="1"/>
  <c r="U5" i="8"/>
  <c r="AA5" i="8" s="1"/>
  <c r="Q5" i="9"/>
  <c r="T4" i="9" s="1"/>
  <c r="G28" i="13"/>
  <c r="G7" i="14"/>
  <c r="H34" i="14" l="1"/>
  <c r="G13" i="14"/>
  <c r="G15" i="14" s="1"/>
  <c r="B21" i="14" s="1"/>
  <c r="G12" i="14"/>
  <c r="G18" i="14"/>
  <c r="G34" i="14" s="1"/>
  <c r="N7" i="14"/>
  <c r="B27" i="14" s="1"/>
  <c r="M7" i="14"/>
  <c r="H20" i="14"/>
  <c r="B26" i="14" l="1"/>
  <c r="B19" i="2" s="1"/>
  <c r="B24" i="14"/>
  <c r="B17" i="2" s="1"/>
  <c r="B31" i="14"/>
  <c r="B24" i="2" s="1"/>
  <c r="B23" i="14"/>
  <c r="B16" i="2" s="1"/>
  <c r="B30" i="14"/>
  <c r="B23" i="2" s="1"/>
  <c r="B12" i="2"/>
  <c r="B20" i="2"/>
  <c r="G17" i="14"/>
  <c r="B22" i="14" s="1"/>
  <c r="B25" i="14" s="1"/>
  <c r="G16" i="14"/>
  <c r="H16" i="14" s="1"/>
  <c r="I16" i="14" s="1"/>
  <c r="J16" i="14" s="1"/>
  <c r="K16" i="14" s="1"/>
  <c r="L16" i="14" s="1"/>
  <c r="N12" i="14"/>
  <c r="M12" i="14"/>
  <c r="G20" i="14"/>
  <c r="B29" i="14"/>
  <c r="B22" i="2" s="1"/>
  <c r="G19" i="14"/>
  <c r="H19" i="14" s="1"/>
  <c r="I19" i="14" s="1"/>
  <c r="J19" i="14" s="1"/>
  <c r="K19" i="14" s="1"/>
  <c r="L19" i="14" s="1"/>
  <c r="B18" i="2" l="1"/>
  <c r="B15"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tc={00780033-00BE-488E-A84B-001A00D700EE}</author>
  </authors>
  <commentList>
    <comment ref="A1" authorId="0" shapeId="0" xr:uid="{00000000-0006-0000-0600-000001000000}">
      <text>
        <r>
          <rPr>
            <b/>
            <sz val="9"/>
            <rFont val="Tahoma"/>
            <family val="2"/>
            <charset val="204"/>
          </rPr>
          <t>Автор:</t>
        </r>
        <r>
          <rPr>
            <sz val="9"/>
            <rFont val="Tahoma"/>
            <family val="2"/>
            <charset val="204"/>
          </rPr>
          <t xml:space="preserve">
нет льгот по взносам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tc={00F70035-0092-4761-BB1B-00CC0005007B}</author>
  </authors>
  <commentList>
    <comment ref="N77" authorId="0" shapeId="0" xr:uid="{00000000-0006-0000-0700-000001000000}">
      <text>
        <r>
          <rPr>
            <b/>
            <sz val="9"/>
            <rFont val="Tahoma"/>
            <family val="2"/>
            <charset val="204"/>
          </rPr>
          <t>Автор:</t>
        </r>
        <r>
          <rPr>
            <sz val="9"/>
            <rFont val="Tahoma"/>
            <family val="2"/>
            <charset val="204"/>
          </rPr>
          <t xml:space="preserve">
разница во взносах
</t>
        </r>
      </text>
    </comment>
  </commentList>
</comments>
</file>

<file path=xl/sharedStrings.xml><?xml version="1.0" encoding="utf-8"?>
<sst xmlns="http://schemas.openxmlformats.org/spreadsheetml/2006/main" count="1239" uniqueCount="520">
  <si>
    <t>Капитальные вложения</t>
  </si>
  <si>
    <t>Ставки</t>
  </si>
  <si>
    <t>Площадь участка, кв м</t>
  </si>
  <si>
    <t>Расчет ставки дисконтирования</t>
  </si>
  <si>
    <t>Формула</t>
  </si>
  <si>
    <t>Ставка риска (безрисковый, с учетом имеющегося опыта), %</t>
  </si>
  <si>
    <t>Ставка дисконтирования</t>
  </si>
  <si>
    <t xml:space="preserve">Основные показатели проекта </t>
  </si>
  <si>
    <t>Рабочие места, чел.</t>
  </si>
  <si>
    <t>Среднемесячная заработная плата, тыс. руб</t>
  </si>
  <si>
    <t>Годовой ФОТ, млн руб.</t>
  </si>
  <si>
    <t>Сумма инвестиций, тыс.руб.</t>
  </si>
  <si>
    <t>Чистая прибыль, тыс. руб./год</t>
  </si>
  <si>
    <t>Чистая прибыль</t>
  </si>
  <si>
    <t>Мероприятие</t>
  </si>
  <si>
    <t>итого</t>
  </si>
  <si>
    <t>Итого</t>
  </si>
  <si>
    <t>Структура вложений, %</t>
  </si>
  <si>
    <t>ИТОГО, тыс.руб.</t>
  </si>
  <si>
    <t>ИТОГО</t>
  </si>
  <si>
    <t>База НДС, тыс. руб.</t>
  </si>
  <si>
    <t>Всего инвестиций</t>
  </si>
  <si>
    <t>НДС, тыс. руб.</t>
  </si>
  <si>
    <t>Инвестиции Без НДС, тыс. руб.</t>
  </si>
  <si>
    <t>Собственные средства</t>
  </si>
  <si>
    <t>Заемные средства</t>
  </si>
  <si>
    <t>Господдержка</t>
  </si>
  <si>
    <t>График вложения инвестиций, млн руб</t>
  </si>
  <si>
    <t>Капвложения</t>
  </si>
  <si>
    <t>Амортизация, линейным способом</t>
  </si>
  <si>
    <t>Имущество</t>
  </si>
  <si>
    <t>Остаточная стоимость</t>
  </si>
  <si>
    <t>Налог на имущество ТОР</t>
  </si>
  <si>
    <t>Налог на имущество без ТОР</t>
  </si>
  <si>
    <t>Земельный налог ТОР</t>
  </si>
  <si>
    <t>Земельный налог без ТОР</t>
  </si>
  <si>
    <t xml:space="preserve">Наименование </t>
  </si>
  <si>
    <t>ед. изм.</t>
  </si>
  <si>
    <t>1 год</t>
  </si>
  <si>
    <t>2 год</t>
  </si>
  <si>
    <t>3 год</t>
  </si>
  <si>
    <t>4 год</t>
  </si>
  <si>
    <t>5 год</t>
  </si>
  <si>
    <t>6 год</t>
  </si>
  <si>
    <t>7 год</t>
  </si>
  <si>
    <t>8 год</t>
  </si>
  <si>
    <t>9 год</t>
  </si>
  <si>
    <t>10 год</t>
  </si>
  <si>
    <t>11 год</t>
  </si>
  <si>
    <t>средняя</t>
  </si>
  <si>
    <t>в день</t>
  </si>
  <si>
    <t>тыс.руб.</t>
  </si>
  <si>
    <t>Планируемый объем реализации в год в натуральном выражении</t>
  </si>
  <si>
    <t xml:space="preserve"> в год</t>
  </si>
  <si>
    <t>Количество месяцев реализации в году</t>
  </si>
  <si>
    <t>планируемый объем загрузки</t>
  </si>
  <si>
    <t>%</t>
  </si>
  <si>
    <t>Выручка, тыс.руб</t>
  </si>
  <si>
    <t xml:space="preserve">6 год </t>
  </si>
  <si>
    <t>Планиуремый объем загрузки в год, %</t>
  </si>
  <si>
    <t>№ п/п</t>
  </si>
  <si>
    <t>Наименование услуги</t>
  </si>
  <si>
    <t>I кв. 1 г.</t>
  </si>
  <si>
    <t>II кв. 1 г.</t>
  </si>
  <si>
    <t>III кв. 1 г.</t>
  </si>
  <si>
    <t>IV кв. 1 г.</t>
  </si>
  <si>
    <t>I кв. 2 г.</t>
  </si>
  <si>
    <t>II кв. 2 г.</t>
  </si>
  <si>
    <t>III кв. 2 г.</t>
  </si>
  <si>
    <t>IV кв. 2 г.</t>
  </si>
  <si>
    <t>I кв. 3 г.</t>
  </si>
  <si>
    <t>II кв. 3 г.</t>
  </si>
  <si>
    <t>III кв. 3 г.</t>
  </si>
  <si>
    <t>IV кв. 3 г.</t>
  </si>
  <si>
    <t>I кв. 4 г.</t>
  </si>
  <si>
    <t>II кв. 4 г.</t>
  </si>
  <si>
    <t>III кв. 4 г.</t>
  </si>
  <si>
    <t>IV кв. 4 г.</t>
  </si>
  <si>
    <t>I кв. 5 г.</t>
  </si>
  <si>
    <t>II кв. 5 г.</t>
  </si>
  <si>
    <t>III кв. 5 г.</t>
  </si>
  <si>
    <t>IV кв. 5 г.</t>
  </si>
  <si>
    <t>I кв. 6 г.</t>
  </si>
  <si>
    <t>II кв. 6 г.</t>
  </si>
  <si>
    <t>III кв. 6 г.</t>
  </si>
  <si>
    <t>IV кв. 6 г.</t>
  </si>
  <si>
    <t>тыс. руб.</t>
  </si>
  <si>
    <t>ИТОГО в год</t>
  </si>
  <si>
    <t>I кв. 7 г.</t>
  </si>
  <si>
    <t>II кв. 7 г.</t>
  </si>
  <si>
    <t>III кв. 7 г.</t>
  </si>
  <si>
    <t>IV кв. 7 г.</t>
  </si>
  <si>
    <t>I кв. 8 г.</t>
  </si>
  <si>
    <t>II кв. 8 г.</t>
  </si>
  <si>
    <t>III кв. 8 г.</t>
  </si>
  <si>
    <t>IV кв. 8 г.</t>
  </si>
  <si>
    <t>I кв. 9 г.</t>
  </si>
  <si>
    <t>II кв. 9 г.</t>
  </si>
  <si>
    <t>III кв. 9 г.</t>
  </si>
  <si>
    <t>IV кв. 9 г.</t>
  </si>
  <si>
    <t>I кв. 10 г.</t>
  </si>
  <si>
    <t>II кв. 10 г.</t>
  </si>
  <si>
    <t>III кв. 10 г.</t>
  </si>
  <si>
    <t>IV кв. 10 г.</t>
  </si>
  <si>
    <t>I кв. 11 г.</t>
  </si>
  <si>
    <t>II кв. 11 г.</t>
  </si>
  <si>
    <t>III кв. 11 г.</t>
  </si>
  <si>
    <t>IV кв. 11 г.</t>
  </si>
  <si>
    <t>Персонал</t>
  </si>
  <si>
    <t>Количество сотрудников</t>
  </si>
  <si>
    <t>Оклад в месяц, тыс. руб.</t>
  </si>
  <si>
    <t>Генеральный директор</t>
  </si>
  <si>
    <t>Менеджер по продажам</t>
  </si>
  <si>
    <t>Итого ЗП по направлению:</t>
  </si>
  <si>
    <t>Страховые взносы ФНС</t>
  </si>
  <si>
    <t>Подразделение 1:</t>
  </si>
  <si>
    <t>ИРС Разнорабочий (уборщик, дворник)</t>
  </si>
  <si>
    <t>Подпразделение 2:</t>
  </si>
  <si>
    <t>Участок 2</t>
  </si>
  <si>
    <t xml:space="preserve">  </t>
  </si>
  <si>
    <t>Участок 3</t>
  </si>
  <si>
    <t>Участок 4</t>
  </si>
  <si>
    <t>Участок 5</t>
  </si>
  <si>
    <t>Бухгалтерия</t>
  </si>
  <si>
    <t>Коммерческая деятельность</t>
  </si>
  <si>
    <t>Юристы</t>
  </si>
  <si>
    <t>Экономисты</t>
  </si>
  <si>
    <t>Маркетологи</t>
  </si>
  <si>
    <t>доп. Специалисты 1</t>
  </si>
  <si>
    <t>доп. Специалисты 2</t>
  </si>
  <si>
    <t>Административно-хозяйственная деятельность</t>
  </si>
  <si>
    <t>Отдел кадров</t>
  </si>
  <si>
    <t>Охранники</t>
  </si>
  <si>
    <t>Отдел АСУ</t>
  </si>
  <si>
    <t>Кладовщик АХО</t>
  </si>
  <si>
    <t>Электрик</t>
  </si>
  <si>
    <t>Сантехник</t>
  </si>
  <si>
    <t>Ремонтник</t>
  </si>
  <si>
    <t>Уборщики</t>
  </si>
  <si>
    <t>Дворники</t>
  </si>
  <si>
    <t>Водители машины для уборки</t>
  </si>
  <si>
    <t>Итого Страховые взносы ФНС</t>
  </si>
  <si>
    <t>Всего расходов на ЗП:</t>
  </si>
  <si>
    <t>Расходы на ЗП в год:</t>
  </si>
  <si>
    <t>Всего расходы на страховые взносы ФНС:</t>
  </si>
  <si>
    <t>ЗП и взносы ФНС:</t>
  </si>
  <si>
    <t>Страховые взносы ФСС (НС и ПЗ)</t>
  </si>
  <si>
    <t>ЗП и все взносы</t>
  </si>
  <si>
    <t>ЗП и все взносы в год</t>
  </si>
  <si>
    <t>НДФЛ РФ</t>
  </si>
  <si>
    <t>НДФЛ ИРС</t>
  </si>
  <si>
    <t>НДФЛ итого</t>
  </si>
  <si>
    <t>Взносы</t>
  </si>
  <si>
    <t>ставка,%</t>
  </si>
  <si>
    <t>Взносы ФНС</t>
  </si>
  <si>
    <t>в т.ч.</t>
  </si>
  <si>
    <t>пенсион страхование - 22%</t>
  </si>
  <si>
    <t>случай времен нетрудоспособности и материнства - 2,9%</t>
  </si>
  <si>
    <t>обязат медицин страхование - 5,1%</t>
  </si>
  <si>
    <t>Рабочие места, чел всего</t>
  </si>
  <si>
    <t>Рабочие места</t>
  </si>
  <si>
    <t>Структура персонала</t>
  </si>
  <si>
    <t>АУП</t>
  </si>
  <si>
    <t>Производственные рабочие</t>
  </si>
  <si>
    <t>Итого по направлению:</t>
  </si>
  <si>
    <t>ВСЕГО рабочих мест</t>
  </si>
  <si>
    <t>Специалисты по логистике</t>
  </si>
  <si>
    <t>Специалисты снабжения</t>
  </si>
  <si>
    <t>Расходы на страховые взносы ФНС:</t>
  </si>
  <si>
    <t>все взносы</t>
  </si>
  <si>
    <t>Взносы ФСС (НС и ПЗ)</t>
  </si>
  <si>
    <t>проверка</t>
  </si>
  <si>
    <t xml:space="preserve">пенсион страхование </t>
  </si>
  <si>
    <t xml:space="preserve">случай времен нетрудоспособности и материнства </t>
  </si>
  <si>
    <t xml:space="preserve">обязат медицин страхование </t>
  </si>
  <si>
    <t>Взносы ФСС (нс и пз)</t>
  </si>
  <si>
    <t>пенсион страхование</t>
  </si>
  <si>
    <t>случай времен нетрудоспособности и материнства</t>
  </si>
  <si>
    <t>обязат медицин страхование</t>
  </si>
  <si>
    <t>Разница во взносах</t>
  </si>
  <si>
    <t>Налог на прибыль:</t>
  </si>
  <si>
    <t>- федеральный бюджет</t>
  </si>
  <si>
    <t>0</t>
  </si>
  <si>
    <t>- региональный бюджет</t>
  </si>
  <si>
    <t>Налог на имущество:</t>
  </si>
  <si>
    <t>Транспортный налог:</t>
  </si>
  <si>
    <t>НДФЛ:</t>
  </si>
  <si>
    <t>- муниципальный бюджет</t>
  </si>
  <si>
    <t>- бюджет поселения</t>
  </si>
  <si>
    <t>Страховые платежи в ФНС</t>
  </si>
  <si>
    <t>Страховые платежи в ФСС</t>
  </si>
  <si>
    <t>НДС:</t>
  </si>
  <si>
    <t>Земельный налог</t>
  </si>
  <si>
    <t>фб</t>
  </si>
  <si>
    <t>рб</t>
  </si>
  <si>
    <t>мб</t>
  </si>
  <si>
    <t>бп</t>
  </si>
  <si>
    <t>арендная плата за зем. Участок</t>
  </si>
  <si>
    <t>ФБ</t>
  </si>
  <si>
    <t>РБ</t>
  </si>
  <si>
    <t>МБ</t>
  </si>
  <si>
    <t>БЕЗ ТОР</t>
  </si>
  <si>
    <t>ИТОГО за 10 лет</t>
  </si>
  <si>
    <t>всего налогов</t>
  </si>
  <si>
    <t>всего взносов</t>
  </si>
  <si>
    <t>Наименование</t>
  </si>
  <si>
    <t>Земельный налог:</t>
  </si>
  <si>
    <t>-местный бюджет</t>
  </si>
  <si>
    <t>- местный бюджет</t>
  </si>
  <si>
    <t>- на пенсионное страхование</t>
  </si>
  <si>
    <t>- на случай временной нетрудоспособности и материнства</t>
  </si>
  <si>
    <t>- на обязательное  медицинское страхование</t>
  </si>
  <si>
    <t>*</t>
  </si>
  <si>
    <t>Привлекаемые инвестиции</t>
  </si>
  <si>
    <t>процентная ставка</t>
  </si>
  <si>
    <t>проценты к уплате</t>
  </si>
  <si>
    <t>Сумма основного долга</t>
  </si>
  <si>
    <t>Аннуитетный платеж</t>
  </si>
  <si>
    <t>Остаток задолженности</t>
  </si>
  <si>
    <t>Условия кредитования</t>
  </si>
  <si>
    <t>Сумма кредита, тыс.руб.</t>
  </si>
  <si>
    <t>Процентная ставка</t>
  </si>
  <si>
    <t>Срок, мес.</t>
  </si>
  <si>
    <t>Переплата</t>
  </si>
  <si>
    <t>Номер периода по оплате</t>
  </si>
  <si>
    <t>Остаток задолженности по кредиту</t>
  </si>
  <si>
    <t>Выплата процентов</t>
  </si>
  <si>
    <t>Выплата осн.долга</t>
  </si>
  <si>
    <t>Итоговый платеж</t>
  </si>
  <si>
    <t>Итоговый платеж в год</t>
  </si>
  <si>
    <t>Итоговый платеж по кварталам</t>
  </si>
  <si>
    <t>Номер месяца</t>
  </si>
  <si>
    <t>Наименование расходов</t>
  </si>
  <si>
    <t>Арендная плата за зем. Участок</t>
  </si>
  <si>
    <t>Заработная плата и страховые взносы</t>
  </si>
  <si>
    <t>Расходы на спецодежду, средства защиты</t>
  </si>
  <si>
    <t>Запасные части, комлектующие, обслуживание оборудования</t>
  </si>
  <si>
    <t>Расходы на продвижение</t>
  </si>
  <si>
    <t>Банковская гарантия уплаты платежей</t>
  </si>
  <si>
    <t>Амортизация</t>
  </si>
  <si>
    <t xml:space="preserve"> Налоги</t>
  </si>
  <si>
    <t>Обновление основных средств</t>
  </si>
  <si>
    <t>Итого расходов</t>
  </si>
  <si>
    <t>Итого расходов в год</t>
  </si>
  <si>
    <t>выручка</t>
  </si>
  <si>
    <t>Налог на прибыль ТОСЭР, 10% ч/з 5 лет</t>
  </si>
  <si>
    <t>ЧП  ТОСЭР</t>
  </si>
  <si>
    <t>ЧП без ТОСЭР</t>
  </si>
  <si>
    <t>Разница в налоге на имущество, 2,2%</t>
  </si>
  <si>
    <t>налог на прибыль, 20%</t>
  </si>
  <si>
    <t>Разница в ЧП с ТОСЭР и без, тыс.руб.</t>
  </si>
  <si>
    <t>всего за 10 лет</t>
  </si>
  <si>
    <t>в среднем за год</t>
  </si>
  <si>
    <t>Выручка</t>
  </si>
  <si>
    <t>Расходы основной деятельности</t>
  </si>
  <si>
    <t>Расходование инвестиций</t>
  </si>
  <si>
    <t>Прибыль (убыток) от продаж</t>
  </si>
  <si>
    <t>Проценты к уплате</t>
  </si>
  <si>
    <t>Прибыль (убыток) до налогообложения</t>
  </si>
  <si>
    <t>Налог на прибыль</t>
  </si>
  <si>
    <t>Чистая прибыль (убыток)</t>
  </si>
  <si>
    <t>На выплату основного долга</t>
  </si>
  <si>
    <t>Остаток после уплаты основного долга</t>
  </si>
  <si>
    <t>Нарастающим итогом платежи по основному долгу</t>
  </si>
  <si>
    <t>Платежи по займу</t>
  </si>
  <si>
    <t>Нарастающим итогом все платежи по займу</t>
  </si>
  <si>
    <t>за 10 лет</t>
  </si>
  <si>
    <t>Среднегодовая</t>
  </si>
  <si>
    <t>субсидия</t>
  </si>
  <si>
    <t>Дисконтированые инвестиции</t>
  </si>
  <si>
    <t>Дисконтированный доход</t>
  </si>
  <si>
    <t>Дисконтированный доход нарастающим итогом</t>
  </si>
  <si>
    <t>Дисконтированный поток</t>
  </si>
  <si>
    <t>Чистый денежный поток, NCF</t>
  </si>
  <si>
    <t>Чистый денежный поток нарастающим итогом</t>
  </si>
  <si>
    <t>Чистый дисконтированный денежный поток</t>
  </si>
  <si>
    <t>Чистая приведенная стоимость  (ЧПС)</t>
  </si>
  <si>
    <t>&gt;0</t>
  </si>
  <si>
    <t>Рентабельность продаж, %</t>
  </si>
  <si>
    <t>Рентабельность продукции, %</t>
  </si>
  <si>
    <t>Индекс доходности (PI)</t>
  </si>
  <si>
    <t>&gt;1</t>
  </si>
  <si>
    <t>Внутренняя норма доходности (IRR), %</t>
  </si>
  <si>
    <t>&gt;ставки процента</t>
  </si>
  <si>
    <t>Финансовый результат (+/- прибыль/убыток)</t>
  </si>
  <si>
    <t> Средняя норма рентабельности - ARR, % </t>
  </si>
  <si>
    <t>Рентабельность инвестиций, ROI, %</t>
  </si>
  <si>
    <t>Стоимость, тыс. руб.</t>
  </si>
  <si>
    <t>Планируемый объем реализации в месяц</t>
  </si>
  <si>
    <t>Выручка в месяц, тыс. руб.</t>
  </si>
  <si>
    <t>Выручка в квартал, тыс. руб.</t>
  </si>
  <si>
    <t>Выручка в год, тыс. руб.</t>
  </si>
  <si>
    <t>Сдача помещений в аренду</t>
  </si>
  <si>
    <t>кв.м.</t>
  </si>
  <si>
    <t>Хранение товаров на открытой площадке, в том числе на транспортном средстве (за каждые полные/неполные сутки) без разгрузки с третьих по пятые сутки с момента помещения на временное хранение</t>
  </si>
  <si>
    <t>место</t>
  </si>
  <si>
    <t>Хранение товаров на открытой площадке, в том числе на транспортном средстве (за каждые полные/неполные сутки) без разгрузки с шестых суток с момента помещения на временное хранение</t>
  </si>
  <si>
    <t>Размещение на временное хранение контейнера на открытую площадку за сутки</t>
  </si>
  <si>
    <t>контейнер</t>
  </si>
  <si>
    <t>Перегрузка, перемещение паллетированного груза</t>
  </si>
  <si>
    <t>паллета</t>
  </si>
  <si>
    <t>Перегрузка, перемещение непаллетированного груза</t>
  </si>
  <si>
    <t>тонна</t>
  </si>
  <si>
    <t>Хранение товаров на складе временного хранения (за каждые полные/неполные сутки) - стеллажное хранение товаров</t>
  </si>
  <si>
    <t>паллето-место</t>
  </si>
  <si>
    <t>Хранение товаров на складе временного хранения (за каждые полные/неполные сутки) - напольное хранение товаров</t>
  </si>
  <si>
    <t>1 кв.м.</t>
  </si>
  <si>
    <t>Хранение товаров на таможенном складе (за каждые полные/неполные сутки) - стеллажное хранение товаров</t>
  </si>
  <si>
    <t>Хранение товаров на таможенном складе (за каждые полные/неполные сутки) - напольное хранение товаров</t>
  </si>
  <si>
    <t>Хранение товаров на складе общего пользования (за каждые полные/неполные сутки)- стеллажное хранение товаров в холодильной камере</t>
  </si>
  <si>
    <t>Хранение товаров на складе общего пользования (за каждые полные/неполные сутки)- напольное хранение товаров в холодильной камере</t>
  </si>
  <si>
    <t xml:space="preserve">Хранение товаров на складе общего пользования (за каждые полные/неполные сутки)- стеллажное хранение товаров </t>
  </si>
  <si>
    <t xml:space="preserve">Хранение товаров на складе общего пользования (за каждые полные/неполные сутки)- напольное хранение товаров </t>
  </si>
  <si>
    <t>Упаковка, переупаковка</t>
  </si>
  <si>
    <t>Предоставление технических средств и услуг грузчиков при осмотре/досмотре без выгрузки на СВХ</t>
  </si>
  <si>
    <t>услуга</t>
  </si>
  <si>
    <t>Предоставление технических средств и услуг грузчиков при осмотре/досмотре с выгрузкой на СВХ</t>
  </si>
  <si>
    <t>Взвешивание товара</t>
  </si>
  <si>
    <t>Упаковка и маркировка товара за короб 0,025 куб.м.</t>
  </si>
  <si>
    <t>Производство товаров под таможенным режимом</t>
  </si>
  <si>
    <t>штука</t>
  </si>
  <si>
    <t>Организация услуг по доставке грузов</t>
  </si>
  <si>
    <t>Сортировка груза, подготовка к доставке</t>
  </si>
  <si>
    <t>Ячейки заголовков</t>
  </si>
  <si>
    <t>Расчётные ячейки</t>
  </si>
  <si>
    <t>Изменяемые ячейки</t>
  </si>
  <si>
    <t>Ячейки итогов</t>
  </si>
  <si>
    <t>Сокращения</t>
  </si>
  <si>
    <t>ср.</t>
  </si>
  <si>
    <t>з/п</t>
  </si>
  <si>
    <t>заработная плата</t>
  </si>
  <si>
    <t>э/э</t>
  </si>
  <si>
    <t>электроэнергия</t>
  </si>
  <si>
    <t>ФОТ</t>
  </si>
  <si>
    <t>фонд оплаты труда</t>
  </si>
  <si>
    <t>ТМЦ</t>
  </si>
  <si>
    <t>товарно-материальные ценности</t>
  </si>
  <si>
    <t>Промежуточные итоги</t>
  </si>
  <si>
    <r>
      <t xml:space="preserve">уровень инфляции, </t>
    </r>
    <r>
      <rPr>
        <i/>
        <sz val="11"/>
        <color theme="1"/>
        <rFont val="Calibri"/>
        <family val="2"/>
        <charset val="204"/>
        <scheme val="minor"/>
      </rPr>
      <t>i</t>
    </r>
  </si>
  <si>
    <t>https://economy.gov.ru/material/file/3b293732b467e7d0f4e7e4f07a682fde/36804_pkd03i.pdf</t>
  </si>
  <si>
    <t>https://cbr.ru/press/keypr/</t>
  </si>
  <si>
    <r>
      <t xml:space="preserve">ключевая ставка ЦБ, </t>
    </r>
    <r>
      <rPr>
        <i/>
        <sz val="11"/>
        <color theme="1"/>
        <rFont val="Calibri"/>
        <family val="2"/>
        <charset val="204"/>
        <scheme val="minor"/>
      </rPr>
      <t>r</t>
    </r>
    <r>
      <rPr>
        <sz val="11"/>
        <color theme="1"/>
        <rFont val="Calibri"/>
        <family val="2"/>
        <charset val="204"/>
        <scheme val="minor"/>
      </rPr>
      <t xml:space="preserve"> </t>
    </r>
  </si>
  <si>
    <t>Проект</t>
  </si>
  <si>
    <t>Объект</t>
  </si>
  <si>
    <t>Срок строительства, в кварталах</t>
  </si>
  <si>
    <t>Ставка налога на имущество</t>
  </si>
  <si>
    <t>Ставка НДФЛ</t>
  </si>
  <si>
    <t>Ставка НДФЛ с ИРС</t>
  </si>
  <si>
    <t>Ставка взносов от НС и ПЗ</t>
  </si>
  <si>
    <t xml:space="preserve">Ставка взносов на пенсионное страхование </t>
  </si>
  <si>
    <t>Ставка взносов на случай временной нетрудоспособности и материнства</t>
  </si>
  <si>
    <t>Ставка взносов на обязательное медицинское страхование</t>
  </si>
  <si>
    <t>Строительство завода по производству картона из вторсырья</t>
  </si>
  <si>
    <t>земельный участок</t>
  </si>
  <si>
    <t>срок износа техники для расчета амортизации, лет</t>
  </si>
  <si>
    <t>срок износа помещения для расчета амортизации, лет</t>
  </si>
  <si>
    <t>Темп прироста заработной платы, % в год</t>
  </si>
  <si>
    <t>фактор риска, %</t>
  </si>
  <si>
    <t>Участок</t>
  </si>
  <si>
    <t>Льгота ТОСЭР</t>
  </si>
  <si>
    <t>Чистый денежный поток, млн руб</t>
  </si>
  <si>
    <t>Коммунальный расходы</t>
  </si>
  <si>
    <t>Цены</t>
  </si>
  <si>
    <t>Стоимость 1 Гкал отопления</t>
  </si>
  <si>
    <t>Общий режим</t>
  </si>
  <si>
    <t>Разница в налоге на прибыль, %</t>
  </si>
  <si>
    <t>Расходы на спецодежду, средства защиты, % от ФОТ</t>
  </si>
  <si>
    <t>Прямые расходы</t>
  </si>
  <si>
    <t>Расходы на поддерживающие инвестиции, % в год</t>
  </si>
  <si>
    <t>производство</t>
  </si>
  <si>
    <t>помещение</t>
  </si>
  <si>
    <t>прямые расходы</t>
  </si>
  <si>
    <t>в ТОР</t>
  </si>
  <si>
    <t>без ТОР</t>
  </si>
  <si>
    <t>Налоги и взносы, тыс руб</t>
  </si>
  <si>
    <t>Разница в налогах и взносах при режиме ТОСЭР и без него, тыс руб</t>
  </si>
  <si>
    <t>Соц. Отчисления</t>
  </si>
  <si>
    <t>ставка дисконтирования</t>
  </si>
  <si>
    <t>периоды дисконтирования</t>
  </si>
  <si>
    <t xml:space="preserve">Арендная плата за земельный участок,% от кадастровой стоимости в год </t>
  </si>
  <si>
    <t>ед изм</t>
  </si>
  <si>
    <t>тыс руб</t>
  </si>
  <si>
    <t>Стоимость подключения к сетям теплоснабжения</t>
  </si>
  <si>
    <t>Вывоз ТБО за 1 тонну, тыс. руб.</t>
  </si>
  <si>
    <t>Оборудование</t>
  </si>
  <si>
    <t>Себестоимость по прямым затратам</t>
  </si>
  <si>
    <t>Полная себестоимсть</t>
  </si>
  <si>
    <t>Стоимость для учета земельного налога, тыс руб</t>
  </si>
  <si>
    <t>Прямые расходы, тыс руб</t>
  </si>
  <si>
    <t>Косвенные расходы, тыс руб</t>
  </si>
  <si>
    <t>Кадастровая стоимость участка, тыс руб</t>
  </si>
  <si>
    <t>Износ здания для расчета налога на имущества, тыс руб</t>
  </si>
  <si>
    <t>РАСХОДЫ, всего</t>
  </si>
  <si>
    <t>Темп прироста стоимости продукции, % в год</t>
  </si>
  <si>
    <t>Подключение к инженерным сетям ( водоотведение, водоснабжение)</t>
  </si>
  <si>
    <t>Обеспечение электроснабжения</t>
  </si>
  <si>
    <t>Прочие расходы, инвентарь</t>
  </si>
  <si>
    <t>Главный бухгалтер</t>
  </si>
  <si>
    <t>Разнорабочий (уборщик, дворник)</t>
  </si>
  <si>
    <t>Цех по производству</t>
  </si>
  <si>
    <t>Стоимость 1 кВт электроэнергии, тыс руб</t>
  </si>
  <si>
    <t>Стоимость 1 куб.м. водоотведения, тыс руб</t>
  </si>
  <si>
    <t>Стоимость 1 куб.м. хол. воды, тыс руб</t>
  </si>
  <si>
    <t>Стоимость 1 куб.м. гор. воды. тыс руб</t>
  </si>
  <si>
    <t>Расходы на сырье (глина)</t>
  </si>
  <si>
    <t>Кирпич клинкерный</t>
  </si>
  <si>
    <t>тыс.руб./шт</t>
  </si>
  <si>
    <t>шт</t>
  </si>
  <si>
    <t>производительность, шт/час</t>
  </si>
  <si>
    <t>Планируемый объем реализации в год, млн шт</t>
  </si>
  <si>
    <t>Приобретение производственной линии</t>
  </si>
  <si>
    <t>Строительство производственно-бытовых помещений "под ключ"</t>
  </si>
  <si>
    <t>Приобретение техники (погрузчик вилочный 3 шт)</t>
  </si>
  <si>
    <t>38:33:010215:68</t>
  </si>
  <si>
    <t>Маркетолог</t>
  </si>
  <si>
    <t>Начальник участка</t>
  </si>
  <si>
    <t>Оператор линии</t>
  </si>
  <si>
    <t>Водитель погрузчика</t>
  </si>
  <si>
    <t>Зав. Склад</t>
  </si>
  <si>
    <t>Участок 1</t>
  </si>
  <si>
    <t>Взносы ФСС (нс и пз - 1,4%)</t>
  </si>
  <si>
    <t xml:space="preserve">Расходы на ДТ </t>
  </si>
  <si>
    <t>тыс руб/ шт</t>
  </si>
  <si>
    <t>Расходы на тару, упаковку</t>
  </si>
  <si>
    <t>Расходы на закуп глины в стоимости, %</t>
  </si>
  <si>
    <t>Расходы на упаковку, %</t>
  </si>
  <si>
    <t>Расход ДТ на ед. техники в смену, л</t>
  </si>
  <si>
    <t>Стоимость 1л дт, руб/л</t>
  </si>
  <si>
    <t>Количество смен в сутки</t>
  </si>
  <si>
    <t>Количество рабочих дней в мес.</t>
  </si>
  <si>
    <t>ДТ</t>
  </si>
  <si>
    <t>дизельное топливо</t>
  </si>
  <si>
    <t>тыс руб/шт</t>
  </si>
  <si>
    <t>Как организовать бизнес по изготовлению кирпича: технология, документы и разрешения на открытие мини завода по производству, ГОСТы (vproizvodstvo.ru)</t>
  </si>
  <si>
    <t>Технологический процесс (проекты аналоги)</t>
  </si>
  <si>
    <t>ООО СтройКомплект (stroitelstvo-angar.ru)</t>
  </si>
  <si>
    <t>Этапы производства клинкера (liderdom.com)</t>
  </si>
  <si>
    <t>Крупнейший кирпичный завод в РФ (группа компаний ЛСР)</t>
  </si>
  <si>
    <t>Кирпичные производства (lsrstena.ru)</t>
  </si>
  <si>
    <t>Коллекции клинкерного кирпича от крупнейшего российского завода в РФ (группа компаний ЛСР)</t>
  </si>
  <si>
    <t>Фасадный клинкер (lsr.ru)</t>
  </si>
  <si>
    <t>buklet-licofasadka-04-08-2021-prew.pdf (lsrstena.ru)</t>
  </si>
  <si>
    <t>Технические характеристики клинкерного кирпича от крупнейшего российского завода в РФ (группа компаний ЛСР)</t>
  </si>
  <si>
    <t xml:space="preserve">Технические характеристики клинкерного кирпича </t>
  </si>
  <si>
    <t>👌Выбираем лучший клинкерный кирпич на 2023 год (yanashla.com)</t>
  </si>
  <si>
    <t>Обзор различных видов клинкерных кирпичей и их применение. (vyborok.com)</t>
  </si>
  <si>
    <t>Клинкерный кирпич: особенности и уникальные характеристики (klinkersgroup.ru)</t>
  </si>
  <si>
    <t>Клинкерный кирпич: размер, вес, фото, видео, характеристики ,история, способ укладки (building-ooo.ru)</t>
  </si>
  <si>
    <t>gost_32311-2012.pdf (kirpich-lavka.ru)</t>
  </si>
  <si>
    <t>ГОСТ 32311 от 2012 г.</t>
  </si>
  <si>
    <t>Качественные характеристики клинкерного кирпича и этапы производства</t>
  </si>
  <si>
    <t>Основное технологическое оборудование</t>
  </si>
  <si>
    <t>Производственная Машина для Кирпича, Китай Производственная Машина для Кирпича каталог продукции Сделано в Китае (made-in-china.com)</t>
  </si>
  <si>
    <t>закуп сырья (глина, зола, красители)</t>
  </si>
  <si>
    <t>расходы на ДТ и запасные части</t>
  </si>
  <si>
    <t>оплата угля для печи обжига</t>
  </si>
  <si>
    <t>Глина строительная - цены за м3 – купить с доставкой в Иркутске - Проминдекс (promindex.ru)</t>
  </si>
  <si>
    <t>глина - Купить сыпучие материалы в Иркутске | Недорогие стройматериалы | Авито (avito.ru)</t>
  </si>
  <si>
    <t>Купить уголь в Иркутске - Доставка угля (xn--c1ajgagrkjijd5i.xn--p1ai)</t>
  </si>
  <si>
    <t>уголь - Авито | Объявления в Иркутске: купить вещь, выбрать исполнителя или работу, подобрать недвижимость и транспорт по низкой цене | Авито (avito.ru)</t>
  </si>
  <si>
    <t>Техника</t>
  </si>
  <si>
    <t>Купить дизельный погрузчик, массой: до 3500 кг в Иркутске! Цены на погрузчики 3, 5, 10 тонн и другие. Фото (drom.ru)</t>
  </si>
  <si>
    <t>https://ru.made-in-china.com/</t>
  </si>
  <si>
    <t>Оборудование Для Производства Глиняного Кирпича,Печь Для Обжига Керамики Вакуумный Экструдер,Автоматическая Линия Продуктов - Buy Brick Making Machinery Ceramics Vacuum Extruder Clay Pot Making Machine Presse Brique Terre Crue Hyderabad Kiln For Firing,Pare Parts Tile Making Machinery Concrete Block Making Machine Brick Making Machinery Clay Brick Making Machine Adobe,Machinery Automatic Large Scale Clay Brick Making Machine Red Bricks Automatic Production Line Adobe After Effects Soil Brick Product on Alibaba.com</t>
  </si>
  <si>
    <t>Подбор основного технологического оборудования: см. на этом сайте. Прямой гиперссылкой не открывается (возможно из-за настроек системы безопасности)</t>
  </si>
  <si>
    <t>Топливо Иркутск - сравнение стоимости бензина Аи-95, Аи-92, ДТ, Аи-98, газа в АЗС города. Цены на топливо. (fuelprice.ru)</t>
  </si>
  <si>
    <t>Строительство цехов под ключ цены Иркутск фото, монтаж | СтройДом (stroitelstvo-dom.ru)</t>
  </si>
  <si>
    <t>Быстровозводимые ангары ООО РДК Стандарт (rdk-standart.ru)</t>
  </si>
  <si>
    <t>Расход электроэнергии:</t>
  </si>
  <si>
    <t>Площадь цеха, м2</t>
  </si>
  <si>
    <t>Площадь территории, которая будет освещаться, м2</t>
  </si>
  <si>
    <t>Себестоимость, тыс. руб/ед</t>
  </si>
  <si>
    <t>Промышленные ангары под ключ в Иркутске по цене завода производителя - БарсПром (xn--80ab8ahefbg.xn--p1ai)</t>
  </si>
  <si>
    <t>Цены в апреле на строительство ангаров Иркутск от 3190 руб. (smg-stroy.ru)</t>
  </si>
  <si>
    <t>Возведение модульных зданий (производственный цех, АБК, навес) благоустройство площадки, тыс руб/кв. м *</t>
  </si>
  <si>
    <t>* В состав усредненных капитальных затрат входят:</t>
  </si>
  <si>
    <t>Строительство здания производственного цеха</t>
  </si>
  <si>
    <t>Строительство ограждения</t>
  </si>
  <si>
    <t>Благоустройство площадки</t>
  </si>
  <si>
    <t>Строительство АБК</t>
  </si>
  <si>
    <t>Площадь 1000 м.кв * 4,5 тыс. руб. /за 1 м.кв.</t>
  </si>
  <si>
    <t>Площадь 60 м.кв.*10,5 тыс. руб./за 1 м. кв</t>
  </si>
  <si>
    <t>Площадь 300 м.кв.*10,5 тыс. руб./за 1 м. кв</t>
  </si>
  <si>
    <t>Делим общую сумму капитальных затрат на площадь</t>
  </si>
  <si>
    <t>Итого, облагораживаем 2070 м кв. участка</t>
  </si>
  <si>
    <t>Примечание</t>
  </si>
  <si>
    <t>Рассчитываем на бюджет  3000 тыс. руб. (разравниваем площадку, отсыпаем грунтовые дороги под склады, асфальтируем парковку перед АБК)</t>
  </si>
  <si>
    <t xml:space="preserve">Рассчитываем на бюджет 2220 тыс. руб. </t>
  </si>
  <si>
    <t>Ограждения промышленных объектов в г.Иркутск (3d-perimetr.ru)</t>
  </si>
  <si>
    <t>Стоимость возведения быстровозводимых зданий, навесов, забора</t>
  </si>
  <si>
    <t>Коммунальные расходы (уголь для технологических целей, вода, вывоз ТКО, эл./эн.)</t>
  </si>
  <si>
    <t>Коммунальные расходы (уголь для технологических целей, вода, вывоз ТКО, эл. /эн.), % от выручки</t>
  </si>
  <si>
    <t>тыс. руб/1 м. кв.</t>
  </si>
  <si>
    <t>Сумма, тыс. руб.</t>
  </si>
  <si>
    <t>м 2</t>
  </si>
  <si>
    <t>Потребность в эл/энергии  кВт*ч в год</t>
  </si>
  <si>
    <t>Бытовые нужды персонала</t>
  </si>
  <si>
    <t xml:space="preserve">Всего, расход эл/энергии в год </t>
  </si>
  <si>
    <t xml:space="preserve">Строительство цеха для подготовки сырья (глины) </t>
  </si>
  <si>
    <t xml:space="preserve"> Налог на имущество</t>
  </si>
  <si>
    <t>НДС входящий</t>
  </si>
  <si>
    <t>НДС исходящий</t>
  </si>
  <si>
    <t>НДС к уплате</t>
  </si>
  <si>
    <t>НДС</t>
  </si>
  <si>
    <t>FCFF</t>
  </si>
  <si>
    <t>Фактор дисконтирования</t>
  </si>
  <si>
    <t>Дисконтированный денежный поток (способ 1)</t>
  </si>
  <si>
    <t>Подготовка площадки и строительство производственно-бытовых помещений "под ключ"</t>
  </si>
  <si>
    <t>Планируемый средний объем реализации в год в натуральном выражении, усл кирп</t>
  </si>
  <si>
    <t>Производственные нужды</t>
  </si>
  <si>
    <t>Кол-во, ед</t>
  </si>
  <si>
    <t>Мощность  кВт</t>
  </si>
  <si>
    <t>Годовое потребление 1 ед, кВт*час</t>
  </si>
  <si>
    <t>Инвестиции в оборотный к-л</t>
  </si>
  <si>
    <t>Выгода в налогах  за 10 лет, млн руб.</t>
  </si>
  <si>
    <t>Планируемый объем реализации в месяц (от мощности), усл. кирп.</t>
  </si>
  <si>
    <t>Площадь помещений, кв м</t>
  </si>
  <si>
    <t>Максимальная производительность, тыс. шт/сутки</t>
  </si>
  <si>
    <t>Срок окупаемости первоначальных инвестиций (РB), лет</t>
  </si>
  <si>
    <t>Средняя стоимость, руб/кг</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</si>
</sst>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 _₽_-;\-* #,##0.00\ _₽_-;_-* &quot;-&quot;??\ _₽_-;_-@_-"/>
    <numFmt numFmtId="164" formatCode="0.0"/>
    <numFmt numFmtId="165" formatCode="0.0000"/>
    <numFmt numFmtId="166" formatCode="0.0%"/>
    <numFmt numFmtId="167" formatCode="#,##0.0"/>
    <numFmt numFmtId="168" formatCode="#,##0.000"/>
    <numFmt numFmtId="169" formatCode="#,##0.0000"/>
    <numFmt numFmtId="170" formatCode="0.000"/>
    <numFmt numFmtId="171" formatCode="#,##0.0000000"/>
  </numFmts>
  <fonts count="56" x14ac:knownFonts="1">
    <font>
      <sz val="11"/>
      <color theme="1"/>
      <name val="Calibri"/>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0"/>
      <name val="Calibri"/>
      <family val="2"/>
      <charset val="204"/>
      <scheme val="minor"/>
    </font>
    <font>
      <u/>
      <sz val="7.7"/>
      <color theme="10"/>
      <name val="Calibri"/>
      <family val="2"/>
      <charset val="204"/>
    </font>
    <font>
      <sz val="11"/>
      <color rgb="FF9C0006"/>
      <name val="Calibri"/>
      <family val="2"/>
      <charset val="204"/>
      <scheme val="minor"/>
    </font>
    <font>
      <b/>
      <sz val="11"/>
      <color theme="1"/>
      <name val="Calibri"/>
      <family val="2"/>
      <charset val="204"/>
      <scheme val="minor"/>
    </font>
    <font>
      <sz val="11"/>
      <color theme="1"/>
      <name val="Times New Roman"/>
      <family val="1"/>
      <charset val="204"/>
    </font>
    <font>
      <sz val="12"/>
      <color theme="1"/>
      <name val="Calibri"/>
      <family val="2"/>
      <charset val="204"/>
      <scheme val="minor"/>
    </font>
    <font>
      <sz val="12"/>
      <color theme="0"/>
      <name val="Calibri"/>
      <family val="2"/>
      <charset val="204"/>
      <scheme val="minor"/>
    </font>
    <font>
      <b/>
      <sz val="12"/>
      <color theme="1"/>
      <name val="Calibri"/>
      <family val="2"/>
      <charset val="204"/>
      <scheme val="minor"/>
    </font>
    <font>
      <sz val="12"/>
      <color indexed="2"/>
      <name val="Calibri"/>
      <family val="2"/>
      <charset val="204"/>
      <scheme val="minor"/>
    </font>
    <font>
      <sz val="10"/>
      <color theme="1"/>
      <name val="Calibri"/>
      <family val="2"/>
      <charset val="204"/>
      <scheme val="minor"/>
    </font>
    <font>
      <sz val="20"/>
      <color theme="1"/>
      <name val="Calibri"/>
      <family val="2"/>
      <charset val="204"/>
      <scheme val="minor"/>
    </font>
    <font>
      <sz val="11"/>
      <name val="Calibri"/>
      <family val="2"/>
      <charset val="204"/>
      <scheme val="minor"/>
    </font>
    <font>
      <sz val="11"/>
      <color indexed="2"/>
      <name val="Calibri"/>
      <family val="2"/>
      <charset val="204"/>
      <scheme val="minor"/>
    </font>
    <font>
      <sz val="11"/>
      <color theme="3"/>
      <name val="Calibri"/>
      <family val="2"/>
      <charset val="204"/>
      <scheme val="minor"/>
    </font>
    <font>
      <sz val="11"/>
      <color rgb="FFC00000"/>
      <name val="Calibri"/>
      <family val="2"/>
      <charset val="204"/>
      <scheme val="minor"/>
    </font>
    <font>
      <b/>
      <sz val="11"/>
      <color theme="3"/>
      <name val="Calibri"/>
      <family val="2"/>
      <charset val="204"/>
      <scheme val="minor"/>
    </font>
    <font>
      <b/>
      <sz val="11"/>
      <color theme="0"/>
      <name val="Calibri"/>
      <family val="2"/>
      <charset val="204"/>
      <scheme val="minor"/>
    </font>
    <font>
      <sz val="12"/>
      <name val="Calibri"/>
      <family val="2"/>
      <charset val="204"/>
      <scheme val="minor"/>
    </font>
    <font>
      <b/>
      <sz val="12"/>
      <name val="Calibri"/>
      <family val="2"/>
      <charset val="204"/>
      <scheme val="minor"/>
    </font>
    <font>
      <b/>
      <sz val="11"/>
      <color theme="1"/>
      <name val="Times New Roman"/>
      <family val="1"/>
      <charset val="204"/>
    </font>
    <font>
      <sz val="15"/>
      <name val="Times New Roman"/>
      <family val="1"/>
      <charset val="204"/>
    </font>
    <font>
      <sz val="11"/>
      <color indexed="2"/>
      <name val="Times New Roman"/>
      <family val="1"/>
      <charset val="204"/>
    </font>
    <font>
      <sz val="20"/>
      <color theme="1"/>
      <name val="Times New Roman"/>
      <family val="1"/>
      <charset val="204"/>
    </font>
    <font>
      <sz val="11"/>
      <color theme="0"/>
      <name val="Times New Roman"/>
      <family val="1"/>
      <charset val="204"/>
    </font>
    <font>
      <sz val="14"/>
      <color theme="1"/>
      <name val="Times New Roman"/>
      <family val="1"/>
      <charset val="204"/>
    </font>
    <font>
      <sz val="11"/>
      <color theme="1"/>
      <name val="Calibri"/>
      <family val="2"/>
      <charset val="204"/>
      <scheme val="minor"/>
    </font>
    <font>
      <b/>
      <sz val="9"/>
      <name val="Tahoma"/>
      <family val="2"/>
      <charset val="204"/>
    </font>
    <font>
      <sz val="9"/>
      <name val="Tahoma"/>
      <family val="2"/>
      <charset val="204"/>
    </font>
    <font>
      <b/>
      <sz val="11"/>
      <color theme="1"/>
      <name val="Calibri"/>
      <family val="2"/>
      <charset val="204"/>
      <scheme val="minor"/>
    </font>
    <font>
      <sz val="11"/>
      <color theme="0"/>
      <name val="Calibri"/>
      <family val="2"/>
      <charset val="204"/>
      <scheme val="minor"/>
    </font>
    <font>
      <i/>
      <sz val="11"/>
      <color theme="1"/>
      <name val="Calibri"/>
      <family val="2"/>
      <charset val="204"/>
      <scheme val="minor"/>
    </font>
    <font>
      <sz val="8"/>
      <name val="Calibri"/>
      <family val="2"/>
      <charset val="204"/>
      <scheme val="minor"/>
    </font>
    <font>
      <sz val="20"/>
      <color theme="1"/>
      <name val="Calibri"/>
      <family val="2"/>
      <charset val="204"/>
      <scheme val="minor"/>
    </font>
    <font>
      <sz val="11"/>
      <color rgb="FF9C0006"/>
      <name val="Calibri"/>
      <family val="2"/>
      <charset val="204"/>
      <scheme val="minor"/>
    </font>
    <font>
      <sz val="11"/>
      <name val="Calibri"/>
      <family val="2"/>
      <charset val="204"/>
      <scheme val="minor"/>
    </font>
    <font>
      <sz val="11"/>
      <color theme="2" tint="-0.89999084444715716"/>
      <name val="Calibri"/>
      <family val="2"/>
      <charset val="204"/>
      <scheme val="minor"/>
    </font>
    <font>
      <b/>
      <i/>
      <sz val="11"/>
      <color theme="1"/>
      <name val="Calibri"/>
      <family val="2"/>
      <charset val="204"/>
      <scheme val="minor"/>
    </font>
    <font>
      <sz val="11"/>
      <color rgb="FF002060"/>
      <name val="Calibri"/>
      <family val="2"/>
      <charset val="204"/>
      <scheme val="minor"/>
    </font>
    <font>
      <sz val="11"/>
      <color theme="1"/>
      <name val="Calibri"/>
      <family val="2"/>
      <scheme val="minor"/>
    </font>
    <font>
      <u/>
      <sz val="11"/>
      <color theme="10"/>
      <name val="Calibri"/>
      <family val="2"/>
      <scheme val="minor"/>
    </font>
    <font>
      <sz val="8"/>
      <color theme="1"/>
      <name val="Calibri"/>
      <family val="2"/>
      <charset val="204"/>
      <scheme val="minor"/>
    </font>
    <font>
      <sz val="11"/>
      <color rgb="FF404040"/>
      <name val="Calibri"/>
      <family val="2"/>
      <charset val="204"/>
      <scheme val="minor"/>
    </font>
  </fonts>
  <fills count="66">
    <fill>
      <patternFill patternType="none"/>
    </fill>
    <fill>
      <patternFill patternType="gray125"/>
    </fill>
    <fill>
      <patternFill patternType="solid">
        <fgColor theme="4" tint="0.79998168889431442"/>
        <bgColor indexed="65"/>
      </patternFill>
    </fill>
    <fill>
      <patternFill patternType="solid">
        <fgColor theme="5"/>
        <bgColor theme="5"/>
      </patternFill>
    </fill>
    <fill>
      <patternFill patternType="solid">
        <fgColor rgb="FFFFC7CE"/>
        <bgColor rgb="FFFFC7CE"/>
      </patternFill>
    </fill>
    <fill>
      <patternFill patternType="solid">
        <fgColor theme="4" tint="0.79998168889431442"/>
        <bgColor theme="4" tint="0.79998168889431442"/>
      </patternFill>
    </fill>
    <fill>
      <patternFill patternType="solid">
        <fgColor rgb="FFC00000"/>
        <bgColor rgb="FFC00000"/>
      </patternFill>
    </fill>
    <fill>
      <patternFill patternType="solid">
        <fgColor theme="9" tint="0.79998168889431442"/>
        <bgColor theme="9" tint="0.79998168889431442"/>
      </patternFill>
    </fill>
    <fill>
      <patternFill patternType="solid">
        <fgColor rgb="FF00B050"/>
        <bgColor rgb="FF00B050"/>
      </patternFill>
    </fill>
    <fill>
      <patternFill patternType="solid">
        <fgColor indexed="5"/>
        <bgColor indexed="5"/>
      </patternFill>
    </fill>
    <fill>
      <patternFill patternType="solid">
        <fgColor rgb="FF92D050"/>
        <bgColor rgb="FF92D050"/>
      </patternFill>
    </fill>
    <fill>
      <patternFill patternType="solid">
        <fgColor theme="4" tint="0.79998168889431442"/>
        <bgColor rgb="FFFFC7CE"/>
      </patternFill>
    </fill>
    <fill>
      <patternFill patternType="solid">
        <fgColor theme="0"/>
        <bgColor theme="0"/>
      </patternFill>
    </fill>
    <fill>
      <patternFill patternType="solid">
        <fgColor theme="0"/>
        <bgColor indexed="5"/>
      </patternFill>
    </fill>
    <fill>
      <patternFill patternType="solid">
        <fgColor theme="2"/>
        <bgColor theme="2"/>
      </patternFill>
    </fill>
    <fill>
      <patternFill patternType="solid">
        <fgColor theme="0"/>
        <bgColor theme="4" tint="0.79998168889431442"/>
      </patternFill>
    </fill>
    <fill>
      <patternFill patternType="solid">
        <fgColor theme="0"/>
        <bgColor rgb="FF92D050"/>
      </patternFill>
    </fill>
    <fill>
      <patternFill patternType="solid">
        <fgColor theme="3" tint="0.79998168889431442"/>
        <bgColor theme="3" tint="0.79998168889431442"/>
      </patternFill>
    </fill>
    <fill>
      <patternFill patternType="solid">
        <fgColor rgb="FFFFC000"/>
        <bgColor rgb="FFFFC000"/>
      </patternFill>
    </fill>
    <fill>
      <patternFill patternType="solid">
        <fgColor rgb="FFFFC000"/>
        <bgColor indexed="5"/>
      </patternFill>
    </fill>
    <fill>
      <patternFill patternType="solid">
        <fgColor indexed="2"/>
        <bgColor indexed="2"/>
      </patternFill>
    </fill>
    <fill>
      <patternFill patternType="solid">
        <fgColor theme="0"/>
        <bgColor theme="8" tint="0.79998168889431442"/>
      </patternFill>
    </fill>
    <fill>
      <patternFill patternType="solid">
        <fgColor theme="0"/>
        <bgColor theme="6" tint="0.59999389629810485"/>
      </patternFill>
    </fill>
    <fill>
      <patternFill patternType="solid">
        <fgColor theme="4" tint="0.79998168889431442"/>
        <bgColor indexed="5"/>
      </patternFill>
    </fill>
    <fill>
      <patternFill patternType="solid">
        <fgColor theme="0"/>
        <bgColor theme="6" tint="0.79998168889431442"/>
      </patternFill>
    </fill>
    <fill>
      <patternFill patternType="solid">
        <fgColor rgb="FFF8CBAD"/>
        <bgColor rgb="FFF8CBAD"/>
      </patternFill>
    </fill>
    <fill>
      <patternFill patternType="solid">
        <fgColor rgb="FF92D050"/>
        <bgColor theme="9" tint="0.39997558519241921"/>
      </patternFill>
    </fill>
    <fill>
      <patternFill patternType="solid">
        <fgColor theme="4" tint="0.79998168889431442"/>
        <bgColor theme="4" tint="0.39997558519241921"/>
      </patternFill>
    </fill>
    <fill>
      <patternFill patternType="solid">
        <fgColor rgb="FFFFFF00"/>
        <bgColor indexed="64"/>
      </patternFill>
    </fill>
    <fill>
      <patternFill patternType="solid">
        <fgColor theme="0"/>
        <bgColor indexed="64"/>
      </patternFill>
    </fill>
    <fill>
      <patternFill patternType="solid">
        <fgColor theme="4" tint="0.79998168889431442"/>
        <bgColor indexed="64"/>
      </patternFill>
    </fill>
    <fill>
      <patternFill patternType="solid">
        <fgColor rgb="FF92D050"/>
        <bgColor indexed="64"/>
      </patternFill>
    </fill>
    <fill>
      <patternFill patternType="solid">
        <fgColor rgb="FF92D050"/>
        <bgColor theme="0"/>
      </patternFill>
    </fill>
    <fill>
      <patternFill patternType="solid">
        <fgColor theme="6" tint="0.79998168889431442"/>
        <bgColor theme="0"/>
      </patternFill>
    </fill>
    <fill>
      <patternFill patternType="solid">
        <fgColor theme="6" tint="0.79998168889431442"/>
        <bgColor theme="5" tint="0.79998168889431442"/>
      </patternFill>
    </fill>
    <fill>
      <patternFill patternType="solid">
        <fgColor theme="6" tint="0.79998168889431442"/>
        <bgColor indexed="5"/>
      </patternFill>
    </fill>
    <fill>
      <patternFill patternType="solid">
        <fgColor rgb="FFC00000"/>
        <bgColor indexed="64"/>
      </patternFill>
    </fill>
    <fill>
      <patternFill patternType="solid">
        <fgColor rgb="FF7030A0"/>
        <bgColor indexed="64"/>
      </patternFill>
    </fill>
    <fill>
      <patternFill patternType="solid">
        <fgColor rgb="FF92D050"/>
        <bgColor theme="8" tint="0.79998168889431442"/>
      </patternFill>
    </fill>
    <fill>
      <patternFill patternType="solid">
        <fgColor rgb="FFFFFF00"/>
        <bgColor rgb="FF92D050"/>
      </patternFill>
    </fill>
    <fill>
      <patternFill patternType="solid">
        <fgColor theme="9" tint="0.39997558519241921"/>
        <bgColor indexed="64"/>
      </patternFill>
    </fill>
    <fill>
      <patternFill patternType="solid">
        <fgColor theme="8" tint="0.79998168889431442"/>
        <bgColor indexed="64"/>
      </patternFill>
    </fill>
    <fill>
      <patternFill patternType="solid">
        <fgColor theme="0"/>
        <bgColor theme="9" tint="0.79998168889431442"/>
      </patternFill>
    </fill>
    <fill>
      <patternFill patternType="solid">
        <fgColor theme="9" tint="0.59999389629810485"/>
        <bgColor rgb="FF92D050"/>
      </patternFill>
    </fill>
    <fill>
      <patternFill patternType="solid">
        <fgColor theme="0"/>
        <bgColor theme="3" tint="0.79998168889431442"/>
      </patternFill>
    </fill>
    <fill>
      <patternFill patternType="solid">
        <fgColor theme="4" tint="0.79998168889431442"/>
        <bgColor theme="3" tint="0.79998168889431442"/>
      </patternFill>
    </fill>
    <fill>
      <patternFill patternType="solid">
        <fgColor theme="9" tint="0.39997558519241921"/>
        <bgColor rgb="FF92D050"/>
      </patternFill>
    </fill>
    <fill>
      <patternFill patternType="solid">
        <fgColor theme="9" tint="0.39997558519241921"/>
        <bgColor rgb="FF00B0F0"/>
      </patternFill>
    </fill>
    <fill>
      <patternFill patternType="solid">
        <fgColor rgb="FF92D050"/>
        <bgColor rgb="FFFFC000"/>
      </patternFill>
    </fill>
    <fill>
      <patternFill patternType="solid">
        <fgColor rgb="FFFFFF00"/>
        <bgColor indexed="5"/>
      </patternFill>
    </fill>
    <fill>
      <patternFill patternType="solid">
        <fgColor theme="9" tint="0.59999389629810485"/>
        <bgColor rgb="FF00B0F0"/>
      </patternFill>
    </fill>
    <fill>
      <patternFill patternType="solid">
        <fgColor theme="9" tint="0.59999389629810485"/>
        <bgColor indexed="64"/>
      </patternFill>
    </fill>
    <fill>
      <patternFill patternType="solid">
        <fgColor theme="6"/>
        <bgColor indexed="64"/>
      </patternFill>
    </fill>
    <fill>
      <patternFill patternType="solid">
        <fgColor rgb="FFFFFF00"/>
        <bgColor theme="9" tint="0.79998168889431442"/>
      </patternFill>
    </fill>
    <fill>
      <patternFill patternType="solid">
        <fgColor rgb="FFFFFF00"/>
        <bgColor theme="0"/>
      </patternFill>
    </fill>
    <fill>
      <patternFill patternType="solid">
        <fgColor theme="9" tint="0.59999389629810485"/>
        <bgColor indexed="5"/>
      </patternFill>
    </fill>
    <fill>
      <patternFill patternType="solid">
        <fgColor theme="9" tint="0.59999389629810485"/>
        <bgColor theme="6" tint="0.79998168889431442"/>
      </patternFill>
    </fill>
    <fill>
      <patternFill patternType="solid">
        <fgColor theme="9" tint="0.59999389629810485"/>
        <bgColor theme="0"/>
      </patternFill>
    </fill>
    <fill>
      <patternFill patternType="solid">
        <fgColor rgb="FF92D050"/>
        <bgColor theme="6" tint="0.59999389629810485"/>
      </patternFill>
    </fill>
    <fill>
      <patternFill patternType="solid">
        <fgColor rgb="FF92D050"/>
        <bgColor theme="6" tint="0.79998168889431442"/>
      </patternFill>
    </fill>
    <fill>
      <patternFill patternType="solid">
        <fgColor theme="8" tint="0.79998168889431442"/>
        <bgColor theme="0"/>
      </patternFill>
    </fill>
    <fill>
      <patternFill patternType="solid">
        <fgColor theme="4" tint="0.79998168889431442"/>
        <bgColor theme="0"/>
      </patternFill>
    </fill>
    <fill>
      <patternFill patternType="solid">
        <fgColor rgb="FFFFFF00"/>
        <bgColor theme="4" tint="0.39997558519241921"/>
      </patternFill>
    </fill>
    <fill>
      <patternFill patternType="solid">
        <fgColor theme="4" tint="0.79998168889431442"/>
        <bgColor rgb="FF92D050"/>
      </patternFill>
    </fill>
    <fill>
      <patternFill patternType="solid">
        <fgColor rgb="FFFFC000"/>
        <bgColor indexed="64"/>
      </patternFill>
    </fill>
    <fill>
      <patternFill patternType="solid">
        <fgColor theme="8" tint="0.59999389629810485"/>
        <bgColor indexed="64"/>
      </patternFill>
    </fill>
  </fills>
  <borders count="2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medium">
        <color auto="1"/>
      </left>
      <right style="medium">
        <color auto="1"/>
      </right>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style="thin">
        <color auto="1"/>
      </left>
      <right style="medium">
        <color auto="1"/>
      </right>
      <top style="thin">
        <color auto="1"/>
      </top>
      <bottom style="thin">
        <color auto="1"/>
      </bottom>
      <diagonal/>
    </border>
    <border>
      <left/>
      <right style="medium">
        <color auto="1"/>
      </right>
      <top/>
      <bottom/>
      <diagonal/>
    </border>
    <border>
      <left style="medium">
        <color auto="1"/>
      </left>
      <right style="medium">
        <color auto="1"/>
      </right>
      <top style="medium">
        <color auto="1"/>
      </top>
      <bottom style="medium">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bottom/>
      <diagonal/>
    </border>
    <border>
      <left style="thin">
        <color auto="1"/>
      </left>
      <right/>
      <top/>
      <bottom/>
      <diagonal/>
    </border>
  </borders>
  <cellStyleXfs count="14">
    <xf numFmtId="0" fontId="0" fillId="0" borderId="0"/>
    <xf numFmtId="0" fontId="39" fillId="2" borderId="0" applyNumberFormat="0" applyBorder="0" applyProtection="0"/>
    <xf numFmtId="0" fontId="14" fillId="3" borderId="0" applyNumberFormat="0" applyBorder="0" applyProtection="0"/>
    <xf numFmtId="0" fontId="15" fillId="0" borderId="0" applyNumberFormat="0" applyFill="0" applyBorder="0" applyProtection="0">
      <alignment vertical="top"/>
      <protection locked="0"/>
    </xf>
    <xf numFmtId="0" fontId="39" fillId="0" borderId="0"/>
    <xf numFmtId="0" fontId="16" fillId="4" borderId="0" applyNumberFormat="0" applyBorder="0" applyProtection="0"/>
    <xf numFmtId="9" fontId="39" fillId="0" borderId="0" applyFont="0" applyFill="0" applyBorder="0" applyProtection="0"/>
    <xf numFmtId="0" fontId="9" fillId="0" borderId="0"/>
    <xf numFmtId="43" fontId="9" fillId="0" borderId="0" applyFont="0" applyFill="0" applyBorder="0" applyAlignment="0" applyProtection="0"/>
    <xf numFmtId="0" fontId="15" fillId="0" borderId="0" applyNumberFormat="0" applyFill="0" applyBorder="0" applyAlignment="0" applyProtection="0">
      <alignment vertical="top"/>
      <protection locked="0"/>
    </xf>
    <xf numFmtId="0" fontId="52" fillId="0" borderId="0"/>
    <xf numFmtId="43" fontId="52" fillId="0" borderId="0" applyFont="0" applyFill="0" applyBorder="0" applyAlignment="0" applyProtection="0"/>
    <xf numFmtId="9" fontId="52" fillId="0" borderId="0" applyFont="0" applyFill="0" applyBorder="0" applyAlignment="0" applyProtection="0"/>
    <xf numFmtId="0" fontId="53" fillId="0" borderId="0" applyNumberFormat="0" applyFill="0" applyBorder="0" applyAlignment="0" applyProtection="0"/>
  </cellStyleXfs>
  <cellXfs count="692">
    <xf numFmtId="0" fontId="0" fillId="0" borderId="0" xfId="0"/>
    <xf numFmtId="0" fontId="17" fillId="0" borderId="0" xfId="0" applyFont="1"/>
    <xf numFmtId="0" fontId="0" fillId="10" borderId="0" xfId="0" applyFill="1"/>
    <xf numFmtId="9" fontId="0" fillId="0" borderId="0" xfId="0" applyNumberFormat="1"/>
    <xf numFmtId="10" fontId="18" fillId="5" borderId="0" xfId="0" applyNumberFormat="1" applyFont="1" applyFill="1" applyAlignment="1">
      <alignment horizontal="center" vertical="center"/>
    </xf>
    <xf numFmtId="10" fontId="0" fillId="11" borderId="0" xfId="5" applyNumberFormat="1" applyFont="1" applyFill="1" applyAlignment="1">
      <alignment horizontal="center" vertical="center"/>
    </xf>
    <xf numFmtId="0" fontId="0" fillId="0" borderId="0" xfId="0" applyAlignment="1">
      <alignment horizontal="left" wrapText="1"/>
    </xf>
    <xf numFmtId="164" fontId="0" fillId="0" borderId="0" xfId="0" applyNumberFormat="1"/>
    <xf numFmtId="3" fontId="0" fillId="0" borderId="0" xfId="0" applyNumberFormat="1"/>
    <xf numFmtId="165" fontId="0" fillId="0" borderId="0" xfId="0" applyNumberFormat="1"/>
    <xf numFmtId="0" fontId="0" fillId="12" borderId="0" xfId="0" applyFill="1"/>
    <xf numFmtId="4" fontId="0" fillId="0" borderId="0" xfId="0" applyNumberFormat="1"/>
    <xf numFmtId="166" fontId="0" fillId="0" borderId="0" xfId="0" applyNumberFormat="1"/>
    <xf numFmtId="0" fontId="19" fillId="0" borderId="0" xfId="0" applyFont="1"/>
    <xf numFmtId="0" fontId="19" fillId="0" borderId="0" xfId="0" applyFont="1" applyAlignment="1">
      <alignment horizontal="left" wrapText="1"/>
    </xf>
    <xf numFmtId="0" fontId="19" fillId="0" borderId="0" xfId="0" applyFont="1" applyAlignment="1">
      <alignment wrapText="1"/>
    </xf>
    <xf numFmtId="0" fontId="19" fillId="0" borderId="1" xfId="0" applyFont="1" applyBorder="1" applyAlignment="1">
      <alignment horizontal="left" wrapText="1"/>
    </xf>
    <xf numFmtId="0" fontId="19" fillId="0" borderId="1" xfId="0" applyFont="1" applyBorder="1" applyAlignment="1">
      <alignment wrapText="1"/>
    </xf>
    <xf numFmtId="0" fontId="19" fillId="0" borderId="0" xfId="0" applyFont="1" applyAlignment="1">
      <alignment horizontal="center" vertical="center" wrapText="1"/>
    </xf>
    <xf numFmtId="0" fontId="19" fillId="5" borderId="1" xfId="0" applyFont="1" applyFill="1" applyBorder="1"/>
    <xf numFmtId="4" fontId="19" fillId="5" borderId="1" xfId="0" applyNumberFormat="1" applyFont="1" applyFill="1" applyBorder="1"/>
    <xf numFmtId="4" fontId="19" fillId="7" borderId="1" xfId="0" applyNumberFormat="1" applyFont="1" applyFill="1" applyBorder="1"/>
    <xf numFmtId="0" fontId="19" fillId="0" borderId="1" xfId="0" applyFont="1" applyBorder="1" applyAlignment="1">
      <alignment horizontal="left" vertical="top" wrapText="1"/>
    </xf>
    <xf numFmtId="167" fontId="19" fillId="7" borderId="1" xfId="0" applyNumberFormat="1" applyFont="1" applyFill="1" applyBorder="1"/>
    <xf numFmtId="166" fontId="20" fillId="6" borderId="1" xfId="0" applyNumberFormat="1" applyFont="1" applyFill="1" applyBorder="1" applyAlignment="1">
      <alignment horizontal="center"/>
    </xf>
    <xf numFmtId="0" fontId="19" fillId="13" borderId="3" xfId="4" applyFont="1" applyFill="1" applyBorder="1" applyAlignment="1">
      <alignment horizontal="left" vertical="center" wrapText="1"/>
    </xf>
    <xf numFmtId="168" fontId="19" fillId="5" borderId="1" xfId="0" applyNumberFormat="1" applyFont="1" applyFill="1" applyBorder="1"/>
    <xf numFmtId="167" fontId="19" fillId="5" borderId="1" xfId="0" applyNumberFormat="1" applyFont="1" applyFill="1" applyBorder="1"/>
    <xf numFmtId="0" fontId="19" fillId="5" borderId="0" xfId="0" applyFont="1" applyFill="1"/>
    <xf numFmtId="168" fontId="19" fillId="0" borderId="1" xfId="0" applyNumberFormat="1" applyFont="1" applyBorder="1"/>
    <xf numFmtId="4" fontId="19" fillId="0" borderId="1" xfId="0" applyNumberFormat="1" applyFont="1" applyBorder="1"/>
    <xf numFmtId="0" fontId="19" fillId="0" borderId="1" xfId="0" applyFont="1" applyBorder="1"/>
    <xf numFmtId="1" fontId="19" fillId="0" borderId="0" xfId="0" applyNumberFormat="1" applyFont="1"/>
    <xf numFmtId="4" fontId="19" fillId="14" borderId="1" xfId="0" applyNumberFormat="1" applyFont="1" applyFill="1" applyBorder="1"/>
    <xf numFmtId="4" fontId="19" fillId="0" borderId="0" xfId="0" applyNumberFormat="1" applyFont="1"/>
    <xf numFmtId="167" fontId="19" fillId="0" borderId="0" xfId="0" applyNumberFormat="1" applyFont="1"/>
    <xf numFmtId="4" fontId="21" fillId="7" borderId="4" xfId="0" applyNumberFormat="1" applyFont="1" applyFill="1" applyBorder="1"/>
    <xf numFmtId="168" fontId="22" fillId="0" borderId="0" xfId="0" applyNumberFormat="1" applyFont="1" applyAlignment="1">
      <alignment horizontal="left" wrapText="1"/>
    </xf>
    <xf numFmtId="0" fontId="19" fillId="0" borderId="1" xfId="0" applyFont="1" applyBorder="1" applyAlignment="1">
      <alignment horizontal="right"/>
    </xf>
    <xf numFmtId="0" fontId="22" fillId="0" borderId="0" xfId="0" applyFont="1" applyAlignment="1">
      <alignment horizontal="left" wrapText="1"/>
    </xf>
    <xf numFmtId="4" fontId="19" fillId="7" borderId="4" xfId="0" applyNumberFormat="1" applyFont="1" applyFill="1" applyBorder="1"/>
    <xf numFmtId="166" fontId="19" fillId="0" borderId="0" xfId="0" applyNumberFormat="1" applyFont="1"/>
    <xf numFmtId="10" fontId="19" fillId="0" borderId="0" xfId="0" applyNumberFormat="1" applyFont="1"/>
    <xf numFmtId="164" fontId="20" fillId="6" borderId="0" xfId="0" applyNumberFormat="1" applyFont="1" applyFill="1"/>
    <xf numFmtId="4" fontId="22" fillId="0" borderId="0" xfId="0" applyNumberFormat="1" applyFont="1"/>
    <xf numFmtId="4" fontId="21" fillId="0" borderId="1" xfId="0" applyNumberFormat="1" applyFont="1" applyBorder="1"/>
    <xf numFmtId="0" fontId="19" fillId="0" borderId="0" xfId="0" applyFont="1" applyAlignment="1">
      <alignment horizontal="left" vertical="top" wrapText="1"/>
    </xf>
    <xf numFmtId="4" fontId="21" fillId="0" borderId="5" xfId="0" applyNumberFormat="1" applyFont="1" applyBorder="1"/>
    <xf numFmtId="4" fontId="19" fillId="12" borderId="1" xfId="0" applyNumberFormat="1" applyFont="1" applyFill="1" applyBorder="1"/>
    <xf numFmtId="2" fontId="19" fillId="8" borderId="1" xfId="0" applyNumberFormat="1" applyFont="1" applyFill="1" applyBorder="1"/>
    <xf numFmtId="2" fontId="19" fillId="7" borderId="1" xfId="0" applyNumberFormat="1" applyFont="1" applyFill="1" applyBorder="1"/>
    <xf numFmtId="2" fontId="19" fillId="7" borderId="5" xfId="0" applyNumberFormat="1" applyFont="1" applyFill="1" applyBorder="1"/>
    <xf numFmtId="2" fontId="19" fillId="7" borderId="2" xfId="0" applyNumberFormat="1" applyFont="1" applyFill="1" applyBorder="1"/>
    <xf numFmtId="0" fontId="0" fillId="0" borderId="0" xfId="0" applyAlignment="1">
      <alignment horizontal="left" vertical="center" wrapText="1"/>
    </xf>
    <xf numFmtId="0" fontId="0" fillId="0" borderId="0" xfId="0" applyAlignment="1">
      <alignment horizontal="center"/>
    </xf>
    <xf numFmtId="0" fontId="0" fillId="0" borderId="0" xfId="0" applyAlignment="1">
      <alignment horizontal="center" vertical="center"/>
    </xf>
    <xf numFmtId="0" fontId="23" fillId="0" borderId="7" xfId="0" applyFont="1" applyBorder="1" applyAlignment="1">
      <alignment vertical="top"/>
    </xf>
    <xf numFmtId="0" fontId="24" fillId="0" borderId="0" xfId="0" applyFont="1" applyAlignment="1">
      <alignment vertical="top"/>
    </xf>
    <xf numFmtId="0" fontId="25" fillId="0" borderId="0" xfId="0" applyFont="1"/>
    <xf numFmtId="0" fontId="24" fillId="0" borderId="0" xfId="0" applyFont="1" applyAlignment="1">
      <alignment horizontal="center" vertical="top"/>
    </xf>
    <xf numFmtId="0" fontId="0" fillId="0" borderId="1" xfId="0" applyBorder="1" applyAlignment="1">
      <alignment horizontal="center" vertical="center" wrapText="1"/>
    </xf>
    <xf numFmtId="167" fontId="25" fillId="0" borderId="0" xfId="0" applyNumberFormat="1" applyFont="1"/>
    <xf numFmtId="167" fontId="0" fillId="0" borderId="0" xfId="0" applyNumberFormat="1"/>
    <xf numFmtId="0" fontId="0" fillId="0" borderId="0" xfId="0" applyAlignment="1">
      <alignment wrapText="1"/>
    </xf>
    <xf numFmtId="0" fontId="0" fillId="0" borderId="1" xfId="0" applyBorder="1" applyAlignment="1">
      <alignment horizontal="left" vertical="center" wrapText="1"/>
    </xf>
    <xf numFmtId="0" fontId="0" fillId="0" borderId="1" xfId="0" applyBorder="1" applyAlignment="1">
      <alignment horizontal="center" vertical="top" wrapText="1"/>
    </xf>
    <xf numFmtId="167" fontId="0" fillId="0" borderId="0" xfId="0" applyNumberFormat="1" applyAlignment="1">
      <alignment wrapText="1"/>
    </xf>
    <xf numFmtId="9" fontId="39" fillId="2" borderId="1" xfId="1" applyNumberFormat="1" applyBorder="1" applyAlignment="1">
      <alignment horizontal="center" vertical="top"/>
    </xf>
    <xf numFmtId="168" fontId="14" fillId="6" borderId="0" xfId="0" applyNumberFormat="1" applyFont="1" applyFill="1" applyAlignment="1">
      <alignment horizontal="center" vertical="center"/>
    </xf>
    <xf numFmtId="167" fontId="0" fillId="0" borderId="1" xfId="0" applyNumberFormat="1" applyBorder="1" applyAlignment="1">
      <alignment horizontal="center" vertical="center" wrapText="1"/>
    </xf>
    <xf numFmtId="167" fontId="0" fillId="5" borderId="1" xfId="0" applyNumberFormat="1" applyFill="1" applyBorder="1" applyAlignment="1">
      <alignment horizontal="center" vertical="center" wrapText="1"/>
    </xf>
    <xf numFmtId="167" fontId="0" fillId="0" borderId="0" xfId="0" applyNumberFormat="1" applyAlignment="1">
      <alignment vertical="top"/>
    </xf>
    <xf numFmtId="1" fontId="0" fillId="0" borderId="0" xfId="0" applyNumberFormat="1"/>
    <xf numFmtId="0" fontId="39" fillId="12" borderId="0" xfId="1" applyFill="1"/>
    <xf numFmtId="167" fontId="25" fillId="0" borderId="0" xfId="2" applyNumberFormat="1" applyFont="1" applyFill="1"/>
    <xf numFmtId="169" fontId="25" fillId="0" borderId="0" xfId="2" applyNumberFormat="1" applyFont="1" applyFill="1"/>
    <xf numFmtId="0" fontId="0" fillId="0" borderId="0" xfId="0" applyAlignment="1">
      <alignment horizontal="center" vertical="top" wrapText="1"/>
    </xf>
    <xf numFmtId="167" fontId="0" fillId="12" borderId="0" xfId="0" applyNumberFormat="1" applyFill="1" applyAlignment="1">
      <alignment horizontal="center" vertical="center" wrapText="1"/>
    </xf>
    <xf numFmtId="167" fontId="0" fillId="0" borderId="0" xfId="0" applyNumberFormat="1" applyAlignment="1">
      <alignment horizontal="center" vertical="center" wrapText="1"/>
    </xf>
    <xf numFmtId="167" fontId="14" fillId="6" borderId="1" xfId="0" applyNumberFormat="1" applyFont="1" applyFill="1" applyBorder="1" applyAlignment="1">
      <alignment horizontal="center" vertical="center" wrapText="1"/>
    </xf>
    <xf numFmtId="1" fontId="39" fillId="12" borderId="0" xfId="1" applyNumberFormat="1" applyFill="1"/>
    <xf numFmtId="0" fontId="0" fillId="0" borderId="1" xfId="0" applyBorder="1" applyAlignment="1">
      <alignment horizontal="center" vertical="center"/>
    </xf>
    <xf numFmtId="9" fontId="39" fillId="2" borderId="1" xfId="1" applyNumberFormat="1" applyBorder="1" applyAlignment="1">
      <alignment horizontal="center" vertical="center"/>
    </xf>
    <xf numFmtId="0" fontId="0" fillId="12" borderId="0" xfId="0" applyFill="1" applyAlignment="1">
      <alignment horizontal="left" vertical="center" wrapText="1"/>
    </xf>
    <xf numFmtId="0" fontId="0" fillId="12" borderId="0" xfId="0" applyFill="1" applyAlignment="1">
      <alignment vertical="top" wrapText="1"/>
    </xf>
    <xf numFmtId="9" fontId="39" fillId="12" borderId="0" xfId="1" applyNumberFormat="1" applyFill="1" applyAlignment="1">
      <alignment horizontal="center" vertical="center"/>
    </xf>
    <xf numFmtId="9" fontId="0" fillId="15" borderId="0" xfId="6" applyFont="1" applyFill="1" applyAlignment="1">
      <alignment horizontal="center" vertical="center" wrapText="1"/>
    </xf>
    <xf numFmtId="167" fontId="0" fillId="12" borderId="0" xfId="0" applyNumberFormat="1" applyFill="1"/>
    <xf numFmtId="167" fontId="14" fillId="3" borderId="1" xfId="2" applyNumberFormat="1" applyBorder="1" applyAlignment="1">
      <alignment horizontal="center" vertical="center" wrapText="1"/>
    </xf>
    <xf numFmtId="0" fontId="14" fillId="6" borderId="1" xfId="0" applyFont="1" applyFill="1" applyBorder="1" applyAlignment="1">
      <alignment horizontal="center" vertical="center"/>
    </xf>
    <xf numFmtId="167" fontId="14" fillId="6" borderId="4" xfId="0" applyNumberFormat="1" applyFont="1" applyFill="1" applyBorder="1" applyAlignment="1">
      <alignment horizontal="center" vertical="center" wrapText="1"/>
    </xf>
    <xf numFmtId="9" fontId="14" fillId="6" borderId="1" xfId="0" applyNumberFormat="1" applyFont="1" applyFill="1" applyBorder="1" applyAlignment="1">
      <alignment horizontal="center" vertical="center"/>
    </xf>
    <xf numFmtId="0" fontId="0" fillId="0" borderId="0" xfId="0" applyAlignment="1">
      <alignment horizontal="center" wrapText="1"/>
    </xf>
    <xf numFmtId="0" fontId="0" fillId="0" borderId="0" xfId="0" applyAlignment="1">
      <alignment horizontal="center" vertical="top"/>
    </xf>
    <xf numFmtId="0" fontId="0" fillId="0" borderId="0" xfId="0" applyAlignment="1">
      <alignment vertical="center"/>
    </xf>
    <xf numFmtId="0" fontId="0" fillId="0" borderId="1" xfId="0" applyBorder="1" applyAlignment="1">
      <alignment horizontal="center" wrapText="1"/>
    </xf>
    <xf numFmtId="2" fontId="0" fillId="0" borderId="1" xfId="0" applyNumberFormat="1" applyBorder="1" applyAlignment="1">
      <alignment horizontal="center" vertical="center" wrapText="1"/>
    </xf>
    <xf numFmtId="2" fontId="0" fillId="0" borderId="1" xfId="0" applyNumberFormat="1" applyBorder="1" applyAlignment="1">
      <alignment horizontal="right" vertical="center" wrapText="1"/>
    </xf>
    <xf numFmtId="0" fontId="0" fillId="9" borderId="1" xfId="0" applyFill="1" applyBorder="1" applyAlignment="1">
      <alignment horizontal="center" vertical="top" wrapText="1"/>
    </xf>
    <xf numFmtId="0" fontId="0" fillId="9" borderId="1" xfId="0" applyFill="1" applyBorder="1" applyAlignment="1">
      <alignment horizontal="left" vertical="center" wrapText="1"/>
    </xf>
    <xf numFmtId="2" fontId="0" fillId="9" borderId="1" xfId="0" applyNumberFormat="1" applyFill="1" applyBorder="1" applyAlignment="1">
      <alignment horizontal="center" vertical="center"/>
    </xf>
    <xf numFmtId="167" fontId="0" fillId="9" borderId="1" xfId="0" applyNumberFormat="1" applyFill="1" applyBorder="1" applyAlignment="1">
      <alignment horizontal="center" vertical="center" wrapText="1"/>
    </xf>
    <xf numFmtId="0" fontId="0" fillId="9" borderId="1" xfId="0" applyFill="1" applyBorder="1"/>
    <xf numFmtId="0" fontId="0" fillId="10" borderId="1" xfId="0" applyFill="1" applyBorder="1" applyAlignment="1">
      <alignment horizontal="center" vertical="top" wrapText="1"/>
    </xf>
    <xf numFmtId="2" fontId="0" fillId="0" borderId="1" xfId="0" applyNumberFormat="1" applyBorder="1" applyAlignment="1">
      <alignment horizontal="center" wrapText="1"/>
    </xf>
    <xf numFmtId="0" fontId="26" fillId="0" borderId="0" xfId="0" applyFont="1" applyAlignment="1">
      <alignment horizontal="center" wrapText="1"/>
    </xf>
    <xf numFmtId="0" fontId="0" fillId="0" borderId="1" xfId="0" applyBorder="1" applyAlignment="1">
      <alignment horizontal="left" wrapText="1"/>
    </xf>
    <xf numFmtId="3" fontId="0" fillId="0" borderId="1" xfId="0" applyNumberFormat="1" applyBorder="1" applyAlignment="1">
      <alignment horizontal="center" wrapText="1"/>
    </xf>
    <xf numFmtId="0" fontId="0" fillId="9" borderId="0" xfId="0" applyFill="1" applyAlignment="1">
      <alignment horizontal="center" wrapText="1"/>
    </xf>
    <xf numFmtId="0" fontId="0" fillId="9" borderId="1" xfId="0" applyFill="1" applyBorder="1" applyAlignment="1">
      <alignment horizontal="left" wrapText="1"/>
    </xf>
    <xf numFmtId="0" fontId="0" fillId="9" borderId="1" xfId="0" applyFill="1" applyBorder="1" applyAlignment="1">
      <alignment horizontal="center" wrapText="1"/>
    </xf>
    <xf numFmtId="3" fontId="0" fillId="9" borderId="1" xfId="0" applyNumberFormat="1" applyFill="1" applyBorder="1" applyAlignment="1">
      <alignment horizontal="center" wrapText="1"/>
    </xf>
    <xf numFmtId="0" fontId="0" fillId="18" borderId="0" xfId="0" applyFill="1" applyAlignment="1">
      <alignment horizontal="center" wrapText="1"/>
    </xf>
    <xf numFmtId="0" fontId="0" fillId="18" borderId="1" xfId="0" applyFill="1" applyBorder="1" applyAlignment="1">
      <alignment horizontal="center" wrapText="1"/>
    </xf>
    <xf numFmtId="3" fontId="0" fillId="18" borderId="1" xfId="0" applyNumberFormat="1" applyFill="1" applyBorder="1" applyAlignment="1">
      <alignment horizontal="center" wrapText="1"/>
    </xf>
    <xf numFmtId="3" fontId="0" fillId="19" borderId="1" xfId="0" applyNumberFormat="1" applyFill="1" applyBorder="1" applyAlignment="1">
      <alignment horizontal="center" wrapText="1"/>
    </xf>
    <xf numFmtId="0" fontId="0" fillId="12" borderId="1" xfId="0" applyFill="1" applyBorder="1" applyAlignment="1">
      <alignment horizontal="center" wrapText="1"/>
    </xf>
    <xf numFmtId="0" fontId="0" fillId="10" borderId="0" xfId="0" applyFill="1" applyAlignment="1">
      <alignment horizontal="center" wrapText="1"/>
    </xf>
    <xf numFmtId="0" fontId="0" fillId="10" borderId="1" xfId="0" applyFill="1" applyBorder="1" applyAlignment="1">
      <alignment horizontal="center" wrapText="1"/>
    </xf>
    <xf numFmtId="0" fontId="25" fillId="0" borderId="0" xfId="0" applyFont="1" applyAlignment="1">
      <alignment horizontal="center" wrapText="1"/>
    </xf>
    <xf numFmtId="0" fontId="25" fillId="0" borderId="1" xfId="0" applyFont="1" applyBorder="1" applyAlignment="1">
      <alignment horizontal="center" wrapText="1"/>
    </xf>
    <xf numFmtId="166" fontId="0" fillId="5" borderId="1" xfId="0" applyNumberFormat="1" applyFill="1" applyBorder="1" applyAlignment="1">
      <alignment horizontal="center" wrapText="1"/>
    </xf>
    <xf numFmtId="166" fontId="14" fillId="6" borderId="0" xfId="0" applyNumberFormat="1" applyFont="1" applyFill="1" applyAlignment="1">
      <alignment horizontal="center" wrapText="1"/>
    </xf>
    <xf numFmtId="0" fontId="28" fillId="0" borderId="0" xfId="0" applyFont="1" applyAlignment="1">
      <alignment wrapText="1"/>
    </xf>
    <xf numFmtId="0" fontId="27" fillId="0" borderId="1" xfId="0" applyFont="1" applyBorder="1" applyAlignment="1">
      <alignment wrapText="1"/>
    </xf>
    <xf numFmtId="0" fontId="27" fillId="5" borderId="1" xfId="0" applyFont="1" applyFill="1" applyBorder="1" applyAlignment="1">
      <alignment wrapText="1"/>
    </xf>
    <xf numFmtId="3" fontId="27" fillId="5" borderId="1" xfId="0" applyNumberFormat="1" applyFont="1" applyFill="1" applyBorder="1" applyAlignment="1">
      <alignment wrapText="1"/>
    </xf>
    <xf numFmtId="3" fontId="27" fillId="0" borderId="1" xfId="0" applyNumberFormat="1" applyFont="1" applyBorder="1" applyAlignment="1">
      <alignment wrapText="1"/>
    </xf>
    <xf numFmtId="0" fontId="0" fillId="9" borderId="0" xfId="0" applyFill="1" applyAlignment="1">
      <alignment wrapText="1"/>
    </xf>
    <xf numFmtId="0" fontId="27" fillId="9" borderId="1" xfId="0" applyFont="1" applyFill="1" applyBorder="1" applyAlignment="1">
      <alignment wrapText="1"/>
    </xf>
    <xf numFmtId="3" fontId="27" fillId="9" borderId="1" xfId="0" applyNumberFormat="1" applyFont="1" applyFill="1" applyBorder="1" applyAlignment="1">
      <alignment wrapText="1"/>
    </xf>
    <xf numFmtId="0" fontId="0" fillId="18" borderId="0" xfId="0" applyFill="1" applyAlignment="1">
      <alignment wrapText="1"/>
    </xf>
    <xf numFmtId="0" fontId="27" fillId="18" borderId="1" xfId="0" applyFont="1" applyFill="1" applyBorder="1" applyAlignment="1">
      <alignment wrapText="1"/>
    </xf>
    <xf numFmtId="3" fontId="27" fillId="18" borderId="1" xfId="0" applyNumberFormat="1" applyFont="1" applyFill="1" applyBorder="1" applyAlignment="1">
      <alignment wrapText="1"/>
    </xf>
    <xf numFmtId="0" fontId="27" fillId="0" borderId="1" xfId="0" applyFont="1" applyBorder="1" applyAlignment="1">
      <alignment horizontal="left" wrapText="1"/>
    </xf>
    <xf numFmtId="0" fontId="29" fillId="18" borderId="1" xfId="0" applyFont="1" applyFill="1" applyBorder="1" applyAlignment="1">
      <alignment wrapText="1"/>
    </xf>
    <xf numFmtId="0" fontId="0" fillId="10" borderId="0" xfId="0" applyFill="1" applyAlignment="1">
      <alignment wrapText="1"/>
    </xf>
    <xf numFmtId="3" fontId="27" fillId="10" borderId="1" xfId="0" applyNumberFormat="1" applyFont="1" applyFill="1" applyBorder="1" applyAlignment="1">
      <alignment wrapText="1"/>
    </xf>
    <xf numFmtId="0" fontId="25" fillId="0" borderId="0" xfId="0" applyFont="1" applyAlignment="1">
      <alignment wrapText="1"/>
    </xf>
    <xf numFmtId="166" fontId="27" fillId="0" borderId="1" xfId="0" applyNumberFormat="1" applyFont="1" applyBorder="1" applyAlignment="1">
      <alignment wrapText="1"/>
    </xf>
    <xf numFmtId="3" fontId="0" fillId="0" borderId="0" xfId="0" applyNumberFormat="1" applyAlignment="1">
      <alignment wrapText="1"/>
    </xf>
    <xf numFmtId="0" fontId="0" fillId="10" borderId="1" xfId="0" applyFill="1" applyBorder="1" applyAlignment="1">
      <alignment wrapText="1"/>
    </xf>
    <xf numFmtId="0" fontId="0" fillId="0" borderId="1" xfId="0" applyBorder="1" applyAlignment="1">
      <alignment wrapText="1"/>
    </xf>
    <xf numFmtId="10" fontId="0" fillId="5" borderId="1" xfId="0" applyNumberFormat="1" applyFill="1" applyBorder="1" applyAlignment="1">
      <alignment wrapText="1"/>
    </xf>
    <xf numFmtId="0" fontId="28" fillId="0" borderId="1" xfId="0" applyFont="1" applyBorder="1" applyAlignment="1">
      <alignment wrapText="1"/>
    </xf>
    <xf numFmtId="3" fontId="0" fillId="0" borderId="1" xfId="0" applyNumberFormat="1" applyBorder="1" applyAlignment="1">
      <alignment wrapText="1"/>
    </xf>
    <xf numFmtId="9" fontId="0" fillId="0" borderId="1" xfId="0" applyNumberFormat="1" applyBorder="1" applyAlignment="1">
      <alignment wrapText="1"/>
    </xf>
    <xf numFmtId="3" fontId="0" fillId="12" borderId="1" xfId="0" applyNumberFormat="1" applyFill="1" applyBorder="1" applyAlignment="1">
      <alignment wrapText="1"/>
    </xf>
    <xf numFmtId="9" fontId="0" fillId="5" borderId="1" xfId="0" applyNumberFormat="1" applyFill="1" applyBorder="1" applyAlignment="1">
      <alignment wrapText="1"/>
    </xf>
    <xf numFmtId="164" fontId="0" fillId="0" borderId="1" xfId="0" applyNumberFormat="1" applyBorder="1" applyAlignment="1">
      <alignment wrapText="1"/>
    </xf>
    <xf numFmtId="2" fontId="0" fillId="0" borderId="0" xfId="0" applyNumberFormat="1" applyAlignment="1">
      <alignment wrapText="1"/>
    </xf>
    <xf numFmtId="49" fontId="0" fillId="0" borderId="1" xfId="0" applyNumberFormat="1" applyBorder="1" applyAlignment="1">
      <alignment wrapText="1"/>
    </xf>
    <xf numFmtId="164" fontId="17" fillId="0" borderId="1" xfId="0" applyNumberFormat="1" applyFont="1" applyBorder="1" applyAlignment="1">
      <alignment wrapText="1"/>
    </xf>
    <xf numFmtId="164" fontId="0" fillId="7" borderId="1" xfId="0" applyNumberFormat="1" applyFill="1" applyBorder="1" applyAlignment="1">
      <alignment wrapText="1"/>
    </xf>
    <xf numFmtId="4" fontId="0" fillId="0" borderId="1" xfId="0" applyNumberFormat="1" applyBorder="1" applyAlignment="1">
      <alignment wrapText="1"/>
    </xf>
    <xf numFmtId="4" fontId="0" fillId="12" borderId="1" xfId="0" applyNumberFormat="1" applyFill="1" applyBorder="1" applyAlignment="1">
      <alignment wrapText="1"/>
    </xf>
    <xf numFmtId="2" fontId="25" fillId="0" borderId="0" xfId="0" applyNumberFormat="1" applyFont="1" applyAlignment="1">
      <alignment vertical="top" wrapText="1"/>
    </xf>
    <xf numFmtId="0" fontId="25" fillId="0" borderId="0" xfId="0" applyFont="1" applyAlignment="1">
      <alignment vertical="top" wrapText="1"/>
    </xf>
    <xf numFmtId="4" fontId="30" fillId="6" borderId="0" xfId="0" applyNumberFormat="1" applyFont="1" applyFill="1"/>
    <xf numFmtId="170" fontId="0" fillId="0" borderId="0" xfId="0" applyNumberFormat="1"/>
    <xf numFmtId="2" fontId="0" fillId="0" borderId="0" xfId="0" applyNumberFormat="1"/>
    <xf numFmtId="2" fontId="25" fillId="0" borderId="0" xfId="0" applyNumberFormat="1" applyFont="1" applyAlignment="1">
      <alignment horizontal="center" wrapText="1"/>
    </xf>
    <xf numFmtId="167" fontId="31" fillId="0" borderId="0" xfId="0" applyNumberFormat="1" applyFont="1" applyAlignment="1">
      <alignment vertical="top" wrapText="1"/>
    </xf>
    <xf numFmtId="167" fontId="31" fillId="0" borderId="0" xfId="0" applyNumberFormat="1" applyFont="1" applyAlignment="1">
      <alignment horizontal="center" vertical="top" wrapText="1"/>
    </xf>
    <xf numFmtId="167" fontId="25" fillId="0" borderId="0" xfId="0" applyNumberFormat="1" applyFont="1" applyAlignment="1">
      <alignment horizontal="center" wrapText="1"/>
    </xf>
    <xf numFmtId="167" fontId="32" fillId="0" borderId="0" xfId="0" applyNumberFormat="1" applyFont="1" applyAlignment="1">
      <alignment vertical="top" wrapText="1"/>
    </xf>
    <xf numFmtId="167" fontId="19" fillId="0" borderId="0" xfId="0" applyNumberFormat="1" applyFont="1" applyAlignment="1">
      <alignment vertical="top" wrapText="1"/>
    </xf>
    <xf numFmtId="171" fontId="31" fillId="0" borderId="0" xfId="0" applyNumberFormat="1" applyFont="1" applyAlignment="1">
      <alignment horizontal="right" vertical="top" wrapText="1"/>
    </xf>
    <xf numFmtId="167" fontId="19" fillId="0" borderId="0" xfId="0" applyNumberFormat="1" applyFont="1" applyAlignment="1">
      <alignment vertical="top"/>
    </xf>
    <xf numFmtId="167" fontId="0" fillId="0" borderId="0" xfId="0" applyNumberFormat="1" applyAlignment="1">
      <alignment vertical="top" wrapText="1"/>
    </xf>
    <xf numFmtId="167" fontId="0" fillId="0" borderId="0" xfId="0" applyNumberFormat="1" applyAlignment="1">
      <alignment horizontal="right"/>
    </xf>
    <xf numFmtId="167" fontId="17" fillId="20" borderId="0" xfId="0" applyNumberFormat="1" applyFont="1" applyFill="1" applyAlignment="1">
      <alignment wrapText="1"/>
    </xf>
    <xf numFmtId="2" fontId="25" fillId="0" borderId="0" xfId="0" applyNumberFormat="1" applyFont="1" applyAlignment="1">
      <alignment horizontal="center" vertical="top" wrapText="1"/>
    </xf>
    <xf numFmtId="167" fontId="0" fillId="12" borderId="1" xfId="5" applyNumberFormat="1" applyFont="1" applyFill="1" applyBorder="1" applyAlignment="1">
      <alignment wrapText="1"/>
    </xf>
    <xf numFmtId="3" fontId="0" fillId="0" borderId="18" xfId="0" applyNumberFormat="1" applyBorder="1"/>
    <xf numFmtId="3" fontId="0" fillId="0" borderId="1" xfId="0" applyNumberFormat="1" applyBorder="1"/>
    <xf numFmtId="3" fontId="0" fillId="0" borderId="19" xfId="0" applyNumberFormat="1" applyBorder="1"/>
    <xf numFmtId="3" fontId="0" fillId="0" borderId="20" xfId="0" applyNumberFormat="1" applyBorder="1"/>
    <xf numFmtId="167" fontId="0" fillId="12" borderId="1" xfId="5" applyNumberFormat="1" applyFont="1" applyFill="1" applyBorder="1"/>
    <xf numFmtId="3" fontId="0" fillId="0" borderId="18" xfId="0" applyNumberFormat="1" applyBorder="1" applyAlignment="1">
      <alignment wrapText="1"/>
    </xf>
    <xf numFmtId="3" fontId="0" fillId="0" borderId="22" xfId="0" applyNumberFormat="1" applyBorder="1" applyAlignment="1">
      <alignment wrapText="1"/>
    </xf>
    <xf numFmtId="3" fontId="0" fillId="0" borderId="23" xfId="0" applyNumberFormat="1" applyBorder="1"/>
    <xf numFmtId="3" fontId="0" fillId="0" borderId="24" xfId="0" applyNumberFormat="1" applyBorder="1"/>
    <xf numFmtId="0" fontId="18" fillId="0" borderId="0" xfId="0" applyFont="1" applyAlignment="1">
      <alignment horizontal="center" vertical="center"/>
    </xf>
    <xf numFmtId="0" fontId="18" fillId="0" borderId="0" xfId="0" applyFont="1" applyAlignment="1">
      <alignment horizontal="left" vertical="center" wrapText="1"/>
    </xf>
    <xf numFmtId="0" fontId="18" fillId="0" borderId="1" xfId="0" applyFont="1" applyBorder="1" applyAlignment="1">
      <alignment horizontal="left" vertical="center" wrapText="1"/>
    </xf>
    <xf numFmtId="0" fontId="18" fillId="0" borderId="1" xfId="0" applyFont="1" applyBorder="1" applyAlignment="1">
      <alignment horizontal="center" vertical="center" wrapText="1"/>
    </xf>
    <xf numFmtId="2" fontId="18" fillId="0" borderId="1" xfId="0" applyNumberFormat="1" applyFont="1" applyBorder="1" applyAlignment="1">
      <alignment horizontal="center" vertical="center"/>
    </xf>
    <xf numFmtId="4" fontId="18" fillId="12" borderId="1" xfId="0" applyNumberFormat="1" applyFont="1" applyFill="1" applyBorder="1" applyAlignment="1">
      <alignment horizontal="center" vertical="center" wrapText="1"/>
    </xf>
    <xf numFmtId="4" fontId="18" fillId="12" borderId="1" xfId="0" applyNumberFormat="1" applyFont="1" applyFill="1" applyBorder="1" applyAlignment="1">
      <alignment horizontal="center" vertical="center"/>
    </xf>
    <xf numFmtId="166" fontId="18" fillId="0" borderId="1" xfId="0" applyNumberFormat="1" applyFont="1" applyBorder="1" applyAlignment="1">
      <alignment horizontal="center" vertical="center" wrapText="1"/>
    </xf>
    <xf numFmtId="4" fontId="18" fillId="0" borderId="1" xfId="0" applyNumberFormat="1" applyFont="1" applyBorder="1" applyAlignment="1">
      <alignment horizontal="center" vertical="center" wrapText="1"/>
    </xf>
    <xf numFmtId="4" fontId="18" fillId="0" borderId="1" xfId="0" applyNumberFormat="1" applyFont="1" applyBorder="1" applyAlignment="1">
      <alignment horizontal="center" vertical="center"/>
    </xf>
    <xf numFmtId="0" fontId="18" fillId="0" borderId="1" xfId="0" applyFont="1" applyBorder="1" applyAlignment="1">
      <alignment horizontal="center" vertical="center"/>
    </xf>
    <xf numFmtId="2" fontId="18" fillId="0" borderId="0" xfId="0" applyNumberFormat="1" applyFont="1" applyAlignment="1">
      <alignment horizontal="center" vertical="center"/>
    </xf>
    <xf numFmtId="4" fontId="18" fillId="0" borderId="0" xfId="0" applyNumberFormat="1" applyFont="1" applyAlignment="1">
      <alignment horizontal="center" vertical="center"/>
    </xf>
    <xf numFmtId="1" fontId="0" fillId="12" borderId="0" xfId="0" applyNumberFormat="1" applyFill="1"/>
    <xf numFmtId="0" fontId="0" fillId="21" borderId="0" xfId="0" applyFill="1"/>
    <xf numFmtId="0" fontId="0" fillId="22" borderId="0" xfId="0" applyFill="1"/>
    <xf numFmtId="4" fontId="34" fillId="12" borderId="1" xfId="0" applyNumberFormat="1" applyFont="1" applyFill="1" applyBorder="1" applyAlignment="1">
      <alignment horizontal="left" vertical="center" wrapText="1"/>
    </xf>
    <xf numFmtId="3" fontId="34" fillId="13" borderId="1" xfId="0" applyNumberFormat="1" applyFont="1" applyFill="1" applyBorder="1" applyAlignment="1">
      <alignment horizontal="center" vertical="center" wrapText="1"/>
    </xf>
    <xf numFmtId="10" fontId="34" fillId="23" borderId="1" xfId="0" applyNumberFormat="1" applyFont="1" applyFill="1" applyBorder="1" applyAlignment="1">
      <alignment horizontal="center" vertical="center" wrapText="1"/>
    </xf>
    <xf numFmtId="3" fontId="34" fillId="23" borderId="1" xfId="0" applyNumberFormat="1" applyFont="1" applyFill="1" applyBorder="1" applyAlignment="1">
      <alignment horizontal="center" vertical="center" wrapText="1"/>
    </xf>
    <xf numFmtId="3" fontId="34" fillId="12" borderId="1" xfId="0" applyNumberFormat="1" applyFont="1" applyFill="1" applyBorder="1" applyAlignment="1">
      <alignment horizontal="center" vertical="center" wrapText="1"/>
    </xf>
    <xf numFmtId="4" fontId="34" fillId="12" borderId="1" xfId="0" applyNumberFormat="1" applyFont="1" applyFill="1" applyBorder="1" applyAlignment="1">
      <alignment horizontal="center" vertical="center" wrapText="1"/>
    </xf>
    <xf numFmtId="4" fontId="34" fillId="12" borderId="2" xfId="0" applyNumberFormat="1" applyFont="1" applyFill="1" applyBorder="1" applyAlignment="1">
      <alignment horizontal="center" vertical="center" wrapText="1"/>
    </xf>
    <xf numFmtId="1" fontId="34" fillId="13" borderId="5" xfId="0" applyNumberFormat="1" applyFont="1" applyFill="1" applyBorder="1" applyAlignment="1">
      <alignment horizontal="center" vertical="center" wrapText="1"/>
    </xf>
    <xf numFmtId="4" fontId="34" fillId="12" borderId="6" xfId="0" applyNumberFormat="1" applyFont="1" applyFill="1" applyBorder="1" applyAlignment="1">
      <alignment horizontal="center" vertical="center" wrapText="1"/>
    </xf>
    <xf numFmtId="1" fontId="34" fillId="13" borderId="1" xfId="0" applyNumberFormat="1" applyFont="1" applyFill="1" applyBorder="1" applyAlignment="1">
      <alignment horizontal="center" vertical="center" wrapText="1"/>
    </xf>
    <xf numFmtId="4" fontId="34" fillId="21" borderId="1" xfId="0" applyNumberFormat="1" applyFont="1" applyFill="1" applyBorder="1" applyAlignment="1">
      <alignment vertical="center" wrapText="1"/>
    </xf>
    <xf numFmtId="1" fontId="0" fillId="13" borderId="0" xfId="0" applyNumberFormat="1" applyFill="1"/>
    <xf numFmtId="4" fontId="0" fillId="21" borderId="0" xfId="0" applyNumberFormat="1" applyFill="1"/>
    <xf numFmtId="4" fontId="0" fillId="22" borderId="0" xfId="0" applyNumberFormat="1" applyFill="1"/>
    <xf numFmtId="0" fontId="18" fillId="0" borderId="0" xfId="0" applyFont="1" applyAlignment="1">
      <alignment horizontal="center" vertical="center" wrapText="1"/>
    </xf>
    <xf numFmtId="0" fontId="18" fillId="12" borderId="0" xfId="0" applyFont="1" applyFill="1" applyAlignment="1">
      <alignment horizontal="center" vertical="center"/>
    </xf>
    <xf numFmtId="167" fontId="0" fillId="0" borderId="1" xfId="0" applyNumberFormat="1" applyBorder="1" applyAlignment="1">
      <alignment horizontal="left" vertical="center" wrapText="1"/>
    </xf>
    <xf numFmtId="167" fontId="0" fillId="0" borderId="1" xfId="0" applyNumberFormat="1" applyBorder="1" applyAlignment="1">
      <alignment horizontal="center" vertical="center"/>
    </xf>
    <xf numFmtId="167" fontId="0" fillId="13" borderId="1" xfId="0" applyNumberFormat="1" applyFill="1" applyBorder="1" applyAlignment="1">
      <alignment horizontal="center" vertical="center" wrapText="1"/>
    </xf>
    <xf numFmtId="167" fontId="0" fillId="12" borderId="1" xfId="0" applyNumberFormat="1" applyFill="1" applyBorder="1" applyAlignment="1">
      <alignment horizontal="center" vertical="center" wrapText="1"/>
    </xf>
    <xf numFmtId="167" fontId="0" fillId="12" borderId="1" xfId="0" applyNumberFormat="1" applyFill="1" applyBorder="1" applyAlignment="1">
      <alignment horizontal="center" vertical="center"/>
    </xf>
    <xf numFmtId="167" fontId="0" fillId="13" borderId="1" xfId="0" applyNumberFormat="1" applyFill="1" applyBorder="1" applyAlignment="1">
      <alignment horizontal="center" vertical="center"/>
    </xf>
    <xf numFmtId="167" fontId="17" fillId="0" borderId="1" xfId="0" applyNumberFormat="1" applyFont="1" applyBorder="1" applyAlignment="1">
      <alignment horizontal="left" vertical="center" wrapText="1"/>
    </xf>
    <xf numFmtId="0" fontId="35" fillId="0" borderId="0" xfId="0" applyFont="1" applyAlignment="1">
      <alignment horizontal="center" vertical="center"/>
    </xf>
    <xf numFmtId="164" fontId="18" fillId="0" borderId="1" xfId="0" applyNumberFormat="1" applyFont="1" applyBorder="1" applyAlignment="1">
      <alignment horizontal="left" vertical="center" wrapText="1"/>
    </xf>
    <xf numFmtId="164" fontId="18" fillId="0" borderId="1" xfId="0" applyNumberFormat="1" applyFont="1" applyBorder="1" applyAlignment="1">
      <alignment horizontal="center" vertical="center"/>
    </xf>
    <xf numFmtId="167" fontId="18" fillId="0" borderId="1" xfId="0" applyNumberFormat="1" applyFont="1" applyBorder="1" applyAlignment="1">
      <alignment horizontal="center" vertical="center"/>
    </xf>
    <xf numFmtId="167" fontId="18" fillId="0" borderId="1" xfId="0" applyNumberFormat="1" applyFont="1" applyBorder="1" applyAlignment="1">
      <alignment horizontal="center" vertical="center" wrapText="1"/>
    </xf>
    <xf numFmtId="167" fontId="35" fillId="0" borderId="0" xfId="0" applyNumberFormat="1" applyFont="1" applyAlignment="1">
      <alignment horizontal="center" vertical="center" wrapText="1"/>
    </xf>
    <xf numFmtId="0" fontId="36" fillId="0" borderId="0" xfId="0" applyFont="1" applyAlignment="1">
      <alignment horizontal="center" vertical="center" wrapText="1"/>
    </xf>
    <xf numFmtId="167" fontId="18" fillId="24" borderId="1" xfId="0" applyNumberFormat="1" applyFont="1" applyFill="1" applyBorder="1" applyAlignment="1">
      <alignment horizontal="center" vertical="center"/>
    </xf>
    <xf numFmtId="167" fontId="18" fillId="24" borderId="1" xfId="0" applyNumberFormat="1" applyFont="1" applyFill="1" applyBorder="1" applyAlignment="1">
      <alignment horizontal="center" vertical="center" wrapText="1"/>
    </xf>
    <xf numFmtId="164" fontId="18" fillId="0" borderId="1" xfId="0" applyNumberFormat="1" applyFont="1" applyBorder="1" applyAlignment="1">
      <alignment horizontal="center" vertical="center" wrapText="1"/>
    </xf>
    <xf numFmtId="164" fontId="35" fillId="0" borderId="0" xfId="0" applyNumberFormat="1" applyFont="1" applyAlignment="1">
      <alignment horizontal="center" vertical="center" wrapText="1"/>
    </xf>
    <xf numFmtId="164" fontId="18" fillId="0" borderId="0" xfId="0" applyNumberFormat="1" applyFont="1" applyAlignment="1">
      <alignment horizontal="center" vertical="center"/>
    </xf>
    <xf numFmtId="164" fontId="18" fillId="0" borderId="2" xfId="0" applyNumberFormat="1" applyFont="1" applyBorder="1" applyAlignment="1">
      <alignment horizontal="left" vertical="center" wrapText="1"/>
    </xf>
    <xf numFmtId="4" fontId="18" fillId="10" borderId="2" xfId="0" applyNumberFormat="1" applyFont="1" applyFill="1" applyBorder="1" applyAlignment="1">
      <alignment horizontal="center" vertical="center"/>
    </xf>
    <xf numFmtId="4" fontId="18" fillId="0" borderId="0" xfId="0" applyNumberFormat="1" applyFont="1" applyAlignment="1">
      <alignment horizontal="center" vertical="center" wrapText="1"/>
    </xf>
    <xf numFmtId="4" fontId="35" fillId="0" borderId="0" xfId="0" applyNumberFormat="1" applyFont="1" applyAlignment="1">
      <alignment horizontal="center" vertical="center"/>
    </xf>
    <xf numFmtId="4" fontId="37" fillId="6" borderId="0" xfId="0" applyNumberFormat="1" applyFont="1" applyFill="1" applyAlignment="1">
      <alignment horizontal="center" vertical="center"/>
    </xf>
    <xf numFmtId="167" fontId="18" fillId="0" borderId="11" xfId="0" applyNumberFormat="1" applyFont="1" applyBorder="1" applyAlignment="1">
      <alignment horizontal="center" vertical="center" wrapText="1"/>
    </xf>
    <xf numFmtId="4" fontId="18" fillId="0" borderId="11" xfId="0" applyNumberFormat="1" applyFont="1" applyBorder="1" applyAlignment="1">
      <alignment horizontal="center" vertical="center" wrapText="1"/>
    </xf>
    <xf numFmtId="0" fontId="35" fillId="12" borderId="0" xfId="0" applyFont="1" applyFill="1" applyAlignment="1">
      <alignment horizontal="center" vertical="center"/>
    </xf>
    <xf numFmtId="0" fontId="18" fillId="12" borderId="1" xfId="0" applyFont="1" applyFill="1" applyBorder="1" applyAlignment="1">
      <alignment horizontal="left" vertical="center" wrapText="1"/>
    </xf>
    <xf numFmtId="0" fontId="18" fillId="12" borderId="11" xfId="0" applyFont="1" applyFill="1" applyBorder="1" applyAlignment="1">
      <alignment horizontal="left" vertical="center" wrapText="1"/>
    </xf>
    <xf numFmtId="4" fontId="35" fillId="12" borderId="11" xfId="0" applyNumberFormat="1" applyFont="1" applyFill="1" applyBorder="1" applyAlignment="1">
      <alignment horizontal="center" vertical="center" wrapText="1"/>
    </xf>
    <xf numFmtId="167" fontId="35" fillId="0" borderId="11" xfId="0" applyNumberFormat="1" applyFont="1" applyBorder="1" applyAlignment="1">
      <alignment horizontal="center" vertical="center" wrapText="1"/>
    </xf>
    <xf numFmtId="167" fontId="35" fillId="12" borderId="11" xfId="0" applyNumberFormat="1" applyFont="1" applyFill="1" applyBorder="1" applyAlignment="1">
      <alignment horizontal="center" vertical="center" wrapText="1"/>
    </xf>
    <xf numFmtId="164" fontId="18" fillId="12" borderId="11" xfId="0" applyNumberFormat="1" applyFont="1" applyFill="1" applyBorder="1" applyAlignment="1">
      <alignment horizontal="center" vertical="center" wrapText="1"/>
    </xf>
    <xf numFmtId="167" fontId="18" fillId="12" borderId="11" xfId="0" applyNumberFormat="1" applyFont="1" applyFill="1" applyBorder="1" applyAlignment="1">
      <alignment horizontal="center" vertical="center" wrapText="1"/>
    </xf>
    <xf numFmtId="167" fontId="18" fillId="12" borderId="1" xfId="0" applyNumberFormat="1" applyFont="1" applyFill="1" applyBorder="1" applyAlignment="1">
      <alignment horizontal="center" vertical="center" wrapText="1"/>
    </xf>
    <xf numFmtId="167" fontId="18" fillId="13" borderId="11" xfId="0" applyNumberFormat="1" applyFont="1" applyFill="1" applyBorder="1" applyAlignment="1">
      <alignment horizontal="center" vertical="center" wrapText="1"/>
    </xf>
    <xf numFmtId="2" fontId="18" fillId="12" borderId="11" xfId="0" applyNumberFormat="1" applyFont="1" applyFill="1" applyBorder="1" applyAlignment="1">
      <alignment horizontal="center" vertical="center" wrapText="1"/>
    </xf>
    <xf numFmtId="2" fontId="18" fillId="0" borderId="11" xfId="0" applyNumberFormat="1" applyFont="1" applyBorder="1" applyAlignment="1">
      <alignment horizontal="center" vertical="center"/>
    </xf>
    <xf numFmtId="167" fontId="18" fillId="0" borderId="11" xfId="0" applyNumberFormat="1" applyFont="1" applyBorder="1" applyAlignment="1">
      <alignment horizontal="center" vertical="center"/>
    </xf>
    <xf numFmtId="2" fontId="33" fillId="0" borderId="11" xfId="0" applyNumberFormat="1" applyFont="1" applyBorder="1" applyAlignment="1">
      <alignment horizontal="center" vertical="center" wrapText="1"/>
    </xf>
    <xf numFmtId="167" fontId="33" fillId="0" borderId="11" xfId="0" applyNumberFormat="1" applyFont="1" applyBorder="1" applyAlignment="1">
      <alignment horizontal="center" vertical="center" wrapText="1"/>
    </xf>
    <xf numFmtId="167" fontId="33" fillId="0" borderId="1" xfId="0" applyNumberFormat="1" applyFont="1" applyBorder="1" applyAlignment="1">
      <alignment horizontal="center" vertical="center" wrapText="1"/>
    </xf>
    <xf numFmtId="167" fontId="18" fillId="0" borderId="0" xfId="0" applyNumberFormat="1" applyFont="1" applyAlignment="1">
      <alignment horizontal="center" vertical="center"/>
    </xf>
    <xf numFmtId="167" fontId="18" fillId="12" borderId="0" xfId="0" applyNumberFormat="1" applyFont="1" applyFill="1" applyAlignment="1">
      <alignment horizontal="center" vertical="center"/>
    </xf>
    <xf numFmtId="167" fontId="18" fillId="0" borderId="0" xfId="0" applyNumberFormat="1" applyFont="1" applyAlignment="1">
      <alignment horizontal="left" vertical="center"/>
    </xf>
    <xf numFmtId="168" fontId="18" fillId="0" borderId="1" xfId="0" applyNumberFormat="1" applyFont="1" applyBorder="1" applyAlignment="1">
      <alignment horizontal="left" vertical="center" wrapText="1"/>
    </xf>
    <xf numFmtId="4" fontId="18" fillId="0" borderId="11" xfId="0" applyNumberFormat="1" applyFont="1" applyBorder="1" applyAlignment="1">
      <alignment horizontal="center" vertical="center"/>
    </xf>
    <xf numFmtId="4" fontId="18" fillId="12" borderId="11" xfId="0" applyNumberFormat="1" applyFont="1" applyFill="1" applyBorder="1" applyAlignment="1">
      <alignment horizontal="center" vertical="center"/>
    </xf>
    <xf numFmtId="167" fontId="18" fillId="12" borderId="1" xfId="0" applyNumberFormat="1" applyFont="1" applyFill="1" applyBorder="1" applyAlignment="1">
      <alignment horizontal="center" vertical="center"/>
    </xf>
    <xf numFmtId="167" fontId="35" fillId="0" borderId="0" xfId="0" applyNumberFormat="1" applyFont="1" applyAlignment="1">
      <alignment horizontal="center" vertical="center"/>
    </xf>
    <xf numFmtId="167" fontId="18" fillId="0" borderId="0" xfId="0" applyNumberFormat="1" applyFont="1" applyAlignment="1">
      <alignment horizontal="left" vertical="center" wrapText="1"/>
    </xf>
    <xf numFmtId="168" fontId="18" fillId="0" borderId="0" xfId="0" applyNumberFormat="1" applyFont="1" applyAlignment="1">
      <alignment horizontal="left" vertical="center" wrapText="1"/>
    </xf>
    <xf numFmtId="168" fontId="18" fillId="0" borderId="0" xfId="0" applyNumberFormat="1" applyFont="1" applyAlignment="1">
      <alignment horizontal="center" vertical="center"/>
    </xf>
    <xf numFmtId="10" fontId="18" fillId="0" borderId="0" xfId="0" applyNumberFormat="1" applyFont="1" applyAlignment="1">
      <alignment horizontal="center" vertical="center"/>
    </xf>
    <xf numFmtId="166" fontId="18" fillId="0" borderId="0" xfId="0" applyNumberFormat="1" applyFont="1" applyAlignment="1">
      <alignment horizontal="center" vertical="center"/>
    </xf>
    <xf numFmtId="9" fontId="18" fillId="0" borderId="0" xfId="0" applyNumberFormat="1" applyFont="1" applyAlignment="1">
      <alignment horizontal="center" vertical="center"/>
    </xf>
    <xf numFmtId="0" fontId="15" fillId="0" borderId="0" xfId="3" applyAlignment="1" applyProtection="1">
      <alignment horizontal="justify"/>
    </xf>
    <xf numFmtId="0" fontId="38" fillId="0" borderId="0" xfId="0" applyFont="1" applyAlignment="1">
      <alignment horizontal="justify"/>
    </xf>
    <xf numFmtId="1" fontId="0" fillId="0" borderId="0" xfId="0" applyNumberFormat="1" applyAlignment="1">
      <alignment vertical="top"/>
    </xf>
    <xf numFmtId="0" fontId="0" fillId="0" borderId="0" xfId="0" applyAlignment="1">
      <alignment vertical="top"/>
    </xf>
    <xf numFmtId="1" fontId="0" fillId="0" borderId="0" xfId="0" applyNumberFormat="1" applyAlignment="1">
      <alignment horizontal="center" vertical="top"/>
    </xf>
    <xf numFmtId="9" fontId="0" fillId="0" borderId="0" xfId="0" applyNumberFormat="1" applyAlignment="1">
      <alignment horizontal="center" vertical="top"/>
    </xf>
    <xf numFmtId="0" fontId="18" fillId="0" borderId="0" xfId="0" applyFont="1" applyAlignment="1">
      <alignment horizontal="center" vertical="top" wrapText="1"/>
    </xf>
    <xf numFmtId="0" fontId="18" fillId="0" borderId="0" xfId="0" applyFont="1" applyAlignment="1">
      <alignment horizontal="right" vertical="top" wrapText="1"/>
    </xf>
    <xf numFmtId="1" fontId="0" fillId="0" borderId="0" xfId="0" applyNumberFormat="1" applyAlignment="1">
      <alignment horizontal="left" vertical="center" wrapText="1"/>
    </xf>
    <xf numFmtId="2" fontId="18" fillId="0" borderId="0" xfId="0" applyNumberFormat="1" applyFont="1" applyAlignment="1">
      <alignment horizontal="center" vertical="center" wrapText="1"/>
    </xf>
    <xf numFmtId="2" fontId="0" fillId="0" borderId="0" xfId="0" applyNumberFormat="1" applyAlignment="1">
      <alignment horizontal="left" vertical="center" wrapText="1"/>
    </xf>
    <xf numFmtId="0" fontId="0" fillId="0" borderId="1" xfId="0" applyBorder="1"/>
    <xf numFmtId="0" fontId="0" fillId="25" borderId="1" xfId="0" applyFill="1" applyBorder="1"/>
    <xf numFmtId="0" fontId="0" fillId="7" borderId="1" xfId="0" applyFill="1" applyBorder="1"/>
    <xf numFmtId="0" fontId="0" fillId="26" borderId="1" xfId="0" applyFill="1" applyBorder="1"/>
    <xf numFmtId="0" fontId="0" fillId="27" borderId="1" xfId="0" applyFill="1" applyBorder="1"/>
    <xf numFmtId="0" fontId="0" fillId="28" borderId="0" xfId="0" applyFill="1"/>
    <xf numFmtId="0" fontId="13" fillId="0" borderId="0" xfId="0" applyFont="1"/>
    <xf numFmtId="0" fontId="0" fillId="31" borderId="0" xfId="0" applyFill="1"/>
    <xf numFmtId="0" fontId="13" fillId="31" borderId="0" xfId="0" applyFont="1" applyFill="1"/>
    <xf numFmtId="167" fontId="0" fillId="7" borderId="1" xfId="0" applyNumberFormat="1" applyFill="1" applyBorder="1" applyAlignment="1">
      <alignment wrapText="1"/>
    </xf>
    <xf numFmtId="167" fontId="0" fillId="0" borderId="1" xfId="0" applyNumberFormat="1" applyBorder="1" applyAlignment="1">
      <alignment horizontal="right" wrapText="1"/>
    </xf>
    <xf numFmtId="167" fontId="0" fillId="0" borderId="1" xfId="0" applyNumberFormat="1" applyBorder="1" applyAlignment="1">
      <alignment wrapText="1"/>
    </xf>
    <xf numFmtId="167" fontId="0" fillId="0" borderId="5" xfId="0" applyNumberFormat="1" applyBorder="1" applyAlignment="1">
      <alignment wrapText="1"/>
    </xf>
    <xf numFmtId="167" fontId="24" fillId="0" borderId="1" xfId="0" applyNumberFormat="1" applyFont="1" applyBorder="1" applyAlignment="1">
      <alignment wrapText="1"/>
    </xf>
    <xf numFmtId="167" fontId="24" fillId="0" borderId="5" xfId="0" applyNumberFormat="1" applyFont="1" applyBorder="1" applyAlignment="1">
      <alignment wrapText="1"/>
    </xf>
    <xf numFmtId="167" fontId="18" fillId="33" borderId="11" xfId="0" applyNumberFormat="1" applyFont="1" applyFill="1" applyBorder="1" applyAlignment="1">
      <alignment horizontal="center" vertical="center" wrapText="1"/>
    </xf>
    <xf numFmtId="0" fontId="0" fillId="34" borderId="1" xfId="0" applyFill="1" applyBorder="1"/>
    <xf numFmtId="0" fontId="19" fillId="35" borderId="1" xfId="0" applyFont="1" applyFill="1" applyBorder="1"/>
    <xf numFmtId="4" fontId="19" fillId="30" borderId="1" xfId="0" applyNumberFormat="1" applyFont="1" applyFill="1" applyBorder="1"/>
    <xf numFmtId="4" fontId="19" fillId="31" borderId="1" xfId="0" applyNumberFormat="1" applyFont="1" applyFill="1" applyBorder="1"/>
    <xf numFmtId="0" fontId="13" fillId="0" borderId="5" xfId="0" applyFont="1" applyBorder="1" applyAlignment="1">
      <alignment wrapText="1"/>
    </xf>
    <xf numFmtId="0" fontId="13" fillId="0" borderId="1" xfId="0" applyFont="1" applyBorder="1" applyAlignment="1">
      <alignment horizontal="left"/>
    </xf>
    <xf numFmtId="0" fontId="13" fillId="0" borderId="1" xfId="0" applyFont="1" applyBorder="1"/>
    <xf numFmtId="0" fontId="47" fillId="4" borderId="1" xfId="5" applyFont="1" applyBorder="1"/>
    <xf numFmtId="4" fontId="13" fillId="0" borderId="1" xfId="0" applyNumberFormat="1" applyFont="1" applyBorder="1"/>
    <xf numFmtId="4" fontId="13" fillId="12" borderId="1" xfId="0" applyNumberFormat="1" applyFont="1" applyFill="1" applyBorder="1"/>
    <xf numFmtId="4" fontId="42" fillId="0" borderId="1" xfId="0" applyNumberFormat="1" applyFont="1" applyBorder="1"/>
    <xf numFmtId="4" fontId="13" fillId="0" borderId="0" xfId="0" applyNumberFormat="1" applyFont="1"/>
    <xf numFmtId="167" fontId="13" fillId="0" borderId="0" xfId="0" applyNumberFormat="1" applyFont="1"/>
    <xf numFmtId="4" fontId="13" fillId="16" borderId="1" xfId="0" applyNumberFormat="1" applyFont="1" applyFill="1" applyBorder="1"/>
    <xf numFmtId="4" fontId="42" fillId="13" borderId="1" xfId="0" applyNumberFormat="1" applyFont="1" applyFill="1" applyBorder="1"/>
    <xf numFmtId="0" fontId="13" fillId="0" borderId="1" xfId="0" applyFont="1" applyBorder="1" applyAlignment="1">
      <alignment wrapText="1"/>
    </xf>
    <xf numFmtId="2" fontId="13" fillId="0" borderId="1" xfId="0" applyNumberFormat="1" applyFont="1" applyBorder="1"/>
    <xf numFmtId="4" fontId="13" fillId="0" borderId="0" xfId="0" applyNumberFormat="1" applyFont="1" applyAlignment="1">
      <alignment horizontal="left"/>
    </xf>
    <xf numFmtId="4" fontId="13" fillId="12" borderId="0" xfId="0" applyNumberFormat="1" applyFont="1" applyFill="1"/>
    <xf numFmtId="4" fontId="13" fillId="16" borderId="0" xfId="0" applyNumberFormat="1" applyFont="1" applyFill="1"/>
    <xf numFmtId="166" fontId="13" fillId="13" borderId="1" xfId="0" applyNumberFormat="1" applyFont="1" applyFill="1" applyBorder="1"/>
    <xf numFmtId="2" fontId="13" fillId="0" borderId="0" xfId="0" applyNumberFormat="1" applyFont="1"/>
    <xf numFmtId="2" fontId="48" fillId="13" borderId="2" xfId="0" applyNumberFormat="1" applyFont="1" applyFill="1" applyBorder="1"/>
    <xf numFmtId="166" fontId="49" fillId="13" borderId="1" xfId="0" applyNumberFormat="1" applyFont="1" applyFill="1" applyBorder="1"/>
    <xf numFmtId="164" fontId="13" fillId="13" borderId="1" xfId="0" applyNumberFormat="1" applyFont="1" applyFill="1" applyBorder="1"/>
    <xf numFmtId="164" fontId="43" fillId="13" borderId="1" xfId="0" applyNumberFormat="1" applyFont="1" applyFill="1" applyBorder="1"/>
    <xf numFmtId="4" fontId="13" fillId="13" borderId="4" xfId="0" applyNumberFormat="1" applyFont="1" applyFill="1" applyBorder="1"/>
    <xf numFmtId="0" fontId="43" fillId="36" borderId="1" xfId="0" applyFont="1" applyFill="1" applyBorder="1" applyAlignment="1">
      <alignment wrapText="1"/>
    </xf>
    <xf numFmtId="0" fontId="43" fillId="36" borderId="1" xfId="0" applyFont="1" applyFill="1" applyBorder="1"/>
    <xf numFmtId="0" fontId="43" fillId="36" borderId="1" xfId="0" applyFont="1" applyFill="1" applyBorder="1" applyAlignment="1">
      <alignment horizontal="right"/>
    </xf>
    <xf numFmtId="167" fontId="43" fillId="36" borderId="1" xfId="0" applyNumberFormat="1" applyFont="1" applyFill="1" applyBorder="1"/>
    <xf numFmtId="0" fontId="0" fillId="29" borderId="0" xfId="0" applyFill="1"/>
    <xf numFmtId="0" fontId="44" fillId="0" borderId="0" xfId="0" applyFont="1" applyAlignment="1">
      <alignment horizontal="center"/>
    </xf>
    <xf numFmtId="0" fontId="44" fillId="0" borderId="0" xfId="0" applyFont="1" applyAlignment="1">
      <alignment horizontal="right"/>
    </xf>
    <xf numFmtId="0" fontId="0" fillId="0" borderId="0" xfId="0" applyAlignment="1">
      <alignment horizontal="right"/>
    </xf>
    <xf numFmtId="0" fontId="0" fillId="27" borderId="0" xfId="0" applyFill="1" applyAlignment="1">
      <alignment horizontal="center"/>
    </xf>
    <xf numFmtId="0" fontId="0" fillId="30" borderId="0" xfId="0" applyFill="1" applyAlignment="1">
      <alignment horizontal="center"/>
    </xf>
    <xf numFmtId="0" fontId="0" fillId="37" borderId="0" xfId="0" applyFill="1"/>
    <xf numFmtId="0" fontId="12" fillId="0" borderId="0" xfId="0" applyFont="1"/>
    <xf numFmtId="0" fontId="50" fillId="0" borderId="0" xfId="0" applyFont="1" applyAlignment="1">
      <alignment horizontal="left" wrapText="1" indent="2"/>
    </xf>
    <xf numFmtId="167" fontId="0" fillId="32" borderId="1" xfId="0" applyNumberFormat="1" applyFill="1" applyBorder="1" applyAlignment="1">
      <alignment horizontal="left" vertical="center" wrapText="1"/>
    </xf>
    <xf numFmtId="167" fontId="25" fillId="38" borderId="1" xfId="0" applyNumberFormat="1" applyFont="1" applyFill="1" applyBorder="1" applyAlignment="1">
      <alignment horizontal="center" vertical="center" wrapText="1"/>
    </xf>
    <xf numFmtId="0" fontId="18" fillId="32" borderId="0" xfId="0" applyFont="1" applyFill="1" applyAlignment="1">
      <alignment horizontal="center" vertical="center"/>
    </xf>
    <xf numFmtId="167" fontId="0" fillId="39" borderId="1" xfId="0" applyNumberFormat="1" applyFill="1" applyBorder="1" applyAlignment="1">
      <alignment horizontal="left" vertical="center" wrapText="1"/>
    </xf>
    <xf numFmtId="167" fontId="0" fillId="39" borderId="1" xfId="0" applyNumberFormat="1" applyFill="1" applyBorder="1" applyAlignment="1">
      <alignment horizontal="center" vertical="center" wrapText="1"/>
    </xf>
    <xf numFmtId="0" fontId="18" fillId="39" borderId="0" xfId="0" applyFont="1" applyFill="1" applyAlignment="1">
      <alignment horizontal="center" vertical="center"/>
    </xf>
    <xf numFmtId="167" fontId="0" fillId="33" borderId="1" xfId="0" applyNumberFormat="1" applyFill="1" applyBorder="1" applyAlignment="1">
      <alignment horizontal="center" vertical="center" wrapText="1"/>
    </xf>
    <xf numFmtId="167" fontId="0" fillId="40" borderId="1" xfId="0" applyNumberFormat="1" applyFill="1" applyBorder="1" applyAlignment="1">
      <alignment horizontal="left" vertical="center" wrapText="1"/>
    </xf>
    <xf numFmtId="167" fontId="0" fillId="40" borderId="1" xfId="0" applyNumberFormat="1" applyFill="1" applyBorder="1" applyAlignment="1">
      <alignment horizontal="center" vertical="center" wrapText="1"/>
    </xf>
    <xf numFmtId="167" fontId="0" fillId="40" borderId="1" xfId="0" applyNumberFormat="1" applyFill="1" applyBorder="1" applyAlignment="1">
      <alignment horizontal="center" vertical="center"/>
    </xf>
    <xf numFmtId="167" fontId="25" fillId="40" borderId="1" xfId="0" applyNumberFormat="1" applyFont="1" applyFill="1" applyBorder="1" applyAlignment="1">
      <alignment horizontal="center" vertical="center" wrapText="1"/>
    </xf>
    <xf numFmtId="0" fontId="18" fillId="40" borderId="0" xfId="0" applyFont="1" applyFill="1" applyAlignment="1">
      <alignment horizontal="center" vertical="center"/>
    </xf>
    <xf numFmtId="164" fontId="18" fillId="31" borderId="1" xfId="0" applyNumberFormat="1" applyFont="1" applyFill="1" applyBorder="1" applyAlignment="1">
      <alignment horizontal="left" vertical="center" wrapText="1"/>
    </xf>
    <xf numFmtId="0" fontId="18" fillId="31" borderId="1" xfId="0" applyFont="1" applyFill="1" applyBorder="1" applyAlignment="1">
      <alignment horizontal="center" vertical="center" wrapText="1"/>
    </xf>
    <xf numFmtId="0" fontId="18" fillId="31" borderId="1" xfId="0" applyFont="1" applyFill="1" applyBorder="1" applyAlignment="1">
      <alignment horizontal="left" vertical="center" wrapText="1"/>
    </xf>
    <xf numFmtId="9" fontId="18" fillId="41" borderId="1" xfId="0" applyNumberFormat="1" applyFont="1" applyFill="1" applyBorder="1" applyAlignment="1">
      <alignment horizontal="center" vertical="center" wrapText="1"/>
    </xf>
    <xf numFmtId="9" fontId="0" fillId="30" borderId="0" xfId="0" applyNumberFormat="1" applyFill="1" applyAlignment="1">
      <alignment horizontal="center"/>
    </xf>
    <xf numFmtId="0" fontId="12" fillId="31" borderId="0" xfId="0" applyFont="1" applyFill="1"/>
    <xf numFmtId="0" fontId="0" fillId="31" borderId="0" xfId="0" applyFill="1" applyAlignment="1">
      <alignment horizontal="center"/>
    </xf>
    <xf numFmtId="0" fontId="0" fillId="5" borderId="0" xfId="0" applyFill="1" applyAlignment="1">
      <alignment horizontal="center"/>
    </xf>
    <xf numFmtId="10" fontId="0" fillId="0" borderId="0" xfId="0" applyNumberFormat="1" applyAlignment="1">
      <alignment horizontal="center"/>
    </xf>
    <xf numFmtId="167" fontId="0" fillId="5" borderId="0" xfId="0" applyNumberFormat="1" applyFill="1" applyAlignment="1">
      <alignment horizontal="center"/>
    </xf>
    <xf numFmtId="0" fontId="15" fillId="0" borderId="0" xfId="3" applyProtection="1">
      <alignment vertical="top"/>
    </xf>
    <xf numFmtId="0" fontId="17" fillId="31" borderId="0" xfId="0" applyFont="1" applyFill="1"/>
    <xf numFmtId="0" fontId="19" fillId="31" borderId="1" xfId="0" applyFont="1" applyFill="1" applyBorder="1" applyAlignment="1">
      <alignment horizontal="left" wrapText="1"/>
    </xf>
    <xf numFmtId="0" fontId="19" fillId="31" borderId="1" xfId="0" applyFont="1" applyFill="1" applyBorder="1" applyAlignment="1">
      <alignment wrapText="1"/>
    </xf>
    <xf numFmtId="0" fontId="19" fillId="31" borderId="1" xfId="0" applyFont="1" applyFill="1" applyBorder="1" applyAlignment="1">
      <alignment horizontal="center" vertical="center" wrapText="1"/>
    </xf>
    <xf numFmtId="0" fontId="19" fillId="31" borderId="1" xfId="0" applyFont="1" applyFill="1" applyBorder="1" applyAlignment="1">
      <alignment horizontal="right"/>
    </xf>
    <xf numFmtId="0" fontId="19" fillId="31" borderId="1" xfId="0" applyFont="1" applyFill="1" applyBorder="1" applyAlignment="1">
      <alignment horizontal="left" vertical="top" wrapText="1"/>
    </xf>
    <xf numFmtId="4" fontId="21" fillId="31" borderId="1" xfId="0" applyNumberFormat="1" applyFont="1" applyFill="1" applyBorder="1"/>
    <xf numFmtId="0" fontId="19" fillId="31" borderId="0" xfId="0" applyFont="1" applyFill="1" applyAlignment="1">
      <alignment horizontal="left" wrapText="1"/>
    </xf>
    <xf numFmtId="4" fontId="21" fillId="31" borderId="5" xfId="0" applyNumberFormat="1" applyFont="1" applyFill="1" applyBorder="1"/>
    <xf numFmtId="0" fontId="21" fillId="31" borderId="1" xfId="0" applyFont="1" applyFill="1" applyBorder="1" applyAlignment="1">
      <alignment horizontal="left" wrapText="1"/>
    </xf>
    <xf numFmtId="0" fontId="19" fillId="31" borderId="1" xfId="0" applyFont="1" applyFill="1" applyBorder="1"/>
    <xf numFmtId="4" fontId="19" fillId="31" borderId="5" xfId="0" applyNumberFormat="1" applyFont="1" applyFill="1" applyBorder="1"/>
    <xf numFmtId="4" fontId="19" fillId="31" borderId="0" xfId="0" applyNumberFormat="1" applyFont="1" applyFill="1"/>
    <xf numFmtId="0" fontId="0" fillId="31" borderId="1" xfId="0" applyFill="1" applyBorder="1" applyAlignment="1">
      <alignment horizontal="center" vertical="top"/>
    </xf>
    <xf numFmtId="0" fontId="0" fillId="31" borderId="1" xfId="0" applyFill="1" applyBorder="1" applyAlignment="1">
      <alignment horizontal="center" vertical="center" wrapText="1"/>
    </xf>
    <xf numFmtId="0" fontId="0" fillId="31" borderId="1" xfId="0" applyFill="1" applyBorder="1" applyAlignment="1">
      <alignment horizontal="left" vertical="center" wrapText="1"/>
    </xf>
    <xf numFmtId="0" fontId="0" fillId="31" borderId="1" xfId="0" applyFill="1" applyBorder="1" applyAlignment="1">
      <alignment horizontal="center" vertical="top" wrapText="1"/>
    </xf>
    <xf numFmtId="0" fontId="0" fillId="31" borderId="0" xfId="0" applyFill="1" applyAlignment="1">
      <alignment horizontal="left" vertical="center" wrapText="1"/>
    </xf>
    <xf numFmtId="0" fontId="0" fillId="31" borderId="0" xfId="0" applyFill="1" applyAlignment="1">
      <alignment wrapText="1"/>
    </xf>
    <xf numFmtId="1" fontId="0" fillId="31" borderId="0" xfId="0" applyNumberFormat="1" applyFill="1"/>
    <xf numFmtId="0" fontId="39" fillId="32" borderId="0" xfId="1" applyFill="1" applyAlignment="1">
      <alignment horizontal="center" vertical="center" wrapText="1"/>
    </xf>
    <xf numFmtId="0" fontId="0" fillId="31" borderId="1" xfId="0" applyFill="1" applyBorder="1" applyAlignment="1">
      <alignment horizontal="center"/>
    </xf>
    <xf numFmtId="0" fontId="0" fillId="31" borderId="1" xfId="0" applyFill="1" applyBorder="1" applyAlignment="1">
      <alignment horizontal="center" vertical="center"/>
    </xf>
    <xf numFmtId="0" fontId="0" fillId="31" borderId="1" xfId="0" applyFill="1" applyBorder="1" applyAlignment="1">
      <alignment horizontal="center" wrapText="1"/>
    </xf>
    <xf numFmtId="167" fontId="0" fillId="42" borderId="1" xfId="0" applyNumberFormat="1" applyFill="1" applyBorder="1" applyAlignment="1">
      <alignment horizontal="center" vertical="center" wrapText="1"/>
    </xf>
    <xf numFmtId="0" fontId="0" fillId="43" borderId="1" xfId="0" applyFill="1" applyBorder="1" applyAlignment="1">
      <alignment horizontal="center" vertical="top" wrapText="1"/>
    </xf>
    <xf numFmtId="0" fontId="0" fillId="43" borderId="1" xfId="0" applyFill="1" applyBorder="1" applyAlignment="1">
      <alignment horizontal="left" vertical="center" wrapText="1"/>
    </xf>
    <xf numFmtId="2" fontId="0" fillId="43" borderId="1" xfId="0" applyNumberFormat="1" applyFill="1" applyBorder="1" applyAlignment="1">
      <alignment vertical="center"/>
    </xf>
    <xf numFmtId="167" fontId="0" fillId="43" borderId="1" xfId="0" applyNumberFormat="1" applyFill="1" applyBorder="1" applyAlignment="1">
      <alignment horizontal="center" vertical="center" wrapText="1"/>
    </xf>
    <xf numFmtId="2" fontId="0" fillId="43" borderId="1" xfId="0" applyNumberFormat="1" applyFill="1" applyBorder="1" applyAlignment="1">
      <alignment horizontal="right" vertical="center" wrapText="1"/>
    </xf>
    <xf numFmtId="0" fontId="0" fillId="29" borderId="1" xfId="0" applyFill="1" applyBorder="1" applyAlignment="1">
      <alignment horizontal="center" wrapText="1"/>
    </xf>
    <xf numFmtId="3" fontId="0" fillId="29" borderId="1" xfId="0" applyNumberFormat="1" applyFill="1" applyBorder="1" applyAlignment="1">
      <alignment horizontal="center" wrapText="1"/>
    </xf>
    <xf numFmtId="0" fontId="0" fillId="29" borderId="0" xfId="0" applyFill="1" applyAlignment="1">
      <alignment horizontal="center" wrapText="1"/>
    </xf>
    <xf numFmtId="0" fontId="0" fillId="31" borderId="0" xfId="0" applyFill="1" applyAlignment="1">
      <alignment horizontal="center" wrapText="1"/>
    </xf>
    <xf numFmtId="0" fontId="0" fillId="46" borderId="1" xfId="0" applyFill="1" applyBorder="1" applyAlignment="1">
      <alignment horizontal="center" wrapText="1"/>
    </xf>
    <xf numFmtId="3" fontId="0" fillId="46" borderId="1" xfId="0" applyNumberFormat="1" applyFill="1" applyBorder="1" applyAlignment="1">
      <alignment horizontal="center" wrapText="1"/>
    </xf>
    <xf numFmtId="0" fontId="0" fillId="46" borderId="0" xfId="0" applyFill="1" applyAlignment="1">
      <alignment horizontal="center" wrapText="1"/>
    </xf>
    <xf numFmtId="0" fontId="0" fillId="47" borderId="1" xfId="0" applyFill="1" applyBorder="1" applyAlignment="1">
      <alignment horizontal="center" wrapText="1"/>
    </xf>
    <xf numFmtId="3" fontId="0" fillId="47" borderId="1" xfId="0" applyNumberFormat="1" applyFill="1" applyBorder="1" applyAlignment="1">
      <alignment horizontal="center" wrapText="1"/>
    </xf>
    <xf numFmtId="0" fontId="0" fillId="47" borderId="0" xfId="0" applyFill="1" applyAlignment="1">
      <alignment horizontal="center" wrapText="1"/>
    </xf>
    <xf numFmtId="0" fontId="0" fillId="40" borderId="1" xfId="0" applyFill="1" applyBorder="1" applyAlignment="1">
      <alignment horizontal="center" wrapText="1"/>
    </xf>
    <xf numFmtId="0" fontId="0" fillId="40" borderId="0" xfId="0" applyFill="1" applyAlignment="1">
      <alignment horizontal="center" wrapText="1"/>
    </xf>
    <xf numFmtId="0" fontId="0" fillId="48" borderId="1" xfId="0" applyFill="1" applyBorder="1" applyAlignment="1">
      <alignment horizontal="left" wrapText="1"/>
    </xf>
    <xf numFmtId="0" fontId="27" fillId="31" borderId="1" xfId="0" applyFont="1" applyFill="1" applyBorder="1" applyAlignment="1">
      <alignment horizontal="center" vertical="center" wrapText="1"/>
    </xf>
    <xf numFmtId="0" fontId="0" fillId="31" borderId="0" xfId="0" applyFill="1" applyAlignment="1">
      <alignment horizontal="center" vertical="center" wrapText="1"/>
    </xf>
    <xf numFmtId="0" fontId="27" fillId="30" borderId="1" xfId="0" applyFont="1" applyFill="1" applyBorder="1" applyAlignment="1">
      <alignment wrapText="1"/>
    </xf>
    <xf numFmtId="0" fontId="27" fillId="30" borderId="1" xfId="0" applyFont="1" applyFill="1" applyBorder="1" applyAlignment="1">
      <alignment horizontal="left" wrapText="1"/>
    </xf>
    <xf numFmtId="0" fontId="27" fillId="49" borderId="1" xfId="0" applyFont="1" applyFill="1" applyBorder="1" applyAlignment="1">
      <alignment wrapText="1"/>
    </xf>
    <xf numFmtId="0" fontId="27" fillId="39" borderId="1" xfId="0" applyFont="1" applyFill="1" applyBorder="1" applyAlignment="1">
      <alignment wrapText="1"/>
    </xf>
    <xf numFmtId="0" fontId="0" fillId="49" borderId="0" xfId="0" applyFill="1" applyAlignment="1">
      <alignment wrapText="1"/>
    </xf>
    <xf numFmtId="0" fontId="27" fillId="43" borderId="1" xfId="0" applyFont="1" applyFill="1" applyBorder="1" applyAlignment="1">
      <alignment wrapText="1"/>
    </xf>
    <xf numFmtId="3" fontId="27" fillId="43" borderId="1" xfId="0" applyNumberFormat="1" applyFont="1" applyFill="1" applyBorder="1" applyAlignment="1">
      <alignment wrapText="1"/>
    </xf>
    <xf numFmtId="0" fontId="0" fillId="43" borderId="0" xfId="0" applyFill="1" applyAlignment="1">
      <alignment wrapText="1"/>
    </xf>
    <xf numFmtId="0" fontId="27" fillId="50" borderId="1" xfId="0" applyFont="1" applyFill="1" applyBorder="1" applyAlignment="1">
      <alignment wrapText="1"/>
    </xf>
    <xf numFmtId="3" fontId="27" fillId="50" borderId="1" xfId="0" applyNumberFormat="1" applyFont="1" applyFill="1" applyBorder="1" applyAlignment="1">
      <alignment wrapText="1"/>
    </xf>
    <xf numFmtId="0" fontId="27" fillId="50" borderId="0" xfId="0" applyFont="1" applyFill="1" applyAlignment="1">
      <alignment wrapText="1"/>
    </xf>
    <xf numFmtId="0" fontId="0" fillId="50" borderId="0" xfId="0" applyFill="1" applyAlignment="1">
      <alignment wrapText="1"/>
    </xf>
    <xf numFmtId="0" fontId="12" fillId="0" borderId="0" xfId="0" applyFont="1" applyAlignment="1">
      <alignment wrapText="1"/>
    </xf>
    <xf numFmtId="0" fontId="12" fillId="31" borderId="1" xfId="0" applyFont="1" applyFill="1" applyBorder="1" applyAlignment="1">
      <alignment horizontal="right" wrapText="1"/>
    </xf>
    <xf numFmtId="4" fontId="0" fillId="51" borderId="1" xfId="0" applyNumberFormat="1" applyFill="1" applyBorder="1" applyAlignment="1">
      <alignment wrapText="1"/>
    </xf>
    <xf numFmtId="3" fontId="14" fillId="36" borderId="1" xfId="0" applyNumberFormat="1" applyFont="1" applyFill="1" applyBorder="1" applyAlignment="1">
      <alignment wrapText="1"/>
    </xf>
    <xf numFmtId="164" fontId="0" fillId="52" borderId="1" xfId="0" applyNumberFormat="1" applyFill="1" applyBorder="1" applyAlignment="1">
      <alignment wrapText="1"/>
    </xf>
    <xf numFmtId="0" fontId="0" fillId="52" borderId="0" xfId="0" applyFill="1" applyAlignment="1">
      <alignment wrapText="1"/>
    </xf>
    <xf numFmtId="0" fontId="0" fillId="52" borderId="1" xfId="0" applyFill="1" applyBorder="1" applyAlignment="1">
      <alignment wrapText="1"/>
    </xf>
    <xf numFmtId="2" fontId="12" fillId="0" borderId="0" xfId="0" applyNumberFormat="1" applyFont="1" applyAlignment="1">
      <alignment wrapText="1"/>
    </xf>
    <xf numFmtId="49" fontId="0" fillId="31" borderId="1" xfId="0" applyNumberFormat="1" applyFill="1" applyBorder="1" applyAlignment="1">
      <alignment wrapText="1"/>
    </xf>
    <xf numFmtId="164" fontId="13" fillId="31" borderId="1" xfId="0" applyNumberFormat="1" applyFont="1" applyFill="1" applyBorder="1" applyAlignment="1">
      <alignment wrapText="1"/>
    </xf>
    <xf numFmtId="49" fontId="0" fillId="31" borderId="1" xfId="0" applyNumberFormat="1" applyFill="1" applyBorder="1" applyAlignment="1">
      <alignment horizontal="right" wrapText="1"/>
    </xf>
    <xf numFmtId="167" fontId="0" fillId="32" borderId="1" xfId="5" applyNumberFormat="1" applyFont="1" applyFill="1" applyBorder="1" applyAlignment="1">
      <alignment wrapText="1"/>
    </xf>
    <xf numFmtId="0" fontId="0" fillId="31" borderId="15" xfId="0" applyFill="1" applyBorder="1"/>
    <xf numFmtId="0" fontId="0" fillId="31" borderId="16" xfId="0" applyFill="1" applyBorder="1" applyAlignment="1">
      <alignment wrapText="1"/>
    </xf>
    <xf numFmtId="0" fontId="0" fillId="31" borderId="16" xfId="0" applyFill="1" applyBorder="1"/>
    <xf numFmtId="0" fontId="0" fillId="31" borderId="17" xfId="0" applyFill="1" applyBorder="1"/>
    <xf numFmtId="0" fontId="31" fillId="31" borderId="21" xfId="0" applyFont="1" applyFill="1" applyBorder="1" applyAlignment="1">
      <alignment vertical="top" wrapText="1"/>
    </xf>
    <xf numFmtId="0" fontId="31" fillId="31" borderId="25" xfId="0" applyFont="1" applyFill="1" applyBorder="1" applyAlignment="1">
      <alignment vertical="top" wrapText="1"/>
    </xf>
    <xf numFmtId="0" fontId="32" fillId="0" borderId="26" xfId="0" applyFont="1" applyBorder="1" applyAlignment="1">
      <alignment vertical="top" wrapText="1"/>
    </xf>
    <xf numFmtId="4" fontId="19" fillId="0" borderId="24" xfId="0" applyNumberFormat="1" applyFont="1" applyBorder="1" applyAlignment="1">
      <alignment vertical="top" wrapText="1"/>
    </xf>
    <xf numFmtId="0" fontId="31" fillId="0" borderId="26" xfId="0" applyFont="1" applyBorder="1" applyAlignment="1">
      <alignment vertical="top" wrapText="1"/>
    </xf>
    <xf numFmtId="4" fontId="19" fillId="12" borderId="24" xfId="0" applyNumberFormat="1" applyFont="1" applyFill="1" applyBorder="1" applyAlignment="1">
      <alignment vertical="top"/>
    </xf>
    <xf numFmtId="0" fontId="12" fillId="0" borderId="24" xfId="0" applyFont="1" applyBorder="1" applyAlignment="1">
      <alignment vertical="top" wrapText="1"/>
    </xf>
    <xf numFmtId="0" fontId="12" fillId="0" borderId="24" xfId="0" applyFont="1" applyBorder="1" applyAlignment="1">
      <alignment vertical="top"/>
    </xf>
    <xf numFmtId="3" fontId="0" fillId="51" borderId="21" xfId="0" applyNumberFormat="1" applyFill="1" applyBorder="1"/>
    <xf numFmtId="164" fontId="17" fillId="28" borderId="1" xfId="0" applyNumberFormat="1" applyFont="1" applyFill="1" applyBorder="1" applyAlignment="1">
      <alignment wrapText="1"/>
    </xf>
    <xf numFmtId="167" fontId="0" fillId="53" borderId="1" xfId="0" applyNumberFormat="1" applyFill="1" applyBorder="1" applyAlignment="1">
      <alignment wrapText="1"/>
    </xf>
    <xf numFmtId="167" fontId="0" fillId="49" borderId="1" xfId="0" applyNumberFormat="1" applyFill="1" applyBorder="1" applyAlignment="1">
      <alignment wrapText="1"/>
    </xf>
    <xf numFmtId="167" fontId="0" fillId="28" borderId="1" xfId="0" applyNumberFormat="1" applyFill="1" applyBorder="1" applyAlignment="1">
      <alignment wrapText="1"/>
    </xf>
    <xf numFmtId="49" fontId="0" fillId="28" borderId="1" xfId="0" applyNumberFormat="1" applyFill="1" applyBorder="1" applyAlignment="1">
      <alignment wrapText="1"/>
    </xf>
    <xf numFmtId="4" fontId="0" fillId="28" borderId="1" xfId="0" applyNumberFormat="1" applyFill="1" applyBorder="1" applyAlignment="1">
      <alignment wrapText="1"/>
    </xf>
    <xf numFmtId="4" fontId="0" fillId="54" borderId="1" xfId="0" applyNumberFormat="1" applyFill="1" applyBorder="1" applyAlignment="1">
      <alignment wrapText="1"/>
    </xf>
    <xf numFmtId="164" fontId="0" fillId="55" borderId="1" xfId="0" applyNumberFormat="1" applyFill="1" applyBorder="1"/>
    <xf numFmtId="167" fontId="0" fillId="55" borderId="1" xfId="0" applyNumberFormat="1" applyFill="1" applyBorder="1" applyAlignment="1">
      <alignment wrapText="1"/>
    </xf>
    <xf numFmtId="167" fontId="0" fillId="55" borderId="5" xfId="0" applyNumberFormat="1" applyFill="1" applyBorder="1" applyAlignment="1">
      <alignment wrapText="1"/>
    </xf>
    <xf numFmtId="167" fontId="0" fillId="55" borderId="12" xfId="0" applyNumberFormat="1" applyFill="1" applyBorder="1" applyAlignment="1">
      <alignment wrapText="1"/>
    </xf>
    <xf numFmtId="167" fontId="0" fillId="55" borderId="13" xfId="0" applyNumberFormat="1" applyFill="1" applyBorder="1" applyAlignment="1">
      <alignment wrapText="1"/>
    </xf>
    <xf numFmtId="167" fontId="0" fillId="55" borderId="14" xfId="0" applyNumberFormat="1" applyFill="1" applyBorder="1" applyAlignment="1">
      <alignment wrapText="1"/>
    </xf>
    <xf numFmtId="49" fontId="0" fillId="56" borderId="1" xfId="0" applyNumberFormat="1" applyFill="1" applyBorder="1" applyAlignment="1">
      <alignment wrapText="1"/>
    </xf>
    <xf numFmtId="49" fontId="0" fillId="51" borderId="1" xfId="0" applyNumberFormat="1" applyFill="1" applyBorder="1" applyAlignment="1">
      <alignment wrapText="1"/>
    </xf>
    <xf numFmtId="0" fontId="32" fillId="28" borderId="26" xfId="0" applyFont="1" applyFill="1" applyBorder="1" applyAlignment="1">
      <alignment vertical="top" wrapText="1"/>
    </xf>
    <xf numFmtId="4" fontId="19" fillId="28" borderId="24" xfId="0" applyNumberFormat="1" applyFont="1" applyFill="1" applyBorder="1" applyAlignment="1">
      <alignment vertical="top" wrapText="1"/>
    </xf>
    <xf numFmtId="0" fontId="18" fillId="51" borderId="1" xfId="0" applyFont="1" applyFill="1" applyBorder="1" applyAlignment="1">
      <alignment horizontal="left" vertical="center" wrapText="1"/>
    </xf>
    <xf numFmtId="4" fontId="18" fillId="57" borderId="1" xfId="0" applyNumberFormat="1" applyFont="1" applyFill="1" applyBorder="1" applyAlignment="1">
      <alignment horizontal="center" vertical="center"/>
    </xf>
    <xf numFmtId="0" fontId="18" fillId="51" borderId="1" xfId="0" applyFont="1" applyFill="1" applyBorder="1" applyAlignment="1">
      <alignment horizontal="center" vertical="center"/>
    </xf>
    <xf numFmtId="0" fontId="18" fillId="51" borderId="0" xfId="0" applyFont="1" applyFill="1" applyAlignment="1">
      <alignment horizontal="center" vertical="center"/>
    </xf>
    <xf numFmtId="0" fontId="18" fillId="31" borderId="0" xfId="0" applyFont="1" applyFill="1" applyAlignment="1">
      <alignment horizontal="center" vertical="center"/>
    </xf>
    <xf numFmtId="4" fontId="34" fillId="32" borderId="1" xfId="0" applyNumberFormat="1" applyFont="1" applyFill="1" applyBorder="1" applyAlignment="1">
      <alignment horizontal="center" vertical="center" wrapText="1"/>
    </xf>
    <xf numFmtId="1" fontId="34" fillId="32" borderId="1" xfId="0" applyNumberFormat="1" applyFont="1" applyFill="1" applyBorder="1" applyAlignment="1">
      <alignment horizontal="center" vertical="center" wrapText="1"/>
    </xf>
    <xf numFmtId="4" fontId="34" fillId="38" borderId="2" xfId="0" applyNumberFormat="1" applyFont="1" applyFill="1" applyBorder="1" applyAlignment="1">
      <alignment horizontal="center" vertical="center" wrapText="1"/>
    </xf>
    <xf numFmtId="4" fontId="34" fillId="58" borderId="2" xfId="0" applyNumberFormat="1" applyFont="1" applyFill="1" applyBorder="1" applyAlignment="1">
      <alignment horizontal="center" vertical="center" wrapText="1"/>
    </xf>
    <xf numFmtId="4" fontId="34" fillId="32" borderId="2" xfId="0" applyNumberFormat="1" applyFont="1" applyFill="1" applyBorder="1" applyAlignment="1">
      <alignment horizontal="center" vertical="center" wrapText="1"/>
    </xf>
    <xf numFmtId="0" fontId="33" fillId="59" borderId="1" xfId="0" applyFont="1" applyFill="1" applyBorder="1" applyAlignment="1">
      <alignment horizontal="left" vertical="center" wrapText="1"/>
    </xf>
    <xf numFmtId="0" fontId="18" fillId="59" borderId="1" xfId="0" applyFont="1" applyFill="1" applyBorder="1" applyAlignment="1">
      <alignment horizontal="center" vertical="center" wrapText="1"/>
    </xf>
    <xf numFmtId="0" fontId="18" fillId="29" borderId="1" xfId="0" applyFont="1" applyFill="1" applyBorder="1" applyAlignment="1">
      <alignment horizontal="left" vertical="center" wrapText="1"/>
    </xf>
    <xf numFmtId="167" fontId="18" fillId="42" borderId="1" xfId="0" applyNumberFormat="1" applyFont="1" applyFill="1" applyBorder="1" applyAlignment="1">
      <alignment horizontal="center" vertical="center"/>
    </xf>
    <xf numFmtId="0" fontId="18" fillId="29" borderId="0" xfId="0" applyFont="1" applyFill="1" applyAlignment="1">
      <alignment horizontal="center" vertical="center"/>
    </xf>
    <xf numFmtId="167" fontId="18" fillId="29" borderId="11" xfId="0" applyNumberFormat="1" applyFont="1" applyFill="1" applyBorder="1" applyAlignment="1">
      <alignment horizontal="center" vertical="center" wrapText="1"/>
    </xf>
    <xf numFmtId="4" fontId="18" fillId="29" borderId="11" xfId="0" applyNumberFormat="1" applyFont="1" applyFill="1" applyBorder="1" applyAlignment="1">
      <alignment horizontal="center" vertical="center" wrapText="1"/>
    </xf>
    <xf numFmtId="167" fontId="18" fillId="42" borderId="11" xfId="0" applyNumberFormat="1" applyFont="1" applyFill="1" applyBorder="1" applyAlignment="1">
      <alignment horizontal="center" vertical="center" wrapText="1"/>
    </xf>
    <xf numFmtId="167" fontId="18" fillId="60" borderId="11" xfId="0" applyNumberFormat="1" applyFont="1" applyFill="1" applyBorder="1" applyAlignment="1">
      <alignment horizontal="center" vertical="center" wrapText="1"/>
    </xf>
    <xf numFmtId="168" fontId="33" fillId="31" borderId="4" xfId="0" applyNumberFormat="1" applyFont="1" applyFill="1" applyBorder="1" applyAlignment="1">
      <alignment horizontal="left" vertical="center" wrapText="1"/>
    </xf>
    <xf numFmtId="0" fontId="18" fillId="31" borderId="11" xfId="0" applyFont="1" applyFill="1" applyBorder="1" applyAlignment="1">
      <alignment horizontal="center" vertical="center" wrapText="1"/>
    </xf>
    <xf numFmtId="0" fontId="33" fillId="57" borderId="1" xfId="0" applyFont="1" applyFill="1" applyBorder="1" applyAlignment="1">
      <alignment horizontal="left" vertical="center" wrapText="1"/>
    </xf>
    <xf numFmtId="2" fontId="33" fillId="57" borderId="11" xfId="0" applyNumberFormat="1" applyFont="1" applyFill="1" applyBorder="1" applyAlignment="1">
      <alignment horizontal="center" vertical="center" wrapText="1"/>
    </xf>
    <xf numFmtId="164" fontId="33" fillId="57" borderId="11" xfId="0" applyNumberFormat="1" applyFont="1" applyFill="1" applyBorder="1" applyAlignment="1">
      <alignment horizontal="center" vertical="center" wrapText="1"/>
    </xf>
    <xf numFmtId="167" fontId="33" fillId="57" borderId="1" xfId="0" applyNumberFormat="1" applyFont="1" applyFill="1" applyBorder="1" applyAlignment="1">
      <alignment horizontal="center" vertical="center" wrapText="1"/>
    </xf>
    <xf numFmtId="0" fontId="33" fillId="57" borderId="0" xfId="0" applyFont="1" applyFill="1" applyAlignment="1">
      <alignment horizontal="center" vertical="center"/>
    </xf>
    <xf numFmtId="168" fontId="18" fillId="51" borderId="1" xfId="0" applyNumberFormat="1" applyFont="1" applyFill="1" applyBorder="1" applyAlignment="1">
      <alignment horizontal="left" vertical="center" wrapText="1"/>
    </xf>
    <xf numFmtId="4" fontId="18" fillId="51" borderId="11" xfId="0" applyNumberFormat="1" applyFont="1" applyFill="1" applyBorder="1" applyAlignment="1">
      <alignment horizontal="center" vertical="center" wrapText="1"/>
    </xf>
    <xf numFmtId="0" fontId="13" fillId="31" borderId="0" xfId="0" applyFont="1" applyFill="1" applyAlignment="1">
      <alignment wrapText="1"/>
    </xf>
    <xf numFmtId="0" fontId="13" fillId="31" borderId="1" xfId="0" applyFont="1" applyFill="1" applyBorder="1" applyAlignment="1">
      <alignment horizontal="right"/>
    </xf>
    <xf numFmtId="0" fontId="13" fillId="31" borderId="1" xfId="0" applyFont="1" applyFill="1" applyBorder="1"/>
    <xf numFmtId="0" fontId="42" fillId="31" borderId="1" xfId="0" applyFont="1" applyFill="1" applyBorder="1"/>
    <xf numFmtId="166" fontId="13" fillId="13" borderId="1" xfId="0" applyNumberFormat="1" applyFont="1" applyFill="1" applyBorder="1" applyAlignment="1">
      <alignment horizontal="right"/>
    </xf>
    <xf numFmtId="0" fontId="39" fillId="0" borderId="0" xfId="4"/>
    <xf numFmtId="0" fontId="14" fillId="3" borderId="1" xfId="2" applyBorder="1"/>
    <xf numFmtId="0" fontId="14" fillId="3" borderId="1" xfId="2" applyBorder="1" applyAlignment="1">
      <alignment wrapText="1"/>
    </xf>
    <xf numFmtId="0" fontId="14" fillId="3" borderId="5" xfId="2" applyBorder="1" applyAlignment="1">
      <alignment wrapText="1"/>
    </xf>
    <xf numFmtId="0" fontId="13" fillId="30" borderId="5" xfId="0" applyFont="1" applyFill="1" applyBorder="1" applyAlignment="1">
      <alignment wrapText="1"/>
    </xf>
    <xf numFmtId="4" fontId="13" fillId="30" borderId="1" xfId="0" applyNumberFormat="1" applyFont="1" applyFill="1" applyBorder="1"/>
    <xf numFmtId="4" fontId="13" fillId="61" borderId="1" xfId="0" applyNumberFormat="1" applyFont="1" applyFill="1" applyBorder="1"/>
    <xf numFmtId="167" fontId="0" fillId="29" borderId="1" xfId="0" applyNumberFormat="1" applyFill="1" applyBorder="1" applyAlignment="1">
      <alignment horizontal="center" vertical="center" wrapText="1"/>
    </xf>
    <xf numFmtId="0" fontId="0" fillId="62" borderId="0" xfId="0" applyFill="1" applyAlignment="1">
      <alignment horizontal="center"/>
    </xf>
    <xf numFmtId="0" fontId="11" fillId="0" borderId="0" xfId="0" applyFont="1"/>
    <xf numFmtId="0" fontId="11" fillId="31" borderId="0" xfId="0" applyFont="1" applyFill="1"/>
    <xf numFmtId="4" fontId="19" fillId="29" borderId="1" xfId="0" applyNumberFormat="1" applyFont="1" applyFill="1" applyBorder="1"/>
    <xf numFmtId="0" fontId="19" fillId="29" borderId="1" xfId="0" applyFont="1" applyFill="1" applyBorder="1" applyAlignment="1">
      <alignment horizontal="left" vertical="top" wrapText="1"/>
    </xf>
    <xf numFmtId="4" fontId="19" fillId="42" borderId="1" xfId="0" applyNumberFormat="1" applyFont="1" applyFill="1" applyBorder="1"/>
    <xf numFmtId="0" fontId="19" fillId="29" borderId="0" xfId="0" applyFont="1" applyFill="1"/>
    <xf numFmtId="0" fontId="19" fillId="29" borderId="1" xfId="0" applyFont="1" applyFill="1" applyBorder="1" applyAlignment="1">
      <alignment horizontal="left" wrapText="1"/>
    </xf>
    <xf numFmtId="4" fontId="21" fillId="42" borderId="1" xfId="0" applyNumberFormat="1" applyFont="1" applyFill="1" applyBorder="1"/>
    <xf numFmtId="4" fontId="21" fillId="29" borderId="1" xfId="0" applyNumberFormat="1" applyFont="1" applyFill="1" applyBorder="1"/>
    <xf numFmtId="0" fontId="19" fillId="31" borderId="2" xfId="0" applyFont="1" applyFill="1" applyBorder="1" applyAlignment="1">
      <alignment horizontal="center" wrapText="1"/>
    </xf>
    <xf numFmtId="0" fontId="19" fillId="31" borderId="1" xfId="0" applyFont="1" applyFill="1" applyBorder="1" applyAlignment="1">
      <alignment horizontal="center"/>
    </xf>
    <xf numFmtId="0" fontId="19" fillId="31" borderId="0" xfId="0" applyFont="1" applyFill="1" applyAlignment="1">
      <alignment horizontal="center" wrapText="1"/>
    </xf>
    <xf numFmtId="167" fontId="11" fillId="31" borderId="0" xfId="0" applyNumberFormat="1" applyFont="1" applyFill="1"/>
    <xf numFmtId="167" fontId="0" fillId="31" borderId="0" xfId="0" applyNumberFormat="1" applyFill="1"/>
    <xf numFmtId="167" fontId="12" fillId="0" borderId="0" xfId="0" applyNumberFormat="1" applyFont="1"/>
    <xf numFmtId="167" fontId="11" fillId="0" borderId="0" xfId="0" applyNumberFormat="1" applyFont="1" applyAlignment="1">
      <alignment wrapText="1"/>
    </xf>
    <xf numFmtId="167" fontId="17" fillId="31" borderId="0" xfId="0" applyNumberFormat="1" applyFont="1" applyFill="1" applyAlignment="1">
      <alignment wrapText="1"/>
    </xf>
    <xf numFmtId="167" fontId="10" fillId="31" borderId="0" xfId="0" applyNumberFormat="1" applyFont="1" applyFill="1" applyAlignment="1">
      <alignment wrapText="1"/>
    </xf>
    <xf numFmtId="167" fontId="10" fillId="31" borderId="0" xfId="0" applyNumberFormat="1" applyFont="1" applyFill="1"/>
    <xf numFmtId="167" fontId="17" fillId="0" borderId="0" xfId="0" applyNumberFormat="1" applyFont="1" applyAlignment="1">
      <alignment wrapText="1"/>
    </xf>
    <xf numFmtId="167" fontId="10" fillId="0" borderId="0" xfId="0" applyNumberFormat="1" applyFont="1" applyAlignment="1">
      <alignment wrapText="1"/>
    </xf>
    <xf numFmtId="167" fontId="10" fillId="0" borderId="0" xfId="0" applyNumberFormat="1" applyFont="1"/>
    <xf numFmtId="167" fontId="10" fillId="40" borderId="0" xfId="0" applyNumberFormat="1" applyFont="1" applyFill="1"/>
    <xf numFmtId="0" fontId="10" fillId="0" borderId="0" xfId="0" applyFont="1"/>
    <xf numFmtId="167" fontId="12" fillId="31" borderId="0" xfId="0" applyNumberFormat="1" applyFont="1" applyFill="1"/>
    <xf numFmtId="167" fontId="0" fillId="40" borderId="0" xfId="0" applyNumberFormat="1" applyFill="1"/>
    <xf numFmtId="167" fontId="10" fillId="12" borderId="1" xfId="0" applyNumberFormat="1" applyFont="1" applyFill="1" applyBorder="1" applyAlignment="1">
      <alignment horizontal="left" vertical="center" wrapText="1"/>
    </xf>
    <xf numFmtId="167" fontId="0" fillId="29" borderId="1" xfId="0" applyNumberFormat="1" applyFill="1" applyBorder="1" applyAlignment="1">
      <alignment horizontal="left" vertical="center" wrapText="1"/>
    </xf>
    <xf numFmtId="167" fontId="0" fillId="29" borderId="1" xfId="0" applyNumberFormat="1" applyFill="1" applyBorder="1" applyAlignment="1">
      <alignment horizontal="center" vertical="center"/>
    </xf>
    <xf numFmtId="167" fontId="0" fillId="29" borderId="0" xfId="0" applyNumberFormat="1" applyFill="1"/>
    <xf numFmtId="167" fontId="11" fillId="28" borderId="0" xfId="0" applyNumberFormat="1" applyFont="1" applyFill="1" applyAlignment="1">
      <alignment wrapText="1"/>
    </xf>
    <xf numFmtId="167" fontId="10" fillId="28" borderId="0" xfId="0" applyNumberFormat="1" applyFont="1" applyFill="1" applyAlignment="1">
      <alignment wrapText="1"/>
    </xf>
    <xf numFmtId="167" fontId="10" fillId="28" borderId="0" xfId="0" applyNumberFormat="1" applyFont="1" applyFill="1"/>
    <xf numFmtId="4" fontId="19" fillId="63" borderId="1" xfId="0" applyNumberFormat="1" applyFont="1" applyFill="1" applyBorder="1"/>
    <xf numFmtId="0" fontId="14" fillId="6" borderId="1" xfId="0" applyFont="1" applyFill="1" applyBorder="1" applyAlignment="1">
      <alignment horizontal="center"/>
    </xf>
    <xf numFmtId="167" fontId="17" fillId="40" borderId="0" xfId="0" applyNumberFormat="1" applyFont="1" applyFill="1"/>
    <xf numFmtId="167" fontId="0" fillId="28" borderId="0" xfId="0" applyNumberFormat="1" applyFill="1"/>
    <xf numFmtId="167" fontId="0" fillId="64" borderId="0" xfId="0" applyNumberFormat="1" applyFill="1"/>
    <xf numFmtId="167" fontId="12" fillId="28" borderId="0" xfId="0" applyNumberFormat="1" applyFont="1" applyFill="1"/>
    <xf numFmtId="167" fontId="17" fillId="28" borderId="0" xfId="0" applyNumberFormat="1" applyFont="1" applyFill="1"/>
    <xf numFmtId="167" fontId="10" fillId="64" borderId="0" xfId="0" applyNumberFormat="1" applyFont="1" applyFill="1" applyAlignment="1">
      <alignment wrapText="1"/>
    </xf>
    <xf numFmtId="167" fontId="0" fillId="31" borderId="0" xfId="0" applyNumberFormat="1" applyFill="1" applyAlignment="1">
      <alignment horizontal="center"/>
    </xf>
    <xf numFmtId="167" fontId="17" fillId="64" borderId="0" xfId="0" applyNumberFormat="1" applyFont="1" applyFill="1" applyAlignment="1">
      <alignment wrapText="1"/>
    </xf>
    <xf numFmtId="168" fontId="0" fillId="0" borderId="1" xfId="0" applyNumberFormat="1" applyBorder="1" applyAlignment="1">
      <alignment horizontal="center" vertical="center" wrapText="1"/>
    </xf>
    <xf numFmtId="9" fontId="18" fillId="5" borderId="1" xfId="6" applyFont="1" applyFill="1" applyBorder="1" applyAlignment="1">
      <alignment horizontal="center" vertical="center" wrapText="1"/>
    </xf>
    <xf numFmtId="0" fontId="0" fillId="65" borderId="0" xfId="0" applyFill="1" applyAlignment="1">
      <alignment horizontal="center"/>
    </xf>
    <xf numFmtId="167" fontId="0" fillId="31" borderId="1" xfId="0" applyNumberFormat="1" applyFill="1" applyBorder="1" applyAlignment="1">
      <alignment horizontal="left" wrapText="1"/>
    </xf>
    <xf numFmtId="167" fontId="0" fillId="31" borderId="1" xfId="0" applyNumberFormat="1" applyFill="1" applyBorder="1" applyAlignment="1">
      <alignment horizontal="center" wrapText="1"/>
    </xf>
    <xf numFmtId="167" fontId="27" fillId="31" borderId="1" xfId="0" applyNumberFormat="1" applyFont="1" applyFill="1" applyBorder="1" applyAlignment="1">
      <alignment horizontal="center" wrapText="1"/>
    </xf>
    <xf numFmtId="167" fontId="0" fillId="45" borderId="1" xfId="0" applyNumberFormat="1" applyFill="1" applyBorder="1" applyAlignment="1">
      <alignment horizontal="left" wrapText="1"/>
    </xf>
    <xf numFmtId="167" fontId="0" fillId="44" borderId="1" xfId="0" applyNumberFormat="1" applyFill="1" applyBorder="1" applyAlignment="1">
      <alignment horizontal="center" wrapText="1"/>
    </xf>
    <xf numFmtId="167" fontId="9" fillId="45" borderId="1" xfId="0" applyNumberFormat="1" applyFont="1" applyFill="1" applyBorder="1" applyAlignment="1">
      <alignment horizontal="left" wrapText="1"/>
    </xf>
    <xf numFmtId="167" fontId="0" fillId="9" borderId="1" xfId="0" applyNumberFormat="1" applyFill="1" applyBorder="1" applyAlignment="1">
      <alignment horizontal="left" wrapText="1"/>
    </xf>
    <xf numFmtId="167" fontId="0" fillId="9" borderId="1" xfId="0" applyNumberFormat="1" applyFill="1" applyBorder="1" applyAlignment="1">
      <alignment horizontal="center" wrapText="1"/>
    </xf>
    <xf numFmtId="167" fontId="27" fillId="9" borderId="1" xfId="0" applyNumberFormat="1" applyFont="1" applyFill="1" applyBorder="1" applyAlignment="1">
      <alignment horizontal="center" wrapText="1"/>
    </xf>
    <xf numFmtId="167" fontId="0" fillId="18" borderId="1" xfId="0" applyNumberFormat="1" applyFill="1" applyBorder="1" applyAlignment="1">
      <alignment horizontal="left" wrapText="1"/>
    </xf>
    <xf numFmtId="167" fontId="0" fillId="18" borderId="1" xfId="0" applyNumberFormat="1" applyFill="1" applyBorder="1" applyAlignment="1">
      <alignment horizontal="center" wrapText="1"/>
    </xf>
    <xf numFmtId="167" fontId="27" fillId="18" borderId="1" xfId="0" applyNumberFormat="1" applyFont="1" applyFill="1" applyBorder="1" applyAlignment="1">
      <alignment horizontal="center" wrapText="1"/>
    </xf>
    <xf numFmtId="167" fontId="33" fillId="31" borderId="1" xfId="0" applyNumberFormat="1" applyFont="1" applyFill="1" applyBorder="1" applyAlignment="1">
      <alignment horizontal="left" wrapText="1"/>
    </xf>
    <xf numFmtId="167" fontId="0" fillId="0" borderId="1" xfId="0" applyNumberFormat="1" applyBorder="1" applyAlignment="1">
      <alignment horizontal="center" wrapText="1"/>
    </xf>
    <xf numFmtId="167" fontId="27" fillId="0" borderId="1" xfId="0" applyNumberFormat="1" applyFont="1" applyBorder="1" applyAlignment="1">
      <alignment horizontal="center" wrapText="1"/>
    </xf>
    <xf numFmtId="167" fontId="0" fillId="29" borderId="1" xfId="0" applyNumberFormat="1" applyFill="1" applyBorder="1" applyAlignment="1">
      <alignment horizontal="center" wrapText="1"/>
    </xf>
    <xf numFmtId="167" fontId="26" fillId="9" borderId="1" xfId="0" applyNumberFormat="1" applyFont="1" applyFill="1" applyBorder="1" applyAlignment="1">
      <alignment horizontal="center" wrapText="1"/>
    </xf>
    <xf numFmtId="167" fontId="26" fillId="18" borderId="1" xfId="0" applyNumberFormat="1" applyFont="1" applyFill="1" applyBorder="1" applyAlignment="1">
      <alignment horizontal="center" wrapText="1"/>
    </xf>
    <xf numFmtId="167" fontId="0" fillId="0" borderId="1" xfId="0" applyNumberFormat="1" applyBorder="1" applyAlignment="1">
      <alignment horizontal="left" wrapText="1"/>
    </xf>
    <xf numFmtId="167" fontId="26" fillId="0" borderId="1" xfId="0" applyNumberFormat="1" applyFont="1" applyBorder="1" applyAlignment="1">
      <alignment horizontal="center" wrapText="1"/>
    </xf>
    <xf numFmtId="167" fontId="26" fillId="45" borderId="1" xfId="0" applyNumberFormat="1" applyFont="1" applyFill="1" applyBorder="1" applyAlignment="1">
      <alignment horizontal="center" wrapText="1"/>
    </xf>
    <xf numFmtId="167" fontId="0" fillId="17" borderId="1" xfId="0" applyNumberFormat="1" applyFill="1" applyBorder="1" applyAlignment="1">
      <alignment horizontal="left" wrapText="1"/>
    </xf>
    <xf numFmtId="167" fontId="26" fillId="17" borderId="1" xfId="0" applyNumberFormat="1" applyFont="1" applyFill="1" applyBorder="1" applyAlignment="1">
      <alignment horizontal="center" wrapText="1"/>
    </xf>
    <xf numFmtId="167" fontId="17" fillId="18" borderId="1" xfId="0" applyNumberFormat="1" applyFont="1" applyFill="1" applyBorder="1" applyAlignment="1">
      <alignment horizontal="center" wrapText="1"/>
    </xf>
    <xf numFmtId="167" fontId="0" fillId="46" borderId="1" xfId="0" applyNumberFormat="1" applyFill="1" applyBorder="1" applyAlignment="1">
      <alignment horizontal="left" wrapText="1"/>
    </xf>
    <xf numFmtId="167" fontId="0" fillId="46" borderId="1" xfId="0" applyNumberFormat="1" applyFill="1" applyBorder="1" applyAlignment="1">
      <alignment horizontal="center" wrapText="1"/>
    </xf>
    <xf numFmtId="167" fontId="26" fillId="46" borderId="1" xfId="0" applyNumberFormat="1" applyFont="1" applyFill="1" applyBorder="1" applyAlignment="1">
      <alignment horizontal="center" wrapText="1"/>
    </xf>
    <xf numFmtId="167" fontId="25" fillId="0" borderId="1" xfId="0" applyNumberFormat="1" applyFont="1" applyBorder="1" applyAlignment="1">
      <alignment horizontal="left" wrapText="1"/>
    </xf>
    <xf numFmtId="167" fontId="25" fillId="0" borderId="1" xfId="0" applyNumberFormat="1" applyFont="1" applyBorder="1" applyAlignment="1">
      <alignment horizontal="center" wrapText="1"/>
    </xf>
    <xf numFmtId="167" fontId="0" fillId="47" borderId="1" xfId="0" applyNumberFormat="1" applyFill="1" applyBorder="1" applyAlignment="1">
      <alignment horizontal="left" wrapText="1"/>
    </xf>
    <xf numFmtId="167" fontId="0" fillId="47" borderId="1" xfId="0" applyNumberFormat="1" applyFill="1" applyBorder="1" applyAlignment="1">
      <alignment horizontal="center" wrapText="1"/>
    </xf>
    <xf numFmtId="167" fontId="26" fillId="47" borderId="1" xfId="0" applyNumberFormat="1" applyFont="1" applyFill="1" applyBorder="1" applyAlignment="1">
      <alignment horizontal="center" wrapText="1"/>
    </xf>
    <xf numFmtId="167" fontId="0" fillId="40" borderId="1" xfId="0" applyNumberFormat="1" applyFill="1" applyBorder="1" applyAlignment="1">
      <alignment horizontal="left" wrapText="1"/>
    </xf>
    <xf numFmtId="167" fontId="0" fillId="40" borderId="1" xfId="0" applyNumberFormat="1" applyFill="1" applyBorder="1" applyAlignment="1">
      <alignment horizontal="center" wrapText="1"/>
    </xf>
    <xf numFmtId="167" fontId="0" fillId="10" borderId="1" xfId="0" applyNumberFormat="1" applyFill="1" applyBorder="1" applyAlignment="1">
      <alignment horizontal="left" wrapText="1"/>
    </xf>
    <xf numFmtId="167" fontId="0" fillId="10" borderId="1" xfId="0" applyNumberFormat="1" applyFill="1" applyBorder="1" applyAlignment="1">
      <alignment horizontal="center" wrapText="1"/>
    </xf>
    <xf numFmtId="167" fontId="26" fillId="10" borderId="1" xfId="0" applyNumberFormat="1" applyFont="1" applyFill="1" applyBorder="1" applyAlignment="1">
      <alignment horizontal="center" wrapText="1"/>
    </xf>
    <xf numFmtId="167" fontId="0" fillId="0" borderId="0" xfId="0" applyNumberFormat="1" applyAlignment="1">
      <alignment horizontal="center" wrapText="1"/>
    </xf>
    <xf numFmtId="167" fontId="0" fillId="0" borderId="0" xfId="0" applyNumberFormat="1" applyAlignment="1">
      <alignment horizontal="left" wrapText="1"/>
    </xf>
    <xf numFmtId="167" fontId="14" fillId="6" borderId="0" xfId="0" applyNumberFormat="1" applyFont="1" applyFill="1" applyAlignment="1">
      <alignment horizontal="center" wrapText="1"/>
    </xf>
    <xf numFmtId="1" fontId="0" fillId="0" borderId="1" xfId="0" applyNumberFormat="1" applyBorder="1" applyAlignment="1">
      <alignment horizontal="center" wrapText="1"/>
    </xf>
    <xf numFmtId="1" fontId="0" fillId="9" borderId="1" xfId="0" applyNumberFormat="1" applyFill="1" applyBorder="1" applyAlignment="1">
      <alignment horizontal="center" wrapText="1"/>
    </xf>
    <xf numFmtId="3" fontId="0" fillId="45" borderId="1" xfId="0" applyNumberFormat="1" applyFill="1" applyBorder="1" applyAlignment="1">
      <alignment horizontal="center" wrapText="1"/>
    </xf>
    <xf numFmtId="3" fontId="0" fillId="17" borderId="1" xfId="0" applyNumberFormat="1" applyFill="1" applyBorder="1" applyAlignment="1">
      <alignment horizontal="center" wrapText="1"/>
    </xf>
    <xf numFmtId="3" fontId="0" fillId="46" borderId="0" xfId="0" applyNumberFormat="1" applyFill="1" applyAlignment="1">
      <alignment horizontal="center" wrapText="1"/>
    </xf>
    <xf numFmtId="3" fontId="0" fillId="47" borderId="0" xfId="0" applyNumberFormat="1" applyFill="1" applyAlignment="1">
      <alignment horizontal="center" wrapText="1"/>
    </xf>
    <xf numFmtId="167" fontId="25" fillId="0" borderId="1" xfId="0" applyNumberFormat="1" applyFont="1" applyBorder="1" applyAlignment="1">
      <alignment wrapText="1"/>
    </xf>
    <xf numFmtId="167" fontId="0" fillId="29" borderId="1" xfId="0" applyNumberFormat="1" applyFill="1" applyBorder="1" applyAlignment="1">
      <alignment wrapText="1"/>
    </xf>
    <xf numFmtId="167" fontId="9" fillId="0" borderId="0" xfId="0" applyNumberFormat="1" applyFont="1"/>
    <xf numFmtId="167" fontId="0" fillId="65" borderId="1" xfId="0" applyNumberFormat="1" applyFill="1" applyBorder="1" applyAlignment="1">
      <alignment horizontal="center" vertical="center" wrapText="1"/>
    </xf>
    <xf numFmtId="167" fontId="10" fillId="29" borderId="0" xfId="0" applyNumberFormat="1" applyFont="1" applyFill="1" applyAlignment="1">
      <alignment wrapText="1"/>
    </xf>
    <xf numFmtId="167" fontId="9" fillId="29" borderId="1" xfId="0" applyNumberFormat="1" applyFont="1" applyFill="1" applyBorder="1" applyAlignment="1">
      <alignment horizontal="left" vertical="center" wrapText="1"/>
    </xf>
    <xf numFmtId="167" fontId="12" fillId="29" borderId="0" xfId="0" applyNumberFormat="1" applyFont="1" applyFill="1"/>
    <xf numFmtId="0" fontId="39" fillId="2" borderId="1" xfId="1" applyBorder="1" applyAlignment="1">
      <alignment horizontal="left" vertical="center" wrapText="1"/>
    </xf>
    <xf numFmtId="168" fontId="39" fillId="2" borderId="1" xfId="1" applyNumberFormat="1" applyBorder="1" applyAlignment="1">
      <alignment horizontal="center" vertical="center" wrapText="1"/>
    </xf>
    <xf numFmtId="9" fontId="0" fillId="0" borderId="1" xfId="0" applyNumberFormat="1" applyBorder="1"/>
    <xf numFmtId="0" fontId="8" fillId="0" borderId="1" xfId="0" applyFont="1" applyBorder="1" applyAlignment="1">
      <alignment horizontal="center" vertical="top" wrapText="1"/>
    </xf>
    <xf numFmtId="167" fontId="18" fillId="30" borderId="1" xfId="0" applyNumberFormat="1" applyFont="1" applyFill="1" applyBorder="1" applyAlignment="1">
      <alignment horizontal="center" vertical="center" wrapText="1"/>
    </xf>
    <xf numFmtId="3" fontId="14" fillId="3" borderId="0" xfId="2" applyNumberFormat="1"/>
    <xf numFmtId="167" fontId="0" fillId="27" borderId="0" xfId="0" applyNumberFormat="1" applyFill="1" applyAlignment="1">
      <alignment horizontal="center"/>
    </xf>
    <xf numFmtId="167" fontId="8" fillId="45" borderId="1" xfId="0" applyNumberFormat="1" applyFont="1" applyFill="1" applyBorder="1" applyAlignment="1">
      <alignment horizontal="left" wrapText="1"/>
    </xf>
    <xf numFmtId="167" fontId="8" fillId="0" borderId="1" xfId="0" applyNumberFormat="1" applyFont="1" applyBorder="1" applyAlignment="1">
      <alignment horizontal="left" wrapText="1"/>
    </xf>
    <xf numFmtId="167" fontId="8" fillId="0" borderId="0" xfId="0" applyNumberFormat="1" applyFont="1"/>
    <xf numFmtId="167" fontId="0" fillId="30" borderId="0" xfId="0" applyNumberFormat="1" applyFill="1"/>
    <xf numFmtId="167" fontId="8" fillId="64" borderId="0" xfId="0" applyNumberFormat="1" applyFont="1" applyFill="1" applyAlignment="1">
      <alignment wrapText="1"/>
    </xf>
    <xf numFmtId="168" fontId="0" fillId="64" borderId="0" xfId="0" applyNumberFormat="1" applyFill="1"/>
    <xf numFmtId="0" fontId="8" fillId="0" borderId="0" xfId="0" applyFont="1"/>
    <xf numFmtId="167" fontId="8" fillId="40" borderId="0" xfId="0" applyNumberFormat="1" applyFont="1" applyFill="1" applyAlignment="1">
      <alignment wrapText="1"/>
    </xf>
    <xf numFmtId="168" fontId="0" fillId="28" borderId="0" xfId="0" applyNumberFormat="1" applyFill="1"/>
    <xf numFmtId="168" fontId="30" fillId="36" borderId="0" xfId="0" applyNumberFormat="1" applyFont="1" applyFill="1"/>
    <xf numFmtId="9" fontId="51" fillId="5" borderId="0" xfId="0" applyNumberFormat="1" applyFont="1" applyFill="1" applyAlignment="1">
      <alignment horizontal="center"/>
    </xf>
    <xf numFmtId="9" fontId="0" fillId="5" borderId="0" xfId="0" applyNumberFormat="1" applyFill="1" applyAlignment="1">
      <alignment horizontal="center"/>
    </xf>
    <xf numFmtId="0" fontId="51" fillId="5" borderId="0" xfId="0" applyFont="1" applyFill="1" applyAlignment="1">
      <alignment horizontal="center"/>
    </xf>
    <xf numFmtId="10" fontId="0" fillId="30" borderId="0" xfId="0" applyNumberFormat="1" applyFill="1" applyAlignment="1">
      <alignment horizontal="center"/>
    </xf>
    <xf numFmtId="0" fontId="15" fillId="0" borderId="0" xfId="3" applyAlignment="1" applyProtection="1">
      <alignment horizontal="left" vertical="center"/>
    </xf>
    <xf numFmtId="0" fontId="15" fillId="0" borderId="0" xfId="3" applyAlignment="1" applyProtection="1">
      <alignment horizontal="left" vertical="top"/>
    </xf>
    <xf numFmtId="0" fontId="0" fillId="0" borderId="0" xfId="0" applyAlignment="1">
      <alignment horizontal="left" vertical="top"/>
    </xf>
    <xf numFmtId="0" fontId="7" fillId="0" borderId="0" xfId="0" applyFont="1" applyAlignment="1">
      <alignment horizontal="left" vertical="center"/>
    </xf>
    <xf numFmtId="0" fontId="13" fillId="0" borderId="0" xfId="0" applyFont="1" applyAlignment="1">
      <alignment horizontal="left" vertical="top" wrapText="1"/>
    </xf>
    <xf numFmtId="0" fontId="6" fillId="0" borderId="0" xfId="0" applyFont="1"/>
    <xf numFmtId="0" fontId="6" fillId="0" borderId="0" xfId="0" applyFont="1" applyAlignment="1">
      <alignment wrapText="1"/>
    </xf>
    <xf numFmtId="0" fontId="54" fillId="0" borderId="0" xfId="0" applyFont="1" applyAlignment="1">
      <alignment wrapText="1"/>
    </xf>
    <xf numFmtId="167" fontId="6" fillId="29" borderId="0" xfId="0" applyNumberFormat="1" applyFont="1" applyFill="1" applyAlignment="1">
      <alignment wrapText="1"/>
    </xf>
    <xf numFmtId="0" fontId="55" fillId="0" borderId="0" xfId="0" applyFont="1"/>
    <xf numFmtId="0" fontId="17" fillId="0" borderId="0" xfId="0" applyFont="1" applyAlignment="1">
      <alignment horizontal="left" vertical="top" wrapText="1"/>
    </xf>
    <xf numFmtId="0" fontId="5" fillId="12" borderId="0" xfId="0" applyFont="1" applyFill="1"/>
    <xf numFmtId="0" fontId="5" fillId="0" borderId="0" xfId="0" applyFont="1" applyAlignment="1">
      <alignment wrapText="1"/>
    </xf>
    <xf numFmtId="2" fontId="0" fillId="29" borderId="0" xfId="0" applyNumberFormat="1" applyFill="1"/>
    <xf numFmtId="0" fontId="4" fillId="0" borderId="0" xfId="0" applyFont="1" applyAlignment="1">
      <alignment wrapText="1"/>
    </xf>
    <xf numFmtId="0" fontId="3" fillId="0" borderId="0" xfId="0" applyFont="1"/>
    <xf numFmtId="164" fontId="18" fillId="0" borderId="0" xfId="0" applyNumberFormat="1" applyFont="1" applyAlignment="1">
      <alignment horizontal="center" vertical="center" wrapText="1"/>
    </xf>
    <xf numFmtId="4" fontId="42" fillId="0" borderId="0" xfId="0" applyNumberFormat="1" applyFont="1" applyBorder="1"/>
    <xf numFmtId="0" fontId="3" fillId="28" borderId="5" xfId="0" applyFont="1" applyFill="1" applyBorder="1" applyAlignment="1">
      <alignment wrapText="1"/>
    </xf>
    <xf numFmtId="4" fontId="3" fillId="28" borderId="1" xfId="0" applyNumberFormat="1" applyFont="1" applyFill="1" applyBorder="1"/>
    <xf numFmtId="4" fontId="13" fillId="0" borderId="0" xfId="0" applyNumberFormat="1" applyFont="1" applyBorder="1"/>
    <xf numFmtId="4" fontId="13" fillId="12" borderId="0" xfId="0" applyNumberFormat="1" applyFont="1" applyFill="1" applyBorder="1"/>
    <xf numFmtId="4" fontId="13" fillId="31" borderId="1" xfId="0" applyNumberFormat="1" applyFont="1" applyFill="1" applyBorder="1"/>
    <xf numFmtId="0" fontId="3" fillId="0" borderId="0" xfId="0" applyFont="1" applyAlignment="1">
      <alignment horizontal="left" wrapText="1"/>
    </xf>
    <xf numFmtId="0" fontId="3" fillId="0" borderId="0" xfId="0" applyFont="1" applyAlignment="1">
      <alignment wrapText="1"/>
    </xf>
    <xf numFmtId="4" fontId="0" fillId="0" borderId="0" xfId="0" applyNumberFormat="1" applyFill="1"/>
    <xf numFmtId="4" fontId="18" fillId="28" borderId="1" xfId="0" applyNumberFormat="1" applyFont="1" applyFill="1" applyBorder="1" applyAlignment="1">
      <alignment horizontal="center" vertical="center" wrapText="1"/>
    </xf>
    <xf numFmtId="0" fontId="11" fillId="0" borderId="0" xfId="0" applyFont="1" applyAlignment="1">
      <alignment horizontal="left" vertical="top" wrapText="1"/>
    </xf>
    <xf numFmtId="0" fontId="13" fillId="0" borderId="0" xfId="0" applyFont="1" applyAlignment="1">
      <alignment horizontal="left" vertical="top" wrapText="1"/>
    </xf>
    <xf numFmtId="0" fontId="8" fillId="0" borderId="0" xfId="0" applyFont="1" applyAlignment="1">
      <alignment horizontal="left" vertical="top" wrapText="1"/>
    </xf>
    <xf numFmtId="0" fontId="13" fillId="0" borderId="0" xfId="0" applyFont="1" applyAlignment="1">
      <alignment horizontal="left" wrapText="1"/>
    </xf>
    <xf numFmtId="0" fontId="9" fillId="0" borderId="0" xfId="0" applyFont="1" applyAlignment="1">
      <alignment horizontal="left" wrapText="1"/>
    </xf>
    <xf numFmtId="0" fontId="0" fillId="0" borderId="0" xfId="0" applyAlignment="1">
      <alignment horizontal="left" wrapText="1"/>
    </xf>
    <xf numFmtId="0" fontId="6" fillId="0" borderId="0" xfId="0" applyFont="1" applyAlignment="1">
      <alignment horizontal="left" vertical="center" wrapText="1"/>
    </xf>
    <xf numFmtId="0" fontId="11" fillId="0" borderId="0" xfId="0" applyFont="1" applyAlignment="1">
      <alignment horizontal="left" wrapText="1"/>
    </xf>
    <xf numFmtId="167" fontId="12" fillId="0" borderId="28" xfId="0" applyNumberFormat="1" applyFont="1" applyBorder="1" applyAlignment="1">
      <alignment horizontal="left" vertical="center" wrapText="1"/>
    </xf>
    <xf numFmtId="167" fontId="0" fillId="0" borderId="0" xfId="0" applyNumberFormat="1" applyAlignment="1">
      <alignment horizontal="left" vertical="center" wrapText="1"/>
    </xf>
    <xf numFmtId="0" fontId="6" fillId="0" borderId="0" xfId="0" applyFont="1" applyAlignment="1">
      <alignment horizontal="left" vertical="top" wrapText="1"/>
    </xf>
    <xf numFmtId="0" fontId="2" fillId="0" borderId="0" xfId="0" applyFont="1" applyAlignment="1">
      <alignment horizontal="left" vertical="top" wrapText="1"/>
    </xf>
    <xf numFmtId="0" fontId="8" fillId="31" borderId="5" xfId="0" applyFont="1" applyFill="1" applyBorder="1" applyAlignment="1">
      <alignment horizontal="center" vertical="center"/>
    </xf>
    <xf numFmtId="0" fontId="0" fillId="31" borderId="10" xfId="0" applyFill="1" applyBorder="1" applyAlignment="1">
      <alignment horizontal="center" vertical="center"/>
    </xf>
    <xf numFmtId="0" fontId="0" fillId="31" borderId="11" xfId="0" applyFill="1" applyBorder="1" applyAlignment="1">
      <alignment horizontal="center" vertical="center"/>
    </xf>
    <xf numFmtId="167" fontId="0" fillId="31" borderId="5" xfId="0" applyNumberFormat="1" applyFill="1" applyBorder="1" applyAlignment="1">
      <alignment horizontal="center" vertical="center" wrapText="1"/>
    </xf>
    <xf numFmtId="167" fontId="0" fillId="31" borderId="10" xfId="0" applyNumberFormat="1" applyFill="1" applyBorder="1" applyAlignment="1">
      <alignment horizontal="center" vertical="center" wrapText="1"/>
    </xf>
    <xf numFmtId="167" fontId="0" fillId="31" borderId="11" xfId="0" applyNumberFormat="1" applyFill="1" applyBorder="1" applyAlignment="1">
      <alignment horizontal="center" vertical="center" wrapText="1"/>
    </xf>
    <xf numFmtId="0" fontId="0" fillId="31" borderId="1" xfId="0" applyFill="1" applyBorder="1" applyAlignment="1">
      <alignment horizontal="center" vertical="center" wrapText="1"/>
    </xf>
    <xf numFmtId="0" fontId="0" fillId="31" borderId="6" xfId="0" applyFill="1" applyBorder="1" applyAlignment="1">
      <alignment horizontal="center" vertical="center" wrapText="1"/>
    </xf>
    <xf numFmtId="0" fontId="0" fillId="31" borderId="8" xfId="0" applyFill="1" applyBorder="1" applyAlignment="1">
      <alignment horizontal="center" vertical="center" wrapText="1"/>
    </xf>
    <xf numFmtId="0" fontId="12" fillId="31" borderId="7" xfId="0" applyFont="1" applyFill="1" applyBorder="1" applyAlignment="1">
      <alignment horizontal="center" vertical="top" wrapText="1"/>
    </xf>
    <xf numFmtId="0" fontId="0" fillId="31" borderId="9" xfId="0" applyFill="1" applyBorder="1" applyAlignment="1">
      <alignment horizontal="center" vertical="top" wrapText="1"/>
    </xf>
    <xf numFmtId="167" fontId="0" fillId="31" borderId="0" xfId="0" applyNumberFormat="1" applyFill="1" applyAlignment="1">
      <alignment horizontal="center" vertical="center" wrapText="1"/>
    </xf>
    <xf numFmtId="0" fontId="0" fillId="0" borderId="0" xfId="0" applyAlignment="1">
      <alignment horizontal="center" wrapText="1"/>
    </xf>
    <xf numFmtId="0" fontId="36" fillId="0" borderId="1" xfId="0" applyFont="1" applyBorder="1" applyAlignment="1">
      <alignment horizontal="center" vertical="center" wrapText="1"/>
    </xf>
    <xf numFmtId="0" fontId="38" fillId="0" borderId="0" xfId="0" applyFont="1" applyAlignment="1">
      <alignment horizontal="center" wrapText="1"/>
    </xf>
    <xf numFmtId="0" fontId="17" fillId="0" borderId="9" xfId="0" applyFont="1" applyBorder="1" applyAlignment="1">
      <alignment horizontal="left"/>
    </xf>
    <xf numFmtId="2" fontId="25" fillId="0" borderId="0" xfId="0" applyNumberFormat="1" applyFont="1" applyAlignment="1">
      <alignment horizontal="center" vertical="top" wrapText="1"/>
    </xf>
    <xf numFmtId="0" fontId="25" fillId="0" borderId="0" xfId="0" applyFont="1" applyAlignment="1">
      <alignment horizontal="center" vertical="top" wrapText="1"/>
    </xf>
    <xf numFmtId="4" fontId="34" fillId="32" borderId="5" xfId="0" applyNumberFormat="1" applyFont="1" applyFill="1" applyBorder="1" applyAlignment="1">
      <alignment horizontal="center" vertical="center" wrapText="1"/>
    </xf>
    <xf numFmtId="4" fontId="34" fillId="32" borderId="11" xfId="0" applyNumberFormat="1" applyFont="1" applyFill="1" applyBorder="1" applyAlignment="1">
      <alignment horizontal="center" vertical="center" wrapText="1"/>
    </xf>
    <xf numFmtId="4" fontId="34" fillId="12" borderId="2" xfId="0" applyNumberFormat="1" applyFont="1" applyFill="1" applyBorder="1" applyAlignment="1">
      <alignment horizontal="center" vertical="center" wrapText="1"/>
    </xf>
    <xf numFmtId="4" fontId="34" fillId="12" borderId="27" xfId="0" applyNumberFormat="1" applyFont="1" applyFill="1" applyBorder="1" applyAlignment="1">
      <alignment horizontal="center" vertical="center" wrapText="1"/>
    </xf>
    <xf numFmtId="4" fontId="34" fillId="12" borderId="4" xfId="0" applyNumberFormat="1" applyFont="1" applyFill="1" applyBorder="1" applyAlignment="1">
      <alignment horizontal="center" vertical="center" wrapText="1"/>
    </xf>
    <xf numFmtId="4" fontId="34" fillId="22" borderId="2" xfId="0" applyNumberFormat="1" applyFont="1" applyFill="1" applyBorder="1" applyAlignment="1">
      <alignment horizontal="center" vertical="center" wrapText="1"/>
    </xf>
    <xf numFmtId="4" fontId="34" fillId="22" borderId="27" xfId="0" applyNumberFormat="1" applyFont="1" applyFill="1" applyBorder="1" applyAlignment="1">
      <alignment horizontal="center" vertical="center" wrapText="1"/>
    </xf>
    <xf numFmtId="4" fontId="34" fillId="22" borderId="4" xfId="0" applyNumberFormat="1" applyFont="1" applyFill="1" applyBorder="1" applyAlignment="1">
      <alignment horizontal="center" vertical="center" wrapText="1"/>
    </xf>
    <xf numFmtId="4" fontId="34" fillId="21" borderId="2" xfId="0" applyNumberFormat="1" applyFont="1" applyFill="1" applyBorder="1" applyAlignment="1">
      <alignment horizontal="center" vertical="center" wrapText="1"/>
    </xf>
    <xf numFmtId="4" fontId="34" fillId="21" borderId="4" xfId="0" applyNumberFormat="1" applyFont="1" applyFill="1" applyBorder="1" applyAlignment="1">
      <alignment horizontal="center" vertical="center" wrapText="1"/>
    </xf>
    <xf numFmtId="0" fontId="46" fillId="0" borderId="1" xfId="0" applyFont="1" applyBorder="1" applyAlignment="1">
      <alignment horizontal="center"/>
    </xf>
    <xf numFmtId="0" fontId="0" fillId="0" borderId="0" xfId="0" applyAlignment="1">
      <alignment horizontal="left" vertical="center" wrapText="1"/>
    </xf>
    <xf numFmtId="0" fontId="0" fillId="0" borderId="0" xfId="0" applyAlignment="1">
      <alignment horizontal="left" vertical="center"/>
    </xf>
  </cellXfs>
  <cellStyles count="14">
    <cellStyle name="20% — акцент1" xfId="1" builtinId="30"/>
    <cellStyle name="Акцент2" xfId="2" builtinId="33"/>
    <cellStyle name="Гиперссылка" xfId="3" builtinId="8"/>
    <cellStyle name="Гиперссылка 2" xfId="9" xr:uid="{00000000-0005-0000-0000-000003000000}"/>
    <cellStyle name="Гиперссылка 3" xfId="13" xr:uid="{00000000-0005-0000-0000-000004000000}"/>
    <cellStyle name="Обычный" xfId="0" builtinId="0"/>
    <cellStyle name="Обычный 2" xfId="4" xr:uid="{00000000-0005-0000-0000-000006000000}"/>
    <cellStyle name="Обычный 3" xfId="7" xr:uid="{00000000-0005-0000-0000-000007000000}"/>
    <cellStyle name="Обычный 4" xfId="10" xr:uid="{00000000-0005-0000-0000-000008000000}"/>
    <cellStyle name="Плохой" xfId="5" builtinId="27"/>
    <cellStyle name="Процентный" xfId="6" builtinId="5"/>
    <cellStyle name="Процентный 2" xfId="12" xr:uid="{00000000-0005-0000-0000-00000B000000}"/>
    <cellStyle name="Финансовый 2" xfId="8" xr:uid="{00000000-0005-0000-0000-00000C000000}"/>
    <cellStyle name="Финансовый 3" xfId="11" xr:uid="{00000000-0005-0000-0000-00000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8"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'объем работ 100% загр'!$C$29:$H$29</c:f>
              <c:strCache>
                <c:ptCount val="6"/>
                <c:pt idx="0">
                  <c:v>Планируемый объем реализации в год, млн шт</c:v>
                </c:pt>
              </c:strCache>
            </c:strRef>
          </c:tx>
          <c:spPr bwMode="auto">
            <a:prstGeom prst="rect">
              <a:avLst/>
            </a:prstGeom>
            <a:solidFill>
              <a:schemeClr val="accent1">
                <a:alpha val="85000"/>
              </a:schemeClr>
            </a:solidFill>
            <a:ln w="9525" cap="flat" cmpd="sng" algn="ctr">
              <a:solidFill>
                <a:schemeClr val="lt1">
                  <a:alpha val="50000"/>
                </a:schemeClr>
              </a:solidFill>
              <a:round/>
            </a:ln>
            <a:effectLst/>
          </c:spPr>
          <c:invertIfNegative val="0"/>
          <c:dLbls>
            <c:spPr bwMode="auto">
              <a:solidFill>
                <a:schemeClr val="dk1">
                  <a:lumMod val="65000"/>
                  <a:lumOff val="35000"/>
                  <a:alpha val="75000"/>
                </a:schemeClr>
              </a:solidFill>
              <a:ln>
                <a:noFill/>
              </a:ln>
              <a:effectLst/>
            </c:spPr>
            <c:txPr>
              <a:bodyPr rot="0" spcFirstLastPara="1" vertOverflow="clip" horzOverflow="clip" vert="horz" wrap="square" lIns="38100" tIns="19050" rIns="38100" bIns="19050" anchor="ctr" anchorCtr="1">
                <a:spAutoFit/>
              </a:bodyPr>
              <a:lstStyle/>
              <a:p>
                <a:pPr>
                  <a:defRPr sz="900" b="1" i="0" u="none" strike="noStrike" baseline="0">
                    <a:solidFill>
                      <a:schemeClr val="lt1"/>
                    </a:solidFill>
                    <a:latin typeface="+mn-lt"/>
                    <a:ea typeface="+mn-ea"/>
                    <a:cs typeface="+mn-cs"/>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0"/>
              </c:ext>
            </c:extLst>
          </c:dLbls>
          <c:cat>
            <c:strRef>
              <c:f>'объем работ 100% загр'!$C$30:$M$30</c:f>
              <c:strCache>
                <c:ptCount val="11"/>
                <c:pt idx="0">
                  <c:v>1 год</c:v>
                </c:pt>
                <c:pt idx="1">
                  <c:v>2 год</c:v>
                </c:pt>
                <c:pt idx="2">
                  <c:v>3 год</c:v>
                </c:pt>
                <c:pt idx="3">
                  <c:v>4 год</c:v>
                </c:pt>
                <c:pt idx="4">
                  <c:v>5 год</c:v>
                </c:pt>
                <c:pt idx="5">
                  <c:v>6 год </c:v>
                </c:pt>
                <c:pt idx="6">
                  <c:v>7 год</c:v>
                </c:pt>
                <c:pt idx="7">
                  <c:v>8 год</c:v>
                </c:pt>
                <c:pt idx="8">
                  <c:v>9 год</c:v>
                </c:pt>
                <c:pt idx="9">
                  <c:v>10 год</c:v>
                </c:pt>
                <c:pt idx="10">
                  <c:v>11 год</c:v>
                </c:pt>
              </c:strCache>
            </c:strRef>
          </c:cat>
          <c:val>
            <c:numRef>
              <c:f>'объем работ 100% загр'!$C$31:$M$31</c:f>
              <c:numCache>
                <c:formatCode>#\ ##0.0</c:formatCode>
                <c:ptCount val="11"/>
                <c:pt idx="0">
                  <c:v>0</c:v>
                </c:pt>
                <c:pt idx="1">
                  <c:v>3.8219999999999996</c:v>
                </c:pt>
                <c:pt idx="2">
                  <c:v>4.68</c:v>
                </c:pt>
                <c:pt idx="3">
                  <c:v>5.6159999999999997</c:v>
                </c:pt>
                <c:pt idx="4">
                  <c:v>5.9669999999999996</c:v>
                </c:pt>
                <c:pt idx="5">
                  <c:v>6.3180000000000023</c:v>
                </c:pt>
                <c:pt idx="6">
                  <c:v>6.6690000000000023</c:v>
                </c:pt>
                <c:pt idx="7">
                  <c:v>7.0200000000000022</c:v>
                </c:pt>
                <c:pt idx="8">
                  <c:v>7.0200000000000022</c:v>
                </c:pt>
                <c:pt idx="9">
                  <c:v>7.02</c:v>
                </c:pt>
                <c:pt idx="10">
                  <c:v>7.02</c:v>
                </c:pt>
              </c:numCache>
            </c:numRef>
          </c:val>
          <c:extLst>
            <c:ext xmlns:c16="http://schemas.microsoft.com/office/drawing/2014/chart" uri="{C3380CC4-5D6E-409C-BE32-E72D297353CC}">
              <c16:uniqueId val="{00000000-860C-4D06-90A3-F31F6C5D9487}"/>
            </c:ext>
          </c:extLst>
        </c:ser>
        <c:dLbls>
          <c:dLblPos val="inEnd"/>
          <c:showLegendKey val="0"/>
          <c:showVal val="1"/>
          <c:showCatName val="0"/>
          <c:showSerName val="0"/>
          <c:showPercent val="0"/>
          <c:showBubbleSize val="0"/>
        </c:dLbls>
        <c:gapWidth val="65"/>
        <c:axId val="2001684416"/>
        <c:axId val="2015665872"/>
      </c:barChart>
      <c:catAx>
        <c:axId val="2001684416"/>
        <c:scaling>
          <c:orientation val="minMax"/>
        </c:scaling>
        <c:delete val="0"/>
        <c:axPos val="b"/>
        <c:numFmt formatCode="General" sourceLinked="1"/>
        <c:majorTickMark val="none"/>
        <c:minorTickMark val="none"/>
        <c:tickLblPos val="nextTo"/>
        <c:spPr bwMode="auto">
          <a:prstGeom prst="rect">
            <a:avLst/>
          </a:prstGeom>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cap="all" baseline="0">
                <a:solidFill>
                  <a:schemeClr val="dk1">
                    <a:lumMod val="75000"/>
                    <a:lumOff val="25000"/>
                  </a:schemeClr>
                </a:solidFill>
                <a:latin typeface="+mn-lt"/>
                <a:ea typeface="+mn-ea"/>
                <a:cs typeface="+mn-cs"/>
              </a:defRPr>
            </a:pPr>
            <a:endParaRPr lang="ru-RU"/>
          </a:p>
        </c:txPr>
        <c:crossAx val="2015665872"/>
        <c:crosses val="autoZero"/>
        <c:auto val="1"/>
        <c:lblAlgn val="ctr"/>
        <c:lblOffset val="100"/>
        <c:noMultiLvlLbl val="0"/>
      </c:catAx>
      <c:valAx>
        <c:axId val="2015665872"/>
        <c:scaling>
          <c:orientation val="minMax"/>
        </c:scaling>
        <c:delete val="1"/>
        <c:axPos val="l"/>
        <c:majorGridlines>
          <c:spPr bwMode="auto">
            <a:prstGeom prst="rect">
              <a:avLst/>
            </a:prstGeom>
            <a:ln w="9525" cap="flat" cmpd="sng" algn="ctr">
              <a:gradFill>
                <a:gsLst>
                  <a:gs pos="0">
                    <a:schemeClr val="lt1">
                      <a:lumMod val="75000"/>
                      <a:alpha val="36000"/>
                    </a:schemeClr>
                  </a:gs>
                  <a:gs pos="100000">
                    <a:schemeClr val="dk1">
                      <a:lumMod val="95000"/>
                      <a:lumOff val="5000"/>
                      <a:alpha val="42000"/>
                    </a:schemeClr>
                  </a:gs>
                </a:gsLst>
                <a:lin ang="5400000" scaled="0"/>
              </a:gradFill>
              <a:round/>
            </a:ln>
            <a:effectLst/>
          </c:spPr>
        </c:majorGridlines>
        <c:numFmt formatCode="#\ ##0.0" sourceLinked="1"/>
        <c:majorTickMark val="none"/>
        <c:minorTickMark val="none"/>
        <c:tickLblPos val="nextTo"/>
        <c:crossAx val="2001684416"/>
        <c:crosses val="autoZero"/>
        <c:crossBetween val="between"/>
      </c:valAx>
      <c:spPr>
        <a:prstGeom prst="rect">
          <a:avLst/>
        </a:prstGeom>
        <a:noFill/>
        <a:ln>
          <a:noFill/>
        </a:ln>
        <a:effectLst/>
      </c:spPr>
    </c:plotArea>
    <c:legend>
      <c:legendPos val="t"/>
      <c:overlay val="0"/>
      <c:spPr bwMode="auto">
        <a:prstGeom prst="rect">
          <a:avLst/>
        </a:prstGeom>
        <a:solidFill>
          <a:schemeClr val="lt1">
            <a:lumMod val="95000"/>
            <a:alpha val="39000"/>
          </a:schemeClr>
        </a:solidFill>
        <a:ln>
          <a:noFill/>
        </a:ln>
        <a:effectLst/>
      </c:spPr>
      <c:txPr>
        <a:bodyPr rot="0" spcFirstLastPara="1" vertOverflow="ellipsis" vert="horz" wrap="square" anchor="ctr" anchorCtr="1"/>
        <a:lstStyle/>
        <a:p>
          <a:pPr>
            <a:defRPr sz="900" b="0" i="0" u="none" strike="noStrike" baseline="0">
              <a:solidFill>
                <a:schemeClr val="dk1">
                  <a:lumMod val="75000"/>
                  <a:lumOff val="25000"/>
                </a:schemeClr>
              </a:solidFill>
              <a:latin typeface="+mn-lt"/>
              <a:ea typeface="+mn-ea"/>
              <a:cs typeface="+mn-cs"/>
            </a:defRPr>
          </a:pPr>
          <a:endParaRPr lang="ru-RU"/>
        </a:p>
      </c:txPr>
    </c:legend>
    <c:plotVisOnly val="1"/>
    <c:dispBlanksAs val="gap"/>
    <c:showDLblsOverMax val="0"/>
  </c:chart>
  <c:spPr bwMode="auto">
    <a:xfrm>
      <a:off x="0" y="0"/>
      <a:ext cx="0" cy="0"/>
    </a:xfrm>
    <a:prstGeom prst="rect">
      <a:avLst/>
    </a:prstGeom>
    <a:gradFill>
      <a:gsLst>
        <a:gs pos="0">
          <a:schemeClr val="lt1"/>
        </a:gs>
        <a:gs pos="39000">
          <a:schemeClr val="lt1"/>
        </a:gs>
        <a:gs pos="100000">
          <a:schemeClr val="lt1">
            <a:lumMod val="75000"/>
          </a:schemeClr>
        </a:gs>
      </a:gsLst>
      <a:path path="circle"/>
    </a:gradFill>
    <a:ln w="9525" cap="flat" cmpd="sng" algn="ctr">
      <a:solidFill>
        <a:schemeClr val="dk1">
          <a:lumMod val="25000"/>
          <a:lumOff val="75000"/>
        </a:schemeClr>
      </a:solidFill>
      <a:round/>
    </a:ln>
    <a:effectLst/>
  </c:spPr>
  <c:txPr>
    <a:bodyPr/>
    <a:lstStyle/>
    <a:p>
      <a:pPr>
        <a:defRPr/>
      </a:pPr>
      <a:endParaRPr lang="ru-RU"/>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'объем работ 100% загр'!$C$33:$M$33</c:f>
              <c:strCache>
                <c:ptCount val="11"/>
                <c:pt idx="0">
                  <c:v>Планиуремый объем загрузки в год, %</c:v>
                </c:pt>
              </c:strCache>
            </c:strRef>
          </c:tx>
          <c:spPr bwMode="auto">
            <a:prstGeom prst="rect">
              <a:avLst/>
            </a:prstGeom>
            <a:solidFill>
              <a:schemeClr val="accent1">
                <a:alpha val="85000"/>
              </a:schemeClr>
            </a:solidFill>
            <a:ln w="9525" cap="flat" cmpd="sng" algn="ctr">
              <a:solidFill>
                <a:schemeClr val="lt1">
                  <a:alpha val="50000"/>
                </a:schemeClr>
              </a:solidFill>
              <a:round/>
            </a:ln>
            <a:effectLst/>
          </c:spPr>
          <c:invertIfNegative val="0"/>
          <c:dLbls>
            <c:spPr bwMode="auto">
              <a:solidFill>
                <a:schemeClr val="dk1">
                  <a:lumMod val="65000"/>
                  <a:lumOff val="35000"/>
                  <a:alpha val="75000"/>
                </a:schemeClr>
              </a:solidFill>
              <a:ln>
                <a:noFill/>
              </a:ln>
              <a:effectLst/>
            </c:spPr>
            <c:txPr>
              <a:bodyPr rot="0" spcFirstLastPara="1" vertOverflow="clip" horzOverflow="clip" vert="horz" wrap="square" lIns="38100" tIns="19050" rIns="38100" bIns="19050" anchor="ctr" anchorCtr="1">
                <a:spAutoFit/>
              </a:bodyPr>
              <a:lstStyle/>
              <a:p>
                <a:pPr>
                  <a:defRPr sz="900" b="1" i="0" u="none" strike="noStrike" baseline="0">
                    <a:solidFill>
                      <a:schemeClr val="lt1"/>
                    </a:solidFill>
                    <a:latin typeface="+mn-lt"/>
                    <a:ea typeface="+mn-ea"/>
                    <a:cs typeface="+mn-cs"/>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0"/>
              </c:ext>
            </c:extLst>
          </c:dLbls>
          <c:cat>
            <c:strRef>
              <c:f>'объем работ 100% загр'!$C$34:$M$34</c:f>
              <c:strCache>
                <c:ptCount val="11"/>
                <c:pt idx="0">
                  <c:v>1 год</c:v>
                </c:pt>
                <c:pt idx="1">
                  <c:v>2 год</c:v>
                </c:pt>
                <c:pt idx="2">
                  <c:v>3 год</c:v>
                </c:pt>
                <c:pt idx="3">
                  <c:v>4 год</c:v>
                </c:pt>
                <c:pt idx="4">
                  <c:v>5 год</c:v>
                </c:pt>
                <c:pt idx="5">
                  <c:v>6 год </c:v>
                </c:pt>
                <c:pt idx="6">
                  <c:v>7 год</c:v>
                </c:pt>
                <c:pt idx="7">
                  <c:v>8 год</c:v>
                </c:pt>
                <c:pt idx="8">
                  <c:v>9 год</c:v>
                </c:pt>
                <c:pt idx="9">
                  <c:v>10 год</c:v>
                </c:pt>
                <c:pt idx="10">
                  <c:v>11 год</c:v>
                </c:pt>
              </c:strCache>
            </c:strRef>
          </c:cat>
          <c:val>
            <c:numRef>
              <c:f>'объем работ 100% загр'!$C$35:$M$35</c:f>
              <c:numCache>
                <c:formatCode>0%</c:formatCode>
                <c:ptCount val="11"/>
                <c:pt idx="0">
                  <c:v>0</c:v>
                </c:pt>
                <c:pt idx="1">
                  <c:v>0.7</c:v>
                </c:pt>
                <c:pt idx="2">
                  <c:v>0.8</c:v>
                </c:pt>
                <c:pt idx="3">
                  <c:v>0.9</c:v>
                </c:pt>
                <c:pt idx="4">
                  <c:v>0.9</c:v>
                </c:pt>
                <c:pt idx="5">
                  <c:v>0.9</c:v>
                </c:pt>
                <c:pt idx="6">
                  <c:v>0.9</c:v>
                </c:pt>
                <c:pt idx="7">
                  <c:v>0.9</c:v>
                </c:pt>
                <c:pt idx="8">
                  <c:v>0.9</c:v>
                </c:pt>
                <c:pt idx="9">
                  <c:v>0.9</c:v>
                </c:pt>
                <c:pt idx="10">
                  <c:v>0.9</c:v>
                </c:pt>
              </c:numCache>
            </c:numRef>
          </c:val>
          <c:extLst>
            <c:ext xmlns:c16="http://schemas.microsoft.com/office/drawing/2014/chart" uri="{C3380CC4-5D6E-409C-BE32-E72D297353CC}">
              <c16:uniqueId val="{00000000-1425-4AD2-9706-772339C6061A}"/>
            </c:ext>
          </c:extLst>
        </c:ser>
        <c:dLbls>
          <c:dLblPos val="inEnd"/>
          <c:showLegendKey val="0"/>
          <c:showVal val="1"/>
          <c:showCatName val="0"/>
          <c:showSerName val="0"/>
          <c:showPercent val="0"/>
          <c:showBubbleSize val="0"/>
        </c:dLbls>
        <c:gapWidth val="65"/>
        <c:axId val="1929864416"/>
        <c:axId val="1934812544"/>
      </c:barChart>
      <c:catAx>
        <c:axId val="1929864416"/>
        <c:scaling>
          <c:orientation val="minMax"/>
        </c:scaling>
        <c:delete val="0"/>
        <c:axPos val="b"/>
        <c:numFmt formatCode="General" sourceLinked="1"/>
        <c:majorTickMark val="none"/>
        <c:minorTickMark val="none"/>
        <c:tickLblPos val="nextTo"/>
        <c:spPr bwMode="auto">
          <a:prstGeom prst="rect">
            <a:avLst/>
          </a:prstGeom>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cap="all" baseline="0">
                <a:solidFill>
                  <a:schemeClr val="dk1">
                    <a:lumMod val="75000"/>
                    <a:lumOff val="25000"/>
                  </a:schemeClr>
                </a:solidFill>
                <a:latin typeface="+mn-lt"/>
                <a:ea typeface="+mn-ea"/>
                <a:cs typeface="+mn-cs"/>
              </a:defRPr>
            </a:pPr>
            <a:endParaRPr lang="ru-RU"/>
          </a:p>
        </c:txPr>
        <c:crossAx val="1934812544"/>
        <c:crosses val="autoZero"/>
        <c:auto val="1"/>
        <c:lblAlgn val="ctr"/>
        <c:lblOffset val="100"/>
        <c:noMultiLvlLbl val="0"/>
      </c:catAx>
      <c:valAx>
        <c:axId val="1934812544"/>
        <c:scaling>
          <c:orientation val="minMax"/>
        </c:scaling>
        <c:delete val="1"/>
        <c:axPos val="l"/>
        <c:majorGridlines>
          <c:spPr bwMode="auto">
            <a:prstGeom prst="rect">
              <a:avLst/>
            </a:prstGeom>
            <a:ln w="9525" cap="flat" cmpd="sng" algn="ctr">
              <a:gradFill>
                <a:gsLst>
                  <a:gs pos="0">
                    <a:schemeClr val="lt1">
                      <a:lumMod val="75000"/>
                      <a:alpha val="36000"/>
                    </a:schemeClr>
                  </a:gs>
                  <a:gs pos="100000">
                    <a:schemeClr val="dk1">
                      <a:lumMod val="95000"/>
                      <a:lumOff val="5000"/>
                      <a:alpha val="42000"/>
                    </a:schemeClr>
                  </a:gs>
                </a:gsLst>
                <a:lin ang="5400000" scaled="0"/>
              </a:gradFill>
              <a:round/>
            </a:ln>
            <a:effectLst/>
          </c:spPr>
        </c:majorGridlines>
        <c:numFmt formatCode="0%" sourceLinked="1"/>
        <c:majorTickMark val="none"/>
        <c:minorTickMark val="none"/>
        <c:tickLblPos val="nextTo"/>
        <c:crossAx val="1929864416"/>
        <c:crosses val="autoZero"/>
        <c:crossBetween val="between"/>
      </c:valAx>
      <c:spPr>
        <a:prstGeom prst="rect">
          <a:avLst/>
        </a:prstGeom>
        <a:noFill/>
        <a:ln>
          <a:noFill/>
        </a:ln>
        <a:effectLst/>
      </c:spPr>
    </c:plotArea>
    <c:legend>
      <c:legendPos val="t"/>
      <c:overlay val="0"/>
      <c:spPr bwMode="auto">
        <a:prstGeom prst="rect">
          <a:avLst/>
        </a:prstGeom>
        <a:solidFill>
          <a:schemeClr val="lt1">
            <a:lumMod val="95000"/>
            <a:alpha val="39000"/>
          </a:schemeClr>
        </a:solidFill>
        <a:ln>
          <a:noFill/>
        </a:ln>
        <a:effectLst/>
      </c:spPr>
      <c:txPr>
        <a:bodyPr rot="0" spcFirstLastPara="1" vertOverflow="ellipsis" vert="horz" wrap="square" anchor="ctr" anchorCtr="1"/>
        <a:lstStyle/>
        <a:p>
          <a:pPr>
            <a:defRPr sz="900" b="0" i="0" u="none" strike="noStrike" baseline="0">
              <a:solidFill>
                <a:schemeClr val="dk1">
                  <a:lumMod val="75000"/>
                  <a:lumOff val="25000"/>
                </a:schemeClr>
              </a:solidFill>
              <a:latin typeface="+mn-lt"/>
              <a:ea typeface="+mn-ea"/>
              <a:cs typeface="+mn-cs"/>
            </a:defRPr>
          </a:pPr>
          <a:endParaRPr lang="ru-RU"/>
        </a:p>
      </c:txPr>
    </c:legend>
    <c:plotVisOnly val="1"/>
    <c:dispBlanksAs val="gap"/>
    <c:showDLblsOverMax val="0"/>
  </c:chart>
  <c:spPr bwMode="auto">
    <a:xfrm>
      <a:off x="0" y="0"/>
      <a:ext cx="0" cy="0"/>
    </a:xfrm>
    <a:prstGeom prst="rect">
      <a:avLst/>
    </a:prstGeom>
    <a:gradFill>
      <a:gsLst>
        <a:gs pos="0">
          <a:schemeClr val="lt1"/>
        </a:gs>
        <a:gs pos="39000">
          <a:schemeClr val="lt1"/>
        </a:gs>
        <a:gs pos="100000">
          <a:schemeClr val="lt1">
            <a:lumMod val="75000"/>
          </a:schemeClr>
        </a:gs>
      </a:gsLst>
      <a:path path="circle"/>
    </a:gradFill>
    <a:ln w="9525" cap="flat" cmpd="sng" algn="ctr">
      <a:solidFill>
        <a:schemeClr val="dk1">
          <a:lumMod val="25000"/>
          <a:lumOff val="75000"/>
        </a:schemeClr>
      </a:solidFill>
      <a:round/>
    </a:ln>
    <a:effectLst/>
  </c:spPr>
  <c:txPr>
    <a:bodyPr/>
    <a:lstStyle/>
    <a:p>
      <a:pPr>
        <a:defRPr/>
      </a:pPr>
      <a:endParaRPr lang="ru-RU"/>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spc="0">
                <a:solidFill>
                  <a:schemeClr val="tx1">
                    <a:lumMod val="65000"/>
                    <a:lumOff val="35000"/>
                  </a:schemeClr>
                </a:solidFill>
                <a:latin typeface="+mn-lt"/>
                <a:ea typeface="+mn-ea"/>
                <a:cs typeface="+mn-cs"/>
              </a:defRPr>
            </a:pPr>
            <a:r>
              <a:rPr lang="ru-RU"/>
              <a:t>Структура источников финансирования, %</a:t>
            </a:r>
          </a:p>
        </c:rich>
      </c:tx>
      <c:overlay val="0"/>
      <c:spPr>
        <a:prstGeom prst="rect">
          <a:avLst/>
        </a:prstGeom>
        <a:noFill/>
        <a:ln>
          <a:noFill/>
        </a:ln>
        <a:effectLst/>
      </c:spPr>
    </c:title>
    <c:autoTitleDeleted val="0"/>
    <c:plotArea>
      <c:layout/>
      <c:doughnutChart>
        <c:varyColors val="1"/>
        <c:ser>
          <c:idx val="0"/>
          <c:order val="0"/>
          <c:dPt>
            <c:idx val="0"/>
            <c:bubble3D val="0"/>
            <c:spPr>
              <a:prstGeom prst="rect">
                <a:avLst/>
              </a:prstGeom>
              <a:solidFill>
                <a:schemeClr val="accent1"/>
              </a:solidFill>
              <a:ln w="19050">
                <a:solidFill>
                  <a:schemeClr val="lt1"/>
                </a:solidFill>
              </a:ln>
              <a:effectLst/>
            </c:spPr>
            <c:extLst>
              <c:ext xmlns:c16="http://schemas.microsoft.com/office/drawing/2014/chart" uri="{C3380CC4-5D6E-409C-BE32-E72D297353CC}">
                <c16:uniqueId val="{00000001-E03C-4893-A634-E14F72EBD98D}"/>
              </c:ext>
            </c:extLst>
          </c:dPt>
          <c:dPt>
            <c:idx val="1"/>
            <c:bubble3D val="0"/>
            <c:spPr>
              <a:prstGeom prst="rect">
                <a:avLst/>
              </a:prstGeom>
              <a:solidFill>
                <a:schemeClr val="accent2"/>
              </a:solidFill>
              <a:ln w="19050">
                <a:solidFill>
                  <a:schemeClr val="lt1"/>
                </a:solidFill>
              </a:ln>
              <a:effectLst/>
            </c:spPr>
            <c:extLst>
              <c:ext xmlns:c16="http://schemas.microsoft.com/office/drawing/2014/chart" uri="{C3380CC4-5D6E-409C-BE32-E72D297353CC}">
                <c16:uniqueId val="{00000003-E03C-4893-A634-E14F72EBD98D}"/>
              </c:ext>
            </c:extLst>
          </c:dPt>
          <c:dLbls>
            <c:dLbl>
              <c:idx val="0"/>
              <c:layout>
                <c:manualLayout>
                  <c:x val="4.8611104856787393E-2"/>
                  <c:y val="-0.10752688172043008"/>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03C-4893-A634-E14F72EBD98D}"/>
                </c:ext>
              </c:extLst>
            </c:dLbl>
            <c:dLbl>
              <c:idx val="1"/>
              <c:layout>
                <c:manualLayout>
                  <c:x val="-0.13775038049634794"/>
                  <c:y val="0.11963913490848437"/>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03C-4893-A634-E14F72EBD98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a:solidFill>
                      <a:schemeClr val="tx1">
                        <a:lumMod val="75000"/>
                        <a:lumOff val="25000"/>
                      </a:schemeClr>
                    </a:solidFill>
                    <a:latin typeface="+mn-lt"/>
                    <a:ea typeface="+mn-ea"/>
                    <a:cs typeface="+mn-cs"/>
                  </a:defRPr>
                </a:pPr>
                <a:endParaRPr lang="ru-RU"/>
              </a:p>
            </c:txPr>
            <c:showLegendKey val="0"/>
            <c:showVal val="0"/>
            <c:showCatName val="0"/>
            <c:showSerName val="0"/>
            <c:showPercent val="1"/>
            <c:showBubbleSize val="0"/>
            <c:showLeaderLines val="1"/>
            <c:leaderLines>
              <c:spPr>
                <a:prstGeom prst="rect">
                  <a:avLst/>
                </a:prstGeom>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rect">
                    <a:avLst/>
                  </a:prstGeom>
                </c15:spPr>
              </c:ext>
            </c:extLst>
          </c:dLbls>
          <c:cat>
            <c:strRef>
              <c:f>'Расходы на П, строит-во, ввод'!$V$16:$V$18</c:f>
              <c:strCache>
                <c:ptCount val="3"/>
                <c:pt idx="0">
                  <c:v>Собственные средства</c:v>
                </c:pt>
                <c:pt idx="1">
                  <c:v>Заемные средства</c:v>
                </c:pt>
                <c:pt idx="2">
                  <c:v>Господдержка</c:v>
                </c:pt>
              </c:strCache>
            </c:strRef>
          </c:cat>
          <c:val>
            <c:numRef>
              <c:f>'Расходы на П, строит-во, ввод'!$AB$16:$AB$17</c:f>
              <c:numCache>
                <c:formatCode>0.0%</c:formatCode>
                <c:ptCount val="2"/>
                <c:pt idx="0">
                  <c:v>0.38220519063518976</c:v>
                </c:pt>
                <c:pt idx="1">
                  <c:v>0.61779480936481024</c:v>
                </c:pt>
              </c:numCache>
            </c:numRef>
          </c:val>
          <c:extLst>
            <c:ext xmlns:c16="http://schemas.microsoft.com/office/drawing/2014/chart" uri="{C3380CC4-5D6E-409C-BE32-E72D297353CC}">
              <c16:uniqueId val="{00000004-E03C-4893-A634-E14F72EBD98D}"/>
            </c:ext>
          </c:extLst>
        </c:ser>
        <c:dLbls>
          <c:showLegendKey val="0"/>
          <c:showVal val="0"/>
          <c:showCatName val="0"/>
          <c:showSerName val="0"/>
          <c:showPercent val="0"/>
          <c:showBubbleSize val="0"/>
          <c:showLeaderLines val="1"/>
        </c:dLbls>
        <c:firstSliceAng val="0"/>
        <c:holeSize val="75"/>
      </c:doughnutChart>
      <c:spPr>
        <a:prstGeom prst="rect">
          <a:avLst/>
        </a:prstGeom>
        <a:noFill/>
        <a:ln>
          <a:noFill/>
        </a:ln>
        <a:effectLst/>
      </c:spPr>
    </c:plotArea>
    <c:legend>
      <c:legendPos val="b"/>
      <c:overlay val="0"/>
      <c:spPr>
        <a:prstGeom prst="rect">
          <a:avLst/>
        </a:prstGeom>
        <a:noFill/>
        <a:ln>
          <a:noFill/>
        </a:ln>
        <a:effectLst/>
      </c:spPr>
      <c:txPr>
        <a:bodyPr rot="0" spcFirstLastPara="1" vertOverflow="ellipsis" vert="horz" wrap="square" anchor="ctr" anchorCtr="1"/>
        <a:lstStyle/>
        <a:p>
          <a:pPr>
            <a:defRPr sz="900" b="0" i="0" u="none" strike="noStrike">
              <a:solidFill>
                <a:schemeClr val="tx1">
                  <a:lumMod val="65000"/>
                  <a:lumOff val="35000"/>
                </a:schemeClr>
              </a:solidFill>
              <a:latin typeface="+mn-lt"/>
              <a:ea typeface="+mn-ea"/>
              <a:cs typeface="+mn-cs"/>
            </a:defRPr>
          </a:pPr>
          <a:endParaRPr lang="ru-RU"/>
        </a:p>
      </c:txPr>
    </c:legend>
    <c:plotVisOnly val="1"/>
    <c:dispBlanksAs val="gap"/>
    <c:showDLblsOverMax val="0"/>
  </c:chart>
  <c:spPr>
    <a:xfrm>
      <a:off x="0" y="0"/>
      <a:ext cx="0" cy="0"/>
    </a:xfrm>
    <a:prstGeom prst="rect">
      <a:avLst/>
    </a:prstGeom>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spc="0" baseline="0">
                <a:solidFill>
                  <a:schemeClr val="tx1">
                    <a:lumMod val="65000"/>
                    <a:lumOff val="35000"/>
                  </a:schemeClr>
                </a:solidFill>
                <a:latin typeface="+mn-lt"/>
                <a:ea typeface="+mn-ea"/>
                <a:cs typeface="+mn-cs"/>
              </a:defRPr>
            </a:pPr>
            <a:r>
              <a:rPr lang="ru-RU"/>
              <a:t>Структура персонала</a:t>
            </a:r>
          </a:p>
        </c:rich>
      </c:tx>
      <c:overlay val="0"/>
      <c:spPr>
        <a:prstGeom prst="rect">
          <a:avLst/>
        </a:prstGeom>
        <a:noFill/>
        <a:ln>
          <a:noFill/>
        </a:ln>
        <a:effectLst/>
      </c:spPr>
    </c:title>
    <c:autoTitleDeleted val="0"/>
    <c:plotArea>
      <c:layout/>
      <c:doughnutChart>
        <c:varyColors val="1"/>
        <c:ser>
          <c:idx val="0"/>
          <c:order val="0"/>
          <c:dPt>
            <c:idx val="0"/>
            <c:bubble3D val="0"/>
            <c:spPr>
              <a:prstGeom prst="rect">
                <a:avLst/>
              </a:prstGeom>
              <a:solidFill>
                <a:schemeClr val="accent1"/>
              </a:solidFill>
              <a:ln w="19050">
                <a:solidFill>
                  <a:schemeClr val="lt1"/>
                </a:solidFill>
              </a:ln>
              <a:effectLst/>
            </c:spPr>
            <c:extLst>
              <c:ext xmlns:c16="http://schemas.microsoft.com/office/drawing/2014/chart" uri="{C3380CC4-5D6E-409C-BE32-E72D297353CC}">
                <c16:uniqueId val="{00000001-7D41-4BA0-99A8-118424AD9B7B}"/>
              </c:ext>
            </c:extLst>
          </c:dPt>
          <c:dPt>
            <c:idx val="1"/>
            <c:bubble3D val="0"/>
            <c:spPr>
              <a:prstGeom prst="rect">
                <a:avLst/>
              </a:prstGeom>
              <a:solidFill>
                <a:schemeClr val="accent2"/>
              </a:solidFill>
              <a:ln w="19050">
                <a:solidFill>
                  <a:schemeClr val="lt1"/>
                </a:solidFill>
              </a:ln>
              <a:effectLst/>
            </c:spPr>
            <c:extLst>
              <c:ext xmlns:c16="http://schemas.microsoft.com/office/drawing/2014/chart" uri="{C3380CC4-5D6E-409C-BE32-E72D297353CC}">
                <c16:uniqueId val="{00000003-7D41-4BA0-99A8-118424AD9B7B}"/>
              </c:ext>
            </c:extLst>
          </c:dPt>
          <c:dLbls>
            <c:dLbl>
              <c:idx val="0"/>
              <c:layout>
                <c:manualLayout>
                  <c:x val="9.7222222222222224E-2"/>
                  <c:y val="-6.01851851851851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D41-4BA0-99A8-118424AD9B7B}"/>
                </c:ext>
              </c:extLst>
            </c:dLbl>
            <c:dLbl>
              <c:idx val="1"/>
              <c:layout>
                <c:manualLayout>
                  <c:x val="-0.12777777777777782"/>
                  <c:y val="2.77777777777777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D41-4BA0-99A8-118424AD9B7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1"/>
            <c:leaderLines>
              <c:spPr>
                <a:prstGeom prst="rect">
                  <a:avLst/>
                </a:prstGeom>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rect">
                    <a:avLst/>
                  </a:prstGeom>
                </c15:spPr>
              </c:ext>
            </c:extLst>
          </c:dLbls>
          <c:cat>
            <c:strRef>
              <c:f>'Расходы на ЗП ОТ'!$N$80:$N$81</c:f>
              <c:strCache>
                <c:ptCount val="2"/>
                <c:pt idx="0">
                  <c:v>АУП</c:v>
                </c:pt>
                <c:pt idx="1">
                  <c:v>Производственные рабочие</c:v>
                </c:pt>
              </c:strCache>
            </c:strRef>
          </c:cat>
          <c:val>
            <c:numRef>
              <c:f>'Расходы на ЗП ОТ'!$O$80:$O$81</c:f>
              <c:numCache>
                <c:formatCode>0.0%</c:formatCode>
                <c:ptCount val="2"/>
                <c:pt idx="0">
                  <c:v>0.26315789473684209</c:v>
                </c:pt>
                <c:pt idx="1">
                  <c:v>0.73684210526315785</c:v>
                </c:pt>
              </c:numCache>
            </c:numRef>
          </c:val>
          <c:extLst>
            <c:ext xmlns:c16="http://schemas.microsoft.com/office/drawing/2014/chart" uri="{C3380CC4-5D6E-409C-BE32-E72D297353CC}">
              <c16:uniqueId val="{00000004-7D41-4BA0-99A8-118424AD9B7B}"/>
            </c:ext>
          </c:extLst>
        </c:ser>
        <c:dLbls>
          <c:showLegendKey val="0"/>
          <c:showVal val="0"/>
          <c:showCatName val="0"/>
          <c:showSerName val="0"/>
          <c:showPercent val="0"/>
          <c:showBubbleSize val="0"/>
          <c:showLeaderLines val="1"/>
        </c:dLbls>
        <c:firstSliceAng val="0"/>
        <c:holeSize val="75"/>
      </c:doughnutChart>
      <c:spPr>
        <a:prstGeom prst="rect">
          <a:avLst/>
        </a:prstGeom>
        <a:noFill/>
        <a:ln>
          <a:noFill/>
        </a:ln>
        <a:effectLst/>
      </c:spPr>
    </c:plotArea>
    <c:legend>
      <c:legendPos val="b"/>
      <c:overlay val="0"/>
      <c:spPr>
        <a:prstGeom prst="rect">
          <a:avLst/>
        </a:prstGeom>
        <a:noFill/>
        <a:ln>
          <a:noFill/>
        </a:ln>
        <a:effectLst/>
      </c:spPr>
      <c:txPr>
        <a:bodyPr rot="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ru-RU"/>
        </a:p>
      </c:txPr>
    </c:legend>
    <c:plotVisOnly val="1"/>
    <c:dispBlanksAs val="gap"/>
    <c:showDLblsOverMax val="0"/>
  </c:chart>
  <c:spPr>
    <a:xfrm>
      <a:off x="0" y="0"/>
      <a:ext cx="0" cy="0"/>
    </a:xfrm>
    <a:prstGeom prst="rect">
      <a:avLst/>
    </a:prstGeom>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spc="0" baseline="0">
                <a:solidFill>
                  <a:schemeClr val="tx1">
                    <a:lumMod val="65000"/>
                    <a:lumOff val="35000"/>
                  </a:schemeClr>
                </a:solidFill>
                <a:latin typeface="+mn-lt"/>
                <a:ea typeface="+mn-ea"/>
                <a:cs typeface="+mn-cs"/>
              </a:defRPr>
            </a:pPr>
            <a:r>
              <a:rPr lang="ru-RU"/>
              <a:t>График вложений</a:t>
            </a:r>
            <a:r>
              <a:rPr lang="ru-RU" baseline="0"/>
              <a:t> </a:t>
            </a:r>
            <a:r>
              <a:rPr lang="en-US" baseline="0"/>
              <a:t>(CAPEX+OPEX)</a:t>
            </a:r>
            <a:r>
              <a:rPr lang="ru-RU"/>
              <a:t>, млн руб</a:t>
            </a:r>
          </a:p>
        </c:rich>
      </c:tx>
      <c:overlay val="0"/>
      <c:spPr>
        <a:prstGeom prst="rect">
          <a:avLst/>
        </a:prstGeom>
        <a:noFill/>
        <a:ln>
          <a:noFill/>
        </a:ln>
        <a:effectLst/>
      </c:spPr>
    </c:title>
    <c:autoTitleDeleted val="0"/>
    <c:plotArea>
      <c:layout/>
      <c:barChart>
        <c:barDir val="col"/>
        <c:grouping val="clustered"/>
        <c:varyColors val="0"/>
        <c:ser>
          <c:idx val="0"/>
          <c:order val="0"/>
          <c:spPr>
            <a:prstGeom prst="rect">
              <a:avLst/>
            </a:prstGeom>
            <a:solidFill>
              <a:schemeClr val="accent1"/>
            </a:solidFill>
            <a:ln>
              <a:no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0-27BE-4BB3-A2B8-E4B897915E3E}"/>
                </c:ext>
              </c:extLst>
            </c:dLbl>
            <c:dLbl>
              <c:idx val="2"/>
              <c:delete val="1"/>
              <c:extLst>
                <c:ext xmlns:c15="http://schemas.microsoft.com/office/drawing/2012/chart" uri="{CE6537A1-D6FC-4f65-9D91-7224C49458BB}"/>
                <c:ext xmlns:c16="http://schemas.microsoft.com/office/drawing/2014/chart" uri="{C3380CC4-5D6E-409C-BE32-E72D297353CC}">
                  <c16:uniqueId val="{00000001-27BE-4BB3-A2B8-E4B897915E3E}"/>
                </c:ext>
              </c:extLst>
            </c:dLbl>
            <c:dLbl>
              <c:idx val="3"/>
              <c:delete val="1"/>
              <c:extLst>
                <c:ext xmlns:c15="http://schemas.microsoft.com/office/drawing/2012/chart" uri="{CE6537A1-D6FC-4f65-9D91-7224C49458BB}"/>
                <c:ext xmlns:c16="http://schemas.microsoft.com/office/drawing/2014/chart" uri="{C3380CC4-5D6E-409C-BE32-E72D297353CC}">
                  <c16:uniqueId val="{00000002-27BE-4BB3-A2B8-E4B897915E3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'Расходы на П, строит-во, ввод'!$W$1:$Z$1</c:f>
              <c:strCache>
                <c:ptCount val="4"/>
                <c:pt idx="0">
                  <c:v>1 год</c:v>
                </c:pt>
                <c:pt idx="1">
                  <c:v>2 год</c:v>
                </c:pt>
                <c:pt idx="2">
                  <c:v>3 год</c:v>
                </c:pt>
                <c:pt idx="3">
                  <c:v>4 год</c:v>
                </c:pt>
              </c:strCache>
            </c:strRef>
          </c:cat>
          <c:val>
            <c:numRef>
              <c:f>'Расходы на П, строит-во, ввод'!$W$20:$Z$20</c:f>
              <c:numCache>
                <c:formatCode>0.0</c:formatCode>
                <c:ptCount val="4"/>
                <c:pt idx="0">
                  <c:v>-41.275840478844408</c:v>
                </c:pt>
                <c:pt idx="1">
                  <c:v>0</c:v>
                </c:pt>
                <c:pt idx="2">
                  <c:v>0</c:v>
                </c:pt>
                <c:pt idx="3">
                  <c:v>0</c:v>
                </c:pt>
              </c:numCache>
            </c:numRef>
          </c:val>
          <c:extLst>
            <c:ext xmlns:c16="http://schemas.microsoft.com/office/drawing/2014/chart" uri="{C3380CC4-5D6E-409C-BE32-E72D297353CC}">
              <c16:uniqueId val="{00000003-27BE-4BB3-A2B8-E4B897915E3E}"/>
            </c:ext>
          </c:extLst>
        </c:ser>
        <c:dLbls>
          <c:showLegendKey val="0"/>
          <c:showVal val="0"/>
          <c:showCatName val="0"/>
          <c:showSerName val="0"/>
          <c:showPercent val="0"/>
          <c:showBubbleSize val="0"/>
        </c:dLbls>
        <c:gapWidth val="219"/>
        <c:overlap val="-27"/>
        <c:axId val="165638607"/>
        <c:axId val="165639023"/>
      </c:barChart>
      <c:catAx>
        <c:axId val="165638607"/>
        <c:scaling>
          <c:orientation val="minMax"/>
        </c:scaling>
        <c:delete val="0"/>
        <c:axPos val="b"/>
        <c:numFmt formatCode="General" sourceLinked="1"/>
        <c:majorTickMark val="none"/>
        <c:minorTickMark val="none"/>
        <c:tickLblPos val="high"/>
        <c:spPr>
          <a:prstGeom prst="rect">
            <a:avLst/>
          </a:prstGeom>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ru-RU"/>
          </a:p>
        </c:txPr>
        <c:crossAx val="165639023"/>
        <c:crosses val="autoZero"/>
        <c:auto val="1"/>
        <c:lblAlgn val="ctr"/>
        <c:lblOffset val="100"/>
        <c:noMultiLvlLbl val="0"/>
      </c:catAx>
      <c:valAx>
        <c:axId val="165639023"/>
        <c:scaling>
          <c:orientation val="minMax"/>
        </c:scaling>
        <c:delete val="0"/>
        <c:axPos val="l"/>
        <c:majorGridlines>
          <c:spPr>
            <a:prstGeom prst="rect">
              <a:avLst/>
            </a:prstGeom>
            <a:ln w="9525" cap="flat" cmpd="sng" algn="ctr">
              <a:solidFill>
                <a:schemeClr val="tx1">
                  <a:lumMod val="15000"/>
                  <a:lumOff val="85000"/>
                </a:schemeClr>
              </a:solidFill>
              <a:round/>
            </a:ln>
            <a:effectLst/>
          </c:spPr>
        </c:majorGridlines>
        <c:numFmt formatCode="0.0" sourceLinked="1"/>
        <c:majorTickMark val="none"/>
        <c:minorTickMark val="none"/>
        <c:tickLblPos val="nextTo"/>
        <c:spPr>
          <a:prstGeom prst="rect">
            <a:avLst/>
          </a:prstGeom>
          <a:noFill/>
          <a:ln>
            <a:noFill/>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ru-RU"/>
          </a:p>
        </c:txPr>
        <c:crossAx val="165638607"/>
        <c:crosses val="autoZero"/>
        <c:crossBetween val="between"/>
      </c:valAx>
      <c:spPr>
        <a:prstGeom prst="rect">
          <a:avLst/>
        </a:prstGeom>
        <a:noFill/>
        <a:ln>
          <a:noFill/>
        </a:ln>
        <a:effectLst/>
      </c:spPr>
    </c:plotArea>
    <c:plotVisOnly val="1"/>
    <c:dispBlanksAs val="gap"/>
    <c:showDLblsOverMax val="0"/>
  </c:chart>
  <c:spPr>
    <a:xfrm>
      <a:off x="0" y="0"/>
      <a:ext cx="0" cy="0"/>
    </a:xfrm>
    <a:prstGeom prst="rect">
      <a:avLst/>
    </a:prstGeom>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spc="0" baseline="0">
                <a:solidFill>
                  <a:schemeClr val="tx1">
                    <a:lumMod val="65000"/>
                    <a:lumOff val="35000"/>
                  </a:schemeClr>
                </a:solidFill>
                <a:latin typeface="+mn-lt"/>
                <a:ea typeface="+mn-ea"/>
                <a:cs typeface="+mn-cs"/>
              </a:defRPr>
            </a:pPr>
            <a:r>
              <a:rPr lang="ru-RU"/>
              <a:t>Чистый денежный поток, млн руб.</a:t>
            </a:r>
          </a:p>
        </c:rich>
      </c:tx>
      <c:overlay val="0"/>
      <c:spPr>
        <a:prstGeom prst="rect">
          <a:avLst/>
        </a:prstGeom>
        <a:noFill/>
        <a:ln>
          <a:noFill/>
        </a:ln>
        <a:effectLst/>
      </c:spPr>
    </c:title>
    <c:autoTitleDeleted val="0"/>
    <c:plotArea>
      <c:layout/>
      <c:barChart>
        <c:barDir val="col"/>
        <c:grouping val="stacked"/>
        <c:varyColors val="0"/>
        <c:ser>
          <c:idx val="0"/>
          <c:order val="0"/>
          <c:spPr>
            <a:prstGeom prst="rect">
              <a:avLst/>
            </a:prstGeom>
            <a:solidFill>
              <a:schemeClr val="accent1"/>
            </a:solidFill>
            <a:ln>
              <a:noFill/>
            </a:ln>
            <a:effectLst/>
          </c:spPr>
          <c:invertIfNegative val="0"/>
          <c:dPt>
            <c:idx val="2"/>
            <c:invertIfNegative val="0"/>
            <c:bubble3D val="0"/>
            <c:spPr>
              <a:prstGeom prst="rect">
                <a:avLst/>
              </a:prstGeom>
              <a:solidFill>
                <a:schemeClr val="accent1"/>
              </a:solidFill>
              <a:ln>
                <a:noFill/>
              </a:ln>
              <a:effectLst/>
            </c:spPr>
            <c:extLst>
              <c:ext xmlns:c16="http://schemas.microsoft.com/office/drawing/2014/chart" uri="{C3380CC4-5D6E-409C-BE32-E72D297353CC}">
                <c16:uniqueId val="{00000001-5920-41C5-A374-FAA0C79958BB}"/>
              </c:ext>
            </c:extLst>
          </c:dPt>
          <c:dPt>
            <c:idx val="3"/>
            <c:invertIfNegative val="0"/>
            <c:bubble3D val="0"/>
            <c:spPr>
              <a:prstGeom prst="rect">
                <a:avLst/>
              </a:prstGeom>
              <a:solidFill>
                <a:schemeClr val="accent1"/>
              </a:solidFill>
              <a:ln>
                <a:noFill/>
              </a:ln>
              <a:effectLst/>
            </c:spPr>
            <c:extLst>
              <c:ext xmlns:c16="http://schemas.microsoft.com/office/drawing/2014/chart" uri="{C3380CC4-5D6E-409C-BE32-E72D297353CC}">
                <c16:uniqueId val="{00000003-5920-41C5-A374-FAA0C79958BB}"/>
              </c:ext>
            </c:extLst>
          </c:dPt>
          <c:dLbls>
            <c:dLbl>
              <c:idx val="0"/>
              <c:layout>
                <c:manualLayout>
                  <c:x val="-2.3651140096690331E-3"/>
                  <c:y val="-0.1632607903178769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920-41C5-A374-FAA0C79958BB}"/>
                </c:ext>
              </c:extLst>
            </c:dLbl>
            <c:dLbl>
              <c:idx val="3"/>
              <c:layout>
                <c:manualLayout>
                  <c:x val="-4.3359922613072868E-17"/>
                  <c:y val="-2.726232137649468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920-41C5-A374-FAA0C79958BB}"/>
                </c:ext>
              </c:extLst>
            </c:dLbl>
            <c:dLbl>
              <c:idx val="4"/>
              <c:layout>
                <c:manualLayout>
                  <c:x val="-2.3651140096690331E-3"/>
                  <c:y val="-4.313794109069699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920-41C5-A374-FAA0C79958BB}"/>
                </c:ext>
              </c:extLst>
            </c:dLbl>
            <c:dLbl>
              <c:idx val="5"/>
              <c:layout>
                <c:manualLayout>
                  <c:x val="2.3651140096690331E-3"/>
                  <c:y val="-5.912839020122484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920-41C5-A374-FAA0C79958BB}"/>
                </c:ext>
              </c:extLst>
            </c:dLbl>
            <c:dLbl>
              <c:idx val="6"/>
              <c:layout>
                <c:manualLayout>
                  <c:x val="4.7302280193379795E-3"/>
                  <c:y val="-0.11828630796150481"/>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920-41C5-A374-FAA0C79958BB}"/>
                </c:ext>
              </c:extLst>
            </c:dLbl>
            <c:dLbl>
              <c:idx val="7"/>
              <c:layout>
                <c:manualLayout>
                  <c:x val="-8.6719845226145736E-17"/>
                  <c:y val="-0.15348498104403621"/>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920-41C5-A374-FAA0C79958BB}"/>
                </c:ext>
              </c:extLst>
            </c:dLbl>
            <c:dLbl>
              <c:idx val="8"/>
              <c:layout>
                <c:manualLayout>
                  <c:x val="2.3651140096690331E-3"/>
                  <c:y val="-0.191276246719160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920-41C5-A374-FAA0C79958BB}"/>
                </c:ext>
              </c:extLst>
            </c:dLbl>
            <c:dLbl>
              <c:idx val="9"/>
              <c:layout>
                <c:manualLayout>
                  <c:x val="0"/>
                  <c:y val="-0.23063867016622921"/>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920-41C5-A374-FAA0C79958BB}"/>
                </c:ext>
              </c:extLst>
            </c:dLbl>
            <c:dLbl>
              <c:idx val="10"/>
              <c:layout>
                <c:manualLayout>
                  <c:x val="0"/>
                  <c:y val="-0.2345552639253426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920-41C5-A374-FAA0C79958B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tx1">
                        <a:lumMod val="75000"/>
                        <a:lumOff val="25000"/>
                      </a:schemeClr>
                    </a:solidFill>
                    <a:latin typeface="+mn-lt"/>
                    <a:ea typeface="+mn-ea"/>
                    <a:cs typeface="+mn-cs"/>
                  </a:defRPr>
                </a:pPr>
                <a:endParaRPr lang="ru-RU"/>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numRef>
              <c:f>'NPV, IRR, DPI ТОР'!$B$3:$L$3</c:f>
              <c:numCache>
                <c:formatCode>General</c:formatCode>
                <c:ptCount val="11"/>
                <c:pt idx="0">
                  <c:v>0</c:v>
                </c:pt>
                <c:pt idx="1">
                  <c:v>1</c:v>
                </c:pt>
                <c:pt idx="2">
                  <c:v>2</c:v>
                </c:pt>
                <c:pt idx="3">
                  <c:v>3</c:v>
                </c:pt>
                <c:pt idx="4">
                  <c:v>4</c:v>
                </c:pt>
                <c:pt idx="5">
                  <c:v>5</c:v>
                </c:pt>
                <c:pt idx="6">
                  <c:v>6</c:v>
                </c:pt>
                <c:pt idx="7">
                  <c:v>7</c:v>
                </c:pt>
                <c:pt idx="8">
                  <c:v>8</c:v>
                </c:pt>
                <c:pt idx="9">
                  <c:v>9</c:v>
                </c:pt>
                <c:pt idx="10">
                  <c:v>10</c:v>
                </c:pt>
              </c:numCache>
            </c:numRef>
          </c:cat>
          <c:val>
            <c:numRef>
              <c:f>'NPV, IRR, DPI ТОР'!$B$34:$L$34</c:f>
              <c:numCache>
                <c:formatCode>#\ ##0.0</c:formatCode>
                <c:ptCount val="11"/>
                <c:pt idx="0">
                  <c:v>-37.127128875927632</c:v>
                </c:pt>
                <c:pt idx="1">
                  <c:v>6.8480412705203486</c:v>
                </c:pt>
                <c:pt idx="2">
                  <c:v>10.58199766908664</c:v>
                </c:pt>
                <c:pt idx="3">
                  <c:v>22.46498670075605</c:v>
                </c:pt>
                <c:pt idx="4">
                  <c:v>30.548184430360706</c:v>
                </c:pt>
                <c:pt idx="5">
                  <c:v>42.128940390994124</c:v>
                </c:pt>
                <c:pt idx="6">
                  <c:v>51.527748356066866</c:v>
                </c:pt>
                <c:pt idx="7">
                  <c:v>61.589290194619224</c:v>
                </c:pt>
                <c:pt idx="8">
                  <c:v>68.38401327954405</c:v>
                </c:pt>
                <c:pt idx="9">
                  <c:v>75.601307861910684</c:v>
                </c:pt>
                <c:pt idx="10">
                  <c:v>83.803995547611891</c:v>
                </c:pt>
              </c:numCache>
            </c:numRef>
          </c:val>
          <c:extLst>
            <c:ext xmlns:c16="http://schemas.microsoft.com/office/drawing/2014/chart" uri="{C3380CC4-5D6E-409C-BE32-E72D297353CC}">
              <c16:uniqueId val="{00000004-5920-41C5-A374-FAA0C79958BB}"/>
            </c:ext>
          </c:extLst>
        </c:ser>
        <c:dLbls>
          <c:showLegendKey val="0"/>
          <c:showVal val="0"/>
          <c:showCatName val="0"/>
          <c:showSerName val="0"/>
          <c:showPercent val="0"/>
          <c:showBubbleSize val="0"/>
        </c:dLbls>
        <c:gapWidth val="219"/>
        <c:overlap val="100"/>
        <c:axId val="267662367"/>
        <c:axId val="267663615"/>
      </c:barChart>
      <c:catAx>
        <c:axId val="267662367"/>
        <c:scaling>
          <c:orientation val="minMax"/>
        </c:scaling>
        <c:delete val="0"/>
        <c:axPos val="b"/>
        <c:numFmt formatCode="General" sourceLinked="1"/>
        <c:majorTickMark val="none"/>
        <c:minorTickMark val="none"/>
        <c:tickLblPos val="nextTo"/>
        <c:spPr>
          <a:prstGeom prst="rect">
            <a:avLst/>
          </a:prstGeom>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ru-RU"/>
          </a:p>
        </c:txPr>
        <c:crossAx val="267663615"/>
        <c:crosses val="autoZero"/>
        <c:auto val="1"/>
        <c:lblAlgn val="ctr"/>
        <c:lblOffset val="100"/>
        <c:noMultiLvlLbl val="0"/>
      </c:catAx>
      <c:valAx>
        <c:axId val="267663615"/>
        <c:scaling>
          <c:orientation val="minMax"/>
        </c:scaling>
        <c:delete val="0"/>
        <c:axPos val="l"/>
        <c:majorGridlines>
          <c:spPr>
            <a:prstGeom prst="rect">
              <a:avLst/>
            </a:prstGeom>
            <a:ln w="9525" cap="flat" cmpd="sng" algn="ctr">
              <a:solidFill>
                <a:schemeClr val="tx1">
                  <a:lumMod val="15000"/>
                  <a:lumOff val="85000"/>
                </a:schemeClr>
              </a:solidFill>
              <a:round/>
            </a:ln>
            <a:effectLst/>
          </c:spPr>
        </c:majorGridlines>
        <c:numFmt formatCode="#\ ##0.0" sourceLinked="1"/>
        <c:majorTickMark val="none"/>
        <c:minorTickMark val="none"/>
        <c:tickLblPos val="nextTo"/>
        <c:spPr>
          <a:prstGeom prst="rect">
            <a:avLst/>
          </a:prstGeom>
          <a:noFill/>
          <a:ln>
            <a:noFill/>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ru-RU"/>
          </a:p>
        </c:txPr>
        <c:crossAx val="267662367"/>
        <c:crosses val="autoZero"/>
        <c:crossBetween val="between"/>
      </c:valAx>
      <c:spPr>
        <a:prstGeom prst="rect">
          <a:avLst/>
        </a:prstGeom>
        <a:noFill/>
        <a:ln>
          <a:noFill/>
        </a:ln>
        <a:effectLst/>
      </c:spPr>
    </c:plotArea>
    <c:plotVisOnly val="1"/>
    <c:dispBlanksAs val="gap"/>
    <c:showDLblsOverMax val="0"/>
  </c:chart>
  <c:spPr>
    <a:xfrm>
      <a:off x="0" y="0"/>
      <a:ext cx="0" cy="0"/>
    </a:xfrm>
    <a:prstGeom prst="rect">
      <a:avLst/>
    </a:prstGeom>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spc="0" baseline="0">
                <a:solidFill>
                  <a:schemeClr val="tx1">
                    <a:lumMod val="65000"/>
                    <a:lumOff val="35000"/>
                  </a:schemeClr>
                </a:solidFill>
                <a:latin typeface="+mn-lt"/>
                <a:ea typeface="+mn-ea"/>
                <a:cs typeface="+mn-cs"/>
              </a:defRPr>
            </a:pPr>
            <a:r>
              <a:rPr lang="ru-RU"/>
              <a:t>Налоги и взносы, млн руб.</a:t>
            </a:r>
          </a:p>
        </c:rich>
      </c:tx>
      <c:overlay val="0"/>
      <c:spPr>
        <a:prstGeom prst="rect">
          <a:avLst/>
        </a:prstGeom>
        <a:noFill/>
        <a:ln>
          <a:noFill/>
        </a:ln>
        <a:effectLst/>
      </c:spPr>
    </c:title>
    <c:autoTitleDeleted val="0"/>
    <c:plotArea>
      <c:layout/>
      <c:barChart>
        <c:barDir val="col"/>
        <c:grouping val="stacked"/>
        <c:varyColors val="0"/>
        <c:ser>
          <c:idx val="0"/>
          <c:order val="0"/>
          <c:tx>
            <c:strRef>
              <c:f>'Налоги ТОР'!$A$26</c:f>
              <c:strCache>
                <c:ptCount val="1"/>
                <c:pt idx="0">
                  <c:v>ФБ</c:v>
                </c:pt>
              </c:strCache>
            </c:strRef>
          </c:tx>
          <c:spPr>
            <a:prstGeom prst="rect">
              <a:avLst/>
            </a:prstGeom>
            <a:solidFill>
              <a:schemeClr val="accent1"/>
            </a:solidFill>
            <a:ln>
              <a:noFill/>
            </a:ln>
            <a:effectLst/>
          </c:spPr>
          <c:invertIfNegative val="0"/>
          <c:cat>
            <c:strRef>
              <c:f>'Налоги ТОР'!$C$25:$L$25</c:f>
              <c:strCache>
                <c:ptCount val="10"/>
                <c:pt idx="0">
                  <c:v>2 год</c:v>
                </c:pt>
                <c:pt idx="1">
                  <c:v>3 год</c:v>
                </c:pt>
                <c:pt idx="2">
                  <c:v>4 год</c:v>
                </c:pt>
                <c:pt idx="3">
                  <c:v>5 год</c:v>
                </c:pt>
                <c:pt idx="4">
                  <c:v>6 год</c:v>
                </c:pt>
                <c:pt idx="5">
                  <c:v>7 год</c:v>
                </c:pt>
                <c:pt idx="6">
                  <c:v>8 год</c:v>
                </c:pt>
                <c:pt idx="7">
                  <c:v>9 год</c:v>
                </c:pt>
                <c:pt idx="8">
                  <c:v>10 год</c:v>
                </c:pt>
                <c:pt idx="9">
                  <c:v>11 год</c:v>
                </c:pt>
              </c:strCache>
            </c:strRef>
          </c:cat>
          <c:val>
            <c:numRef>
              <c:f>'Налоги ТОР'!$C$26:$L$26</c:f>
              <c:numCache>
                <c:formatCode>0.0</c:formatCode>
                <c:ptCount val="10"/>
                <c:pt idx="0" formatCode="General">
                  <c:v>0</c:v>
                </c:pt>
                <c:pt idx="1">
                  <c:v>9.0796482952874431</c:v>
                </c:pt>
                <c:pt idx="2">
                  <c:v>12.194441645336928</c:v>
                </c:pt>
                <c:pt idx="3">
                  <c:v>14.347446789107648</c:v>
                </c:pt>
                <c:pt idx="4">
                  <c:v>16.747623716710535</c:v>
                </c:pt>
                <c:pt idx="5">
                  <c:v>20.364271962163478</c:v>
                </c:pt>
                <c:pt idx="6">
                  <c:v>23.506321941565499</c:v>
                </c:pt>
                <c:pt idx="7">
                  <c:v>25.657250631928527</c:v>
                </c:pt>
                <c:pt idx="8">
                  <c:v>27.937553882600682</c:v>
                </c:pt>
                <c:pt idx="9">
                  <c:v>29.747705442826149</c:v>
                </c:pt>
              </c:numCache>
            </c:numRef>
          </c:val>
          <c:extLst>
            <c:ext xmlns:c16="http://schemas.microsoft.com/office/drawing/2014/chart" uri="{C3380CC4-5D6E-409C-BE32-E72D297353CC}">
              <c16:uniqueId val="{00000000-A82A-4097-B13B-2831A4058985}"/>
            </c:ext>
          </c:extLst>
        </c:ser>
        <c:ser>
          <c:idx val="1"/>
          <c:order val="1"/>
          <c:tx>
            <c:strRef>
              <c:f>'Налоги ТОР'!$A$27</c:f>
              <c:strCache>
                <c:ptCount val="1"/>
                <c:pt idx="0">
                  <c:v>РБ</c:v>
                </c:pt>
              </c:strCache>
            </c:strRef>
          </c:tx>
          <c:spPr>
            <a:prstGeom prst="rect">
              <a:avLst/>
            </a:prstGeom>
            <a:solidFill>
              <a:schemeClr val="accent2"/>
            </a:solidFill>
            <a:ln>
              <a:noFill/>
            </a:ln>
            <a:effectLst/>
          </c:spPr>
          <c:invertIfNegative val="0"/>
          <c:cat>
            <c:strRef>
              <c:f>'Налоги ТОР'!$C$25:$L$25</c:f>
              <c:strCache>
                <c:ptCount val="10"/>
                <c:pt idx="0">
                  <c:v>2 год</c:v>
                </c:pt>
                <c:pt idx="1">
                  <c:v>3 год</c:v>
                </c:pt>
                <c:pt idx="2">
                  <c:v>4 год</c:v>
                </c:pt>
                <c:pt idx="3">
                  <c:v>5 год</c:v>
                </c:pt>
                <c:pt idx="4">
                  <c:v>6 год</c:v>
                </c:pt>
                <c:pt idx="5">
                  <c:v>7 год</c:v>
                </c:pt>
                <c:pt idx="6">
                  <c:v>8 год</c:v>
                </c:pt>
                <c:pt idx="7">
                  <c:v>9 год</c:v>
                </c:pt>
                <c:pt idx="8">
                  <c:v>10 год</c:v>
                </c:pt>
                <c:pt idx="9">
                  <c:v>11 год</c:v>
                </c:pt>
              </c:strCache>
            </c:strRef>
          </c:cat>
          <c:val>
            <c:numRef>
              <c:f>'Налоги ТОР'!$C$27:$L$27</c:f>
              <c:numCache>
                <c:formatCode>0.0</c:formatCode>
                <c:ptCount val="10"/>
                <c:pt idx="0" formatCode="General">
                  <c:v>0</c:v>
                </c:pt>
                <c:pt idx="1">
                  <c:v>1.3384644000000001</c:v>
                </c:pt>
                <c:pt idx="2">
                  <c:v>1.3786183320000003</c:v>
                </c:pt>
                <c:pt idx="3">
                  <c:v>1.4199768819600003</c:v>
                </c:pt>
                <c:pt idx="4">
                  <c:v>1.5290803550854668</c:v>
                </c:pt>
                <c:pt idx="5">
                  <c:v>6.5154124653738519</c:v>
                </c:pt>
                <c:pt idx="6">
                  <c:v>7.4928330622330419</c:v>
                </c:pt>
                <c:pt idx="7">
                  <c:v>8.1630873692160435</c:v>
                </c:pt>
                <c:pt idx="8">
                  <c:v>8.8738707521579858</c:v>
                </c:pt>
                <c:pt idx="9">
                  <c:v>10.246768106742264</c:v>
                </c:pt>
              </c:numCache>
            </c:numRef>
          </c:val>
          <c:extLst>
            <c:ext xmlns:c16="http://schemas.microsoft.com/office/drawing/2014/chart" uri="{C3380CC4-5D6E-409C-BE32-E72D297353CC}">
              <c16:uniqueId val="{00000001-A82A-4097-B13B-2831A4058985}"/>
            </c:ext>
          </c:extLst>
        </c:ser>
        <c:ser>
          <c:idx val="2"/>
          <c:order val="2"/>
          <c:tx>
            <c:strRef>
              <c:f>'Налоги ТОР'!$A$28</c:f>
              <c:strCache>
                <c:ptCount val="1"/>
                <c:pt idx="0">
                  <c:v>МБ</c:v>
                </c:pt>
              </c:strCache>
            </c:strRef>
          </c:tx>
          <c:spPr>
            <a:prstGeom prst="rect">
              <a:avLst/>
            </a:prstGeom>
            <a:solidFill>
              <a:schemeClr val="accent3"/>
            </a:solidFill>
            <a:ln>
              <a:noFill/>
            </a:ln>
            <a:effectLst/>
          </c:spPr>
          <c:invertIfNegative val="0"/>
          <c:cat>
            <c:strRef>
              <c:f>'Налоги ТОР'!$C$25:$L$25</c:f>
              <c:strCache>
                <c:ptCount val="10"/>
                <c:pt idx="0">
                  <c:v>2 год</c:v>
                </c:pt>
                <c:pt idx="1">
                  <c:v>3 год</c:v>
                </c:pt>
                <c:pt idx="2">
                  <c:v>4 год</c:v>
                </c:pt>
                <c:pt idx="3">
                  <c:v>5 год</c:v>
                </c:pt>
                <c:pt idx="4">
                  <c:v>6 год</c:v>
                </c:pt>
                <c:pt idx="5">
                  <c:v>7 год</c:v>
                </c:pt>
                <c:pt idx="6">
                  <c:v>8 год</c:v>
                </c:pt>
                <c:pt idx="7">
                  <c:v>9 год</c:v>
                </c:pt>
                <c:pt idx="8">
                  <c:v>10 год</c:v>
                </c:pt>
                <c:pt idx="9">
                  <c:v>11 год</c:v>
                </c:pt>
              </c:strCache>
            </c:strRef>
          </c:cat>
          <c:val>
            <c:numRef>
              <c:f>'Налоги ТОР'!$C$28:$L$28</c:f>
              <c:numCache>
                <c:formatCode>0.000</c:formatCode>
                <c:ptCount val="10"/>
                <c:pt idx="0" formatCode="General">
                  <c:v>0</c:v>
                </c:pt>
                <c:pt idx="1">
                  <c:v>0.23619960000000004</c:v>
                </c:pt>
                <c:pt idx="2">
                  <c:v>0.24328558800000002</c:v>
                </c:pt>
                <c:pt idx="3">
                  <c:v>0.25058415564000008</c:v>
                </c:pt>
                <c:pt idx="4">
                  <c:v>0.2581016803092</c:v>
                </c:pt>
                <c:pt idx="5">
                  <c:v>0.26584473071847603</c:v>
                </c:pt>
                <c:pt idx="6">
                  <c:v>0.27491871668024442</c:v>
                </c:pt>
                <c:pt idx="7">
                  <c:v>0.28316627818065176</c:v>
                </c:pt>
                <c:pt idx="8">
                  <c:v>0.29166126652607133</c:v>
                </c:pt>
                <c:pt idx="9">
                  <c:v>0.29166126652607133</c:v>
                </c:pt>
              </c:numCache>
            </c:numRef>
          </c:val>
          <c:extLst>
            <c:ext xmlns:c16="http://schemas.microsoft.com/office/drawing/2014/chart" uri="{C3380CC4-5D6E-409C-BE32-E72D297353CC}">
              <c16:uniqueId val="{00000002-A82A-4097-B13B-2831A4058985}"/>
            </c:ext>
          </c:extLst>
        </c:ser>
        <c:ser>
          <c:idx val="3"/>
          <c:order val="3"/>
          <c:tx>
            <c:strRef>
              <c:f>'Налоги ТОР'!$A$29</c:f>
              <c:strCache>
                <c:ptCount val="1"/>
                <c:pt idx="0">
                  <c:v>Соц. Отчисления</c:v>
                </c:pt>
              </c:strCache>
            </c:strRef>
          </c:tx>
          <c:spPr>
            <a:prstGeom prst="rect">
              <a:avLst/>
            </a:prstGeom>
            <a:solidFill>
              <a:schemeClr val="accent4"/>
            </a:solidFill>
            <a:ln>
              <a:noFill/>
            </a:ln>
            <a:effectLst/>
          </c:spPr>
          <c:invertIfNegative val="0"/>
          <c:cat>
            <c:strRef>
              <c:f>'Налоги ТОР'!$C$25:$L$25</c:f>
              <c:strCache>
                <c:ptCount val="10"/>
                <c:pt idx="0">
                  <c:v>2 год</c:v>
                </c:pt>
                <c:pt idx="1">
                  <c:v>3 год</c:v>
                </c:pt>
                <c:pt idx="2">
                  <c:v>4 год</c:v>
                </c:pt>
                <c:pt idx="3">
                  <c:v>5 год</c:v>
                </c:pt>
                <c:pt idx="4">
                  <c:v>6 год</c:v>
                </c:pt>
                <c:pt idx="5">
                  <c:v>7 год</c:v>
                </c:pt>
                <c:pt idx="6">
                  <c:v>8 год</c:v>
                </c:pt>
                <c:pt idx="7">
                  <c:v>9 год</c:v>
                </c:pt>
                <c:pt idx="8">
                  <c:v>10 год</c:v>
                </c:pt>
                <c:pt idx="9">
                  <c:v>11 год</c:v>
                </c:pt>
              </c:strCache>
            </c:strRef>
          </c:cat>
          <c:val>
            <c:numRef>
              <c:f>'Налоги ТОР'!$C$29:$L$29</c:f>
              <c:numCache>
                <c:formatCode>0.00</c:formatCode>
                <c:ptCount val="10"/>
                <c:pt idx="0" formatCode="General">
                  <c:v>0</c:v>
                </c:pt>
                <c:pt idx="1">
                  <c:v>3.8034192000000004</c:v>
                </c:pt>
                <c:pt idx="2">
                  <c:v>3.9175217760000001</c:v>
                </c:pt>
                <c:pt idx="3">
                  <c:v>4.0350474292799996</c:v>
                </c:pt>
                <c:pt idx="4">
                  <c:v>4.1560988521583999</c:v>
                </c:pt>
                <c:pt idx="5">
                  <c:v>4.2807818177231534</c:v>
                </c:pt>
                <c:pt idx="6">
                  <c:v>4.4268962583382949</c:v>
                </c:pt>
                <c:pt idx="7">
                  <c:v>4.5597031460884434</c:v>
                </c:pt>
                <c:pt idx="8">
                  <c:v>4.6964942404710968</c:v>
                </c:pt>
                <c:pt idx="9">
                  <c:v>4.6964942404710968</c:v>
                </c:pt>
              </c:numCache>
            </c:numRef>
          </c:val>
          <c:extLst>
            <c:ext xmlns:c16="http://schemas.microsoft.com/office/drawing/2014/chart" uri="{C3380CC4-5D6E-409C-BE32-E72D297353CC}">
              <c16:uniqueId val="{00000003-A82A-4097-B13B-2831A4058985}"/>
            </c:ext>
          </c:extLst>
        </c:ser>
        <c:dLbls>
          <c:showLegendKey val="0"/>
          <c:showVal val="0"/>
          <c:showCatName val="0"/>
          <c:showSerName val="0"/>
          <c:showPercent val="0"/>
          <c:showBubbleSize val="0"/>
        </c:dLbls>
        <c:gapWidth val="150"/>
        <c:overlap val="100"/>
        <c:axId val="329222399"/>
        <c:axId val="329215327"/>
      </c:barChart>
      <c:lineChart>
        <c:grouping val="stacked"/>
        <c:varyColors val="0"/>
        <c:ser>
          <c:idx val="4"/>
          <c:order val="4"/>
          <c:tx>
            <c:strRef>
              <c:f>'Налоги ТОР'!$A$30</c:f>
              <c:strCache>
                <c:ptCount val="1"/>
                <c:pt idx="0">
                  <c:v>ИТОГО</c:v>
                </c:pt>
              </c:strCache>
            </c:strRef>
          </c:tx>
          <c:spPr>
            <a:prstGeom prst="rect">
              <a:avLst/>
            </a:prstGeom>
            <a:ln w="28575" cap="rnd">
              <a:solidFill>
                <a:schemeClr val="accent5"/>
              </a:solidFill>
              <a:round/>
            </a:ln>
            <a:effectLst/>
          </c:spPr>
          <c:marker>
            <c:symbol val="circle"/>
            <c:size val="5"/>
            <c:spPr>
              <a:prstGeom prst="rect">
                <a:avLst/>
              </a:prstGeom>
              <a:solidFill>
                <a:schemeClr val="accent5"/>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tx1">
                        <a:lumMod val="75000"/>
                        <a:lumOff val="25000"/>
                      </a:schemeClr>
                    </a:solidFill>
                    <a:latin typeface="+mn-lt"/>
                    <a:ea typeface="+mn-ea"/>
                    <a:cs typeface="+mn-cs"/>
                  </a:defRPr>
                </a:pPr>
                <a:endParaRPr lang="ru-RU"/>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'Налоги ТОР'!$C$25:$L$25</c:f>
              <c:strCache>
                <c:ptCount val="10"/>
                <c:pt idx="0">
                  <c:v>2 год</c:v>
                </c:pt>
                <c:pt idx="1">
                  <c:v>3 год</c:v>
                </c:pt>
                <c:pt idx="2">
                  <c:v>4 год</c:v>
                </c:pt>
                <c:pt idx="3">
                  <c:v>5 год</c:v>
                </c:pt>
                <c:pt idx="4">
                  <c:v>6 год</c:v>
                </c:pt>
                <c:pt idx="5">
                  <c:v>7 год</c:v>
                </c:pt>
                <c:pt idx="6">
                  <c:v>8 год</c:v>
                </c:pt>
                <c:pt idx="7">
                  <c:v>9 год</c:v>
                </c:pt>
                <c:pt idx="8">
                  <c:v>10 год</c:v>
                </c:pt>
                <c:pt idx="9">
                  <c:v>11 год</c:v>
                </c:pt>
              </c:strCache>
            </c:strRef>
          </c:cat>
          <c:val>
            <c:numRef>
              <c:f>'Налоги ТОР'!$C$30:$L$30</c:f>
              <c:numCache>
                <c:formatCode>0.00</c:formatCode>
                <c:ptCount val="10"/>
                <c:pt idx="0">
                  <c:v>0</c:v>
                </c:pt>
                <c:pt idx="1">
                  <c:v>14.457731495287444</c:v>
                </c:pt>
                <c:pt idx="2">
                  <c:v>17.733867341336929</c:v>
                </c:pt>
                <c:pt idx="3">
                  <c:v>20.053055255987648</c:v>
                </c:pt>
                <c:pt idx="4">
                  <c:v>22.690904604263601</c:v>
                </c:pt>
                <c:pt idx="5">
                  <c:v>31.426310975978961</c:v>
                </c:pt>
                <c:pt idx="6">
                  <c:v>35.700969978817078</c:v>
                </c:pt>
                <c:pt idx="7">
                  <c:v>38.663207425413667</c:v>
                </c:pt>
                <c:pt idx="8">
                  <c:v>41.799580141755833</c:v>
                </c:pt>
                <c:pt idx="9">
                  <c:v>44.982629056565578</c:v>
                </c:pt>
              </c:numCache>
            </c:numRef>
          </c:val>
          <c:smooth val="0"/>
          <c:extLst>
            <c:ext xmlns:c16="http://schemas.microsoft.com/office/drawing/2014/chart" uri="{C3380CC4-5D6E-409C-BE32-E72D297353CC}">
              <c16:uniqueId val="{00000008-A82A-4097-B13B-2831A4058985}"/>
            </c:ext>
          </c:extLst>
        </c:ser>
        <c:dLbls>
          <c:showLegendKey val="0"/>
          <c:showVal val="0"/>
          <c:showCatName val="0"/>
          <c:showSerName val="0"/>
          <c:showPercent val="0"/>
          <c:showBubbleSize val="0"/>
        </c:dLbls>
        <c:marker val="1"/>
        <c:smooth val="0"/>
        <c:axId val="329222399"/>
        <c:axId val="329215327"/>
      </c:lineChart>
      <c:catAx>
        <c:axId val="329222399"/>
        <c:scaling>
          <c:orientation val="minMax"/>
        </c:scaling>
        <c:delete val="0"/>
        <c:axPos val="b"/>
        <c:numFmt formatCode="General" sourceLinked="1"/>
        <c:majorTickMark val="none"/>
        <c:minorTickMark val="none"/>
        <c:tickLblPos val="nextTo"/>
        <c:spPr>
          <a:prstGeom prst="rect">
            <a:avLst/>
          </a:prstGeom>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ru-RU"/>
          </a:p>
        </c:txPr>
        <c:crossAx val="329215327"/>
        <c:crosses val="autoZero"/>
        <c:auto val="1"/>
        <c:lblAlgn val="ctr"/>
        <c:lblOffset val="100"/>
        <c:noMultiLvlLbl val="0"/>
      </c:catAx>
      <c:valAx>
        <c:axId val="329215327"/>
        <c:scaling>
          <c:orientation val="minMax"/>
        </c:scaling>
        <c:delete val="0"/>
        <c:axPos val="l"/>
        <c:majorGridlines>
          <c:spPr>
            <a:prstGeom prst="rect">
              <a:avLst/>
            </a:prstGeom>
            <a:ln w="9525" cap="flat" cmpd="sng" algn="ctr">
              <a:solidFill>
                <a:schemeClr val="tx1">
                  <a:lumMod val="15000"/>
                  <a:lumOff val="85000"/>
                </a:schemeClr>
              </a:solidFill>
              <a:round/>
            </a:ln>
            <a:effectLst/>
          </c:spPr>
        </c:majorGridlines>
        <c:numFmt formatCode="General" sourceLinked="1"/>
        <c:majorTickMark val="none"/>
        <c:minorTickMark val="none"/>
        <c:tickLblPos val="nextTo"/>
        <c:spPr>
          <a:prstGeom prst="rect">
            <a:avLst/>
          </a:prstGeom>
          <a:noFill/>
          <a:ln>
            <a:noFill/>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ru-RU"/>
          </a:p>
        </c:txPr>
        <c:crossAx val="329222399"/>
        <c:crosses val="autoZero"/>
        <c:crossBetween val="between"/>
      </c:valAx>
      <c:spPr>
        <a:prstGeom prst="rect">
          <a:avLst/>
        </a:prstGeom>
        <a:noFill/>
        <a:ln>
          <a:noFill/>
        </a:ln>
        <a:effectLst/>
      </c:spPr>
    </c:plotArea>
    <c:legend>
      <c:legendPos val="b"/>
      <c:overlay val="0"/>
      <c:spPr>
        <a:prstGeom prst="rect">
          <a:avLst/>
        </a:prstGeom>
        <a:noFill/>
        <a:ln>
          <a:noFill/>
        </a:ln>
        <a:effectLst/>
      </c:spPr>
      <c:txPr>
        <a:bodyPr rot="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ru-RU"/>
        </a:p>
      </c:txPr>
    </c:legend>
    <c:plotVisOnly val="1"/>
    <c:dispBlanksAs val="gap"/>
    <c:showDLblsOverMax val="0"/>
  </c:chart>
  <c:spPr>
    <a:xfrm>
      <a:off x="0" y="0"/>
      <a:ext cx="0" cy="0"/>
    </a:xfrm>
    <a:prstGeom prst="rect">
      <a:avLst/>
    </a:prstGeom>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Структура вложений,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manualLayout>
          <c:layoutTarget val="inner"/>
          <c:xMode val="edge"/>
          <c:yMode val="edge"/>
          <c:x val="0.29976224846894139"/>
          <c:y val="0.22666375036453776"/>
          <c:w val="0.35047572178477693"/>
          <c:h val="0.58412620297462814"/>
        </c:manualLayout>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F465-4894-9AB5-00BB4461D52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F465-4894-9AB5-00BB4461D521}"/>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F465-4894-9AB5-00BB4461D521}"/>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F465-4894-9AB5-00BB4461D521}"/>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F465-4894-9AB5-00BB4461D521}"/>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F465-4894-9AB5-00BB4461D521}"/>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F465-4894-9AB5-00BB4461D521}"/>
              </c:ext>
            </c:extLst>
          </c:dPt>
          <c:dLbls>
            <c:dLbl>
              <c:idx val="0"/>
              <c:layout>
                <c:manualLayout>
                  <c:x val="0.11944444444444445"/>
                  <c:y val="-6.481481481481483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465-4894-9AB5-00BB4461D521}"/>
                </c:ext>
              </c:extLst>
            </c:dLbl>
            <c:dLbl>
              <c:idx val="1"/>
              <c:layout>
                <c:manualLayout>
                  <c:x val="0.23888888888888879"/>
                  <c:y val="0.1203703703703702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465-4894-9AB5-00BB4461D521}"/>
                </c:ext>
              </c:extLst>
            </c:dLbl>
            <c:dLbl>
              <c:idx val="2"/>
              <c:layout>
                <c:manualLayout>
                  <c:x val="-0.125"/>
                  <c:y val="0.1296296296296295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465-4894-9AB5-00BB4461D521}"/>
                </c:ext>
              </c:extLst>
            </c:dLbl>
            <c:dLbl>
              <c:idx val="3"/>
              <c:layout>
                <c:manualLayout>
                  <c:x val="-0.18055555555555558"/>
                  <c:y val="-3.703703703703703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465-4894-9AB5-00BB4461D521}"/>
                </c:ext>
              </c:extLst>
            </c:dLbl>
            <c:dLbl>
              <c:idx val="4"/>
              <c:layout>
                <c:manualLayout>
                  <c:x val="-0.18611111111111112"/>
                  <c:y val="-6.01851851851852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F465-4894-9AB5-00BB4461D521}"/>
                </c:ext>
              </c:extLst>
            </c:dLbl>
            <c:dLbl>
              <c:idx val="5"/>
              <c:layout>
                <c:manualLayout>
                  <c:x val="-0.17059794522130853"/>
                  <c:y val="-0.1871286859331893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F465-4894-9AB5-00BB4461D521}"/>
                </c:ext>
              </c:extLst>
            </c:dLbl>
            <c:dLbl>
              <c:idx val="6"/>
              <c:layout>
                <c:manualLayout>
                  <c:x val="9.6250880552181488E-4"/>
                  <c:y val="-0.13419163859761771"/>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F465-4894-9AB5-00BB4461D52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('Расходы на П, строит-во, ввод'!$V$2:$V$7,'Расходы на П, строит-во, ввод'!$V$13)</c:f>
              <c:strCache>
                <c:ptCount val="7"/>
                <c:pt idx="0">
                  <c:v>Приобретение производственной линии</c:v>
                </c:pt>
                <c:pt idx="1">
                  <c:v>Подготовка площадки и строительство производственно-бытовых помещений "под ключ"</c:v>
                </c:pt>
                <c:pt idx="2">
                  <c:v>Приобретение техники (погрузчик вилочный 3 шт)</c:v>
                </c:pt>
                <c:pt idx="3">
                  <c:v>Подключение к инженерным сетям ( водоотведение, водоснабжение)</c:v>
                </c:pt>
                <c:pt idx="4">
                  <c:v>Обеспечение электроснабжения</c:v>
                </c:pt>
                <c:pt idx="5">
                  <c:v>Прочие расходы, инвентарь</c:v>
                </c:pt>
                <c:pt idx="6">
                  <c:v>Инвестиции в оборотный к-л</c:v>
                </c:pt>
              </c:strCache>
            </c:strRef>
          </c:cat>
          <c:val>
            <c:numRef>
              <c:f>('Расходы на П, строит-во, ввод'!$W$2:$W$7,'Расходы на П, строит-во, ввод'!$W$13)</c:f>
              <c:numCache>
                <c:formatCode>#\ ##0.0</c:formatCode>
                <c:ptCount val="7"/>
                <c:pt idx="0">
                  <c:v>6500</c:v>
                </c:pt>
                <c:pt idx="1">
                  <c:v>13500</c:v>
                </c:pt>
                <c:pt idx="2">
                  <c:v>4500</c:v>
                </c:pt>
                <c:pt idx="3">
                  <c:v>3500</c:v>
                </c:pt>
                <c:pt idx="4">
                  <c:v>6000</c:v>
                </c:pt>
                <c:pt idx="5">
                  <c:v>280</c:v>
                </c:pt>
                <c:pt idx="6">
                  <c:v>6995.8404788444104</c:v>
                </c:pt>
              </c:numCache>
            </c:numRef>
          </c:val>
          <c:extLst>
            <c:ext xmlns:c16="http://schemas.microsoft.com/office/drawing/2014/chart" uri="{C3380CC4-5D6E-409C-BE32-E72D297353CC}">
              <c16:uniqueId val="{0000000E-F465-4894-9AB5-00BB4461D521}"/>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ru-RU"/>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cs:axisTitle>
  <cs:categoryAxis>
    <cs:lnRef idx="0"/>
    <cs:fillRef idx="0"/>
    <cs:effectRef idx="0"/>
    <cs:fontRef idx="minor">
      <a:schemeClr val="dk1">
        <a:lumMod val="75000"/>
        <a:lumOff val="25000"/>
      </a:schemeClr>
    </cs:fontRef>
    <cs:spPr bwMode="auto">
      <a:prstGeom prst="rect">
        <a:avLst/>
      </a:prstGeom>
      <a:ln w="19050" cap="flat" cmpd="sng" algn="ctr">
        <a:solidFill>
          <a:schemeClr val="dk1">
            <a:lumMod val="75000"/>
            <a:lumOff val="25000"/>
          </a:schemeClr>
        </a:solidFill>
        <a:round/>
      </a:ln>
    </cs:spPr>
    <cs:defRPr sz="900" cap="all"/>
  </cs:categoryAxis>
  <cs:chartArea>
    <cs:lnRef idx="0"/>
    <cs:fillRef idx="0"/>
    <cs:effectRef idx="0"/>
    <cs:fontRef idx="minor">
      <a:schemeClr val="dk1"/>
    </cs:fontRef>
    <cs:spPr bwMode="auto">
      <a:prstGeom prst="rect">
        <a:avLst/>
      </a:prstGeom>
      <a:gradFill>
        <a:gsLst>
          <a:gs pos="0">
            <a:schemeClr val="lt1"/>
          </a:gs>
          <a:gs pos="39000">
            <a:schemeClr val="lt1"/>
          </a:gs>
          <a:gs pos="100000">
            <a:schemeClr val="lt1">
              <a:lumMod val="75000"/>
            </a:schemeClr>
          </a:gs>
        </a:gsLst>
        <a:path path="circle"/>
      </a:gradFill>
      <a:ln w="9525" cap="flat" cmpd="sng" algn="ctr">
        <a:solidFill>
          <a:schemeClr val="dk1">
            <a:lumMod val="25000"/>
            <a:lumOff val="75000"/>
          </a:schemeClr>
        </a:solidFill>
        <a:round/>
      </a:ln>
    </cs:spPr>
    <cs:defRPr sz="900"/>
  </cs:chartArea>
  <cs:dataLabel>
    <cs:lnRef idx="0"/>
    <cs:fillRef idx="0"/>
    <cs:effectRef idx="0"/>
    <cs:fontRef idx="minor">
      <a:schemeClr val="lt1"/>
    </cs:fontRef>
    <cs:defRPr sz="900" b="1" i="0" u="none" strike="noStrike"/>
  </cs:dataLabel>
  <cs:dataLabelCallout>
    <cs:lnRef idx="0"/>
    <cs:fillRef idx="0"/>
    <cs:effectRef idx="0"/>
    <cs:fontRef idx="minor">
      <a:schemeClr val="lt1"/>
    </cs:fontRef>
    <cs:spPr bwMode="auto">
      <a:prstGeom prst="rect">
        <a:avLst/>
      </a:prstGeom>
      <a:solidFill>
        <a:schemeClr val="dk1">
          <a:lumMod val="65000"/>
          <a:lumOff val="35000"/>
          <a:alpha val="75000"/>
        </a:schemeClr>
      </a:solidFill>
    </cs:spPr>
    <cs:defRPr sz="900" b="1"/>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bwMode="auto">
      <a:prstGeom prst="rect">
        <a:avLst/>
      </a:prstGeom>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bwMode="auto">
      <a:prstGeom prst="rect">
        <a:avLst/>
      </a:prstGeom>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bwMode="auto">
      <a:prstGeom prst="rect">
        <a:avLst/>
      </a:prstGeom>
      <a:ln w="31750" cap="rnd">
        <a:solidFill>
          <a:schemeClr val="phClr">
            <a:alpha val="85000"/>
          </a:schemeClr>
        </a:solidFill>
        <a:round/>
      </a:ln>
    </cs:spPr>
  </cs:dataPointLine>
  <cs:dataPointMarker>
    <cs:lnRef idx="0"/>
    <cs:fillRef idx="0">
      <cs:styleClr val="auto"/>
    </cs:fillRef>
    <cs:effectRef idx="0"/>
    <cs:fontRef idx="minor">
      <a:schemeClr val="dk1"/>
    </cs:fontRef>
    <cs:spPr bwMode="auto">
      <a:prstGeom prst="rect">
        <a:avLst/>
      </a:prstGeom>
      <a:solidFill>
        <a:schemeClr val="phClr">
          <a:alpha val="85000"/>
        </a:schemeClr>
      </a:solidFill>
    </cs:spPr>
  </cs:dataPointMarker>
  <cs:dataPointMarkerLayout/>
  <cs:dataPointWireframe>
    <cs:lnRef idx="0">
      <cs:styleClr val="auto"/>
    </cs:lnRef>
    <cs:fillRef idx="0"/>
    <cs:effectRef idx="0"/>
    <cs:fontRef idx="minor">
      <a:schemeClr val="dk1"/>
    </cs:fontRef>
    <cs:spPr bwMode="auto">
      <a:prstGeom prst="rect">
        <a:avLst/>
      </a:prstGeom>
      <a:ln w="9525" cap="rnd">
        <a:solidFill>
          <a:schemeClr val="phClr"/>
        </a:solidFill>
        <a:round/>
      </a:ln>
    </cs:spPr>
  </cs:dataPointWireframe>
  <cs:dataTable>
    <cs:lnRef idx="0"/>
    <cs:fillRef idx="0"/>
    <cs:effectRef idx="0"/>
    <cs:fontRef idx="minor">
      <a:schemeClr val="dk1">
        <a:lumMod val="75000"/>
        <a:lumOff val="25000"/>
      </a:schemeClr>
    </cs:fontRef>
    <cs:spPr bwMode="auto">
      <a:prstGeom prst="rect">
        <a:avLst/>
      </a:prstGeom>
      <a:ln w="9525">
        <a:solidFill>
          <a:schemeClr val="dk1">
            <a:lumMod val="35000"/>
            <a:lumOff val="65000"/>
          </a:schemeClr>
        </a:solidFill>
      </a:ln>
    </cs:spPr>
    <cs:defRPr sz="900"/>
  </cs:dataTable>
  <cs:downBar>
    <cs:lnRef idx="0"/>
    <cs:fillRef idx="0"/>
    <cs:effectRef idx="0"/>
    <cs:fontRef idx="minor">
      <a:schemeClr val="dk1"/>
    </cs:fontRef>
    <cs:spPr bwMode="auto">
      <a:prstGeom prst="rect">
        <a:avLst/>
      </a:prstGeom>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bwMode="auto">
      <a:prstGeom prst="rect">
        <a:avLst/>
      </a:prstGeom>
      <a:ln w="9525">
        <a:solidFill>
          <a:schemeClr val="dk1">
            <a:lumMod val="35000"/>
            <a:lumOff val="65000"/>
          </a:schemeClr>
        </a:solidFill>
        <a:prstDash val="dash"/>
      </a:ln>
    </cs:spPr>
  </cs:dropLine>
  <cs:errorBar>
    <cs:lnRef idx="0"/>
    <cs:fillRef idx="0"/>
    <cs:effectRef idx="0"/>
    <cs:fontRef idx="minor">
      <a:schemeClr val="dk1"/>
    </cs:fontRef>
    <cs:spPr bwMode="auto">
      <a:prstGeom prst="rect">
        <a:avLst/>
      </a:prstGeom>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bwMode="auto">
      <a:prstGeom prst="rect">
        <a:avLst/>
      </a:prstGeom>
      <a:ln w="9525" cap="flat" cmpd="sng" algn="ctr">
        <a:gradFill>
          <a:gsLst>
            <a:gs pos="0">
              <a:schemeClr val="lt1">
                <a:lumMod val="75000"/>
                <a:alpha val="36000"/>
              </a:schemeClr>
            </a:gs>
            <a:gs pos="100000">
              <a:schemeClr val="dk1">
                <a:lumMod val="95000"/>
                <a:lumOff val="5000"/>
                <a:alpha val="42000"/>
              </a:schemeClr>
            </a:gs>
          </a:gsLst>
          <a:lin ang="5400000" scaled="0"/>
        </a:gradFill>
        <a:round/>
      </a:ln>
    </cs:spPr>
  </cs:gridlineMajor>
  <cs:gridlineMinor>
    <cs:lnRef idx="0"/>
    <cs:fillRef idx="0"/>
    <cs:effectRef idx="0"/>
    <cs:fontRef idx="minor">
      <a:schemeClr val="dk1"/>
    </cs:fontRef>
    <cs:spPr bwMode="auto">
      <a:prstGeom prst="rect">
        <a:avLst/>
      </a:prstGeom>
      <a:ln>
        <a:gradFill>
          <a:gsLst>
            <a:gs pos="0">
              <a:schemeClr val="lt1">
                <a:lumMod val="75000"/>
                <a:alpha val="36000"/>
              </a:schemeClr>
            </a:gs>
            <a:gs pos="100000">
              <a:schemeClr val="dk1">
                <a:lumMod val="95000"/>
                <a:lumOff val="5000"/>
                <a:alpha val="42000"/>
              </a:schemeClr>
            </a:gs>
          </a:gsLst>
          <a:lin ang="5400000" scaled="0"/>
        </a:gradFill>
      </a:ln>
    </cs:spPr>
  </cs:gridlineMinor>
  <cs:hiLoLine>
    <cs:lnRef idx="0"/>
    <cs:fillRef idx="0"/>
    <cs:effectRef idx="0"/>
    <cs:fontRef idx="minor">
      <a:schemeClr val="dk1"/>
    </cs:fontRef>
    <cs:spPr bwMode="auto">
      <a:prstGeom prst="rect">
        <a:avLst/>
      </a:prstGeom>
      <a:ln w="9525">
        <a:solidFill>
          <a:schemeClr val="dk1">
            <a:lumMod val="35000"/>
            <a:lumOff val="65000"/>
          </a:schemeClr>
        </a:solidFill>
        <a:prstDash val="dash"/>
      </a:ln>
    </cs:spPr>
  </cs:hiLoLine>
  <cs:leaderLine>
    <cs:lnRef idx="0"/>
    <cs:fillRef idx="0"/>
    <cs:effectRef idx="0"/>
    <cs:fontRef idx="minor">
      <a:schemeClr val="dk1"/>
    </cs:fontRef>
    <cs:spPr bwMode="auto">
      <a:prstGeom prst="rect">
        <a:avLst/>
      </a:prstGeom>
      <a:ln w="9525">
        <a:solidFill>
          <a:schemeClr val="dk1">
            <a:lumMod val="50000"/>
            <a:lumOff val="50000"/>
          </a:schemeClr>
        </a:solidFill>
      </a:ln>
    </cs:spPr>
  </cs:leaderLine>
  <cs:legend>
    <cs:lnRef idx="0"/>
    <cs:fillRef idx="0"/>
    <cs:effectRef idx="0"/>
    <cs:fontRef idx="minor">
      <a:schemeClr val="dk1">
        <a:lumMod val="75000"/>
        <a:lumOff val="25000"/>
      </a:schemeClr>
    </cs:fontRef>
    <cs:spPr bwMode="auto">
      <a:prstGeom prst="rect">
        <a:avLst/>
      </a:prstGeom>
      <a:solidFill>
        <a:schemeClr val="lt1">
          <a:lumMod val="95000"/>
          <a:alpha val="39000"/>
        </a:schemeClr>
      </a:solidFill>
    </cs:spPr>
    <cs:defRPr sz="9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bwMode="auto">
      <a:prstGeom prst="rect">
        <a:avLst/>
      </a:prstGeom>
      <a:ln w="31750" cap="flat" cmpd="sng" algn="ctr">
        <a:solidFill>
          <a:schemeClr val="dk1">
            <a:lumMod val="75000"/>
            <a:lumOff val="25000"/>
          </a:schemeClr>
        </a:solidFill>
        <a:round/>
      </a:ln>
    </cs:spPr>
    <cs:defRPr sz="900"/>
  </cs:seriesAxis>
  <cs:seriesLine>
    <cs:lnRef idx="0"/>
    <cs:fillRef idx="0"/>
    <cs:effectRef idx="0"/>
    <cs:fontRef idx="minor">
      <a:schemeClr val="dk1"/>
    </cs:fontRef>
    <cs:spPr bwMode="auto">
      <a:prstGeom prst="rect">
        <a:avLst/>
      </a:prstGeom>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cs:title>
  <cs:trendline>
    <cs:lnRef idx="0">
      <cs:styleClr val="auto"/>
    </cs:lnRef>
    <cs:fillRef idx="0"/>
    <cs:effectRef idx="0"/>
    <cs:fontRef idx="minor">
      <a:schemeClr val="dk1"/>
    </cs:fontRef>
    <cs:spPr bwMode="auto">
      <a:prstGeom prst="rect">
        <a:avLst/>
      </a:prstGeom>
      <a:ln w="19050" cap="rnd">
        <a:solidFill>
          <a:schemeClr val="phClr"/>
        </a:solidFill>
      </a:ln>
    </cs:spPr>
  </cs:trendline>
  <cs:trendlineLabel>
    <cs:lnRef idx="0"/>
    <cs:fillRef idx="0"/>
    <cs:effectRef idx="0"/>
    <cs:fontRef idx="minor">
      <a:schemeClr val="dk1">
        <a:lumMod val="75000"/>
        <a:lumOff val="25000"/>
      </a:schemeClr>
    </cs:fontRef>
    <cs:defRPr sz="900"/>
  </cs:trendlineLabel>
  <cs:upBar>
    <cs:lnRef idx="0"/>
    <cs:fillRef idx="0"/>
    <cs:effectRef idx="0"/>
    <cs:fontRef idx="minor">
      <a:schemeClr val="dk1"/>
    </cs:fontRef>
    <cs:spPr bwMode="auto">
      <a:prstGeom prst="rect">
        <a:avLst/>
      </a:prstGeom>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bwMode="auto">
      <a:prstGeom prst="rect">
        <a:avLst/>
      </a:prstGeom>
      <a:ln>
        <a:noFill/>
      </a:ln>
    </cs:spPr>
    <cs:defRPr sz="9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cs:axisTitle>
  <cs:categoryAxis>
    <cs:lnRef idx="0"/>
    <cs:fillRef idx="0"/>
    <cs:effectRef idx="0"/>
    <cs:fontRef idx="minor">
      <a:schemeClr val="dk1">
        <a:lumMod val="75000"/>
        <a:lumOff val="25000"/>
      </a:schemeClr>
    </cs:fontRef>
    <cs:spPr bwMode="auto">
      <a:prstGeom prst="rect">
        <a:avLst/>
      </a:prstGeom>
      <a:ln w="19050" cap="flat" cmpd="sng" algn="ctr">
        <a:solidFill>
          <a:schemeClr val="dk1">
            <a:lumMod val="75000"/>
            <a:lumOff val="25000"/>
          </a:schemeClr>
        </a:solidFill>
        <a:round/>
      </a:ln>
    </cs:spPr>
    <cs:defRPr sz="900" cap="all"/>
  </cs:categoryAxis>
  <cs:chartArea>
    <cs:lnRef idx="0"/>
    <cs:fillRef idx="0"/>
    <cs:effectRef idx="0"/>
    <cs:fontRef idx="minor">
      <a:schemeClr val="dk1"/>
    </cs:fontRef>
    <cs:spPr bwMode="auto">
      <a:prstGeom prst="rect">
        <a:avLst/>
      </a:prstGeom>
      <a:gradFill>
        <a:gsLst>
          <a:gs pos="0">
            <a:schemeClr val="lt1"/>
          </a:gs>
          <a:gs pos="39000">
            <a:schemeClr val="lt1"/>
          </a:gs>
          <a:gs pos="100000">
            <a:schemeClr val="lt1">
              <a:lumMod val="75000"/>
            </a:schemeClr>
          </a:gs>
        </a:gsLst>
        <a:path path="circle"/>
      </a:gradFill>
      <a:ln w="9525" cap="flat" cmpd="sng" algn="ctr">
        <a:solidFill>
          <a:schemeClr val="dk1">
            <a:lumMod val="25000"/>
            <a:lumOff val="75000"/>
          </a:schemeClr>
        </a:solidFill>
        <a:round/>
      </a:ln>
    </cs:spPr>
    <cs:defRPr sz="900"/>
  </cs:chartArea>
  <cs:dataLabel>
    <cs:lnRef idx="0"/>
    <cs:fillRef idx="0"/>
    <cs:effectRef idx="0"/>
    <cs:fontRef idx="minor">
      <a:schemeClr val="lt1"/>
    </cs:fontRef>
    <cs:defRPr sz="900" b="1" i="0" u="none" strike="noStrike"/>
  </cs:dataLabel>
  <cs:dataLabelCallout>
    <cs:lnRef idx="0"/>
    <cs:fillRef idx="0"/>
    <cs:effectRef idx="0"/>
    <cs:fontRef idx="minor">
      <a:schemeClr val="lt1"/>
    </cs:fontRef>
    <cs:spPr bwMode="auto">
      <a:prstGeom prst="rect">
        <a:avLst/>
      </a:prstGeom>
      <a:solidFill>
        <a:schemeClr val="dk1">
          <a:lumMod val="65000"/>
          <a:lumOff val="35000"/>
          <a:alpha val="75000"/>
        </a:schemeClr>
      </a:solidFill>
    </cs:spPr>
    <cs:defRPr sz="900" b="1"/>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bwMode="auto">
      <a:prstGeom prst="rect">
        <a:avLst/>
      </a:prstGeom>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bwMode="auto">
      <a:prstGeom prst="rect">
        <a:avLst/>
      </a:prstGeom>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bwMode="auto">
      <a:prstGeom prst="rect">
        <a:avLst/>
      </a:prstGeom>
      <a:ln w="31750" cap="rnd">
        <a:solidFill>
          <a:schemeClr val="phClr">
            <a:alpha val="85000"/>
          </a:schemeClr>
        </a:solidFill>
        <a:round/>
      </a:ln>
    </cs:spPr>
  </cs:dataPointLine>
  <cs:dataPointMarker>
    <cs:lnRef idx="0"/>
    <cs:fillRef idx="0">
      <cs:styleClr val="auto"/>
    </cs:fillRef>
    <cs:effectRef idx="0"/>
    <cs:fontRef idx="minor">
      <a:schemeClr val="dk1"/>
    </cs:fontRef>
    <cs:spPr bwMode="auto">
      <a:prstGeom prst="rect">
        <a:avLst/>
      </a:prstGeom>
      <a:solidFill>
        <a:schemeClr val="phClr">
          <a:alpha val="85000"/>
        </a:schemeClr>
      </a:solidFill>
    </cs:spPr>
  </cs:dataPointMarker>
  <cs:dataPointMarkerLayout/>
  <cs:dataPointWireframe>
    <cs:lnRef idx="0">
      <cs:styleClr val="auto"/>
    </cs:lnRef>
    <cs:fillRef idx="0"/>
    <cs:effectRef idx="0"/>
    <cs:fontRef idx="minor">
      <a:schemeClr val="dk1"/>
    </cs:fontRef>
    <cs:spPr bwMode="auto">
      <a:prstGeom prst="rect">
        <a:avLst/>
      </a:prstGeom>
      <a:ln w="9525" cap="rnd">
        <a:solidFill>
          <a:schemeClr val="phClr"/>
        </a:solidFill>
        <a:round/>
      </a:ln>
    </cs:spPr>
  </cs:dataPointWireframe>
  <cs:dataTable>
    <cs:lnRef idx="0"/>
    <cs:fillRef idx="0"/>
    <cs:effectRef idx="0"/>
    <cs:fontRef idx="minor">
      <a:schemeClr val="dk1">
        <a:lumMod val="75000"/>
        <a:lumOff val="25000"/>
      </a:schemeClr>
    </cs:fontRef>
    <cs:spPr bwMode="auto">
      <a:prstGeom prst="rect">
        <a:avLst/>
      </a:prstGeom>
      <a:ln w="9525">
        <a:solidFill>
          <a:schemeClr val="dk1">
            <a:lumMod val="35000"/>
            <a:lumOff val="65000"/>
          </a:schemeClr>
        </a:solidFill>
      </a:ln>
    </cs:spPr>
    <cs:defRPr sz="900"/>
  </cs:dataTable>
  <cs:downBar>
    <cs:lnRef idx="0"/>
    <cs:fillRef idx="0"/>
    <cs:effectRef idx="0"/>
    <cs:fontRef idx="minor">
      <a:schemeClr val="dk1"/>
    </cs:fontRef>
    <cs:spPr bwMode="auto">
      <a:prstGeom prst="rect">
        <a:avLst/>
      </a:prstGeom>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bwMode="auto">
      <a:prstGeom prst="rect">
        <a:avLst/>
      </a:prstGeom>
      <a:ln w="9525">
        <a:solidFill>
          <a:schemeClr val="dk1">
            <a:lumMod val="35000"/>
            <a:lumOff val="65000"/>
          </a:schemeClr>
        </a:solidFill>
        <a:prstDash val="dash"/>
      </a:ln>
    </cs:spPr>
  </cs:dropLine>
  <cs:errorBar>
    <cs:lnRef idx="0"/>
    <cs:fillRef idx="0"/>
    <cs:effectRef idx="0"/>
    <cs:fontRef idx="minor">
      <a:schemeClr val="dk1"/>
    </cs:fontRef>
    <cs:spPr bwMode="auto">
      <a:prstGeom prst="rect">
        <a:avLst/>
      </a:prstGeom>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bwMode="auto">
      <a:prstGeom prst="rect">
        <a:avLst/>
      </a:prstGeom>
      <a:ln w="9525" cap="flat" cmpd="sng" algn="ctr">
        <a:gradFill>
          <a:gsLst>
            <a:gs pos="0">
              <a:schemeClr val="lt1">
                <a:lumMod val="75000"/>
                <a:alpha val="36000"/>
              </a:schemeClr>
            </a:gs>
            <a:gs pos="100000">
              <a:schemeClr val="dk1">
                <a:lumMod val="95000"/>
                <a:lumOff val="5000"/>
                <a:alpha val="42000"/>
              </a:schemeClr>
            </a:gs>
          </a:gsLst>
          <a:lin ang="5400000" scaled="0"/>
        </a:gradFill>
        <a:round/>
      </a:ln>
    </cs:spPr>
  </cs:gridlineMajor>
  <cs:gridlineMinor>
    <cs:lnRef idx="0"/>
    <cs:fillRef idx="0"/>
    <cs:effectRef idx="0"/>
    <cs:fontRef idx="minor">
      <a:schemeClr val="dk1"/>
    </cs:fontRef>
    <cs:spPr bwMode="auto">
      <a:prstGeom prst="rect">
        <a:avLst/>
      </a:prstGeom>
      <a:ln>
        <a:gradFill>
          <a:gsLst>
            <a:gs pos="0">
              <a:schemeClr val="lt1">
                <a:lumMod val="75000"/>
                <a:alpha val="36000"/>
              </a:schemeClr>
            </a:gs>
            <a:gs pos="100000">
              <a:schemeClr val="dk1">
                <a:lumMod val="95000"/>
                <a:lumOff val="5000"/>
                <a:alpha val="42000"/>
              </a:schemeClr>
            </a:gs>
          </a:gsLst>
          <a:lin ang="5400000" scaled="0"/>
        </a:gradFill>
      </a:ln>
    </cs:spPr>
  </cs:gridlineMinor>
  <cs:hiLoLine>
    <cs:lnRef idx="0"/>
    <cs:fillRef idx="0"/>
    <cs:effectRef idx="0"/>
    <cs:fontRef idx="minor">
      <a:schemeClr val="dk1"/>
    </cs:fontRef>
    <cs:spPr bwMode="auto">
      <a:prstGeom prst="rect">
        <a:avLst/>
      </a:prstGeom>
      <a:ln w="9525">
        <a:solidFill>
          <a:schemeClr val="dk1">
            <a:lumMod val="35000"/>
            <a:lumOff val="65000"/>
          </a:schemeClr>
        </a:solidFill>
        <a:prstDash val="dash"/>
      </a:ln>
    </cs:spPr>
  </cs:hiLoLine>
  <cs:leaderLine>
    <cs:lnRef idx="0"/>
    <cs:fillRef idx="0"/>
    <cs:effectRef idx="0"/>
    <cs:fontRef idx="minor">
      <a:schemeClr val="dk1"/>
    </cs:fontRef>
    <cs:spPr bwMode="auto">
      <a:prstGeom prst="rect">
        <a:avLst/>
      </a:prstGeom>
      <a:ln w="9525">
        <a:solidFill>
          <a:schemeClr val="dk1">
            <a:lumMod val="50000"/>
            <a:lumOff val="50000"/>
          </a:schemeClr>
        </a:solidFill>
      </a:ln>
    </cs:spPr>
  </cs:leaderLine>
  <cs:legend>
    <cs:lnRef idx="0"/>
    <cs:fillRef idx="0"/>
    <cs:effectRef idx="0"/>
    <cs:fontRef idx="minor">
      <a:schemeClr val="dk1">
        <a:lumMod val="75000"/>
        <a:lumOff val="25000"/>
      </a:schemeClr>
    </cs:fontRef>
    <cs:spPr bwMode="auto">
      <a:prstGeom prst="rect">
        <a:avLst/>
      </a:prstGeom>
      <a:solidFill>
        <a:schemeClr val="lt1">
          <a:lumMod val="95000"/>
          <a:alpha val="39000"/>
        </a:schemeClr>
      </a:solidFill>
    </cs:spPr>
    <cs:defRPr sz="9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bwMode="auto">
      <a:prstGeom prst="rect">
        <a:avLst/>
      </a:prstGeom>
      <a:ln w="31750" cap="flat" cmpd="sng" algn="ctr">
        <a:solidFill>
          <a:schemeClr val="dk1">
            <a:lumMod val="75000"/>
            <a:lumOff val="25000"/>
          </a:schemeClr>
        </a:solidFill>
        <a:round/>
      </a:ln>
    </cs:spPr>
    <cs:defRPr sz="900"/>
  </cs:seriesAxis>
  <cs:seriesLine>
    <cs:lnRef idx="0"/>
    <cs:fillRef idx="0"/>
    <cs:effectRef idx="0"/>
    <cs:fontRef idx="minor">
      <a:schemeClr val="dk1"/>
    </cs:fontRef>
    <cs:spPr bwMode="auto">
      <a:prstGeom prst="rect">
        <a:avLst/>
      </a:prstGeom>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cs:title>
  <cs:trendline>
    <cs:lnRef idx="0">
      <cs:styleClr val="auto"/>
    </cs:lnRef>
    <cs:fillRef idx="0"/>
    <cs:effectRef idx="0"/>
    <cs:fontRef idx="minor">
      <a:schemeClr val="dk1"/>
    </cs:fontRef>
    <cs:spPr bwMode="auto">
      <a:prstGeom prst="rect">
        <a:avLst/>
      </a:prstGeom>
      <a:ln w="19050" cap="rnd">
        <a:solidFill>
          <a:schemeClr val="phClr"/>
        </a:solidFill>
      </a:ln>
    </cs:spPr>
  </cs:trendline>
  <cs:trendlineLabel>
    <cs:lnRef idx="0"/>
    <cs:fillRef idx="0"/>
    <cs:effectRef idx="0"/>
    <cs:fontRef idx="minor">
      <a:schemeClr val="dk1">
        <a:lumMod val="75000"/>
        <a:lumOff val="25000"/>
      </a:schemeClr>
    </cs:fontRef>
    <cs:defRPr sz="900"/>
  </cs:trendlineLabel>
  <cs:upBar>
    <cs:lnRef idx="0"/>
    <cs:fillRef idx="0"/>
    <cs:effectRef idx="0"/>
    <cs:fontRef idx="minor">
      <a:schemeClr val="dk1"/>
    </cs:fontRef>
    <cs:spPr bwMode="auto">
      <a:prstGeom prst="rect">
        <a:avLst/>
      </a:prstGeom>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bwMode="auto">
      <a:prstGeom prst="rect">
        <a:avLst/>
      </a:prstGeom>
      <a:ln>
        <a:noFill/>
      </a:ln>
    </cs:spPr>
    <cs:defRPr sz="9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xdr:from>
      <xdr:col>1</xdr:col>
      <xdr:colOff>57150</xdr:colOff>
      <xdr:row>44</xdr:row>
      <xdr:rowOff>161925</xdr:rowOff>
    </xdr:from>
    <xdr:to>
      <xdr:col>1</xdr:col>
      <xdr:colOff>1362075</xdr:colOff>
      <xdr:row>48</xdr:row>
      <xdr:rowOff>76200</xdr:rowOff>
    </xdr:to>
    <xdr:pic>
      <xdr:nvPicPr>
        <xdr:cNvPr id="2" name="Рисунок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123950" y="8353425"/>
          <a:ext cx="1304925" cy="676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133350</xdr:colOff>
      <xdr:row>48</xdr:row>
      <xdr:rowOff>152400</xdr:rowOff>
    </xdr:from>
    <xdr:to>
      <xdr:col>1</xdr:col>
      <xdr:colOff>1143000</xdr:colOff>
      <xdr:row>50</xdr:row>
      <xdr:rowOff>133350</xdr:rowOff>
    </xdr:to>
    <xdr:pic>
      <xdr:nvPicPr>
        <xdr:cNvPr id="3" name="Рисунок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00150" y="9867900"/>
          <a:ext cx="1009650" cy="361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29118</xdr:colOff>
      <xdr:row>0</xdr:row>
      <xdr:rowOff>8164</xdr:rowOff>
    </xdr:from>
    <xdr:to>
      <xdr:col>11</xdr:col>
      <xdr:colOff>238124</xdr:colOff>
      <xdr:row>13</xdr:row>
      <xdr:rowOff>0</xdr:rowOff>
    </xdr:to>
    <xdr:graphicFrame macro="">
      <xdr:nvGraphicFramePr>
        <xdr:cNvPr id="2" name="Диаграмма 2">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437810</xdr:colOff>
      <xdr:row>0</xdr:row>
      <xdr:rowOff>11904</xdr:rowOff>
    </xdr:from>
    <xdr:to>
      <xdr:col>18</xdr:col>
      <xdr:colOff>285750</xdr:colOff>
      <xdr:row>13</xdr:row>
      <xdr:rowOff>17623</xdr:rowOff>
    </xdr:to>
    <xdr:graphicFrame macro="">
      <xdr:nvGraphicFramePr>
        <xdr:cNvPr id="3" name="Диаграмма 1">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47624</xdr:colOff>
      <xdr:row>14</xdr:row>
      <xdr:rowOff>28573</xdr:rowOff>
    </xdr:from>
    <xdr:to>
      <xdr:col>9</xdr:col>
      <xdr:colOff>514350</xdr:colOff>
      <xdr:row>29</xdr:row>
      <xdr:rowOff>47624</xdr:rowOff>
    </xdr:to>
    <xdr:graphicFrame macro="">
      <xdr:nvGraphicFramePr>
        <xdr:cNvPr id="4" name="Диаграмма 2">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39688</xdr:colOff>
      <xdr:row>30</xdr:row>
      <xdr:rowOff>46567</xdr:rowOff>
    </xdr:from>
    <xdr:to>
      <xdr:col>9</xdr:col>
      <xdr:colOff>583406</xdr:colOff>
      <xdr:row>44</xdr:row>
      <xdr:rowOff>122767</xdr:rowOff>
    </xdr:to>
    <xdr:graphicFrame macro="">
      <xdr:nvGraphicFramePr>
        <xdr:cNvPr id="9" name="Диаграмма 1">
          <a:extLst>
            <a:ext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86177</xdr:colOff>
      <xdr:row>29</xdr:row>
      <xdr:rowOff>185851</xdr:rowOff>
    </xdr:from>
    <xdr:to>
      <xdr:col>17</xdr:col>
      <xdr:colOff>321469</xdr:colOff>
      <xdr:row>44</xdr:row>
      <xdr:rowOff>71551</xdr:rowOff>
    </xdr:to>
    <xdr:graphicFrame macro="">
      <xdr:nvGraphicFramePr>
        <xdr:cNvPr id="10" name="Диаграмма 1">
          <a:extLst>
            <a:ext uri="{FF2B5EF4-FFF2-40B4-BE49-F238E27FC236}">
              <a16:creationId xmlns:a16="http://schemas.microsoft.com/office/drawing/2014/main"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67468</xdr:colOff>
      <xdr:row>29</xdr:row>
      <xdr:rowOff>124618</xdr:rowOff>
    </xdr:from>
    <xdr:to>
      <xdr:col>3</xdr:col>
      <xdr:colOff>496094</xdr:colOff>
      <xdr:row>44</xdr:row>
      <xdr:rowOff>10318</xdr:rowOff>
    </xdr:to>
    <xdr:graphicFrame macro="">
      <xdr:nvGraphicFramePr>
        <xdr:cNvPr id="11" name="Диаграмма 1">
          <a:extLst>
            <a:ext uri="{FF2B5EF4-FFF2-40B4-BE49-F238E27FC236}">
              <a16:creationId xmlns:a16="http://schemas.microsoft.com/office/drawing/2014/main" id="{00000000-0008-0000-0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71437</xdr:colOff>
      <xdr:row>45</xdr:row>
      <xdr:rowOff>180182</xdr:rowOff>
    </xdr:from>
    <xdr:to>
      <xdr:col>3</xdr:col>
      <xdr:colOff>500062</xdr:colOff>
      <xdr:row>56</xdr:row>
      <xdr:rowOff>142875</xdr:rowOff>
    </xdr:to>
    <xdr:graphicFrame macro="">
      <xdr:nvGraphicFramePr>
        <xdr:cNvPr id="12" name="Диаграмма 1">
          <a:extLst>
            <a:ext uri="{FF2B5EF4-FFF2-40B4-BE49-F238E27FC236}">
              <a16:creationId xmlns:a16="http://schemas.microsoft.com/office/drawing/2014/main" id="{00000000-0008-0000-0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299356</xdr:colOff>
      <xdr:row>14</xdr:row>
      <xdr:rowOff>-1</xdr:rowOff>
    </xdr:from>
    <xdr:to>
      <xdr:col>19</xdr:col>
      <xdr:colOff>674914</xdr:colOff>
      <xdr:row>29</xdr:row>
      <xdr:rowOff>130628</xdr:rowOff>
    </xdr:to>
    <xdr:graphicFrame macro="">
      <xdr:nvGraphicFramePr>
        <xdr:cNvPr id="6" name="Диаграмма 5">
          <a:extLst>
            <a:ext uri="{FF2B5EF4-FFF2-40B4-BE49-F238E27FC236}">
              <a16:creationId xmlns:a16="http://schemas.microsoft.com/office/drawing/2014/main" id="{CD4542E5-9097-49F1-A750-CDE44B8B1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38</xdr:col>
      <xdr:colOff>500062</xdr:colOff>
      <xdr:row>24</xdr:row>
      <xdr:rowOff>57150</xdr:rowOff>
    </xdr:from>
    <xdr:to>
      <xdr:col>58</xdr:col>
      <xdr:colOff>390517</xdr:colOff>
      <xdr:row>62</xdr:row>
      <xdr:rowOff>67629</xdr:rowOff>
    </xdr:to>
    <xdr:pic>
      <xdr:nvPicPr>
        <xdr:cNvPr id="5" name="Рисунок 4">
          <a:extLst>
            <a:ext uri="{FF2B5EF4-FFF2-40B4-BE49-F238E27FC236}">
              <a16:creationId xmlns:a16="http://schemas.microsoft.com/office/drawing/2014/main" id="{00000000-0008-0000-1B00-000005000000}"/>
            </a:ext>
          </a:extLst>
        </xdr:cNvPr>
        <xdr:cNvPicPr>
          <a:picLocks noChangeAspect="1"/>
        </xdr:cNvPicPr>
      </xdr:nvPicPr>
      <xdr:blipFill rotWithShape="1">
        <a:blip xmlns:r="http://schemas.openxmlformats.org/officeDocument/2006/relationships" r:embed="rId1"/>
        <a:srcRect l="5521" t="2264" r="15413" b="13397"/>
        <a:stretch/>
      </xdr:blipFill>
      <xdr:spPr>
        <a:xfrm>
          <a:off x="30218062" y="14701838"/>
          <a:ext cx="12272955" cy="7249479"/>
        </a:xfrm>
        <a:prstGeom prst="rect">
          <a:avLst/>
        </a:prstGeom>
      </xdr:spPr>
    </xdr:pic>
    <xdr:clientData/>
  </xdr:twoCellAnchor>
  <xdr:twoCellAnchor editAs="oneCell">
    <xdr:from>
      <xdr:col>34</xdr:col>
      <xdr:colOff>69850</xdr:colOff>
      <xdr:row>75</xdr:row>
      <xdr:rowOff>160338</xdr:rowOff>
    </xdr:from>
    <xdr:to>
      <xdr:col>55</xdr:col>
      <xdr:colOff>257175</xdr:colOff>
      <xdr:row>119</xdr:row>
      <xdr:rowOff>52387</xdr:rowOff>
    </xdr:to>
    <xdr:pic>
      <xdr:nvPicPr>
        <xdr:cNvPr id="8" name="Рисунок 7">
          <a:extLst>
            <a:ext uri="{FF2B5EF4-FFF2-40B4-BE49-F238E27FC236}">
              <a16:creationId xmlns:a16="http://schemas.microsoft.com/office/drawing/2014/main" id="{00000000-0008-0000-1B00-000008000000}"/>
            </a:ext>
          </a:extLst>
        </xdr:cNvPr>
        <xdr:cNvPicPr>
          <a:picLocks noChangeAspect="1"/>
        </xdr:cNvPicPr>
      </xdr:nvPicPr>
      <xdr:blipFill rotWithShape="1">
        <a:blip xmlns:r="http://schemas.openxmlformats.org/officeDocument/2006/relationships" r:embed="rId2"/>
        <a:srcRect l="7523" t="3592" r="15879" b="9844"/>
        <a:stretch/>
      </xdr:blipFill>
      <xdr:spPr>
        <a:xfrm>
          <a:off x="28619450" y="14282738"/>
          <a:ext cx="12988925" cy="7715249"/>
        </a:xfrm>
        <a:prstGeom prst="rect">
          <a:avLst/>
        </a:prstGeom>
      </xdr:spPr>
    </xdr:pic>
    <xdr:clientData/>
  </xdr:twoCellAnchor>
  <xdr:twoCellAnchor editAs="oneCell">
    <xdr:from>
      <xdr:col>12</xdr:col>
      <xdr:colOff>1031240</xdr:colOff>
      <xdr:row>19</xdr:row>
      <xdr:rowOff>0</xdr:rowOff>
    </xdr:from>
    <xdr:to>
      <xdr:col>18</xdr:col>
      <xdr:colOff>106680</xdr:colOff>
      <xdr:row>32</xdr:row>
      <xdr:rowOff>9020</xdr:rowOff>
    </xdr:to>
    <xdr:pic>
      <xdr:nvPicPr>
        <xdr:cNvPr id="7" name="Рисунок 6">
          <a:extLst>
            <a:ext uri="{FF2B5EF4-FFF2-40B4-BE49-F238E27FC236}">
              <a16:creationId xmlns:a16="http://schemas.microsoft.com/office/drawing/2014/main" id="{67DA9389-8702-4824-B2D2-54E35978DEF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401040" y="4253100"/>
          <a:ext cx="5476240" cy="23204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2524760</xdr:colOff>
      <xdr:row>4</xdr:row>
      <xdr:rowOff>195581</xdr:rowOff>
    </xdr:from>
    <xdr:to>
      <xdr:col>18</xdr:col>
      <xdr:colOff>41517</xdr:colOff>
      <xdr:row>15</xdr:row>
      <xdr:rowOff>58421</xdr:rowOff>
    </xdr:to>
    <xdr:pic>
      <xdr:nvPicPr>
        <xdr:cNvPr id="2" name="Рисунок 1">
          <a:extLst>
            <a:ext uri="{FF2B5EF4-FFF2-40B4-BE49-F238E27FC236}">
              <a16:creationId xmlns:a16="http://schemas.microsoft.com/office/drawing/2014/main" id="{1ED66778-62A6-4082-B7E0-32CF06F713CA}"/>
            </a:ext>
          </a:extLst>
        </xdr:cNvPr>
        <xdr:cNvPicPr>
          <a:picLocks noChangeAspect="1"/>
        </xdr:cNvPicPr>
      </xdr:nvPicPr>
      <xdr:blipFill>
        <a:blip xmlns:r="http://schemas.openxmlformats.org/officeDocument/2006/relationships" r:embed="rId4"/>
        <a:stretch>
          <a:fillRect/>
        </a:stretch>
      </xdr:blipFill>
      <xdr:spPr>
        <a:xfrm>
          <a:off x="14894560" y="1109981"/>
          <a:ext cx="3917557" cy="2352040"/>
        </a:xfrm>
        <a:prstGeom prst="rect">
          <a:avLst/>
        </a:prstGeom>
      </xdr:spPr>
    </xdr:pic>
    <xdr:clientData/>
  </xdr:twoCellAnchor>
  <xdr:twoCellAnchor editAs="oneCell">
    <xdr:from>
      <xdr:col>19</xdr:col>
      <xdr:colOff>388620</xdr:colOff>
      <xdr:row>3</xdr:row>
      <xdr:rowOff>324838</xdr:rowOff>
    </xdr:from>
    <xdr:to>
      <xdr:col>26</xdr:col>
      <xdr:colOff>470235</xdr:colOff>
      <xdr:row>15</xdr:row>
      <xdr:rowOff>43180</xdr:rowOff>
    </xdr:to>
    <xdr:pic>
      <xdr:nvPicPr>
        <xdr:cNvPr id="3" name="Рисунок 2">
          <a:extLst>
            <a:ext uri="{FF2B5EF4-FFF2-40B4-BE49-F238E27FC236}">
              <a16:creationId xmlns:a16="http://schemas.microsoft.com/office/drawing/2014/main" id="{02FAFE45-3752-442F-A553-C8A65710A1B0}"/>
            </a:ext>
          </a:extLst>
        </xdr:cNvPr>
        <xdr:cNvPicPr>
          <a:picLocks noChangeAspect="1"/>
        </xdr:cNvPicPr>
      </xdr:nvPicPr>
      <xdr:blipFill>
        <a:blip xmlns:r="http://schemas.openxmlformats.org/officeDocument/2006/relationships" r:embed="rId5"/>
        <a:stretch>
          <a:fillRect/>
        </a:stretch>
      </xdr:blipFill>
      <xdr:spPr>
        <a:xfrm>
          <a:off x="19778980" y="858238"/>
          <a:ext cx="4348815" cy="2644422"/>
        </a:xfrm>
        <a:prstGeom prst="rect">
          <a:avLst/>
        </a:prstGeom>
      </xdr:spPr>
    </xdr:pic>
    <xdr:clientData/>
  </xdr:twoCellAnchor>
  <xdr:twoCellAnchor editAs="oneCell">
    <xdr:from>
      <xdr:col>10</xdr:col>
      <xdr:colOff>347979</xdr:colOff>
      <xdr:row>5</xdr:row>
      <xdr:rowOff>335208</xdr:rowOff>
    </xdr:from>
    <xdr:to>
      <xdr:col>12</xdr:col>
      <xdr:colOff>2499222</xdr:colOff>
      <xdr:row>15</xdr:row>
      <xdr:rowOff>137160</xdr:rowOff>
    </xdr:to>
    <xdr:pic>
      <xdr:nvPicPr>
        <xdr:cNvPr id="4" name="Рисунок 3">
          <a:extLst>
            <a:ext uri="{FF2B5EF4-FFF2-40B4-BE49-F238E27FC236}">
              <a16:creationId xmlns:a16="http://schemas.microsoft.com/office/drawing/2014/main" id="{06E9F064-3803-46AE-8B81-2BCEBD18FBE3}"/>
            </a:ext>
          </a:extLst>
        </xdr:cNvPr>
        <xdr:cNvPicPr>
          <a:picLocks noChangeAspect="1"/>
        </xdr:cNvPicPr>
      </xdr:nvPicPr>
      <xdr:blipFill>
        <a:blip xmlns:r="http://schemas.openxmlformats.org/officeDocument/2006/relationships" r:embed="rId6"/>
        <a:stretch>
          <a:fillRect/>
        </a:stretch>
      </xdr:blipFill>
      <xdr:spPr>
        <a:xfrm>
          <a:off x="11828779" y="1617908"/>
          <a:ext cx="3040243" cy="1922852"/>
        </a:xfrm>
        <a:prstGeom prst="rect">
          <a:avLst/>
        </a:prstGeom>
      </xdr:spPr>
    </xdr:pic>
    <xdr:clientData/>
  </xdr:twoCellAnchor>
  <xdr:twoCellAnchor editAs="oneCell">
    <xdr:from>
      <xdr:col>23</xdr:col>
      <xdr:colOff>381000</xdr:colOff>
      <xdr:row>0</xdr:row>
      <xdr:rowOff>0</xdr:rowOff>
    </xdr:from>
    <xdr:to>
      <xdr:col>36</xdr:col>
      <xdr:colOff>259080</xdr:colOff>
      <xdr:row>3</xdr:row>
      <xdr:rowOff>309896</xdr:rowOff>
    </xdr:to>
    <xdr:pic>
      <xdr:nvPicPr>
        <xdr:cNvPr id="11" name="Рисунок 10">
          <a:extLst>
            <a:ext uri="{FF2B5EF4-FFF2-40B4-BE49-F238E27FC236}">
              <a16:creationId xmlns:a16="http://schemas.microsoft.com/office/drawing/2014/main" id="{347EAB5C-06EA-4969-AA8C-FB85280108F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199600" y="0"/>
          <a:ext cx="7802880" cy="8305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438134</xdr:colOff>
      <xdr:row>18</xdr:row>
      <xdr:rowOff>127000</xdr:rowOff>
    </xdr:from>
    <xdr:to>
      <xdr:col>25</xdr:col>
      <xdr:colOff>285749</xdr:colOff>
      <xdr:row>36</xdr:row>
      <xdr:rowOff>28575</xdr:rowOff>
    </xdr:to>
    <xdr:pic>
      <xdr:nvPicPr>
        <xdr:cNvPr id="6" name="Рисунок 5">
          <a:extLst>
            <a:ext uri="{FF2B5EF4-FFF2-40B4-BE49-F238E27FC236}">
              <a16:creationId xmlns:a16="http://schemas.microsoft.com/office/drawing/2014/main" id="{C290ADD9-F2B8-4473-91A0-0AAE82E272E6}"/>
            </a:ext>
          </a:extLst>
        </xdr:cNvPr>
        <xdr:cNvPicPr>
          <a:picLocks noChangeAspect="1"/>
        </xdr:cNvPicPr>
      </xdr:nvPicPr>
      <xdr:blipFill>
        <a:blip xmlns:r="http://schemas.openxmlformats.org/officeDocument/2006/relationships" r:embed="rId8"/>
        <a:stretch>
          <a:fillRect/>
        </a:stretch>
      </xdr:blipFill>
      <xdr:spPr>
        <a:xfrm>
          <a:off x="19208734" y="4064000"/>
          <a:ext cx="4114815" cy="3101975"/>
        </a:xfrm>
        <a:prstGeom prst="rect">
          <a:avLst/>
        </a:prstGeom>
      </xdr:spPr>
    </xdr:pic>
    <xdr:clientData/>
  </xdr:twoCellAnchor>
  <xdr:twoCellAnchor editAs="oneCell">
    <xdr:from>
      <xdr:col>27</xdr:col>
      <xdr:colOff>12700</xdr:colOff>
      <xdr:row>39</xdr:row>
      <xdr:rowOff>23186</xdr:rowOff>
    </xdr:from>
    <xdr:to>
      <xdr:col>40</xdr:col>
      <xdr:colOff>139700</xdr:colOff>
      <xdr:row>61</xdr:row>
      <xdr:rowOff>31750</xdr:rowOff>
    </xdr:to>
    <xdr:pic>
      <xdr:nvPicPr>
        <xdr:cNvPr id="9" name="Рисунок 8">
          <a:extLst>
            <a:ext uri="{FF2B5EF4-FFF2-40B4-BE49-F238E27FC236}">
              <a16:creationId xmlns:a16="http://schemas.microsoft.com/office/drawing/2014/main" id="{678FA25D-01B2-4C90-A230-254E7A723325}"/>
            </a:ext>
          </a:extLst>
        </xdr:cNvPr>
        <xdr:cNvPicPr>
          <a:picLocks noChangeAspect="1"/>
        </xdr:cNvPicPr>
      </xdr:nvPicPr>
      <xdr:blipFill>
        <a:blip xmlns:r="http://schemas.openxmlformats.org/officeDocument/2006/relationships" r:embed="rId9"/>
        <a:stretch>
          <a:fillRect/>
        </a:stretch>
      </xdr:blipFill>
      <xdr:spPr>
        <a:xfrm>
          <a:off x="23745825" y="8262311"/>
          <a:ext cx="7969250" cy="4199564"/>
        </a:xfrm>
        <a:prstGeom prst="rect">
          <a:avLst/>
        </a:prstGeom>
      </xdr:spPr>
    </xdr:pic>
    <xdr:clientData/>
  </xdr:twoCellAnchor>
  <xdr:twoCellAnchor editAs="oneCell">
    <xdr:from>
      <xdr:col>16</xdr:col>
      <xdr:colOff>315336</xdr:colOff>
      <xdr:row>39</xdr:row>
      <xdr:rowOff>25399</xdr:rowOff>
    </xdr:from>
    <xdr:to>
      <xdr:col>25</xdr:col>
      <xdr:colOff>124850</xdr:colOff>
      <xdr:row>58</xdr:row>
      <xdr:rowOff>101600</xdr:rowOff>
    </xdr:to>
    <xdr:pic>
      <xdr:nvPicPr>
        <xdr:cNvPr id="10" name="Рисунок 9">
          <a:extLst>
            <a:ext uri="{FF2B5EF4-FFF2-40B4-BE49-F238E27FC236}">
              <a16:creationId xmlns:a16="http://schemas.microsoft.com/office/drawing/2014/main" id="{C7E7FC74-50E2-45AC-803D-46EC5A0D21A4}"/>
            </a:ext>
          </a:extLst>
        </xdr:cNvPr>
        <xdr:cNvPicPr>
          <a:picLocks noChangeAspect="1"/>
        </xdr:cNvPicPr>
      </xdr:nvPicPr>
      <xdr:blipFill>
        <a:blip xmlns:r="http://schemas.openxmlformats.org/officeDocument/2006/relationships" r:embed="rId10"/>
        <a:stretch>
          <a:fillRect/>
        </a:stretch>
      </xdr:blipFill>
      <xdr:spPr>
        <a:xfrm>
          <a:off x="17612736" y="7873999"/>
          <a:ext cx="5549914" cy="3454401"/>
        </a:xfrm>
        <a:prstGeom prst="rect">
          <a:avLst/>
        </a:prstGeom>
      </xdr:spPr>
    </xdr:pic>
    <xdr:clientData/>
  </xdr:twoCellAnchor>
  <xdr:twoCellAnchor editAs="oneCell">
    <xdr:from>
      <xdr:col>17</xdr:col>
      <xdr:colOff>299669</xdr:colOff>
      <xdr:row>58</xdr:row>
      <xdr:rowOff>170180</xdr:rowOff>
    </xdr:from>
    <xdr:to>
      <xdr:col>31</xdr:col>
      <xdr:colOff>511175</xdr:colOff>
      <xdr:row>101</xdr:row>
      <xdr:rowOff>98425</xdr:rowOff>
    </xdr:to>
    <xdr:pic>
      <xdr:nvPicPr>
        <xdr:cNvPr id="12" name="Рисунок 11">
          <a:extLst>
            <a:ext uri="{FF2B5EF4-FFF2-40B4-BE49-F238E27FC236}">
              <a16:creationId xmlns:a16="http://schemas.microsoft.com/office/drawing/2014/main" id="{8BB2A1D3-3013-435F-81B3-19BA2A5C6C89}"/>
            </a:ext>
          </a:extLst>
        </xdr:cNvPr>
        <xdr:cNvPicPr>
          <a:picLocks noChangeAspect="1"/>
        </xdr:cNvPicPr>
      </xdr:nvPicPr>
      <xdr:blipFill>
        <a:blip xmlns:r="http://schemas.openxmlformats.org/officeDocument/2006/relationships" r:embed="rId11"/>
        <a:stretch>
          <a:fillRect/>
        </a:stretch>
      </xdr:blipFill>
      <xdr:spPr>
        <a:xfrm>
          <a:off x="18511469" y="11676380"/>
          <a:ext cx="8745906" cy="7792085"/>
        </a:xfrm>
        <a:prstGeom prst="rect">
          <a:avLst/>
        </a:prstGeom>
      </xdr:spPr>
    </xdr:pic>
    <xdr:clientData/>
  </xdr:twoCellAnchor>
  <xdr:twoCellAnchor editAs="oneCell">
    <xdr:from>
      <xdr:col>7</xdr:col>
      <xdr:colOff>754799</xdr:colOff>
      <xdr:row>34</xdr:row>
      <xdr:rowOff>95250</xdr:rowOff>
    </xdr:from>
    <xdr:to>
      <xdr:col>17</xdr:col>
      <xdr:colOff>295460</xdr:colOff>
      <xdr:row>108</xdr:row>
      <xdr:rowOff>165101</xdr:rowOff>
    </xdr:to>
    <xdr:pic>
      <xdr:nvPicPr>
        <xdr:cNvPr id="14" name="Рисунок 13">
          <a:extLst>
            <a:ext uri="{FF2B5EF4-FFF2-40B4-BE49-F238E27FC236}">
              <a16:creationId xmlns:a16="http://schemas.microsoft.com/office/drawing/2014/main" id="{F1E2120A-8B03-FF85-DB47-A00DF5B1D9E1}"/>
            </a:ext>
          </a:extLst>
        </xdr:cNvPr>
        <xdr:cNvPicPr>
          <a:picLocks noChangeAspect="1"/>
        </xdr:cNvPicPr>
      </xdr:nvPicPr>
      <xdr:blipFill>
        <a:blip xmlns:r="http://schemas.openxmlformats.org/officeDocument/2006/relationships" r:embed="rId12"/>
        <a:stretch>
          <a:fillRect/>
        </a:stretch>
      </xdr:blipFill>
      <xdr:spPr>
        <a:xfrm>
          <a:off x="10066439" y="7212330"/>
          <a:ext cx="8440821" cy="13602970"/>
        </a:xfrm>
        <a:prstGeom prst="rect">
          <a:avLst/>
        </a:prstGeom>
      </xdr:spPr>
    </xdr:pic>
    <xdr:clientData/>
  </xdr:twoCellAnchor>
  <xdr:twoCellAnchor editAs="oneCell">
    <xdr:from>
      <xdr:col>1</xdr:col>
      <xdr:colOff>1508125</xdr:colOff>
      <xdr:row>35</xdr:row>
      <xdr:rowOff>95250</xdr:rowOff>
    </xdr:from>
    <xdr:to>
      <xdr:col>8</xdr:col>
      <xdr:colOff>51434</xdr:colOff>
      <xdr:row>546</xdr:row>
      <xdr:rowOff>53975</xdr:rowOff>
    </xdr:to>
    <xdr:pic>
      <xdr:nvPicPr>
        <xdr:cNvPr id="17" name="Рисунок 16">
          <a:extLst>
            <a:ext uri="{FF2B5EF4-FFF2-40B4-BE49-F238E27FC236}">
              <a16:creationId xmlns:a16="http://schemas.microsoft.com/office/drawing/2014/main" id="{AF7E8DCC-DA9F-5051-A13C-256671E395F1}"/>
            </a:ext>
          </a:extLst>
        </xdr:cNvPr>
        <xdr:cNvPicPr>
          <a:picLocks noChangeAspect="1"/>
        </xdr:cNvPicPr>
      </xdr:nvPicPr>
      <xdr:blipFill>
        <a:blip xmlns:r="http://schemas.openxmlformats.org/officeDocument/2006/relationships" r:embed="rId13"/>
        <a:stretch>
          <a:fillRect/>
        </a:stretch>
      </xdr:blipFill>
      <xdr:spPr>
        <a:xfrm>
          <a:off x="1841500" y="7572375"/>
          <a:ext cx="8179434" cy="97304225"/>
        </a:xfrm>
        <a:prstGeom prst="rect">
          <a:avLst/>
        </a:prstGeom>
      </xdr:spPr>
    </xdr:pic>
    <xdr:clientData/>
  </xdr:twoCellAnchor>
  <xdr:twoCellAnchor editAs="oneCell">
    <xdr:from>
      <xdr:col>8</xdr:col>
      <xdr:colOff>193984</xdr:colOff>
      <xdr:row>111</xdr:row>
      <xdr:rowOff>63500</xdr:rowOff>
    </xdr:from>
    <xdr:to>
      <xdr:col>15</xdr:col>
      <xdr:colOff>643921</xdr:colOff>
      <xdr:row>154</xdr:row>
      <xdr:rowOff>4040</xdr:rowOff>
    </xdr:to>
    <xdr:pic>
      <xdr:nvPicPr>
        <xdr:cNvPr id="18" name="Рисунок 17">
          <a:extLst>
            <a:ext uri="{FF2B5EF4-FFF2-40B4-BE49-F238E27FC236}">
              <a16:creationId xmlns:a16="http://schemas.microsoft.com/office/drawing/2014/main" id="{88F97808-07FE-649C-8740-2E89264B5788}"/>
            </a:ext>
          </a:extLst>
        </xdr:cNvPr>
        <xdr:cNvPicPr>
          <a:picLocks noChangeAspect="1"/>
        </xdr:cNvPicPr>
      </xdr:nvPicPr>
      <xdr:blipFill>
        <a:blip xmlns:r="http://schemas.openxmlformats.org/officeDocument/2006/relationships" r:embed="rId14"/>
        <a:stretch>
          <a:fillRect/>
        </a:stretch>
      </xdr:blipFill>
      <xdr:spPr>
        <a:xfrm>
          <a:off x="10163484" y="22018625"/>
          <a:ext cx="6498312" cy="8121649"/>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Татьяна" id="{1E9CECF3-830F-4805-E288-AB8559039FC6}"/>
  <person displayName="Автор" id="{10F9DCC5-A38C-81A5-4889-60F3C36BA471}"/>
</personList>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Arial"/>
        <a:cs typeface="Arial"/>
      </a:majorFont>
      <a:minorFont>
        <a:latin typeface="Calibri"/>
        <a:ea typeface="Arial"/>
        <a:cs typeface="Arial"/>
      </a:minorFont>
    </a:fontScheme>
    <a:fmtScheme name="Стандартная">
      <a:fillStyleLst>
        <a:solidFill>
          <a:schemeClr val="phClr"/>
        </a:solidFill>
        <a:gradFill>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gradFill>
        <a:gradFill>
          <a:gsLst>
            <a:gs pos="0">
              <a:schemeClr val="phClr">
                <a:tint val="80000"/>
                <a:satMod val="300000"/>
              </a:schemeClr>
            </a:gs>
            <a:gs pos="100000">
              <a:schemeClr val="phClr">
                <a:shade val="30000"/>
                <a:satMod val="200000"/>
              </a:schemeClr>
            </a:gs>
          </a:gsLst>
          <a:path path="circle"/>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37" personId="{1E9CECF3-830F-4805-E288-AB8559039FC6}" id="{001E000B-00DB-439C-A31E-002B0021009E}" done="0">
    <text xml:space="preserve">кВт/тонну
</text>
  </threadedComment>
  <threadedComment ref="B38" personId="{1E9CECF3-830F-4805-E288-AB8559039FC6}" id="{00620084-00B7-4E7D-BB4B-008000CF007E}" done="0">
    <text xml:space="preserve">куб м/тонну
</text>
  </threadedComment>
  <threadedComment ref="B39" personId="{1E9CECF3-830F-4805-E288-AB8559039FC6}" id="{00A2004D-0091-4291-8568-00350057001F}" done="0">
    <text xml:space="preserve">тонн/тонну
</text>
  </threadedComment>
</ThreadedComments>
</file>

<file path=xl/threadedComments/threadedComment2.xml><?xml version="1.0" encoding="utf-8"?>
<ThreadedComments xmlns="http://schemas.microsoft.com/office/spreadsheetml/2018/threadedcomments" xmlns:x="http://schemas.openxmlformats.org/spreadsheetml/2006/main">
  <threadedComment ref="A1" personId="{10F9DCC5-A38C-81A5-4889-60F3C36BA471}" id="{00780033-00BE-488E-A84B-001A00D700EE}" done="0">
    <text xml:space="preserve">нет льгот по взносам
</text>
  </threadedComment>
</ThreadedComments>
</file>

<file path=xl/threadedComments/threadedComment3.xml><?xml version="1.0" encoding="utf-8"?>
<ThreadedComments xmlns="http://schemas.microsoft.com/office/spreadsheetml/2018/threadedcomments" xmlns:x="http://schemas.openxmlformats.org/spreadsheetml/2006/main">
  <threadedComment ref="N75" personId="{10F9DCC5-A38C-81A5-4889-60F3C36BA471}" id="{006E0050-0026-4680-9ABD-00380023000B}" done="0">
    <text xml:space="preserve">сумма взносов ТОР за 10 лет
</text>
  </threadedComment>
  <threadedComment ref="N77" personId="{10F9DCC5-A38C-81A5-4889-60F3C36BA471}" id="{00F70035-0092-4761-BB1B-00CC0005007B}" done="0">
    <text xml:space="preserve">разница во взносах
</text>
  </threadedComment>
  <threadedComment ref="N76" personId="{10F9DCC5-A38C-81A5-4889-60F3C36BA471}" id="{006F00A1-0007-49FD-8BFE-00D900D100E7}" done="0">
    <text xml:space="preserve">сумма взносов без ТОР
</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8" Type="http://schemas.openxmlformats.org/officeDocument/2006/relationships/hyperlink" Target="https://vyborok.com/rejting-luchshego-klinkernogo-kirpicha/" TargetMode="External"/><Relationship Id="rId13" Type="http://schemas.openxmlformats.org/officeDocument/2006/relationships/hyperlink" Target="https://irkutsk.promindex.ru/catalog/glina-4547?ysclid=lfwaxy247i947819562" TargetMode="External"/><Relationship Id="rId18" Type="http://schemas.openxmlformats.org/officeDocument/2006/relationships/hyperlink" Target="https://ru.made-in-china.com/" TargetMode="External"/><Relationship Id="rId26" Type="http://schemas.openxmlformats.org/officeDocument/2006/relationships/printerSettings" Target="../printerSettings/printerSettings5.bin"/><Relationship Id="rId3" Type="http://schemas.openxmlformats.org/officeDocument/2006/relationships/hyperlink" Target="http://www.liderdom.com/proizvodstvo-klinkera/?ysclid=lfw9asqfry252362138" TargetMode="External"/><Relationship Id="rId21" Type="http://schemas.openxmlformats.org/officeDocument/2006/relationships/hyperlink" Target="https://irkutsk.stroitelstvo-dom.ru/zdanij/tsekhov?ysclid=lfzar09n4530722916" TargetMode="External"/><Relationship Id="rId7" Type="http://schemas.openxmlformats.org/officeDocument/2006/relationships/hyperlink" Target="https://yanashla.com/luchshij-klinkernyj-kirpich/?ysclid=lfwa2mtimt494182798" TargetMode="External"/><Relationship Id="rId12" Type="http://schemas.openxmlformats.org/officeDocument/2006/relationships/hyperlink" Target="https://ru.made-in-china.com/category23_Manufacturing-Processing-Machinery/Brick-Making-Machine_1.html" TargetMode="External"/><Relationship Id="rId17" Type="http://schemas.openxmlformats.org/officeDocument/2006/relationships/hyperlink" Target="https://irkutsk.drom.ru/spec/loader/all/?maxWeight=3500&amp;fueltype=2" TargetMode="External"/><Relationship Id="rId25" Type="http://schemas.openxmlformats.org/officeDocument/2006/relationships/hyperlink" Target="https://irkutsk.3d-perimetr.ru/production/otraslevye-resheniya/ograzhdeniya-promyshlennykh-obektov/" TargetMode="External"/><Relationship Id="rId2" Type="http://schemas.openxmlformats.org/officeDocument/2006/relationships/hyperlink" Target="https://stroitelstvo-angar.ru/?utm_source=yandex&amp;utm_medium=cpc&amp;utm_campaign=General_vch_search_cpa&amp;utm_content=ST:search|S:none|AP:yes|PT:other|P:3|DT:desktop|RI:213|RN:%D0%9C%D0%BE%D1%81%D0%BA%D0%B2%D0%B0|CI:85206940|GI:5159069944|PI:43907674706|AI:13755664135|KW:|MT:rkw|MK:%D0%BF%D1%80%D0%BE%D0%B8%D0%B7%D0%B2%D0%BE%D0%B4%D1%81%D1%82%D0%B2%D0%BE%20%D1%86%D0%B5%D1%85&amp;utm_term=&amp;etext=2202.3Gke8t2aHiM1fZ6odIGv-Jm5IL3WuN_ve8LmWChW_zvpj4n69FRcEOHKiH60SR9jpvAXffWext3Ome3oj34Vp8QjSXn_JFSVU6s0C4k-FmswWdajNtFlFX_HWR_GGHQRkBoW-tYeubMGIYRfgpLUUGRiZnplaHljaHVydWJveWQ.f7dbe969c716fa9c4177daf68f34ea8efe15733b&amp;yclid=1593033052773226545" TargetMode="External"/><Relationship Id="rId16" Type="http://schemas.openxmlformats.org/officeDocument/2006/relationships/hyperlink" Target="https://www.avito.ru/irkutsk?q=%D1%83%D0%B3%D0%BE%D0%BB%D1%8C&amp;ysclid=lfwb1r64qz54707596" TargetMode="External"/><Relationship Id="rId20" Type="http://schemas.openxmlformats.org/officeDocument/2006/relationships/hyperlink" Target="https://fuelprice.ru/t-irkutsk?ysclid=lfzaathqqx219642892" TargetMode="External"/><Relationship Id="rId1" Type="http://schemas.openxmlformats.org/officeDocument/2006/relationships/hyperlink" Target="https://vproizvodstvo.ru/idei/biznes_po_izgotovleniyu_kirpicha/?ysclid=lfw8qh2ptg230961398" TargetMode="External"/><Relationship Id="rId6" Type="http://schemas.openxmlformats.org/officeDocument/2006/relationships/hyperlink" Target="https://lsrstena.ru/upload/files/polygraphy/buklet-licofasadka-04-08-2021-prew.pdf?ysclid=lfw9zl4og0628437425" TargetMode="External"/><Relationship Id="rId11" Type="http://schemas.openxmlformats.org/officeDocument/2006/relationships/hyperlink" Target="https://kirpich-lavka.ru/files/upload/gost_32311-2012.pdf?ysclid=lfwadk93id864577736" TargetMode="External"/><Relationship Id="rId24" Type="http://schemas.openxmlformats.org/officeDocument/2006/relationships/hyperlink" Target="https://irkutsk.smg-stroy.ru/tseny" TargetMode="External"/><Relationship Id="rId5" Type="http://schemas.openxmlformats.org/officeDocument/2006/relationships/hyperlink" Target="https://sm.lsr.ru/msk/catalog/kirpich-gazobeton/kirpich/fasadnyy-klinker/" TargetMode="External"/><Relationship Id="rId15" Type="http://schemas.openxmlformats.org/officeDocument/2006/relationships/hyperlink" Target="https://&#1080;&#1088;&#1082;&#1091;&#1090;&#1089;&#1082;&#1091;&#1075;&#1086;&#1083;&#1100;.&#1088;&#1092;/?etext=2202.9awv4Plduk0WNWCLMktnVY8qE6ldi0xHrJnB28F6HlIvIi5TFHjuhXqJTa3XkS0DaGNkc2lhcWJqanZ1Y29xZQ.338d1cffead53b68204591a79656670c57ca8d01&amp;yclid=1593797818338842696" TargetMode="External"/><Relationship Id="rId23" Type="http://schemas.openxmlformats.org/officeDocument/2006/relationships/hyperlink" Target="https://irkutsk.&#1073;&#1072;&#1088;&#1089;&#1087;&#1088;&#1086;&#1084;.&#1088;&#1092;/bystrovozvodimye-zdaniya/angary-iz-metallokonstruktsij/promyshlennye-angary" TargetMode="External"/><Relationship Id="rId10" Type="http://schemas.openxmlformats.org/officeDocument/2006/relationships/hyperlink" Target="https://building-ooo.ru/uncategorized/klinkernyj-kirpich-opisanie-obzor-foto-video-xarakteristiki-istoriya/.html?ysclid=lfwa2tl9vw965440215" TargetMode="External"/><Relationship Id="rId19" Type="http://schemas.openxmlformats.org/officeDocument/2006/relationships/hyperlink" Target="https://russian.alibaba.com/p-detail/clay-62024330620.html?spm=a2700.8699010.29.22.3d513a003vQJa0" TargetMode="External"/><Relationship Id="rId4" Type="http://schemas.openxmlformats.org/officeDocument/2006/relationships/hyperlink" Target="https://lsrstena.ru/lsr-stenovye" TargetMode="External"/><Relationship Id="rId9" Type="http://schemas.openxmlformats.org/officeDocument/2006/relationships/hyperlink" Target="https://klinkersgroup.ru/blog/klinkernyy-kirpich-osobennosti-i-unikalnye-kharakteristiki/?ysclid=lfwa2s3978568189737" TargetMode="External"/><Relationship Id="rId14" Type="http://schemas.openxmlformats.org/officeDocument/2006/relationships/hyperlink" Target="https://www.avito.ru/irkutsk/remont_i_stroitelstvo/stroymaterialy/cypuchie_materialy-ASgBAgICAkRYoAKmvg3q7JkC?f=ASgBAgICA0RYoAKmvg3q7JkCysUOpI2aAg&amp;q=%D0%B3%D0%BB%D0%B8%D0%BD%D0%B0&amp;ysclid=lfway11eqx640618197" TargetMode="External"/><Relationship Id="rId22" Type="http://schemas.openxmlformats.org/officeDocument/2006/relationships/hyperlink" Target="https://rdk-standart.ru/" TargetMode="External"/><Relationship Id="rId27"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 Id="rId4" Type="http://schemas.microsoft.com/office/2017/10/relationships/threadedComment" Target="../threadedComments/threadedComment1.xml"/></Relationships>
</file>

<file path=xl/worksheets/_rels/sheet7.xml.rels><?xml version="1.0" encoding="UTF-8" standalone="yes"?>
<Relationships xmlns="http://schemas.openxmlformats.org/package/2006/relationships"><Relationship Id="rId3" Type="http://schemas.microsoft.com/office/2017/10/relationships/threadedComment" Target="../threadedComments/threadedComment2.xml"/><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8.xml.rels><?xml version="1.0" encoding="UTF-8" standalone="yes"?>
<Relationships xmlns="http://schemas.openxmlformats.org/package/2006/relationships"><Relationship Id="rId3" Type="http://schemas.microsoft.com/office/2017/10/relationships/threadedComment" Target="../threadedComments/threadedComment3.xml"/><Relationship Id="rId2" Type="http://schemas.openxmlformats.org/officeDocument/2006/relationships/comments" Target="../comments2.xml"/><Relationship Id="rId1"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C18"/>
  <sheetViews>
    <sheetView workbookViewId="0">
      <selection activeCell="E27" sqref="D27:E27"/>
    </sheetView>
  </sheetViews>
  <sheetFormatPr defaultRowHeight="14.4" x14ac:dyDescent="0.3"/>
  <cols>
    <col min="2" max="2" width="27.6640625" customWidth="1"/>
    <col min="3" max="3" width="41.5546875" customWidth="1"/>
  </cols>
  <sheetData>
    <row r="2" spans="2:3" x14ac:dyDescent="0.3">
      <c r="B2" t="s">
        <v>323</v>
      </c>
      <c r="C2" s="285"/>
    </row>
    <row r="3" spans="2:3" x14ac:dyDescent="0.3">
      <c r="B3" t="s">
        <v>324</v>
      </c>
      <c r="C3" s="282"/>
    </row>
    <row r="4" spans="2:3" x14ac:dyDescent="0.3">
      <c r="B4" t="s">
        <v>325</v>
      </c>
      <c r="C4" s="286"/>
    </row>
    <row r="5" spans="2:3" x14ac:dyDescent="0.3">
      <c r="B5" t="s">
        <v>326</v>
      </c>
      <c r="C5" s="283"/>
    </row>
    <row r="6" spans="2:3" x14ac:dyDescent="0.3">
      <c r="B6" t="s">
        <v>337</v>
      </c>
      <c r="C6" s="287"/>
    </row>
    <row r="7" spans="2:3" x14ac:dyDescent="0.3">
      <c r="B7" s="288" t="s">
        <v>359</v>
      </c>
      <c r="C7" s="298"/>
    </row>
    <row r="8" spans="2:3" x14ac:dyDescent="0.3">
      <c r="C8" s="284"/>
    </row>
    <row r="9" spans="2:3" x14ac:dyDescent="0.3">
      <c r="B9" s="336" t="s">
        <v>364</v>
      </c>
      <c r="C9" s="335"/>
    </row>
    <row r="12" spans="2:3" x14ac:dyDescent="0.3">
      <c r="B12" t="s">
        <v>327</v>
      </c>
    </row>
    <row r="13" spans="2:3" x14ac:dyDescent="0.3">
      <c r="B13" t="s">
        <v>328</v>
      </c>
      <c r="C13" t="s">
        <v>49</v>
      </c>
    </row>
    <row r="14" spans="2:3" x14ac:dyDescent="0.3">
      <c r="B14" t="s">
        <v>329</v>
      </c>
      <c r="C14" t="s">
        <v>330</v>
      </c>
    </row>
    <row r="15" spans="2:3" x14ac:dyDescent="0.3">
      <c r="B15" t="s">
        <v>331</v>
      </c>
      <c r="C15" t="s">
        <v>332</v>
      </c>
    </row>
    <row r="16" spans="2:3" x14ac:dyDescent="0.3">
      <c r="B16" t="s">
        <v>333</v>
      </c>
      <c r="C16" t="s">
        <v>334</v>
      </c>
    </row>
    <row r="17" spans="2:3" x14ac:dyDescent="0.3">
      <c r="B17" t="s">
        <v>335</v>
      </c>
      <c r="C17" t="s">
        <v>336</v>
      </c>
    </row>
    <row r="18" spans="2:3" x14ac:dyDescent="0.3">
      <c r="B18" s="614" t="s">
        <v>430</v>
      </c>
      <c r="C18" s="614" t="s">
        <v>431</v>
      </c>
    </row>
  </sheetData>
  <pageMargins left="0.7" right="0.7" top="0.75" bottom="0.75" header="0.3" footer="0.3"/>
  <pageSetup paperSize="9" orientation="portrait"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0"/>
    <pageSetUpPr fitToPage="1"/>
  </sheetPr>
  <dimension ref="A1:AS63"/>
  <sheetViews>
    <sheetView zoomScale="60" workbookViewId="0">
      <pane xSplit="1" ySplit="2" topLeftCell="F12" activePane="bottomRight" state="frozen"/>
      <selection activeCell="A25" sqref="A25"/>
      <selection pane="topRight"/>
      <selection pane="bottomLeft"/>
      <selection pane="bottomRight" activeCell="B26" sqref="B26:L26"/>
    </sheetView>
  </sheetViews>
  <sheetFormatPr defaultColWidth="9.109375" defaultRowHeight="13.8" x14ac:dyDescent="0.3"/>
  <cols>
    <col min="1" max="1" width="21" style="184" customWidth="1"/>
    <col min="2" max="2" width="12" style="183" bestFit="1" customWidth="1"/>
    <col min="3" max="3" width="17.5546875" style="183" customWidth="1"/>
    <col min="4" max="4" width="20.88671875" style="183" customWidth="1"/>
    <col min="5" max="5" width="18.109375" style="183" customWidth="1"/>
    <col min="6" max="6" width="15.6640625" style="183" customWidth="1"/>
    <col min="7" max="7" width="15.44140625" style="183" customWidth="1"/>
    <col min="8" max="9" width="17.109375" style="183" customWidth="1"/>
    <col min="10" max="10" width="17.33203125" style="183" customWidth="1"/>
    <col min="11" max="11" width="16.33203125" style="183" customWidth="1"/>
    <col min="12" max="12" width="19.6640625" style="183" customWidth="1"/>
    <col min="13" max="13" width="16.33203125" style="183" customWidth="1"/>
    <col min="14" max="14" width="17.6640625" style="183" customWidth="1"/>
    <col min="15" max="15" width="15.6640625" style="183" customWidth="1"/>
    <col min="16" max="16" width="14.5546875" style="183" customWidth="1"/>
    <col min="17" max="17" width="16" style="183" customWidth="1"/>
    <col min="18" max="18" width="14" style="183" customWidth="1"/>
    <col min="19" max="19" width="21.44140625" style="183" customWidth="1"/>
    <col min="20" max="20" width="13.88671875" style="183" customWidth="1"/>
    <col min="21" max="21" width="13.6640625" style="183" customWidth="1"/>
    <col min="22" max="29" width="15" style="183" customWidth="1"/>
    <col min="30" max="30" width="14" style="183" customWidth="1"/>
    <col min="31" max="31" width="16.44140625" style="183" customWidth="1"/>
    <col min="32" max="32" width="15.44140625" style="183" customWidth="1"/>
    <col min="33" max="33" width="14.109375" style="183" customWidth="1"/>
    <col min="34" max="34" width="16" style="183" customWidth="1"/>
    <col min="35" max="35" width="16.6640625" style="183" customWidth="1"/>
    <col min="36" max="36" width="16.44140625" style="183" customWidth="1"/>
    <col min="37" max="37" width="15" style="183" customWidth="1"/>
    <col min="38" max="39" width="14" style="183" customWidth="1"/>
    <col min="40" max="40" width="16.109375" style="183" customWidth="1"/>
    <col min="41" max="41" width="15.6640625" style="183" customWidth="1"/>
    <col min="42" max="42" width="14" style="183" customWidth="1"/>
    <col min="43" max="43" width="16.6640625" style="183" customWidth="1"/>
    <col min="44" max="44" width="15.33203125" style="183" customWidth="1"/>
    <col min="45" max="45" width="14.88671875" style="183" customWidth="1"/>
    <col min="46" max="16384" width="9.109375" style="183"/>
  </cols>
  <sheetData>
    <row r="1" spans="1:45" ht="25.2" x14ac:dyDescent="0.3">
      <c r="A1" s="674"/>
      <c r="B1" s="674"/>
      <c r="C1" s="674"/>
      <c r="D1" s="674"/>
      <c r="E1" s="674"/>
      <c r="F1" s="674"/>
      <c r="G1" s="674"/>
      <c r="H1" s="674"/>
      <c r="I1" s="674"/>
      <c r="J1" s="674"/>
      <c r="K1" s="674"/>
      <c r="L1" s="674"/>
      <c r="M1" s="674"/>
      <c r="N1" s="674"/>
      <c r="O1" s="674"/>
      <c r="P1" s="674"/>
      <c r="Q1" s="674"/>
      <c r="R1" s="674"/>
      <c r="S1" s="674"/>
      <c r="T1" s="674"/>
      <c r="U1" s="674"/>
      <c r="V1" s="674"/>
      <c r="W1" s="674"/>
      <c r="X1" s="674"/>
      <c r="Y1" s="674"/>
      <c r="Z1" s="674"/>
      <c r="AA1" s="674"/>
      <c r="AB1" s="674"/>
      <c r="AC1" s="674"/>
    </row>
    <row r="2" spans="1:45" s="464" customFormat="1" x14ac:dyDescent="0.3">
      <c r="A2" s="470"/>
      <c r="B2" s="471" t="str">
        <f>'Расходы на ЗП ТОР'!D1</f>
        <v>I кв. 1 г.</v>
      </c>
      <c r="C2" s="471" t="str">
        <f>'Расходы на ЗП ТОР'!E1</f>
        <v>II кв. 1 г.</v>
      </c>
      <c r="D2" s="471" t="str">
        <f>'Расходы на ЗП ТОР'!F1</f>
        <v>III кв. 1 г.</v>
      </c>
      <c r="E2" s="471" t="str">
        <f>'Расходы на ЗП ТОР'!G1</f>
        <v>IV кв. 1 г.</v>
      </c>
      <c r="F2" s="471" t="str">
        <f>'Расходы на ЗП ТОР'!H1</f>
        <v>I кв. 2 г.</v>
      </c>
      <c r="G2" s="471" t="str">
        <f>'Расходы на ЗП ТОР'!I1</f>
        <v>II кв. 2 г.</v>
      </c>
      <c r="H2" s="471" t="str">
        <f>'Расходы на ЗП ТОР'!J1</f>
        <v>III кв. 2 г.</v>
      </c>
      <c r="I2" s="471" t="str">
        <f>'Расходы на ЗП ТОР'!K1</f>
        <v>IV кв. 2 г.</v>
      </c>
      <c r="J2" s="471" t="str">
        <f>'Расходы на ЗП ТОР'!L1</f>
        <v>I кв. 3 г.</v>
      </c>
      <c r="K2" s="471" t="str">
        <f>'Расходы на ЗП ТОР'!M1</f>
        <v>II кв. 3 г.</v>
      </c>
      <c r="L2" s="471" t="str">
        <f>'Расходы на ЗП ТОР'!N1</f>
        <v>III кв. 3 г.</v>
      </c>
      <c r="M2" s="471" t="str">
        <f>'Расходы на ЗП ТОР'!O1</f>
        <v>IV кв. 3 г.</v>
      </c>
      <c r="N2" s="471" t="str">
        <f>'Расходы на ЗП ТОР'!P1</f>
        <v>I кв. 4 г.</v>
      </c>
      <c r="O2" s="471" t="str">
        <f>'Расходы на ЗП ТОР'!Q1</f>
        <v>II кв. 4 г.</v>
      </c>
      <c r="P2" s="471" t="str">
        <f>'Расходы на ЗП ТОР'!R1</f>
        <v>III кв. 4 г.</v>
      </c>
      <c r="Q2" s="471" t="str">
        <f>'Расходы на ЗП ТОР'!S1</f>
        <v>IV кв. 4 г.</v>
      </c>
      <c r="R2" s="471" t="str">
        <f>'Расходы на ЗП ТОР'!T1</f>
        <v>I кв. 5 г.</v>
      </c>
      <c r="S2" s="471" t="str">
        <f>'Расходы на ЗП ТОР'!U1</f>
        <v>II кв. 5 г.</v>
      </c>
      <c r="T2" s="471" t="str">
        <f>'Расходы на ЗП ТОР'!V1</f>
        <v>III кв. 5 г.</v>
      </c>
      <c r="U2" s="471" t="str">
        <f>'Расходы на ЗП ТОР'!W1</f>
        <v>IV кв. 5 г.</v>
      </c>
      <c r="V2" s="471" t="str">
        <f>'Расходы на ЗП ТОР'!X1</f>
        <v>I кв. 6 г.</v>
      </c>
      <c r="W2" s="471" t="str">
        <f>'Расходы на ЗП ТОР'!Y1</f>
        <v>II кв. 6 г.</v>
      </c>
      <c r="X2" s="471" t="str">
        <f>'Расходы на ЗП ТОР'!Z1</f>
        <v>III кв. 6 г.</v>
      </c>
      <c r="Y2" s="471" t="str">
        <f>'Расходы на ЗП ТОР'!AA1</f>
        <v>IV кв. 6 г.</v>
      </c>
      <c r="Z2" s="471" t="str">
        <f>'Расходы на ЗП ТОР'!AB1</f>
        <v>I кв. 7 г.</v>
      </c>
      <c r="AA2" s="471" t="str">
        <f>'Расходы на ЗП ТОР'!AC1</f>
        <v>II кв. 7 г.</v>
      </c>
      <c r="AB2" s="471" t="str">
        <f>'Расходы на ЗП ТОР'!AD1</f>
        <v>III кв. 7 г.</v>
      </c>
      <c r="AC2" s="471" t="str">
        <f>'Расходы на ЗП ТОР'!AE1</f>
        <v>IV кв. 7 г.</v>
      </c>
      <c r="AD2" s="471" t="str">
        <f>'Расходы на ЗП ТОР'!AF1</f>
        <v>I кв. 8 г.</v>
      </c>
      <c r="AE2" s="471" t="str">
        <f>'Расходы на ЗП ТОР'!AG1</f>
        <v>II кв. 8 г.</v>
      </c>
      <c r="AF2" s="471" t="str">
        <f>'Расходы на ЗП ТОР'!AH1</f>
        <v>III кв. 8 г.</v>
      </c>
      <c r="AG2" s="471" t="str">
        <f>'Расходы на ЗП ТОР'!AI1</f>
        <v>IV кв. 8 г.</v>
      </c>
      <c r="AH2" s="471" t="str">
        <f>'Расходы на ЗП ТОР'!AJ1</f>
        <v>I кв. 9 г.</v>
      </c>
      <c r="AI2" s="471" t="str">
        <f>'Расходы на ЗП ТОР'!AK1</f>
        <v>II кв. 9 г.</v>
      </c>
      <c r="AJ2" s="471" t="str">
        <f>'Расходы на ЗП ТОР'!AL1</f>
        <v>III кв. 9 г.</v>
      </c>
      <c r="AK2" s="471" t="str">
        <f>'Расходы на ЗП ТОР'!AM1</f>
        <v>IV кв. 9 г.</v>
      </c>
      <c r="AL2" s="471" t="str">
        <f>'Расходы на ЗП ТОР'!AN1</f>
        <v>I кв. 10 г.</v>
      </c>
      <c r="AM2" s="471" t="str">
        <f>'Расходы на ЗП ТОР'!AO1</f>
        <v>II кв. 10 г.</v>
      </c>
      <c r="AN2" s="471" t="str">
        <f>'Расходы на ЗП ТОР'!AP1</f>
        <v>III кв. 10 г.</v>
      </c>
      <c r="AO2" s="471" t="str">
        <f>'Расходы на ЗП ТОР'!AQ1</f>
        <v>IV кв. 10 г.</v>
      </c>
      <c r="AP2" s="471" t="str">
        <f>'выручка по кв и годам'!AR1</f>
        <v>I кв. 11 г.</v>
      </c>
      <c r="AQ2" s="471" t="str">
        <f>'выручка по кв и годам'!AS1</f>
        <v>II кв. 11 г.</v>
      </c>
      <c r="AR2" s="471" t="str">
        <f>'выручка по кв и годам'!AT1</f>
        <v>III кв. 11 г.</v>
      </c>
      <c r="AS2" s="471" t="str">
        <f>'выручка по кв и годам'!AU1</f>
        <v>IV кв. 11 г.</v>
      </c>
    </row>
    <row r="3" spans="1:45" s="474" customFormat="1" x14ac:dyDescent="0.3">
      <c r="A3" s="472" t="s">
        <v>253</v>
      </c>
      <c r="B3" s="473">
        <f>'выручка по кв и годам'!D5</f>
        <v>0</v>
      </c>
      <c r="C3" s="473">
        <f>'выручка по кв и годам'!E5</f>
        <v>0</v>
      </c>
      <c r="D3" s="473">
        <f>'выручка по кв и годам'!F5</f>
        <v>0</v>
      </c>
      <c r="E3" s="473">
        <f>'выручка по кв и годам'!G5</f>
        <v>0</v>
      </c>
      <c r="F3" s="473">
        <f>'выручка по кв и годам'!H5</f>
        <v>16205.28</v>
      </c>
      <c r="G3" s="473">
        <f>'выручка по кв и годам'!I5</f>
        <v>16205.28</v>
      </c>
      <c r="H3" s="473">
        <f>'выручка по кв и годам'!J5</f>
        <v>16205.28</v>
      </c>
      <c r="I3" s="473">
        <f>'выручка по кв и годам'!K5</f>
        <v>16205.28</v>
      </c>
      <c r="J3" s="473">
        <f>'выручка по кв и годам'!L5</f>
        <v>21033.792000000005</v>
      </c>
      <c r="K3" s="473">
        <f>'выручка по кв и годам'!M5</f>
        <v>21033.792000000005</v>
      </c>
      <c r="L3" s="473">
        <f>'выручка по кв и годам'!N5</f>
        <v>21033.792000000005</v>
      </c>
      <c r="M3" s="473">
        <f>'выручка по кв и годам'!O5</f>
        <v>21033.792000000005</v>
      </c>
      <c r="N3" s="473">
        <f>'выручка по кв и годам'!P5</f>
        <v>26754.983424000005</v>
      </c>
      <c r="O3" s="473">
        <f>'выручка по кв и годам'!Q5</f>
        <v>26754.983424000005</v>
      </c>
      <c r="P3" s="473">
        <f>'выручка по кв и годам'!R5</f>
        <v>26754.983424000005</v>
      </c>
      <c r="Q3" s="473">
        <f>'выручка по кв и годам'!S5</f>
        <v>26754.983424000005</v>
      </c>
      <c r="R3" s="473">
        <f>'выручка по кв и годам'!T5</f>
        <v>30132.800081280006</v>
      </c>
      <c r="S3" s="473">
        <f>'выручка по кв и годам'!U5</f>
        <v>30132.800081280006</v>
      </c>
      <c r="T3" s="473">
        <f>'выручка по кв и годам'!V5</f>
        <v>30132.800081280006</v>
      </c>
      <c r="U3" s="473">
        <f>'выручка по кв и годам'!W5</f>
        <v>30132.800081280006</v>
      </c>
      <c r="V3" s="473">
        <f>'выручка по кв и годам'!X5</f>
        <v>33819.636797107218</v>
      </c>
      <c r="W3" s="473">
        <f>'выручка по кв и годам'!Y5</f>
        <v>33819.636797107218</v>
      </c>
      <c r="X3" s="473">
        <f>'выручка по кв и годам'!Z5</f>
        <v>33819.636797107218</v>
      </c>
      <c r="Y3" s="473">
        <f>'выручка по кв и годам'!AA5</f>
        <v>33819.636797107218</v>
      </c>
      <c r="Z3" s="473">
        <f>'выручка по кв и годам'!AB5</f>
        <v>37840.415838541077</v>
      </c>
      <c r="AA3" s="473">
        <f>'выручка по кв и годам'!AC5</f>
        <v>37840.415838541077</v>
      </c>
      <c r="AB3" s="473">
        <f>'выручка по кв и годам'!AD5</f>
        <v>37840.415838541077</v>
      </c>
      <c r="AC3" s="473">
        <f>'выручка по кв и годам'!AE5</f>
        <v>37840.415838541077</v>
      </c>
      <c r="AD3" s="473">
        <f>'выручка по кв и годам'!AF5</f>
        <v>42221.937672477419</v>
      </c>
      <c r="AE3" s="473">
        <f>'выручка по кв и годам'!AG5</f>
        <v>42221.937672477419</v>
      </c>
      <c r="AF3" s="473">
        <f>'выручка по кв и годам'!AH5</f>
        <v>42221.937672477419</v>
      </c>
      <c r="AG3" s="473">
        <f>'выручка по кв и годам'!AI5</f>
        <v>42221.937672477419</v>
      </c>
      <c r="AH3" s="473">
        <f>'выручка по кв и годам'!AJ5</f>
        <v>44755.253932826068</v>
      </c>
      <c r="AI3" s="473">
        <f>'выручка по кв и годам'!AK5</f>
        <v>44755.253932826068</v>
      </c>
      <c r="AJ3" s="473">
        <f>'выручка по кв и годам'!AL5</f>
        <v>44755.253932826068</v>
      </c>
      <c r="AK3" s="473">
        <f>'выручка по кв и годам'!AM5</f>
        <v>44755.253932826068</v>
      </c>
      <c r="AL3" s="473">
        <f>'выручка по кв и годам'!AN5</f>
        <v>47440.56916879562</v>
      </c>
      <c r="AM3" s="473">
        <f>'выручка по кв и годам'!AO5</f>
        <v>47440.56916879562</v>
      </c>
      <c r="AN3" s="473">
        <f>'выручка по кв и годам'!AP5</f>
        <v>47440.56916879562</v>
      </c>
      <c r="AO3" s="473">
        <f>'выручка по кв и годам'!AQ5</f>
        <v>47440.56916879562</v>
      </c>
      <c r="AP3" s="473">
        <f>'выручка по кв и годам'!AR5</f>
        <v>50287.003318923358</v>
      </c>
      <c r="AQ3" s="473">
        <f>'выручка по кв и годам'!AS5</f>
        <v>50287.003318923358</v>
      </c>
      <c r="AR3" s="473">
        <f>'выручка по кв и годам'!AT5</f>
        <v>50287.003318923358</v>
      </c>
      <c r="AS3" s="473">
        <f>'выручка по кв и годам'!AU5</f>
        <v>50287.003318923358</v>
      </c>
    </row>
    <row r="4" spans="1:45" s="474" customFormat="1" ht="27.6" x14ac:dyDescent="0.3">
      <c r="A4" s="472" t="s">
        <v>254</v>
      </c>
      <c r="B4" s="473">
        <f>'Расходы ТОР'!B18</f>
        <v>0</v>
      </c>
      <c r="C4" s="473">
        <f>'Расходы ТОР'!C18</f>
        <v>0</v>
      </c>
      <c r="D4" s="473">
        <f>'Расходы ТОР'!D18</f>
        <v>1.6246391812500001</v>
      </c>
      <c r="E4" s="473">
        <f>'Расходы ТОР'!E18</f>
        <v>255.37463918124999</v>
      </c>
      <c r="F4" s="473">
        <f>'Расходы ТОР'!F18</f>
        <v>8300.6724841960677</v>
      </c>
      <c r="G4" s="473">
        <f>'Расходы ТОР'!G18</f>
        <v>13967.339150862736</v>
      </c>
      <c r="H4" s="473">
        <f>'Расходы ТОР'!H18</f>
        <v>13967.339150862736</v>
      </c>
      <c r="I4" s="473">
        <f>'Расходы ТОР'!I18</f>
        <v>13967.339150862736</v>
      </c>
      <c r="J4" s="473">
        <f>'Расходы ТОР'!J18</f>
        <v>16445.695384554499</v>
      </c>
      <c r="K4" s="473">
        <f>'Расходы ТОР'!K18</f>
        <v>16445.695384554499</v>
      </c>
      <c r="L4" s="473">
        <f>'Расходы ТОР'!L18</f>
        <v>16445.695384554499</v>
      </c>
      <c r="M4" s="473">
        <f>'Расходы ТОР'!M18</f>
        <v>16445.695384554499</v>
      </c>
      <c r="N4" s="473">
        <f>'Расходы ТОР'!N18</f>
        <v>19196.139550637148</v>
      </c>
      <c r="O4" s="473">
        <f>'Расходы ТОР'!O18</f>
        <v>19196.139550637148</v>
      </c>
      <c r="P4" s="473">
        <f>'Расходы ТОР'!P18</f>
        <v>19196.139550637148</v>
      </c>
      <c r="Q4" s="473">
        <f>'Расходы ТОР'!Q18</f>
        <v>19196.139550637148</v>
      </c>
      <c r="R4" s="473">
        <f>'Расходы ТОР'!R18</f>
        <v>20553.156775515985</v>
      </c>
      <c r="S4" s="473">
        <f>'Расходы ТОР'!S18</f>
        <v>20553.156775515985</v>
      </c>
      <c r="T4" s="473">
        <f>'Расходы ТОР'!T18</f>
        <v>20553.156775515985</v>
      </c>
      <c r="U4" s="473">
        <f>'Расходы ТОР'!U18</f>
        <v>20553.156775515985</v>
      </c>
      <c r="V4" s="473">
        <f>'Расходы ТОР'!V18</f>
        <v>21975.710858909457</v>
      </c>
      <c r="W4" s="473">
        <f>'Расходы ТОР'!W18</f>
        <v>21975.710858909457</v>
      </c>
      <c r="X4" s="473">
        <f>'Расходы ТОР'!X18</f>
        <v>21975.710858909457</v>
      </c>
      <c r="Y4" s="473">
        <f>'Расходы ТОР'!Y18</f>
        <v>22042.215025576123</v>
      </c>
      <c r="Z4" s="473">
        <f>'Расходы ТОР'!Z18</f>
        <v>23535.015114633614</v>
      </c>
      <c r="AA4" s="473">
        <f>'Расходы ТОР'!AA18</f>
        <v>23534.627822966948</v>
      </c>
      <c r="AB4" s="473">
        <f>'Расходы ТОР'!AB18</f>
        <v>23534.240531300282</v>
      </c>
      <c r="AC4" s="473">
        <f>'Расходы ТОР'!AC18</f>
        <v>23533.853239633616</v>
      </c>
      <c r="AD4" s="473">
        <f>'Расходы ТОР'!AD18</f>
        <v>25121.492086009115</v>
      </c>
      <c r="AE4" s="473">
        <f>'Расходы ТОР'!AE18</f>
        <v>25121.104794342449</v>
      </c>
      <c r="AF4" s="473">
        <f>'Расходы ТОР'!AF18</f>
        <v>25120.717502675783</v>
      </c>
      <c r="AG4" s="473">
        <f>'Расходы ТОР'!AG18</f>
        <v>25120.330211009117</v>
      </c>
      <c r="AH4" s="473">
        <f>'Расходы ТОР'!AH18</f>
        <v>25767.213137582352</v>
      </c>
      <c r="AI4" s="473">
        <f>'Расходы ТОР'!AI18</f>
        <v>25766.825845915686</v>
      </c>
      <c r="AJ4" s="473">
        <f>'Расходы ТОР'!AJ18</f>
        <v>25766.43855424902</v>
      </c>
      <c r="AK4" s="473">
        <f>'Расходы ТОР'!AK18</f>
        <v>25766.051262582354</v>
      </c>
      <c r="AL4" s="473">
        <f>'Расходы ТОР'!AL18</f>
        <v>26447.552193264873</v>
      </c>
      <c r="AM4" s="473">
        <f>'Расходы ТОР'!AM18</f>
        <v>26447.164901598208</v>
      </c>
      <c r="AN4" s="473">
        <f>'Расходы ТОР'!AN18</f>
        <v>26446.777609931538</v>
      </c>
      <c r="AO4" s="473">
        <f>'Расходы ТОР'!AO18</f>
        <v>26446.390318264872</v>
      </c>
      <c r="AP4" s="473">
        <f>'Расходы ТОР'!AP18</f>
        <v>27015.289856623756</v>
      </c>
      <c r="AQ4" s="473">
        <f>'Расходы ТОР'!AQ18</f>
        <v>27014.90256495709</v>
      </c>
      <c r="AR4" s="473">
        <f>'Расходы ТОР'!AR18</f>
        <v>27014.515273290424</v>
      </c>
      <c r="AS4" s="473">
        <f>'Расходы ТОР'!AS18</f>
        <v>27014.127981623758</v>
      </c>
    </row>
    <row r="5" spans="1:45" s="474" customFormat="1" ht="27.6" x14ac:dyDescent="0.3">
      <c r="A5" s="472" t="s">
        <v>255</v>
      </c>
      <c r="B5" s="475">
        <f>'Расходы на П, строит-во, ввод'!B12</f>
        <v>0</v>
      </c>
      <c r="C5" s="475">
        <f>'Расходы на П, строит-во, ввод'!C12</f>
        <v>0</v>
      </c>
      <c r="D5" s="475">
        <f>'Расходы на П, строит-во, ввод'!D12</f>
        <v>27780</v>
      </c>
      <c r="E5" s="475">
        <f>'Расходы на П, строит-во, ввод'!E12</f>
        <v>6500</v>
      </c>
      <c r="F5" s="475">
        <f>'Расходы на П, строит-во, ввод'!F12</f>
        <v>0</v>
      </c>
      <c r="G5" s="475">
        <f>'Расходы на П, строит-во, ввод'!G12</f>
        <v>0</v>
      </c>
      <c r="H5" s="475">
        <f>'Расходы на П, строит-во, ввод'!H12</f>
        <v>0</v>
      </c>
      <c r="I5" s="475">
        <f>'Расходы на П, строит-во, ввод'!I12</f>
        <v>0</v>
      </c>
      <c r="J5" s="475">
        <f>'Расходы на П, строит-во, ввод'!J12</f>
        <v>0</v>
      </c>
      <c r="K5" s="475">
        <f>'Расходы на П, строит-во, ввод'!K12</f>
        <v>0</v>
      </c>
      <c r="L5" s="475">
        <f>'Расходы на П, строит-во, ввод'!L12</f>
        <v>0</v>
      </c>
      <c r="M5" s="475">
        <f>'Расходы на П, строит-во, ввод'!M12</f>
        <v>0</v>
      </c>
      <c r="N5" s="475">
        <f>'Расходы на П, строит-во, ввод'!N12</f>
        <v>0</v>
      </c>
      <c r="O5" s="475">
        <f>'Расходы на П, строит-во, ввод'!O12</f>
        <v>0</v>
      </c>
      <c r="P5" s="475">
        <f>'Расходы на П, строит-во, ввод'!P12</f>
        <v>0</v>
      </c>
      <c r="Q5" s="475">
        <f>'Расходы на П, строит-во, ввод'!Q12</f>
        <v>0</v>
      </c>
      <c r="R5" s="475"/>
      <c r="S5" s="476"/>
      <c r="T5" s="476"/>
      <c r="U5" s="476"/>
      <c r="V5" s="476"/>
      <c r="W5" s="476"/>
      <c r="X5" s="476"/>
      <c r="Y5" s="476"/>
      <c r="Z5" s="476"/>
      <c r="AA5" s="476"/>
      <c r="AB5" s="476"/>
      <c r="AC5" s="476"/>
      <c r="AD5" s="476"/>
      <c r="AE5" s="476"/>
      <c r="AF5" s="476"/>
      <c r="AG5" s="476"/>
      <c r="AH5" s="476"/>
      <c r="AI5" s="476"/>
      <c r="AJ5" s="476"/>
      <c r="AK5" s="476"/>
      <c r="AL5" s="476"/>
      <c r="AM5" s="476"/>
      <c r="AN5" s="476"/>
      <c r="AO5" s="476"/>
      <c r="AP5" s="476"/>
      <c r="AQ5" s="476"/>
      <c r="AR5" s="476"/>
      <c r="AS5" s="476"/>
    </row>
    <row r="6" spans="1:45" s="474" customFormat="1" ht="27.6" x14ac:dyDescent="0.3">
      <c r="A6" s="472" t="s">
        <v>256</v>
      </c>
      <c r="B6" s="477">
        <f>B3-B4</f>
        <v>0</v>
      </c>
      <c r="C6" s="477">
        <f t="shared" ref="C6:AS6" si="0">C3-C4</f>
        <v>0</v>
      </c>
      <c r="D6" s="477">
        <f t="shared" si="0"/>
        <v>-1.6246391812500001</v>
      </c>
      <c r="E6" s="477">
        <f t="shared" si="0"/>
        <v>-255.37463918124999</v>
      </c>
      <c r="F6" s="477">
        <f t="shared" si="0"/>
        <v>7904.607515803933</v>
      </c>
      <c r="G6" s="477">
        <f t="shared" si="0"/>
        <v>2237.9408491372651</v>
      </c>
      <c r="H6" s="477">
        <f t="shared" si="0"/>
        <v>2237.9408491372651</v>
      </c>
      <c r="I6" s="477">
        <f t="shared" si="0"/>
        <v>2237.9408491372651</v>
      </c>
      <c r="J6" s="477">
        <f t="shared" si="0"/>
        <v>4588.0966154455054</v>
      </c>
      <c r="K6" s="477">
        <f t="shared" si="0"/>
        <v>4588.0966154455054</v>
      </c>
      <c r="L6" s="477">
        <f t="shared" si="0"/>
        <v>4588.0966154455054</v>
      </c>
      <c r="M6" s="477">
        <f t="shared" si="0"/>
        <v>4588.0966154455054</v>
      </c>
      <c r="N6" s="477">
        <f t="shared" si="0"/>
        <v>7558.8438733628573</v>
      </c>
      <c r="O6" s="477">
        <f t="shared" si="0"/>
        <v>7558.8438733628573</v>
      </c>
      <c r="P6" s="477">
        <f t="shared" si="0"/>
        <v>7558.8438733628573</v>
      </c>
      <c r="Q6" s="477">
        <f t="shared" si="0"/>
        <v>7558.8438733628573</v>
      </c>
      <c r="R6" s="477">
        <f t="shared" si="0"/>
        <v>9579.6433057640206</v>
      </c>
      <c r="S6" s="477">
        <f t="shared" si="0"/>
        <v>9579.6433057640206</v>
      </c>
      <c r="T6" s="477">
        <f t="shared" si="0"/>
        <v>9579.6433057640206</v>
      </c>
      <c r="U6" s="477">
        <f t="shared" si="0"/>
        <v>9579.6433057640206</v>
      </c>
      <c r="V6" s="477">
        <f t="shared" si="0"/>
        <v>11843.925938197761</v>
      </c>
      <c r="W6" s="477">
        <f t="shared" si="0"/>
        <v>11843.925938197761</v>
      </c>
      <c r="X6" s="477">
        <f t="shared" si="0"/>
        <v>11843.925938197761</v>
      </c>
      <c r="Y6" s="477">
        <f t="shared" si="0"/>
        <v>11777.421771531095</v>
      </c>
      <c r="Z6" s="477">
        <f t="shared" si="0"/>
        <v>14305.400723907464</v>
      </c>
      <c r="AA6" s="477">
        <f t="shared" si="0"/>
        <v>14305.78801557413</v>
      </c>
      <c r="AB6" s="477">
        <f t="shared" si="0"/>
        <v>14306.175307240796</v>
      </c>
      <c r="AC6" s="477">
        <f t="shared" si="0"/>
        <v>14306.562598907462</v>
      </c>
      <c r="AD6" s="477">
        <f t="shared" si="0"/>
        <v>17100.445586468304</v>
      </c>
      <c r="AE6" s="477">
        <f t="shared" si="0"/>
        <v>17100.83287813497</v>
      </c>
      <c r="AF6" s="477">
        <f t="shared" si="0"/>
        <v>17101.220169801636</v>
      </c>
      <c r="AG6" s="477">
        <f t="shared" si="0"/>
        <v>17101.607461468302</v>
      </c>
      <c r="AH6" s="477">
        <f t="shared" si="0"/>
        <v>18988.040795243716</v>
      </c>
      <c r="AI6" s="477">
        <f t="shared" si="0"/>
        <v>18988.428086910382</v>
      </c>
      <c r="AJ6" s="477">
        <f t="shared" si="0"/>
        <v>18988.815378577048</v>
      </c>
      <c r="AK6" s="477">
        <f t="shared" si="0"/>
        <v>18989.202670243714</v>
      </c>
      <c r="AL6" s="477">
        <f t="shared" si="0"/>
        <v>20993.016975530747</v>
      </c>
      <c r="AM6" s="477">
        <f t="shared" si="0"/>
        <v>20993.404267197413</v>
      </c>
      <c r="AN6" s="477">
        <f t="shared" si="0"/>
        <v>20993.791558864083</v>
      </c>
      <c r="AO6" s="477">
        <f t="shared" si="0"/>
        <v>20994.178850530749</v>
      </c>
      <c r="AP6" s="477">
        <f t="shared" si="0"/>
        <v>23271.713462299602</v>
      </c>
      <c r="AQ6" s="477">
        <f t="shared" si="0"/>
        <v>23272.100753966268</v>
      </c>
      <c r="AR6" s="477">
        <f t="shared" si="0"/>
        <v>23272.488045632934</v>
      </c>
      <c r="AS6" s="477">
        <f t="shared" si="0"/>
        <v>23272.8753372996</v>
      </c>
    </row>
    <row r="7" spans="1:45" s="241" customFormat="1" ht="54" customHeight="1" x14ac:dyDescent="0.3">
      <c r="A7" s="242" t="s">
        <v>257</v>
      </c>
      <c r="B7" s="243"/>
      <c r="C7" s="243"/>
      <c r="D7" s="244">
        <f>'Расходы по займу'!D4</f>
        <v>382.5</v>
      </c>
      <c r="E7" s="244">
        <f>'Расходы по займу'!E4</f>
        <v>1123.4076604109846</v>
      </c>
      <c r="F7" s="244">
        <f>'Расходы по займу'!F4</f>
        <v>1085.988413508976</v>
      </c>
      <c r="G7" s="244">
        <f>'Расходы по займу'!G4</f>
        <v>1046.8599162147598</v>
      </c>
      <c r="H7" s="244">
        <f>'Расходы по займу'!H4</f>
        <v>1005.944092747952</v>
      </c>
      <c r="I7" s="244">
        <f>'Расходы по займу'!I4</f>
        <v>963.15930095339354</v>
      </c>
      <c r="J7" s="244">
        <f>'Расходы по займу'!J4</f>
        <v>918.42016939494647</v>
      </c>
      <c r="K7" s="244">
        <f>'Расходы по займу'!K4</f>
        <v>871.63742700799821</v>
      </c>
      <c r="L7" s="244">
        <f>'Расходы по займу'!L4</f>
        <v>822.7177249707704</v>
      </c>
      <c r="M7" s="244">
        <f>'Расходы по займу'!M4</f>
        <v>771.56345043899796</v>
      </c>
      <c r="N7" s="244">
        <f>'Расходы по займу'!N4</f>
        <v>718.07253177231019</v>
      </c>
      <c r="O7" s="244">
        <f>'Расходы по займу'!O4</f>
        <v>662.13823486367096</v>
      </c>
      <c r="P7" s="244">
        <f>'Расходы по займу'!P4</f>
        <v>603.64895016547769</v>
      </c>
      <c r="Q7" s="244">
        <f>'Расходы по займу'!Q4</f>
        <v>542.48796998735861</v>
      </c>
      <c r="R7" s="244">
        <f>'Расходы по займу'!R4</f>
        <v>478.53325562129567</v>
      </c>
      <c r="S7" s="244">
        <f>'Расходы по займу'!S4</f>
        <v>411.65719382940188</v>
      </c>
      <c r="T7" s="244">
        <f>'Расходы по займу'!T4</f>
        <v>341.72634220845475</v>
      </c>
      <c r="U7" s="244">
        <f>'Расходы по займу'!U4</f>
        <v>268.60116292309669</v>
      </c>
      <c r="V7" s="244">
        <f>'Расходы по займу'!V4</f>
        <v>192.13574427639981</v>
      </c>
      <c r="W7" s="244">
        <f>'Расходы по займу'!W4</f>
        <v>112.1775095622271</v>
      </c>
      <c r="X7" s="244">
        <f>'Расходы по займу'!X4</f>
        <v>28.566912618442039</v>
      </c>
      <c r="Y7" s="244"/>
      <c r="Z7" s="244"/>
      <c r="AA7" s="244"/>
      <c r="AB7" s="244"/>
      <c r="AC7" s="244"/>
      <c r="AD7" s="244"/>
      <c r="AE7" s="244"/>
      <c r="AF7" s="245"/>
      <c r="AG7" s="245"/>
      <c r="AH7" s="245"/>
      <c r="AI7" s="245"/>
      <c r="AJ7" s="245"/>
      <c r="AK7" s="245"/>
      <c r="AL7" s="245"/>
      <c r="AM7" s="245"/>
      <c r="AN7" s="245"/>
      <c r="AO7" s="245"/>
      <c r="AP7" s="246"/>
      <c r="AQ7" s="245"/>
      <c r="AR7" s="245"/>
      <c r="AS7" s="239"/>
    </row>
    <row r="8" spans="1:45" s="214" customFormat="1" ht="63.75" customHeight="1" x14ac:dyDescent="0.3">
      <c r="A8" s="242" t="s">
        <v>258</v>
      </c>
      <c r="B8" s="247">
        <f>B6-B7</f>
        <v>0</v>
      </c>
      <c r="C8" s="247">
        <f t="shared" ref="C8" si="1">C6-C7</f>
        <v>0</v>
      </c>
      <c r="D8" s="247">
        <f>D6-D7</f>
        <v>-384.12463918125002</v>
      </c>
      <c r="E8" s="247">
        <f>E6-E7</f>
        <v>-1378.7822995922345</v>
      </c>
      <c r="F8" s="248">
        <f>F6-F7</f>
        <v>6818.619102294957</v>
      </c>
      <c r="G8" s="249">
        <f t="shared" ref="G8:AS8" si="2">G6-G7</f>
        <v>1191.0809329225053</v>
      </c>
      <c r="H8" s="250">
        <f t="shared" ref="H8:AN8" si="3">H6-H7</f>
        <v>1231.9967563893131</v>
      </c>
      <c r="I8" s="250">
        <f t="shared" si="3"/>
        <v>1274.7815481838716</v>
      </c>
      <c r="J8" s="239">
        <f t="shared" si="3"/>
        <v>3669.6764460505592</v>
      </c>
      <c r="K8" s="239">
        <f t="shared" si="3"/>
        <v>3716.4591884375072</v>
      </c>
      <c r="L8" s="239">
        <f t="shared" si="3"/>
        <v>3765.3788904747353</v>
      </c>
      <c r="M8" s="239">
        <f t="shared" si="3"/>
        <v>3816.5331650065073</v>
      </c>
      <c r="N8" s="239">
        <f t="shared" si="3"/>
        <v>6840.7713415905473</v>
      </c>
      <c r="O8" s="239">
        <f t="shared" si="3"/>
        <v>6896.7056384991865</v>
      </c>
      <c r="P8" s="239">
        <f t="shared" si="3"/>
        <v>6955.1949231973795</v>
      </c>
      <c r="Q8" s="239">
        <f t="shared" si="3"/>
        <v>7016.3559033754991</v>
      </c>
      <c r="R8" s="239">
        <f t="shared" si="3"/>
        <v>9101.1100501427245</v>
      </c>
      <c r="S8" s="239">
        <f t="shared" si="3"/>
        <v>9167.9861119346187</v>
      </c>
      <c r="T8" s="239">
        <f t="shared" si="3"/>
        <v>9237.9169635555663</v>
      </c>
      <c r="U8" s="239">
        <f t="shared" si="3"/>
        <v>9311.0421428409245</v>
      </c>
      <c r="V8" s="239">
        <f t="shared" si="3"/>
        <v>11651.790193921361</v>
      </c>
      <c r="W8" s="239">
        <f t="shared" si="3"/>
        <v>11731.748428635534</v>
      </c>
      <c r="X8" s="239">
        <f t="shared" si="3"/>
        <v>11815.359025579319</v>
      </c>
      <c r="Y8" s="239">
        <f t="shared" si="3"/>
        <v>11777.421771531095</v>
      </c>
      <c r="Z8" s="239">
        <f t="shared" si="3"/>
        <v>14305.400723907464</v>
      </c>
      <c r="AA8" s="239">
        <f t="shared" si="3"/>
        <v>14305.78801557413</v>
      </c>
      <c r="AB8" s="239">
        <f t="shared" si="3"/>
        <v>14306.175307240796</v>
      </c>
      <c r="AC8" s="239">
        <f t="shared" si="3"/>
        <v>14306.562598907462</v>
      </c>
      <c r="AD8" s="239">
        <f t="shared" si="3"/>
        <v>17100.445586468304</v>
      </c>
      <c r="AE8" s="239">
        <f t="shared" si="3"/>
        <v>17100.83287813497</v>
      </c>
      <c r="AF8" s="239">
        <f t="shared" si="3"/>
        <v>17101.220169801636</v>
      </c>
      <c r="AG8" s="239">
        <f t="shared" si="3"/>
        <v>17101.607461468302</v>
      </c>
      <c r="AH8" s="239">
        <f t="shared" si="3"/>
        <v>18988.040795243716</v>
      </c>
      <c r="AI8" s="239">
        <f t="shared" si="3"/>
        <v>18988.428086910382</v>
      </c>
      <c r="AJ8" s="239">
        <f t="shared" si="3"/>
        <v>18988.815378577048</v>
      </c>
      <c r="AK8" s="239">
        <f t="shared" si="3"/>
        <v>18989.202670243714</v>
      </c>
      <c r="AL8" s="239">
        <f t="shared" si="3"/>
        <v>20993.016975530747</v>
      </c>
      <c r="AM8" s="239">
        <f t="shared" si="3"/>
        <v>20993.404267197413</v>
      </c>
      <c r="AN8" s="239">
        <f t="shared" si="3"/>
        <v>20993.791558864083</v>
      </c>
      <c r="AO8" s="239">
        <f t="shared" si="2"/>
        <v>20994.178850530749</v>
      </c>
      <c r="AP8" s="239">
        <f>AP6-AP7</f>
        <v>23271.713462299602</v>
      </c>
      <c r="AQ8" s="239">
        <f t="shared" si="2"/>
        <v>23272.100753966268</v>
      </c>
      <c r="AR8" s="239">
        <f t="shared" si="2"/>
        <v>23272.488045632934</v>
      </c>
      <c r="AS8" s="239">
        <f t="shared" si="2"/>
        <v>23272.8753372996</v>
      </c>
    </row>
    <row r="9" spans="1:45" s="214" customFormat="1" ht="61.5" customHeight="1" x14ac:dyDescent="0.3">
      <c r="A9" s="242" t="s">
        <v>259</v>
      </c>
      <c r="B9" s="248">
        <f>IF(B8&lt;0,0,B8*0)</f>
        <v>0</v>
      </c>
      <c r="C9" s="248">
        <f>IF(C8&lt;0,0,C8*0)</f>
        <v>0</v>
      </c>
      <c r="D9" s="297">
        <f>IF(D8&lt;0,0,D8*0)</f>
        <v>0</v>
      </c>
      <c r="E9" s="297">
        <f t="shared" ref="E9:W9" si="4">IF(E8&lt;0,0,E8*0)</f>
        <v>0</v>
      </c>
      <c r="F9" s="297">
        <f t="shared" si="4"/>
        <v>0</v>
      </c>
      <c r="G9" s="297">
        <f t="shared" si="4"/>
        <v>0</v>
      </c>
      <c r="H9" s="297">
        <f t="shared" si="4"/>
        <v>0</v>
      </c>
      <c r="I9" s="297">
        <f t="shared" si="4"/>
        <v>0</v>
      </c>
      <c r="J9" s="297">
        <f t="shared" si="4"/>
        <v>0</v>
      </c>
      <c r="K9" s="297">
        <f t="shared" si="4"/>
        <v>0</v>
      </c>
      <c r="L9" s="297">
        <f t="shared" si="4"/>
        <v>0</v>
      </c>
      <c r="M9" s="297">
        <f t="shared" si="4"/>
        <v>0</v>
      </c>
      <c r="N9" s="297">
        <f t="shared" si="4"/>
        <v>0</v>
      </c>
      <c r="O9" s="297">
        <f t="shared" si="4"/>
        <v>0</v>
      </c>
      <c r="P9" s="297">
        <f t="shared" si="4"/>
        <v>0</v>
      </c>
      <c r="Q9" s="297">
        <f t="shared" si="4"/>
        <v>0</v>
      </c>
      <c r="R9" s="297">
        <f t="shared" si="4"/>
        <v>0</v>
      </c>
      <c r="S9" s="297">
        <f t="shared" si="4"/>
        <v>0</v>
      </c>
      <c r="T9" s="297">
        <f t="shared" si="4"/>
        <v>0</v>
      </c>
      <c r="U9" s="297">
        <f t="shared" si="4"/>
        <v>0</v>
      </c>
      <c r="V9" s="297">
        <f t="shared" si="4"/>
        <v>0</v>
      </c>
      <c r="W9" s="297">
        <f t="shared" si="4"/>
        <v>0</v>
      </c>
      <c r="X9" s="478">
        <f>IF(X8&lt;0,0,X8*0.12)</f>
        <v>1417.8430830695181</v>
      </c>
      <c r="Y9" s="478">
        <f t="shared" ref="Y9:AS9" si="5">IF(Y8&lt;0,0,Y8*0.12)</f>
        <v>1413.2906125837314</v>
      </c>
      <c r="Z9" s="478">
        <f t="shared" si="5"/>
        <v>1716.6480868688955</v>
      </c>
      <c r="AA9" s="478">
        <f t="shared" si="5"/>
        <v>1716.6945618688956</v>
      </c>
      <c r="AB9" s="478">
        <f t="shared" si="5"/>
        <v>1716.7410368688954</v>
      </c>
      <c r="AC9" s="478">
        <f t="shared" si="5"/>
        <v>1716.7875118688953</v>
      </c>
      <c r="AD9" s="478">
        <f t="shared" si="5"/>
        <v>2052.0534703761964</v>
      </c>
      <c r="AE9" s="478">
        <f t="shared" si="5"/>
        <v>2052.0999453761965</v>
      </c>
      <c r="AF9" s="478">
        <f t="shared" si="5"/>
        <v>2052.1464203761961</v>
      </c>
      <c r="AG9" s="478">
        <f t="shared" si="5"/>
        <v>2052.1928953761962</v>
      </c>
      <c r="AH9" s="478">
        <f t="shared" si="5"/>
        <v>2278.564895429246</v>
      </c>
      <c r="AI9" s="478">
        <f t="shared" si="5"/>
        <v>2278.6113704292457</v>
      </c>
      <c r="AJ9" s="478">
        <f t="shared" si="5"/>
        <v>2278.6578454292458</v>
      </c>
      <c r="AK9" s="478">
        <f t="shared" si="5"/>
        <v>2278.7043204292454</v>
      </c>
      <c r="AL9" s="478">
        <f t="shared" si="5"/>
        <v>2519.1620370636897</v>
      </c>
      <c r="AM9" s="478">
        <f t="shared" si="5"/>
        <v>2519.2085120636893</v>
      </c>
      <c r="AN9" s="478">
        <f t="shared" si="5"/>
        <v>2519.2549870636899</v>
      </c>
      <c r="AO9" s="478">
        <f t="shared" si="5"/>
        <v>2519.3014620636895</v>
      </c>
      <c r="AP9" s="478">
        <f t="shared" si="5"/>
        <v>2792.6056154759522</v>
      </c>
      <c r="AQ9" s="478">
        <f t="shared" si="5"/>
        <v>2792.6520904759518</v>
      </c>
      <c r="AR9" s="478">
        <f t="shared" si="5"/>
        <v>2792.6985654759519</v>
      </c>
      <c r="AS9" s="478">
        <f t="shared" si="5"/>
        <v>2792.745040475952</v>
      </c>
    </row>
    <row r="10" spans="1:45" s="485" customFormat="1" ht="60" customHeight="1" x14ac:dyDescent="0.3">
      <c r="A10" s="481" t="s">
        <v>260</v>
      </c>
      <c r="B10" s="482">
        <f t="shared" ref="B10:E10" si="6">B8-B9</f>
        <v>0</v>
      </c>
      <c r="C10" s="482">
        <f t="shared" si="6"/>
        <v>0</v>
      </c>
      <c r="D10" s="483">
        <f t="shared" si="6"/>
        <v>-384.12463918125002</v>
      </c>
      <c r="E10" s="483">
        <f t="shared" si="6"/>
        <v>-1378.7822995922345</v>
      </c>
      <c r="F10" s="483">
        <f t="shared" ref="F10:AS10" si="7">F8-F9</f>
        <v>6818.619102294957</v>
      </c>
      <c r="G10" s="484">
        <f t="shared" si="7"/>
        <v>1191.0809329225053</v>
      </c>
      <c r="H10" s="484">
        <f>H8-H9</f>
        <v>1231.9967563893131</v>
      </c>
      <c r="I10" s="484">
        <f t="shared" si="7"/>
        <v>1274.7815481838716</v>
      </c>
      <c r="J10" s="484">
        <f t="shared" si="7"/>
        <v>3669.6764460505592</v>
      </c>
      <c r="K10" s="484">
        <f t="shared" si="7"/>
        <v>3716.4591884375072</v>
      </c>
      <c r="L10" s="484">
        <f t="shared" si="7"/>
        <v>3765.3788904747353</v>
      </c>
      <c r="M10" s="484">
        <f t="shared" si="7"/>
        <v>3816.5331650065073</v>
      </c>
      <c r="N10" s="484">
        <f t="shared" si="7"/>
        <v>6840.7713415905473</v>
      </c>
      <c r="O10" s="484">
        <f t="shared" si="7"/>
        <v>6896.7056384991865</v>
      </c>
      <c r="P10" s="484">
        <f t="shared" si="7"/>
        <v>6955.1949231973795</v>
      </c>
      <c r="Q10" s="484">
        <f>Q8-Q9</f>
        <v>7016.3559033754991</v>
      </c>
      <c r="R10" s="484">
        <f t="shared" si="7"/>
        <v>9101.1100501427245</v>
      </c>
      <c r="S10" s="484">
        <f t="shared" si="7"/>
        <v>9167.9861119346187</v>
      </c>
      <c r="T10" s="484">
        <f t="shared" si="7"/>
        <v>9237.9169635555663</v>
      </c>
      <c r="U10" s="484">
        <f t="shared" si="7"/>
        <v>9311.0421428409245</v>
      </c>
      <c r="V10" s="484">
        <f t="shared" si="7"/>
        <v>11651.790193921361</v>
      </c>
      <c r="W10" s="484">
        <f t="shared" si="7"/>
        <v>11731.748428635534</v>
      </c>
      <c r="X10" s="484">
        <f t="shared" si="7"/>
        <v>10397.515942509801</v>
      </c>
      <c r="Y10" s="484">
        <f t="shared" si="7"/>
        <v>10364.131158947364</v>
      </c>
      <c r="Z10" s="484">
        <f t="shared" si="7"/>
        <v>12588.752637038568</v>
      </c>
      <c r="AA10" s="484">
        <f t="shared" si="7"/>
        <v>12589.093453705234</v>
      </c>
      <c r="AB10" s="484">
        <f t="shared" si="7"/>
        <v>12589.434270371899</v>
      </c>
      <c r="AC10" s="484">
        <f t="shared" si="7"/>
        <v>12589.775087038566</v>
      </c>
      <c r="AD10" s="484">
        <f t="shared" si="7"/>
        <v>15048.392116092107</v>
      </c>
      <c r="AE10" s="484">
        <f t="shared" si="7"/>
        <v>15048.732932758774</v>
      </c>
      <c r="AF10" s="484">
        <f t="shared" si="7"/>
        <v>15049.073749425439</v>
      </c>
      <c r="AG10" s="484">
        <f t="shared" si="7"/>
        <v>15049.414566092106</v>
      </c>
      <c r="AH10" s="484">
        <f t="shared" si="7"/>
        <v>16709.475899814472</v>
      </c>
      <c r="AI10" s="484">
        <f t="shared" si="7"/>
        <v>16709.816716481138</v>
      </c>
      <c r="AJ10" s="484">
        <f t="shared" si="7"/>
        <v>16710.157533147802</v>
      </c>
      <c r="AK10" s="484">
        <f t="shared" si="7"/>
        <v>16710.498349814468</v>
      </c>
      <c r="AL10" s="484">
        <f t="shared" si="7"/>
        <v>18473.854938467059</v>
      </c>
      <c r="AM10" s="484">
        <f t="shared" si="7"/>
        <v>18474.195755133725</v>
      </c>
      <c r="AN10" s="484">
        <f t="shared" si="7"/>
        <v>18474.536571800392</v>
      </c>
      <c r="AO10" s="484">
        <f t="shared" si="7"/>
        <v>18474.877388467059</v>
      </c>
      <c r="AP10" s="484">
        <f t="shared" si="7"/>
        <v>20479.107846823648</v>
      </c>
      <c r="AQ10" s="484">
        <f t="shared" si="7"/>
        <v>20479.448663490315</v>
      </c>
      <c r="AR10" s="484">
        <f t="shared" si="7"/>
        <v>20479.789480156982</v>
      </c>
      <c r="AS10" s="484">
        <f t="shared" si="7"/>
        <v>20480.130296823649</v>
      </c>
    </row>
    <row r="11" spans="1:45" s="241" customFormat="1" ht="48.75" customHeight="1" x14ac:dyDescent="0.3">
      <c r="A11" s="242" t="s">
        <v>261</v>
      </c>
      <c r="B11" s="243"/>
      <c r="C11" s="243"/>
      <c r="D11" s="244">
        <f>'Расходы по займу'!D5</f>
        <v>265.03239939128161</v>
      </c>
      <c r="E11" s="244">
        <f>'Расходы по займу'!E5</f>
        <v>819.18953776286025</v>
      </c>
      <c r="F11" s="244">
        <f>'Расходы по займу'!F5</f>
        <v>856.60878466486895</v>
      </c>
      <c r="G11" s="244">
        <f>'Расходы по займу'!G5</f>
        <v>895.73728195908518</v>
      </c>
      <c r="H11" s="244">
        <f>'Расходы по займу'!H5</f>
        <v>936.65310542589282</v>
      </c>
      <c r="I11" s="244">
        <f>'Расходы по займу'!I5</f>
        <v>979.4378972204513</v>
      </c>
      <c r="J11" s="244">
        <f>'Расходы по займу'!J5</f>
        <v>1024.1770287788984</v>
      </c>
      <c r="K11" s="244">
        <f>'Расходы по займу'!K5</f>
        <v>1070.9597711658466</v>
      </c>
      <c r="L11" s="244">
        <f>'Расходы по займу'!L5</f>
        <v>1119.8794732030744</v>
      </c>
      <c r="M11" s="244">
        <f>'Расходы по займу'!M5</f>
        <v>1171.0337477348469</v>
      </c>
      <c r="N11" s="244">
        <f>'Расходы по займу'!N5</f>
        <v>1224.5246664015347</v>
      </c>
      <c r="O11" s="244">
        <f>'Расходы по займу'!O5</f>
        <v>1280.4589633101739</v>
      </c>
      <c r="P11" s="244">
        <f>'Расходы по займу'!P5</f>
        <v>1338.948248008367</v>
      </c>
      <c r="Q11" s="244">
        <f>'Расходы по займу'!Q5</f>
        <v>1400.1092281864862</v>
      </c>
      <c r="R11" s="244">
        <f>'Расходы по займу'!R5</f>
        <v>1464.0639425525492</v>
      </c>
      <c r="S11" s="244">
        <f>'Расходы по займу'!S5</f>
        <v>1530.940004344443</v>
      </c>
      <c r="T11" s="244">
        <f>'Расходы по займу'!T5</f>
        <v>1600.8708559653901</v>
      </c>
      <c r="U11" s="244">
        <f>'Расходы по займу'!U5</f>
        <v>1673.9960352507483</v>
      </c>
      <c r="V11" s="244">
        <f>'Расходы по займу'!V5</f>
        <v>1750.4614538974452</v>
      </c>
      <c r="W11" s="244">
        <f>'Расходы по займу'!W5</f>
        <v>1830.4196886116179</v>
      </c>
      <c r="X11" s="244">
        <f>'Расходы по займу'!X5</f>
        <v>1266.4978861641207</v>
      </c>
      <c r="Y11" s="244"/>
      <c r="Z11" s="244"/>
      <c r="AA11" s="244"/>
      <c r="AB11" s="244"/>
      <c r="AC11" s="244"/>
      <c r="AD11" s="244"/>
      <c r="AE11" s="244"/>
      <c r="AF11" s="244"/>
      <c r="AG11" s="244"/>
      <c r="AH11" s="244"/>
      <c r="AI11" s="244"/>
      <c r="AJ11" s="244"/>
      <c r="AK11" s="244"/>
      <c r="AL11" s="244"/>
      <c r="AM11" s="244"/>
      <c r="AN11" s="244"/>
      <c r="AO11" s="244"/>
      <c r="AP11" s="244"/>
      <c r="AQ11" s="244"/>
      <c r="AR11" s="244"/>
      <c r="AS11" s="244"/>
    </row>
    <row r="12" spans="1:45" s="214" customFormat="1" ht="54.75" customHeight="1" x14ac:dyDescent="0.3">
      <c r="A12" s="242" t="s">
        <v>262</v>
      </c>
      <c r="B12" s="251">
        <f>B10-B11</f>
        <v>0</v>
      </c>
      <c r="C12" s="251">
        <f t="shared" ref="C12:E12" si="8">C10-C11</f>
        <v>0</v>
      </c>
      <c r="D12" s="239">
        <f>D10-D11</f>
        <v>-649.15703857253163</v>
      </c>
      <c r="E12" s="239">
        <f t="shared" si="8"/>
        <v>-2197.971837355095</v>
      </c>
      <c r="F12" s="239">
        <f>F10-F11</f>
        <v>5962.0103176300881</v>
      </c>
      <c r="G12" s="239">
        <f t="shared" ref="G12:AN12" si="9">G10-G11</f>
        <v>295.34365096342015</v>
      </c>
      <c r="H12" s="239">
        <f t="shared" si="9"/>
        <v>295.34365096342026</v>
      </c>
      <c r="I12" s="239">
        <f t="shared" si="9"/>
        <v>295.34365096342026</v>
      </c>
      <c r="J12" s="239">
        <f t="shared" si="9"/>
        <v>2645.4994172716606</v>
      </c>
      <c r="K12" s="239">
        <f t="shared" si="9"/>
        <v>2645.4994172716606</v>
      </c>
      <c r="L12" s="239">
        <f t="shared" si="9"/>
        <v>2645.4994172716606</v>
      </c>
      <c r="M12" s="239">
        <f t="shared" si="9"/>
        <v>2645.4994172716606</v>
      </c>
      <c r="N12" s="239">
        <f t="shared" si="9"/>
        <v>5616.2466751890124</v>
      </c>
      <c r="O12" s="239">
        <f t="shared" si="9"/>
        <v>5616.2466751890124</v>
      </c>
      <c r="P12" s="239">
        <f t="shared" si="9"/>
        <v>5616.2466751890124</v>
      </c>
      <c r="Q12" s="239">
        <f t="shared" si="9"/>
        <v>5616.2466751890133</v>
      </c>
      <c r="R12" s="239">
        <f t="shared" si="9"/>
        <v>7637.0461075901749</v>
      </c>
      <c r="S12" s="239">
        <f t="shared" si="9"/>
        <v>7637.0461075901758</v>
      </c>
      <c r="T12" s="239">
        <f t="shared" si="9"/>
        <v>7637.0461075901767</v>
      </c>
      <c r="U12" s="239">
        <f t="shared" si="9"/>
        <v>7637.0461075901767</v>
      </c>
      <c r="V12" s="239">
        <f t="shared" si="9"/>
        <v>9901.3287400239151</v>
      </c>
      <c r="W12" s="239">
        <f t="shared" si="9"/>
        <v>9901.3287400239169</v>
      </c>
      <c r="X12" s="239">
        <f t="shared" si="9"/>
        <v>9131.0180563456797</v>
      </c>
      <c r="Y12" s="239">
        <f t="shared" si="9"/>
        <v>10364.131158947364</v>
      </c>
      <c r="Z12" s="239">
        <f t="shared" si="9"/>
        <v>12588.752637038568</v>
      </c>
      <c r="AA12" s="239">
        <f t="shared" si="9"/>
        <v>12589.093453705234</v>
      </c>
      <c r="AB12" s="239">
        <f t="shared" si="9"/>
        <v>12589.434270371899</v>
      </c>
      <c r="AC12" s="239">
        <f t="shared" si="9"/>
        <v>12589.775087038566</v>
      </c>
      <c r="AD12" s="239">
        <f t="shared" si="9"/>
        <v>15048.392116092107</v>
      </c>
      <c r="AE12" s="239">
        <f t="shared" si="9"/>
        <v>15048.732932758774</v>
      </c>
      <c r="AF12" s="239">
        <f t="shared" si="9"/>
        <v>15049.073749425439</v>
      </c>
      <c r="AG12" s="239">
        <f t="shared" si="9"/>
        <v>15049.414566092106</v>
      </c>
      <c r="AH12" s="239">
        <f t="shared" si="9"/>
        <v>16709.475899814472</v>
      </c>
      <c r="AI12" s="239">
        <f t="shared" si="9"/>
        <v>16709.816716481138</v>
      </c>
      <c r="AJ12" s="239">
        <f t="shared" si="9"/>
        <v>16710.157533147802</v>
      </c>
      <c r="AK12" s="239">
        <f t="shared" si="9"/>
        <v>16710.498349814468</v>
      </c>
      <c r="AL12" s="239">
        <f t="shared" si="9"/>
        <v>18473.854938467059</v>
      </c>
      <c r="AM12" s="239">
        <f t="shared" si="9"/>
        <v>18474.195755133725</v>
      </c>
      <c r="AN12" s="239">
        <f t="shared" si="9"/>
        <v>18474.536571800392</v>
      </c>
      <c r="AO12" s="239">
        <f t="shared" ref="AO12:AS12" si="10">AO10-AO11</f>
        <v>18474.877388467059</v>
      </c>
      <c r="AP12" s="239">
        <f t="shared" si="10"/>
        <v>20479.107846823648</v>
      </c>
      <c r="AQ12" s="239">
        <f t="shared" si="10"/>
        <v>20479.448663490315</v>
      </c>
      <c r="AR12" s="239">
        <f t="shared" si="10"/>
        <v>20479.789480156982</v>
      </c>
      <c r="AS12" s="239">
        <f t="shared" si="10"/>
        <v>20480.130296823649</v>
      </c>
    </row>
    <row r="13" spans="1:45" ht="41.4" x14ac:dyDescent="0.3">
      <c r="A13" s="185" t="s">
        <v>263</v>
      </c>
      <c r="B13" s="252">
        <f>B11</f>
        <v>0</v>
      </c>
      <c r="C13" s="252">
        <f t="shared" ref="C13:E13" si="11">C11</f>
        <v>0</v>
      </c>
      <c r="D13" s="252">
        <f t="shared" si="11"/>
        <v>265.03239939128161</v>
      </c>
      <c r="E13" s="252">
        <f t="shared" si="11"/>
        <v>819.18953776286025</v>
      </c>
      <c r="F13" s="253">
        <f>F11</f>
        <v>856.60878466486895</v>
      </c>
      <c r="G13" s="225">
        <f>F13+G11</f>
        <v>1752.3460666239541</v>
      </c>
      <c r="H13" s="225">
        <f t="shared" ref="H13:X13" si="12">G13+H11</f>
        <v>2688.9991720498469</v>
      </c>
      <c r="I13" s="225">
        <f t="shared" si="12"/>
        <v>3668.4370692702983</v>
      </c>
      <c r="J13" s="225">
        <f t="shared" si="12"/>
        <v>4692.6140980491964</v>
      </c>
      <c r="K13" s="225">
        <f t="shared" si="12"/>
        <v>5763.5738692150426</v>
      </c>
      <c r="L13" s="225">
        <f t="shared" si="12"/>
        <v>6883.4533424181172</v>
      </c>
      <c r="M13" s="225">
        <f t="shared" si="12"/>
        <v>8054.4870901529639</v>
      </c>
      <c r="N13" s="225">
        <f t="shared" si="12"/>
        <v>9279.0117565544988</v>
      </c>
      <c r="O13" s="225">
        <f t="shared" si="12"/>
        <v>10559.470719864672</v>
      </c>
      <c r="P13" s="225">
        <f t="shared" si="12"/>
        <v>11898.41896787304</v>
      </c>
      <c r="Q13" s="225">
        <f t="shared" si="12"/>
        <v>13298.528196059526</v>
      </c>
      <c r="R13" s="225">
        <f t="shared" si="12"/>
        <v>14762.592138612075</v>
      </c>
      <c r="S13" s="225">
        <f t="shared" si="12"/>
        <v>16293.532142956519</v>
      </c>
      <c r="T13" s="225">
        <f t="shared" si="12"/>
        <v>17894.402998921909</v>
      </c>
      <c r="U13" s="225">
        <f t="shared" si="12"/>
        <v>19568.399034172657</v>
      </c>
      <c r="V13" s="225">
        <f t="shared" si="12"/>
        <v>21318.860488070102</v>
      </c>
      <c r="W13" s="225">
        <f t="shared" si="12"/>
        <v>23149.280176681721</v>
      </c>
      <c r="X13" s="225">
        <f t="shared" si="12"/>
        <v>24415.778062845842</v>
      </c>
      <c r="Y13" s="225"/>
      <c r="Z13" s="225"/>
      <c r="AA13" s="225"/>
      <c r="AB13" s="225"/>
      <c r="AC13" s="225"/>
      <c r="AD13" s="225"/>
      <c r="AE13" s="225"/>
      <c r="AF13" s="225"/>
      <c r="AG13" s="225"/>
      <c r="AH13" s="225"/>
      <c r="AI13" s="225"/>
      <c r="AJ13" s="225"/>
      <c r="AK13" s="225"/>
      <c r="AL13" s="225"/>
      <c r="AM13" s="225"/>
      <c r="AN13" s="225"/>
      <c r="AO13" s="225"/>
      <c r="AP13" s="225"/>
      <c r="AQ13" s="225"/>
      <c r="AR13" s="225"/>
      <c r="AS13" s="225"/>
    </row>
    <row r="14" spans="1:45" x14ac:dyDescent="0.3">
      <c r="A14" s="185" t="s">
        <v>264</v>
      </c>
      <c r="B14" s="254">
        <f t="shared" ref="B14:E14" si="13">B7+B11</f>
        <v>0</v>
      </c>
      <c r="C14" s="254">
        <f t="shared" si="13"/>
        <v>0</v>
      </c>
      <c r="D14" s="256">
        <f t="shared" si="13"/>
        <v>647.53239939128161</v>
      </c>
      <c r="E14" s="256">
        <f t="shared" si="13"/>
        <v>1942.5971981738448</v>
      </c>
      <c r="F14" s="255">
        <f t="shared" ref="F14:AS14" si="14">F7+F11</f>
        <v>1942.5971981738448</v>
      </c>
      <c r="G14" s="256">
        <f t="shared" si="14"/>
        <v>1942.5971981738448</v>
      </c>
      <c r="H14" s="256">
        <f t="shared" ref="H14:AN14" si="15">H7+H11</f>
        <v>1942.5971981738448</v>
      </c>
      <c r="I14" s="256">
        <f t="shared" si="15"/>
        <v>1942.5971981738448</v>
      </c>
      <c r="J14" s="256">
        <f t="shared" si="15"/>
        <v>1942.5971981738448</v>
      </c>
      <c r="K14" s="256">
        <f t="shared" si="15"/>
        <v>1942.5971981738448</v>
      </c>
      <c r="L14" s="256">
        <f t="shared" si="15"/>
        <v>1942.5971981738448</v>
      </c>
      <c r="M14" s="256">
        <f t="shared" si="15"/>
        <v>1942.5971981738448</v>
      </c>
      <c r="N14" s="256">
        <f t="shared" si="15"/>
        <v>1942.5971981738448</v>
      </c>
      <c r="O14" s="256">
        <f t="shared" si="15"/>
        <v>1942.5971981738448</v>
      </c>
      <c r="P14" s="256">
        <f t="shared" si="15"/>
        <v>1942.5971981738448</v>
      </c>
      <c r="Q14" s="256">
        <f t="shared" si="15"/>
        <v>1942.5971981738448</v>
      </c>
      <c r="R14" s="256">
        <f t="shared" si="15"/>
        <v>1942.5971981738448</v>
      </c>
      <c r="S14" s="256">
        <f t="shared" si="15"/>
        <v>1942.5971981738448</v>
      </c>
      <c r="T14" s="256">
        <f t="shared" si="15"/>
        <v>1942.5971981738448</v>
      </c>
      <c r="U14" s="256">
        <f t="shared" si="15"/>
        <v>1942.5971981738448</v>
      </c>
      <c r="V14" s="256">
        <f t="shared" si="15"/>
        <v>1942.5971981738448</v>
      </c>
      <c r="W14" s="256">
        <f t="shared" si="15"/>
        <v>1942.5971981738448</v>
      </c>
      <c r="X14" s="256">
        <f t="shared" si="15"/>
        <v>1295.0647987825628</v>
      </c>
      <c r="Y14" s="256">
        <f t="shared" si="15"/>
        <v>0</v>
      </c>
      <c r="Z14" s="256">
        <f t="shared" si="15"/>
        <v>0</v>
      </c>
      <c r="AA14" s="256">
        <f t="shared" si="15"/>
        <v>0</v>
      </c>
      <c r="AB14" s="256">
        <f t="shared" si="15"/>
        <v>0</v>
      </c>
      <c r="AC14" s="256">
        <f t="shared" si="15"/>
        <v>0</v>
      </c>
      <c r="AD14" s="256">
        <f t="shared" si="15"/>
        <v>0</v>
      </c>
      <c r="AE14" s="256">
        <f t="shared" si="15"/>
        <v>0</v>
      </c>
      <c r="AF14" s="256">
        <f t="shared" si="15"/>
        <v>0</v>
      </c>
      <c r="AG14" s="256">
        <f t="shared" si="15"/>
        <v>0</v>
      </c>
      <c r="AH14" s="256">
        <f t="shared" si="15"/>
        <v>0</v>
      </c>
      <c r="AI14" s="256">
        <f t="shared" si="15"/>
        <v>0</v>
      </c>
      <c r="AJ14" s="256">
        <f t="shared" si="15"/>
        <v>0</v>
      </c>
      <c r="AK14" s="256">
        <f t="shared" si="15"/>
        <v>0</v>
      </c>
      <c r="AL14" s="256">
        <f t="shared" si="15"/>
        <v>0</v>
      </c>
      <c r="AM14" s="256">
        <f t="shared" si="15"/>
        <v>0</v>
      </c>
      <c r="AN14" s="256">
        <f t="shared" si="15"/>
        <v>0</v>
      </c>
      <c r="AO14" s="256">
        <f t="shared" si="14"/>
        <v>0</v>
      </c>
      <c r="AP14" s="256">
        <f t="shared" si="14"/>
        <v>0</v>
      </c>
      <c r="AQ14" s="256">
        <f t="shared" si="14"/>
        <v>0</v>
      </c>
      <c r="AR14" s="256">
        <f t="shared" si="14"/>
        <v>0</v>
      </c>
      <c r="AS14" s="256">
        <f t="shared" si="14"/>
        <v>0</v>
      </c>
    </row>
    <row r="15" spans="1:45" ht="72.75" customHeight="1" x14ac:dyDescent="0.3">
      <c r="A15" s="185" t="s">
        <v>265</v>
      </c>
      <c r="B15" s="252">
        <f>B14</f>
        <v>0</v>
      </c>
      <c r="C15" s="252">
        <f t="shared" ref="C15:E15" si="16">C14</f>
        <v>0</v>
      </c>
      <c r="D15" s="252">
        <f t="shared" si="16"/>
        <v>647.53239939128161</v>
      </c>
      <c r="E15" s="252">
        <f t="shared" si="16"/>
        <v>1942.5971981738448</v>
      </c>
      <c r="F15" s="253">
        <f>F14</f>
        <v>1942.5971981738448</v>
      </c>
      <c r="G15" s="225">
        <f t="shared" ref="G15:X15" si="17">F15+G14</f>
        <v>3885.1943963476897</v>
      </c>
      <c r="H15" s="225">
        <f t="shared" si="17"/>
        <v>5827.7915945215345</v>
      </c>
      <c r="I15" s="225">
        <f t="shared" si="17"/>
        <v>7770.3887926953794</v>
      </c>
      <c r="J15" s="225">
        <f>I15+J14</f>
        <v>9712.9859908692233</v>
      </c>
      <c r="K15" s="225">
        <f t="shared" si="17"/>
        <v>11655.583189043067</v>
      </c>
      <c r="L15" s="225">
        <f>K15+L14</f>
        <v>13598.180387216911</v>
      </c>
      <c r="M15" s="225">
        <f t="shared" si="17"/>
        <v>15540.777585390755</v>
      </c>
      <c r="N15" s="225">
        <f t="shared" si="17"/>
        <v>17483.374783564599</v>
      </c>
      <c r="O15" s="225">
        <f t="shared" si="17"/>
        <v>19425.971981738443</v>
      </c>
      <c r="P15" s="225">
        <f t="shared" si="17"/>
        <v>21368.569179912287</v>
      </c>
      <c r="Q15" s="225">
        <f t="shared" si="17"/>
        <v>23311.166378086131</v>
      </c>
      <c r="R15" s="225">
        <f t="shared" si="17"/>
        <v>25253.763576259975</v>
      </c>
      <c r="S15" s="225">
        <f t="shared" si="17"/>
        <v>27196.360774433819</v>
      </c>
      <c r="T15" s="225">
        <f t="shared" si="17"/>
        <v>29138.957972607663</v>
      </c>
      <c r="U15" s="225">
        <f t="shared" si="17"/>
        <v>31081.555170781507</v>
      </c>
      <c r="V15" s="225">
        <f t="shared" si="17"/>
        <v>33024.152368955351</v>
      </c>
      <c r="W15" s="225">
        <f t="shared" si="17"/>
        <v>34966.749567129198</v>
      </c>
      <c r="X15" s="225">
        <f t="shared" si="17"/>
        <v>36261.814365911763</v>
      </c>
      <c r="Y15" s="225"/>
      <c r="Z15" s="225"/>
      <c r="AA15" s="225"/>
      <c r="AB15" s="225"/>
      <c r="AC15" s="225"/>
      <c r="AD15" s="225"/>
      <c r="AE15" s="225"/>
      <c r="AF15" s="225"/>
      <c r="AG15" s="225"/>
      <c r="AH15" s="225"/>
      <c r="AI15" s="225"/>
      <c r="AJ15" s="225"/>
      <c r="AK15" s="225"/>
      <c r="AL15" s="225"/>
      <c r="AM15" s="225"/>
      <c r="AN15" s="225"/>
      <c r="AO15" s="225"/>
      <c r="AP15" s="225"/>
      <c r="AQ15" s="225"/>
      <c r="AR15" s="225"/>
      <c r="AS15" s="225"/>
    </row>
    <row r="16" spans="1:45" x14ac:dyDescent="0.3">
      <c r="F16" s="257"/>
      <c r="G16" s="257"/>
      <c r="H16" s="257"/>
      <c r="I16" s="257"/>
      <c r="J16" s="257"/>
      <c r="K16" s="257"/>
      <c r="L16" s="257"/>
      <c r="M16" s="257"/>
      <c r="N16" s="257"/>
      <c r="O16" s="257"/>
      <c r="P16" s="258"/>
      <c r="Q16" s="257"/>
      <c r="R16" s="257"/>
      <c r="S16" s="257"/>
      <c r="T16" s="257"/>
      <c r="U16" s="257"/>
      <c r="V16" s="257"/>
      <c r="W16" s="257"/>
      <c r="X16" s="257"/>
      <c r="Y16" s="257"/>
      <c r="Z16" s="257"/>
      <c r="AA16" s="257"/>
      <c r="AB16" s="257"/>
      <c r="AC16" s="257"/>
      <c r="AD16" s="257"/>
      <c r="AE16" s="257"/>
      <c r="AF16" s="257"/>
      <c r="AG16" s="257"/>
      <c r="AH16" s="257"/>
      <c r="AI16" s="257"/>
      <c r="AJ16" s="257"/>
      <c r="AK16" s="257"/>
      <c r="AL16" s="257"/>
      <c r="AM16" s="257"/>
      <c r="AN16" s="257"/>
      <c r="AO16" s="257"/>
      <c r="AP16" s="257"/>
      <c r="AQ16" s="257"/>
      <c r="AR16" s="257"/>
      <c r="AS16" s="257"/>
    </row>
    <row r="17" spans="1:45" x14ac:dyDescent="0.3">
      <c r="B17" s="257"/>
      <c r="C17" s="257"/>
      <c r="D17" s="257"/>
      <c r="E17" s="257"/>
      <c r="F17" s="257"/>
      <c r="G17" s="257"/>
      <c r="H17" s="257"/>
      <c r="I17" s="257"/>
      <c r="J17" s="257"/>
      <c r="K17" s="257"/>
      <c r="L17" s="257"/>
      <c r="M17" s="257"/>
      <c r="N17" s="257"/>
      <c r="O17" s="257"/>
      <c r="P17" s="257"/>
      <c r="Q17" s="257"/>
      <c r="R17" s="257"/>
      <c r="S17" s="257"/>
      <c r="T17" s="257"/>
      <c r="U17" s="257"/>
      <c r="V17" s="257"/>
      <c r="W17" s="257"/>
      <c r="X17" s="257"/>
      <c r="Y17" s="257"/>
      <c r="Z17" s="257"/>
      <c r="AA17" s="257"/>
      <c r="AB17" s="257"/>
      <c r="AC17" s="257"/>
      <c r="AD17" s="257"/>
      <c r="AE17" s="257"/>
      <c r="AF17" s="257"/>
      <c r="AG17" s="257"/>
      <c r="AH17" s="257"/>
      <c r="AI17" s="257"/>
      <c r="AJ17" s="257"/>
      <c r="AK17" s="257"/>
      <c r="AL17" s="257"/>
      <c r="AM17" s="257"/>
      <c r="AN17" s="257"/>
      <c r="AO17" s="257"/>
      <c r="AP17" s="257"/>
      <c r="AQ17" s="257"/>
      <c r="AR17" s="257"/>
      <c r="AS17" s="257"/>
    </row>
    <row r="18" spans="1:45" x14ac:dyDescent="0.3">
      <c r="A18" s="479" t="s">
        <v>205</v>
      </c>
      <c r="B18" s="480" t="str">
        <f>'Расходы ТОР'!B25</f>
        <v>1 год</v>
      </c>
      <c r="C18" s="480" t="str">
        <f>'Расходы ТОР'!C25</f>
        <v>2 год</v>
      </c>
      <c r="D18" s="480" t="str">
        <f>'Расходы ТОР'!D25</f>
        <v>3 год</v>
      </c>
      <c r="E18" s="480" t="str">
        <f>'Расходы ТОР'!E25</f>
        <v>4 год</v>
      </c>
      <c r="F18" s="480" t="str">
        <f>'Расходы ТОР'!F25</f>
        <v>5 год</v>
      </c>
      <c r="G18" s="480" t="str">
        <f>'Расходы ТОР'!G25</f>
        <v>6 год</v>
      </c>
      <c r="H18" s="480" t="str">
        <f>'Расходы ТОР'!H25</f>
        <v>7 год</v>
      </c>
      <c r="I18" s="480" t="str">
        <f>'Расходы ТОР'!I25</f>
        <v>8 год</v>
      </c>
      <c r="J18" s="480" t="str">
        <f>'Расходы ТОР'!J25</f>
        <v>9 год</v>
      </c>
      <c r="K18" s="480" t="str">
        <f>'Расходы ТОР'!K25</f>
        <v>10 год</v>
      </c>
      <c r="L18" s="480" t="str">
        <f>'Расходы ТОР'!L25</f>
        <v>11 год</v>
      </c>
      <c r="M18" s="257"/>
      <c r="N18" s="257"/>
      <c r="O18" s="257"/>
      <c r="P18" s="257"/>
      <c r="Q18" s="257"/>
      <c r="R18" s="257"/>
      <c r="S18" s="257"/>
      <c r="T18" s="257"/>
      <c r="U18" s="257"/>
      <c r="V18" s="257"/>
      <c r="W18" s="257"/>
      <c r="X18" s="257"/>
      <c r="Y18" s="257"/>
      <c r="Z18" s="257"/>
      <c r="AA18" s="257"/>
      <c r="AB18" s="257"/>
      <c r="AC18" s="257"/>
      <c r="AD18" s="257"/>
      <c r="AE18" s="259"/>
      <c r="AF18" s="257"/>
      <c r="AG18" s="257"/>
      <c r="AH18" s="257"/>
      <c r="AI18" s="257"/>
      <c r="AJ18" s="257"/>
      <c r="AK18" s="257"/>
      <c r="AL18" s="257"/>
      <c r="AM18" s="257"/>
      <c r="AN18" s="257"/>
      <c r="AO18" s="257"/>
      <c r="AP18" s="257"/>
      <c r="AQ18" s="257"/>
      <c r="AR18" s="257"/>
      <c r="AS18" s="257"/>
    </row>
    <row r="19" spans="1:45" x14ac:dyDescent="0.3">
      <c r="A19" s="260" t="s">
        <v>253</v>
      </c>
      <c r="B19" s="240">
        <f>SUM(B3:E3)</f>
        <v>0</v>
      </c>
      <c r="C19" s="261">
        <f>F3+G3+H3+I3</f>
        <v>64821.120000000003</v>
      </c>
      <c r="D19" s="192">
        <f>J3+K3+L3+M3</f>
        <v>84135.16800000002</v>
      </c>
      <c r="E19" s="192">
        <f>N3+O3+P3+Q3</f>
        <v>107019.93369600002</v>
      </c>
      <c r="F19" s="225">
        <f>R3+S3+T3+U3</f>
        <v>120531.20032512002</v>
      </c>
      <c r="G19" s="225">
        <f>V3+W3+X3+Y3</f>
        <v>135278.54718842887</v>
      </c>
      <c r="H19" s="225">
        <f>Z3+AA3+AB3+AC3</f>
        <v>151361.66335416431</v>
      </c>
      <c r="I19" s="225">
        <f t="shared" ref="I19:I24" si="18">AD3+AE3+AF3+AG3</f>
        <v>168887.75068990968</v>
      </c>
      <c r="J19" s="225">
        <f>AH3+AI3+AJ3+AK3</f>
        <v>179021.01573130427</v>
      </c>
      <c r="K19" s="225">
        <f>AL3+AM3+AN3+AO3</f>
        <v>189762.27667518248</v>
      </c>
      <c r="L19" s="225">
        <f t="shared" ref="L19:L24" si="19">AP3+AQ3+AR3+AS3</f>
        <v>201148.01327569343</v>
      </c>
      <c r="M19" s="257"/>
      <c r="N19" s="257"/>
      <c r="O19" s="257"/>
      <c r="P19" s="257"/>
      <c r="Q19" s="257"/>
      <c r="R19" s="257"/>
      <c r="S19" s="257"/>
      <c r="T19" s="257"/>
      <c r="U19" s="257"/>
      <c r="V19" s="257"/>
      <c r="W19" s="257"/>
      <c r="X19" s="257"/>
      <c r="Y19" s="257"/>
      <c r="Z19" s="257"/>
      <c r="AA19" s="257"/>
      <c r="AB19" s="257"/>
      <c r="AC19" s="257"/>
      <c r="AD19" s="257"/>
      <c r="AE19" s="257"/>
      <c r="AF19" s="257"/>
      <c r="AG19" s="257"/>
      <c r="AH19" s="257"/>
      <c r="AI19" s="257"/>
      <c r="AJ19" s="257"/>
      <c r="AK19" s="257"/>
      <c r="AL19" s="257"/>
      <c r="AM19" s="257"/>
      <c r="AN19" s="257"/>
      <c r="AO19" s="257"/>
      <c r="AP19" s="257"/>
      <c r="AQ19" s="257"/>
      <c r="AR19" s="257"/>
      <c r="AS19" s="257"/>
    </row>
    <row r="20" spans="1:45" ht="27.6" x14ac:dyDescent="0.3">
      <c r="A20" s="260" t="s">
        <v>254</v>
      </c>
      <c r="B20" s="240">
        <f t="shared" ref="B20:B31" si="20">SUM(B4:E4)</f>
        <v>256.99927836249998</v>
      </c>
      <c r="C20" s="261">
        <f t="shared" ref="C20:C28" si="21">F4+G4+H4+I4</f>
        <v>50202.689936784271</v>
      </c>
      <c r="D20" s="192">
        <f t="shared" ref="D20:D28" si="22">J4+K4+L4+M4</f>
        <v>65782.781538217998</v>
      </c>
      <c r="E20" s="192">
        <f t="shared" ref="E20:E24" si="23">N4+O4+P4+Q4</f>
        <v>76784.558202548593</v>
      </c>
      <c r="F20" s="225">
        <f t="shared" ref="F20:F24" si="24">R4+S4+T4+U4</f>
        <v>82212.62710206394</v>
      </c>
      <c r="G20" s="225">
        <f t="shared" ref="G20:G24" si="25">V4+W4+X4+Y4</f>
        <v>87969.347602304493</v>
      </c>
      <c r="H20" s="225">
        <f t="shared" ref="H20:H24" si="26">Z4+AA4+AB4+AC4</f>
        <v>94137.736708534445</v>
      </c>
      <c r="I20" s="225">
        <f t="shared" si="18"/>
        <v>100483.64459403646</v>
      </c>
      <c r="J20" s="225">
        <f t="shared" ref="J20:J24" si="27">AH4+AI4+AJ4+AK4</f>
        <v>103066.52880032943</v>
      </c>
      <c r="K20" s="225">
        <f t="shared" ref="K20:K24" si="28">AL4+AM4+AN4+AO4</f>
        <v>105787.8850230595</v>
      </c>
      <c r="L20" s="225">
        <f t="shared" si="19"/>
        <v>108058.83567649501</v>
      </c>
      <c r="M20" s="257"/>
      <c r="N20" s="257"/>
      <c r="O20" s="257"/>
      <c r="P20" s="257"/>
      <c r="Q20" s="257"/>
      <c r="R20" s="257"/>
      <c r="S20" s="257"/>
      <c r="T20" s="257"/>
      <c r="U20" s="257"/>
      <c r="V20" s="257"/>
      <c r="W20" s="257"/>
      <c r="X20" s="257"/>
      <c r="Y20" s="257"/>
      <c r="Z20" s="257"/>
      <c r="AA20" s="257"/>
      <c r="AB20" s="257"/>
      <c r="AC20" s="257"/>
      <c r="AD20" s="257"/>
      <c r="AE20" s="257"/>
      <c r="AF20" s="257"/>
      <c r="AG20" s="257"/>
      <c r="AH20" s="257"/>
      <c r="AI20" s="257"/>
      <c r="AJ20" s="257"/>
      <c r="AK20" s="257"/>
      <c r="AL20" s="257"/>
      <c r="AM20" s="257"/>
      <c r="AN20" s="257"/>
      <c r="AO20" s="257"/>
      <c r="AP20" s="257"/>
      <c r="AQ20" s="257"/>
      <c r="AR20" s="257"/>
      <c r="AS20" s="257"/>
    </row>
    <row r="21" spans="1:45" ht="27.6" x14ac:dyDescent="0.3">
      <c r="A21" s="260" t="s">
        <v>255</v>
      </c>
      <c r="B21" s="240">
        <f t="shared" si="20"/>
        <v>34280</v>
      </c>
      <c r="C21" s="262">
        <f t="shared" si="21"/>
        <v>0</v>
      </c>
      <c r="D21" s="189">
        <f t="shared" si="22"/>
        <v>0</v>
      </c>
      <c r="E21" s="189">
        <f t="shared" si="23"/>
        <v>0</v>
      </c>
      <c r="F21" s="263">
        <f t="shared" si="24"/>
        <v>0</v>
      </c>
      <c r="G21" s="225"/>
      <c r="H21" s="225"/>
      <c r="I21" s="225"/>
      <c r="J21" s="225"/>
      <c r="K21" s="225"/>
      <c r="L21" s="225"/>
      <c r="M21" s="257"/>
      <c r="N21" s="257"/>
      <c r="O21" s="257"/>
      <c r="P21" s="257"/>
      <c r="Q21" s="257"/>
      <c r="R21" s="257"/>
      <c r="S21" s="257"/>
      <c r="T21" s="257"/>
      <c r="U21" s="257"/>
      <c r="V21" s="257"/>
      <c r="W21" s="257"/>
      <c r="X21" s="257"/>
      <c r="Y21" s="257"/>
      <c r="Z21" s="257"/>
      <c r="AA21" s="257"/>
      <c r="AB21" s="257"/>
      <c r="AC21" s="257"/>
      <c r="AD21" s="257"/>
      <c r="AE21" s="257"/>
      <c r="AF21" s="257"/>
      <c r="AG21" s="257"/>
      <c r="AH21" s="257"/>
      <c r="AI21" s="257"/>
      <c r="AJ21" s="257"/>
      <c r="AK21" s="257"/>
      <c r="AL21" s="257"/>
      <c r="AM21" s="257"/>
      <c r="AN21" s="257"/>
      <c r="AO21" s="257"/>
      <c r="AP21" s="257"/>
      <c r="AQ21" s="257"/>
      <c r="AR21" s="257"/>
      <c r="AS21" s="257"/>
    </row>
    <row r="22" spans="1:45" ht="27.6" x14ac:dyDescent="0.3">
      <c r="A22" s="260" t="s">
        <v>256</v>
      </c>
      <c r="B22" s="240">
        <f t="shared" si="20"/>
        <v>-256.99927836249998</v>
      </c>
      <c r="C22" s="261">
        <f t="shared" si="21"/>
        <v>14618.430063215728</v>
      </c>
      <c r="D22" s="192">
        <f t="shared" si="22"/>
        <v>18352.386461782022</v>
      </c>
      <c r="E22" s="192">
        <f t="shared" si="23"/>
        <v>30235.375493451429</v>
      </c>
      <c r="F22" s="225">
        <f t="shared" si="24"/>
        <v>38318.573223056082</v>
      </c>
      <c r="G22" s="225">
        <f t="shared" si="25"/>
        <v>47309.199586124378</v>
      </c>
      <c r="H22" s="225">
        <f t="shared" si="26"/>
        <v>57223.92664562985</v>
      </c>
      <c r="I22" s="225">
        <f t="shared" si="18"/>
        <v>68404.106095873212</v>
      </c>
      <c r="J22" s="225">
        <f t="shared" si="27"/>
        <v>75954.486930974861</v>
      </c>
      <c r="K22" s="225">
        <f t="shared" si="28"/>
        <v>83974.391652122984</v>
      </c>
      <c r="L22" s="225">
        <f t="shared" si="19"/>
        <v>93089.177599198403</v>
      </c>
      <c r="M22" s="257"/>
      <c r="N22" s="257"/>
      <c r="O22" s="257"/>
      <c r="P22" s="257"/>
      <c r="Q22" s="257"/>
      <c r="R22" s="257"/>
      <c r="S22" s="257"/>
      <c r="T22" s="257"/>
      <c r="U22" s="257"/>
      <c r="V22" s="257"/>
      <c r="W22" s="257"/>
      <c r="X22" s="257"/>
      <c r="Y22" s="257"/>
      <c r="Z22" s="257"/>
      <c r="AA22" s="257"/>
      <c r="AB22" s="257"/>
      <c r="AC22" s="257"/>
      <c r="AD22" s="257"/>
      <c r="AE22" s="257"/>
      <c r="AF22" s="257"/>
      <c r="AG22" s="257"/>
      <c r="AH22" s="257"/>
      <c r="AI22" s="257"/>
      <c r="AJ22" s="257"/>
      <c r="AK22" s="257"/>
      <c r="AL22" s="257"/>
      <c r="AM22" s="257"/>
      <c r="AN22" s="257"/>
      <c r="AO22" s="257"/>
      <c r="AP22" s="257"/>
      <c r="AQ22" s="257"/>
      <c r="AR22" s="257"/>
      <c r="AS22" s="257"/>
    </row>
    <row r="23" spans="1:45" s="222" customFormat="1" x14ac:dyDescent="0.3">
      <c r="A23" s="260" t="s">
        <v>257</v>
      </c>
      <c r="B23" s="240">
        <f>SUM(B7:E7)</f>
        <v>1505.9076604109846</v>
      </c>
      <c r="C23" s="261">
        <f>F7+G7+H7+I7</f>
        <v>4101.9517234250816</v>
      </c>
      <c r="D23" s="192">
        <f>J7+K7+L7+M7</f>
        <v>3384.3387718127133</v>
      </c>
      <c r="E23" s="192">
        <f>N7+O7+P7+Q7</f>
        <v>2526.3476867888176</v>
      </c>
      <c r="F23" s="225">
        <f>R7+S7+T7+U7</f>
        <v>1500.5179545822489</v>
      </c>
      <c r="G23" s="225">
        <f>SUM(V7:Y7)</f>
        <v>332.88016645706892</v>
      </c>
      <c r="H23" s="225"/>
      <c r="I23" s="225">
        <f>AB7+AC7+AD7+AE7</f>
        <v>0</v>
      </c>
      <c r="J23" s="225">
        <f>AF7+AG7+AH7+AI7</f>
        <v>0</v>
      </c>
      <c r="K23" s="225">
        <f>AJ7+AK7+AL7+AM7</f>
        <v>0</v>
      </c>
      <c r="L23" s="225">
        <f>AN7+AO7+AP7+AQ7</f>
        <v>0</v>
      </c>
      <c r="M23" s="257"/>
      <c r="N23" s="257"/>
      <c r="O23" s="257"/>
      <c r="P23" s="257"/>
      <c r="Q23" s="257"/>
      <c r="R23" s="257"/>
      <c r="S23" s="264"/>
      <c r="T23" s="264"/>
      <c r="U23" s="264"/>
      <c r="V23" s="264"/>
      <c r="W23" s="264"/>
      <c r="X23" s="264"/>
      <c r="Y23" s="264"/>
      <c r="Z23" s="264"/>
      <c r="AA23" s="264"/>
      <c r="AB23" s="264"/>
      <c r="AC23" s="264"/>
      <c r="AD23" s="264"/>
      <c r="AE23" s="264"/>
      <c r="AF23" s="264"/>
      <c r="AG23" s="264"/>
      <c r="AH23" s="264"/>
      <c r="AI23" s="264"/>
      <c r="AJ23" s="264"/>
      <c r="AK23" s="264"/>
      <c r="AL23" s="264"/>
      <c r="AM23" s="264"/>
      <c r="AN23" s="264"/>
      <c r="AO23" s="264"/>
      <c r="AP23" s="264"/>
      <c r="AQ23" s="264"/>
      <c r="AR23" s="264"/>
      <c r="AS23" s="264"/>
    </row>
    <row r="24" spans="1:45" ht="27.6" x14ac:dyDescent="0.3">
      <c r="A24" s="260" t="s">
        <v>258</v>
      </c>
      <c r="B24" s="240">
        <f t="shared" si="20"/>
        <v>-1762.9069387734844</v>
      </c>
      <c r="C24" s="261">
        <f t="shared" si="21"/>
        <v>10516.478339790647</v>
      </c>
      <c r="D24" s="192">
        <f t="shared" si="22"/>
        <v>14968.047689969308</v>
      </c>
      <c r="E24" s="192">
        <f t="shared" si="23"/>
        <v>27709.027806662612</v>
      </c>
      <c r="F24" s="225">
        <f t="shared" si="24"/>
        <v>36818.055268473836</v>
      </c>
      <c r="G24" s="225">
        <f t="shared" si="25"/>
        <v>46976.319419667307</v>
      </c>
      <c r="H24" s="225">
        <f t="shared" si="26"/>
        <v>57223.92664562985</v>
      </c>
      <c r="I24" s="225">
        <f t="shared" si="18"/>
        <v>68404.106095873212</v>
      </c>
      <c r="J24" s="225">
        <f t="shared" si="27"/>
        <v>75954.486930974861</v>
      </c>
      <c r="K24" s="225">
        <f t="shared" si="28"/>
        <v>83974.391652122984</v>
      </c>
      <c r="L24" s="225">
        <f t="shared" si="19"/>
        <v>93089.177599198403</v>
      </c>
      <c r="M24" s="257"/>
      <c r="N24" s="257"/>
      <c r="O24" s="257"/>
      <c r="P24" s="257"/>
      <c r="Q24" s="257"/>
      <c r="R24" s="257"/>
      <c r="S24" s="257"/>
      <c r="T24" s="257"/>
      <c r="U24" s="257"/>
      <c r="V24" s="257"/>
      <c r="W24" s="257"/>
      <c r="X24" s="257"/>
      <c r="Y24" s="257"/>
      <c r="Z24" s="257"/>
      <c r="AA24" s="257"/>
      <c r="AB24" s="257"/>
      <c r="AC24" s="257"/>
      <c r="AD24" s="257"/>
      <c r="AE24" s="257"/>
      <c r="AF24" s="257"/>
      <c r="AG24" s="257"/>
      <c r="AH24" s="257"/>
      <c r="AI24" s="257"/>
      <c r="AJ24" s="257"/>
      <c r="AK24" s="257"/>
      <c r="AL24" s="257"/>
      <c r="AM24" s="257"/>
      <c r="AN24" s="257"/>
      <c r="AO24" s="257"/>
      <c r="AP24" s="257"/>
      <c r="AQ24" s="257"/>
      <c r="AR24" s="257"/>
      <c r="AS24" s="257"/>
    </row>
    <row r="25" spans="1:45" ht="36" customHeight="1" x14ac:dyDescent="0.3">
      <c r="A25" s="260" t="s">
        <v>259</v>
      </c>
      <c r="B25" s="240">
        <v>0</v>
      </c>
      <c r="C25" s="240">
        <f>'Расходы ТОР'!C45</f>
        <v>0</v>
      </c>
      <c r="D25" s="240">
        <f>'Расходы ТОР'!D45</f>
        <v>0</v>
      </c>
      <c r="E25" s="240">
        <f>'Расходы ТОР'!E45</f>
        <v>0</v>
      </c>
      <c r="F25" s="240">
        <f>'Расходы ТОР'!F45</f>
        <v>0</v>
      </c>
      <c r="G25" s="240">
        <f>'Расходы ТОР'!G45</f>
        <v>0</v>
      </c>
      <c r="H25" s="240">
        <f>'Расходы ТОР'!H45</f>
        <v>5696.1782895629849</v>
      </c>
      <c r="I25" s="240">
        <f>'Расходы ТОР'!I45</f>
        <v>6814.8159012539882</v>
      </c>
      <c r="J25" s="240">
        <f>'Расходы ТОР'!J45</f>
        <v>7570.4736514308206</v>
      </c>
      <c r="K25" s="240">
        <f>'Расходы ТОР'!K45</f>
        <v>8373.0837902122985</v>
      </c>
      <c r="L25" s="240">
        <f>'Расходы ТОР'!L45</f>
        <v>9285.1820515865093</v>
      </c>
      <c r="M25" s="257"/>
      <c r="N25" s="257"/>
      <c r="O25" s="257"/>
      <c r="P25" s="257"/>
      <c r="Q25" s="257"/>
      <c r="R25" s="257"/>
      <c r="S25" s="257"/>
      <c r="T25" s="257"/>
      <c r="U25" s="257"/>
      <c r="V25" s="257"/>
      <c r="W25" s="257"/>
      <c r="X25" s="257"/>
      <c r="Y25" s="257"/>
      <c r="Z25" s="257"/>
      <c r="AA25" s="257"/>
      <c r="AB25" s="257"/>
      <c r="AC25" s="257"/>
      <c r="AD25" s="257"/>
      <c r="AE25" s="257"/>
      <c r="AF25" s="257"/>
      <c r="AG25" s="257"/>
      <c r="AH25" s="257"/>
      <c r="AI25" s="257"/>
      <c r="AJ25" s="257"/>
      <c r="AK25" s="257"/>
      <c r="AL25" s="257"/>
      <c r="AM25" s="257"/>
      <c r="AN25" s="257"/>
      <c r="AO25" s="257"/>
      <c r="AP25" s="257"/>
      <c r="AQ25" s="257"/>
      <c r="AR25" s="257"/>
      <c r="AS25" s="257"/>
    </row>
    <row r="26" spans="1:45" ht="27.6" x14ac:dyDescent="0.3">
      <c r="A26" s="486" t="s">
        <v>260</v>
      </c>
      <c r="B26" s="487">
        <f>B24-B25</f>
        <v>-1762.9069387734844</v>
      </c>
      <c r="C26" s="487">
        <f>C24-C25</f>
        <v>10516.478339790647</v>
      </c>
      <c r="D26" s="487">
        <f t="shared" ref="D26:L26" si="29">D24-D25</f>
        <v>14968.047689969308</v>
      </c>
      <c r="E26" s="487">
        <f t="shared" si="29"/>
        <v>27709.027806662612</v>
      </c>
      <c r="F26" s="487">
        <f t="shared" si="29"/>
        <v>36818.055268473836</v>
      </c>
      <c r="G26" s="487">
        <f>G24-G25</f>
        <v>46976.319419667307</v>
      </c>
      <c r="H26" s="487">
        <f>H24-H25</f>
        <v>51527.748356066862</v>
      </c>
      <c r="I26" s="487">
        <f t="shared" si="29"/>
        <v>61589.290194619221</v>
      </c>
      <c r="J26" s="487">
        <f t="shared" si="29"/>
        <v>68384.013279544044</v>
      </c>
      <c r="K26" s="487">
        <f t="shared" si="29"/>
        <v>75601.307861910682</v>
      </c>
      <c r="L26" s="487">
        <f t="shared" si="29"/>
        <v>83803.995547611892</v>
      </c>
      <c r="M26" s="257"/>
      <c r="N26" s="257"/>
      <c r="O26" s="257"/>
      <c r="P26" s="257"/>
      <c r="Q26" s="257"/>
      <c r="R26" s="257"/>
      <c r="S26" s="265"/>
      <c r="T26" s="257"/>
      <c r="U26" s="257"/>
      <c r="V26" s="257"/>
      <c r="W26" s="257"/>
      <c r="X26" s="257"/>
      <c r="Y26" s="257"/>
      <c r="Z26" s="257"/>
      <c r="AA26" s="257"/>
      <c r="AB26" s="257"/>
      <c r="AC26" s="257"/>
      <c r="AD26" s="257"/>
      <c r="AE26" s="257"/>
      <c r="AF26" s="257"/>
      <c r="AG26" s="257"/>
      <c r="AH26" s="257"/>
      <c r="AI26" s="257"/>
      <c r="AJ26" s="257"/>
      <c r="AK26" s="257"/>
      <c r="AL26" s="257"/>
      <c r="AM26" s="257"/>
      <c r="AN26" s="257"/>
      <c r="AO26" s="257"/>
      <c r="AP26" s="257"/>
      <c r="AQ26" s="257"/>
      <c r="AR26" s="257"/>
      <c r="AS26" s="257"/>
    </row>
    <row r="27" spans="1:45" s="222" customFormat="1" ht="27.6" x14ac:dyDescent="0.3">
      <c r="A27" s="260" t="s">
        <v>261</v>
      </c>
      <c r="B27" s="240">
        <f>SUM(B11:E11)</f>
        <v>1084.2219371541419</v>
      </c>
      <c r="C27" s="261">
        <f>SUM(F11:I11)</f>
        <v>3668.4370692702983</v>
      </c>
      <c r="D27" s="192">
        <f>L11+M11+J11+K11</f>
        <v>4386.050020882667</v>
      </c>
      <c r="E27" s="192">
        <f>P11+Q11+N11+O11</f>
        <v>5244.0411059065618</v>
      </c>
      <c r="F27" s="225">
        <f>T11+U11+R11+S11</f>
        <v>6269.87083811313</v>
      </c>
      <c r="G27" s="225">
        <f>X11+Y11+V11+W11</f>
        <v>4847.3790286731837</v>
      </c>
      <c r="H27" s="225">
        <f>AC11+AB11+Z11+AA11</f>
        <v>0</v>
      </c>
      <c r="I27" s="225">
        <f>AB11+AC11+AD11+AE11</f>
        <v>0</v>
      </c>
      <c r="J27" s="225">
        <f>AF11+AG11+AH11+AI11</f>
        <v>0</v>
      </c>
      <c r="K27" s="225">
        <f>SUM(AJ11:AM11)</f>
        <v>0</v>
      </c>
      <c r="L27" s="225">
        <f>SUM(AN11:AQ11)</f>
        <v>0</v>
      </c>
      <c r="M27" s="257"/>
      <c r="N27" s="257"/>
      <c r="O27" s="257"/>
      <c r="P27" s="257"/>
      <c r="Q27" s="257"/>
      <c r="R27" s="257"/>
      <c r="S27" s="264"/>
      <c r="T27" s="257"/>
      <c r="U27" s="257"/>
      <c r="V27" s="257"/>
      <c r="W27" s="257"/>
      <c r="X27" s="257"/>
      <c r="Y27" s="257"/>
      <c r="Z27" s="257"/>
      <c r="AA27" s="257"/>
      <c r="AB27" s="257"/>
      <c r="AC27" s="257"/>
      <c r="AD27" s="257"/>
      <c r="AE27" s="257"/>
      <c r="AF27" s="257"/>
      <c r="AG27" s="257"/>
      <c r="AH27" s="264"/>
      <c r="AI27" s="264"/>
      <c r="AJ27" s="264"/>
      <c r="AK27" s="264"/>
      <c r="AL27" s="264"/>
      <c r="AM27" s="264"/>
      <c r="AN27" s="264"/>
      <c r="AO27" s="264"/>
      <c r="AP27" s="264"/>
      <c r="AQ27" s="264"/>
      <c r="AR27" s="264"/>
      <c r="AS27" s="264"/>
    </row>
    <row r="28" spans="1:45" ht="27.6" x14ac:dyDescent="0.3">
      <c r="A28" s="260" t="s">
        <v>262</v>
      </c>
      <c r="B28" s="240">
        <f t="shared" si="20"/>
        <v>-2847.1288759276267</v>
      </c>
      <c r="C28" s="261">
        <f t="shared" si="21"/>
        <v>6848.0412705203489</v>
      </c>
      <c r="D28" s="192">
        <f t="shared" si="22"/>
        <v>10581.997669086642</v>
      </c>
      <c r="E28" s="192">
        <f t="shared" ref="E28:L28" si="30">E26</f>
        <v>27709.027806662612</v>
      </c>
      <c r="F28" s="225">
        <f t="shared" si="30"/>
        <v>36818.055268473836</v>
      </c>
      <c r="G28" s="225">
        <f t="shared" si="30"/>
        <v>46976.319419667307</v>
      </c>
      <c r="H28" s="225">
        <f t="shared" si="30"/>
        <v>51527.748356066862</v>
      </c>
      <c r="I28" s="225">
        <f t="shared" si="30"/>
        <v>61589.290194619221</v>
      </c>
      <c r="J28" s="225">
        <f t="shared" si="30"/>
        <v>68384.013279544044</v>
      </c>
      <c r="K28" s="225">
        <f t="shared" si="30"/>
        <v>75601.307861910682</v>
      </c>
      <c r="L28" s="225">
        <f t="shared" si="30"/>
        <v>83803.995547611892</v>
      </c>
      <c r="M28" s="257"/>
      <c r="N28" s="257"/>
      <c r="O28" s="257"/>
      <c r="P28" s="257"/>
      <c r="Q28" s="257"/>
      <c r="R28" s="257"/>
      <c r="S28" s="257"/>
      <c r="T28" s="257"/>
      <c r="U28" s="257"/>
      <c r="V28" s="257"/>
      <c r="W28" s="257"/>
      <c r="X28" s="257"/>
      <c r="Y28" s="257"/>
      <c r="Z28" s="257"/>
      <c r="AA28" s="257"/>
      <c r="AB28" s="257"/>
      <c r="AC28" s="257"/>
      <c r="AD28" s="257"/>
      <c r="AE28" s="257"/>
      <c r="AF28" s="257"/>
      <c r="AG28" s="257"/>
      <c r="AH28" s="257"/>
      <c r="AI28" s="257"/>
      <c r="AJ28" s="257"/>
      <c r="AK28" s="257"/>
      <c r="AL28" s="257"/>
      <c r="AM28" s="257"/>
      <c r="AN28" s="257"/>
      <c r="AO28" s="257"/>
      <c r="AP28" s="257"/>
      <c r="AQ28" s="257"/>
      <c r="AR28" s="257"/>
      <c r="AS28" s="257"/>
    </row>
    <row r="29" spans="1:45" ht="41.4" x14ac:dyDescent="0.3">
      <c r="A29" s="260" t="s">
        <v>263</v>
      </c>
      <c r="B29" s="240">
        <f t="shared" si="20"/>
        <v>1084.2219371541419</v>
      </c>
      <c r="C29" s="261">
        <f>C27</f>
        <v>3668.4370692702983</v>
      </c>
      <c r="D29" s="192">
        <f t="shared" ref="D29:G29" si="31">C29+D27</f>
        <v>8054.4870901529648</v>
      </c>
      <c r="E29" s="192">
        <f t="shared" si="31"/>
        <v>13298.528196059528</v>
      </c>
      <c r="F29" s="225">
        <f t="shared" si="31"/>
        <v>19568.399034172657</v>
      </c>
      <c r="G29" s="225">
        <f t="shared" si="31"/>
        <v>24415.778062845842</v>
      </c>
      <c r="H29" s="225"/>
      <c r="I29" s="263"/>
      <c r="J29" s="263"/>
      <c r="K29" s="263"/>
      <c r="L29" s="263"/>
      <c r="M29" s="257"/>
      <c r="N29" s="257"/>
      <c r="O29" s="257"/>
      <c r="P29" s="257"/>
      <c r="Q29" s="257"/>
      <c r="R29" s="257"/>
      <c r="S29" s="257"/>
      <c r="T29" s="257"/>
      <c r="U29" s="257"/>
      <c r="V29" s="257"/>
      <c r="W29" s="257"/>
      <c r="X29" s="257"/>
      <c r="Y29" s="257"/>
      <c r="Z29" s="257"/>
      <c r="AA29" s="257"/>
      <c r="AB29" s="257"/>
      <c r="AC29" s="257"/>
      <c r="AD29" s="257"/>
      <c r="AE29" s="257"/>
      <c r="AF29" s="257"/>
      <c r="AG29" s="257"/>
      <c r="AH29" s="257"/>
      <c r="AI29" s="257"/>
      <c r="AJ29" s="257"/>
      <c r="AK29" s="257"/>
      <c r="AL29" s="257"/>
      <c r="AM29" s="257"/>
      <c r="AN29" s="257"/>
      <c r="AO29" s="257"/>
      <c r="AP29" s="257"/>
      <c r="AQ29" s="257"/>
      <c r="AR29" s="257"/>
      <c r="AS29" s="257"/>
    </row>
    <row r="30" spans="1:45" x14ac:dyDescent="0.3">
      <c r="A30" s="260" t="s">
        <v>264</v>
      </c>
      <c r="B30" s="240">
        <f t="shared" si="20"/>
        <v>2590.1295975651265</v>
      </c>
      <c r="C30" s="261">
        <f>F14+G14+H14+I14</f>
        <v>7770.3887926953794</v>
      </c>
      <c r="D30" s="192">
        <f>J14+K14+L14+M14</f>
        <v>7770.3887926953794</v>
      </c>
      <c r="E30" s="192">
        <f>N14+O14+P14+Q14</f>
        <v>7770.3887926953794</v>
      </c>
      <c r="F30" s="225">
        <f>R14+S14+T14+U14</f>
        <v>7770.3887926953794</v>
      </c>
      <c r="G30" s="225">
        <f>V14+W14+X14+Y14</f>
        <v>5180.2591951302529</v>
      </c>
      <c r="H30" s="225">
        <f>Z14+AA14+AB14+AC14</f>
        <v>0</v>
      </c>
      <c r="I30" s="225">
        <f>AD14+AE14+AF14+AG14</f>
        <v>0</v>
      </c>
      <c r="J30" s="225">
        <f>SUM(AH14:AK14)</f>
        <v>0</v>
      </c>
      <c r="K30" s="225">
        <f>SUM(AL14:AO14)</f>
        <v>0</v>
      </c>
      <c r="L30" s="225">
        <f>SUM(AP14:AS14)</f>
        <v>0</v>
      </c>
      <c r="M30" s="257"/>
      <c r="N30" s="257"/>
      <c r="O30" s="257"/>
      <c r="P30" s="257"/>
      <c r="Q30" s="257"/>
      <c r="R30" s="257"/>
      <c r="S30" s="257"/>
      <c r="T30" s="257"/>
      <c r="U30" s="257"/>
      <c r="V30" s="257"/>
      <c r="W30" s="257"/>
      <c r="X30" s="257"/>
      <c r="Y30" s="257"/>
      <c r="Z30" s="257"/>
      <c r="AA30" s="257"/>
      <c r="AB30" s="257"/>
      <c r="AC30" s="257"/>
      <c r="AD30" s="257"/>
      <c r="AE30" s="257"/>
      <c r="AF30" s="257"/>
      <c r="AG30" s="257"/>
      <c r="AH30" s="257"/>
      <c r="AI30" s="257"/>
      <c r="AJ30" s="257"/>
      <c r="AK30" s="257"/>
      <c r="AL30" s="257"/>
      <c r="AM30" s="257"/>
      <c r="AN30" s="257"/>
      <c r="AO30" s="257"/>
      <c r="AP30" s="257"/>
      <c r="AQ30" s="257"/>
      <c r="AR30" s="257"/>
      <c r="AS30" s="257"/>
    </row>
    <row r="31" spans="1:45" ht="27.6" x14ac:dyDescent="0.3">
      <c r="A31" s="260" t="s">
        <v>265</v>
      </c>
      <c r="B31" s="240">
        <f t="shared" si="20"/>
        <v>2590.1295975651265</v>
      </c>
      <c r="C31" s="261">
        <f>C30</f>
        <v>7770.3887926953794</v>
      </c>
      <c r="D31" s="192">
        <f t="shared" ref="D31:G31" si="32">C31+D30</f>
        <v>15540.777585390759</v>
      </c>
      <c r="E31" s="192">
        <f t="shared" si="32"/>
        <v>23311.166378086138</v>
      </c>
      <c r="F31" s="225">
        <f t="shared" si="32"/>
        <v>31081.555170781518</v>
      </c>
      <c r="G31" s="225">
        <f t="shared" si="32"/>
        <v>36261.81436591177</v>
      </c>
      <c r="H31" s="263"/>
      <c r="I31" s="225"/>
      <c r="J31" s="225"/>
      <c r="K31" s="225"/>
      <c r="L31" s="225"/>
      <c r="M31" s="257"/>
      <c r="N31" s="257"/>
      <c r="O31" s="257"/>
      <c r="P31" s="257"/>
      <c r="Q31" s="257"/>
      <c r="R31" s="257"/>
      <c r="S31" s="257"/>
      <c r="T31" s="257"/>
      <c r="U31" s="257"/>
      <c r="V31" s="257"/>
      <c r="W31" s="257"/>
      <c r="X31" s="257"/>
      <c r="Y31" s="257"/>
      <c r="Z31" s="257"/>
      <c r="AA31" s="257"/>
      <c r="AB31" s="257"/>
      <c r="AC31" s="257"/>
      <c r="AD31" s="257"/>
      <c r="AE31" s="257"/>
      <c r="AF31" s="257"/>
      <c r="AG31" s="257"/>
      <c r="AH31" s="257"/>
      <c r="AI31" s="257"/>
      <c r="AJ31" s="257"/>
      <c r="AK31" s="257"/>
      <c r="AL31" s="257"/>
      <c r="AM31" s="257"/>
      <c r="AN31" s="257"/>
      <c r="AO31" s="257"/>
      <c r="AP31" s="257"/>
      <c r="AQ31" s="257"/>
      <c r="AR31" s="257"/>
      <c r="AS31" s="257"/>
    </row>
    <row r="32" spans="1:45" x14ac:dyDescent="0.3">
      <c r="A32" s="266"/>
      <c r="B32" s="266"/>
      <c r="C32" s="267"/>
      <c r="D32" s="267"/>
      <c r="E32" s="267"/>
      <c r="F32" s="257"/>
      <c r="G32" s="257"/>
      <c r="H32" s="257"/>
      <c r="I32" s="257"/>
      <c r="J32" s="257"/>
      <c r="K32" s="257"/>
      <c r="L32" s="257"/>
      <c r="M32" s="257"/>
      <c r="N32" s="257"/>
      <c r="O32" s="257"/>
      <c r="P32" s="257"/>
      <c r="Q32" s="257"/>
      <c r="R32" s="257"/>
      <c r="S32" s="257"/>
      <c r="T32" s="257"/>
      <c r="U32" s="257"/>
      <c r="V32" s="257"/>
      <c r="W32" s="257"/>
      <c r="X32" s="257"/>
      <c r="Y32" s="257"/>
      <c r="Z32" s="257"/>
      <c r="AA32" s="257"/>
      <c r="AB32" s="257"/>
      <c r="AC32" s="257"/>
      <c r="AD32" s="257"/>
      <c r="AE32" s="257"/>
      <c r="AF32" s="257"/>
      <c r="AG32" s="257"/>
      <c r="AH32" s="257"/>
      <c r="AI32" s="257"/>
      <c r="AJ32" s="257"/>
      <c r="AK32" s="257"/>
      <c r="AL32" s="257"/>
      <c r="AM32" s="257"/>
      <c r="AN32" s="257"/>
      <c r="AO32" s="257"/>
      <c r="AP32" s="257"/>
      <c r="AQ32" s="257"/>
      <c r="AR32" s="257"/>
      <c r="AS32" s="257"/>
    </row>
    <row r="33" spans="1:45" x14ac:dyDescent="0.3">
      <c r="A33" s="266"/>
      <c r="B33" s="195"/>
      <c r="C33" s="195"/>
      <c r="D33" s="195"/>
      <c r="E33" s="195"/>
      <c r="F33" s="195"/>
      <c r="G33" s="195"/>
      <c r="H33" s="195"/>
      <c r="I33" s="195"/>
      <c r="J33" s="195"/>
      <c r="K33" s="195"/>
      <c r="L33" s="195"/>
      <c r="M33" s="257"/>
      <c r="N33" s="257"/>
      <c r="O33" s="257"/>
      <c r="P33" s="257"/>
      <c r="Q33" s="257"/>
      <c r="R33" s="257"/>
      <c r="S33" s="257"/>
      <c r="T33" s="257"/>
      <c r="U33" s="257"/>
      <c r="V33" s="257"/>
      <c r="W33" s="257"/>
      <c r="X33" s="257"/>
      <c r="Y33" s="257"/>
      <c r="Z33" s="257"/>
      <c r="AA33" s="257"/>
      <c r="AB33" s="257"/>
      <c r="AC33" s="257"/>
      <c r="AD33" s="257"/>
      <c r="AE33" s="257"/>
      <c r="AF33" s="257"/>
      <c r="AG33" s="257"/>
      <c r="AH33" s="257"/>
      <c r="AI33" s="257"/>
      <c r="AJ33" s="257"/>
      <c r="AK33" s="257"/>
      <c r="AL33" s="257"/>
      <c r="AM33" s="257"/>
      <c r="AN33" s="257"/>
      <c r="AO33" s="257"/>
      <c r="AP33" s="257"/>
      <c r="AQ33" s="257"/>
      <c r="AR33" s="257"/>
      <c r="AS33" s="257"/>
    </row>
    <row r="34" spans="1:45" x14ac:dyDescent="0.3">
      <c r="B34" s="195"/>
      <c r="C34" s="195"/>
      <c r="D34" s="195"/>
      <c r="E34" s="195"/>
      <c r="F34" s="257"/>
      <c r="G34" s="257"/>
      <c r="H34" s="257"/>
      <c r="I34" s="257"/>
      <c r="J34" s="257"/>
      <c r="K34" s="257"/>
      <c r="L34" s="257"/>
      <c r="M34" s="257"/>
      <c r="N34" s="257"/>
      <c r="O34" s="257"/>
      <c r="P34" s="257"/>
      <c r="Q34" s="257"/>
      <c r="R34" s="257"/>
      <c r="S34" s="257"/>
      <c r="T34" s="257"/>
      <c r="U34" s="257"/>
      <c r="V34" s="257"/>
      <c r="W34" s="257"/>
      <c r="X34" s="257"/>
      <c r="Y34" s="257"/>
      <c r="Z34" s="257"/>
      <c r="AA34" s="257"/>
      <c r="AB34" s="257"/>
      <c r="AC34" s="257"/>
      <c r="AD34" s="257"/>
      <c r="AE34" s="257"/>
      <c r="AF34" s="257"/>
      <c r="AG34" s="257"/>
      <c r="AH34" s="257"/>
      <c r="AI34" s="257"/>
      <c r="AJ34" s="257"/>
      <c r="AK34" s="257"/>
      <c r="AL34" s="257"/>
      <c r="AM34" s="257"/>
      <c r="AN34" s="257"/>
      <c r="AO34" s="257"/>
      <c r="AP34" s="257"/>
      <c r="AQ34" s="257"/>
      <c r="AR34" s="257"/>
      <c r="AS34" s="257"/>
    </row>
    <row r="35" spans="1:45" x14ac:dyDescent="0.3">
      <c r="B35" s="194"/>
      <c r="C35" s="194"/>
      <c r="D35" s="194"/>
      <c r="E35" s="194"/>
      <c r="F35" s="257"/>
      <c r="G35" s="257"/>
      <c r="H35" s="257"/>
      <c r="I35" s="257"/>
      <c r="J35" s="257"/>
      <c r="K35" s="257"/>
      <c r="L35" s="257"/>
      <c r="M35" s="257"/>
      <c r="N35" s="257"/>
      <c r="O35" s="257"/>
      <c r="P35" s="257"/>
      <c r="Q35" s="257"/>
      <c r="R35" s="257"/>
      <c r="S35" s="257"/>
      <c r="T35" s="257"/>
      <c r="U35" s="257"/>
      <c r="V35" s="257"/>
      <c r="W35" s="257"/>
      <c r="X35" s="257"/>
      <c r="Y35" s="257"/>
      <c r="Z35" s="257"/>
      <c r="AA35" s="257"/>
      <c r="AB35" s="257"/>
      <c r="AC35" s="257"/>
      <c r="AD35" s="257"/>
      <c r="AE35" s="257"/>
      <c r="AF35" s="257"/>
      <c r="AG35" s="257"/>
      <c r="AH35" s="257"/>
      <c r="AI35" s="257"/>
      <c r="AJ35" s="257"/>
      <c r="AK35" s="257"/>
      <c r="AL35" s="257"/>
      <c r="AM35" s="257"/>
      <c r="AN35" s="257"/>
      <c r="AO35" s="257"/>
      <c r="AP35" s="257"/>
      <c r="AQ35" s="257"/>
      <c r="AR35" s="257"/>
      <c r="AS35" s="257"/>
    </row>
    <row r="36" spans="1:45" x14ac:dyDescent="0.3">
      <c r="C36" s="194"/>
      <c r="D36" s="194"/>
      <c r="E36" s="194"/>
      <c r="F36" s="194"/>
      <c r="G36" s="194"/>
      <c r="H36" s="194"/>
      <c r="I36" s="194"/>
      <c r="J36" s="194"/>
      <c r="K36" s="194"/>
      <c r="L36" s="194"/>
      <c r="M36" s="194"/>
      <c r="N36" s="194"/>
      <c r="O36" s="194"/>
      <c r="P36" s="194"/>
      <c r="Q36" s="194"/>
      <c r="R36" s="257"/>
      <c r="S36" s="257"/>
      <c r="T36" s="257"/>
      <c r="U36" s="257"/>
      <c r="V36" s="257"/>
      <c r="W36" s="257"/>
      <c r="X36" s="257"/>
      <c r="Y36" s="257"/>
      <c r="Z36" s="257"/>
      <c r="AA36" s="257"/>
      <c r="AB36" s="257"/>
      <c r="AC36" s="257"/>
      <c r="AD36" s="257"/>
      <c r="AE36" s="257"/>
      <c r="AF36" s="257"/>
      <c r="AG36" s="257"/>
      <c r="AH36" s="257"/>
      <c r="AI36" s="257"/>
      <c r="AJ36" s="257"/>
      <c r="AK36" s="257"/>
      <c r="AL36" s="257"/>
      <c r="AM36" s="257"/>
      <c r="AN36" s="257"/>
      <c r="AO36" s="257"/>
      <c r="AP36" s="257"/>
      <c r="AQ36" s="257"/>
      <c r="AR36" s="257"/>
      <c r="AS36" s="257"/>
    </row>
    <row r="37" spans="1:45" x14ac:dyDescent="0.3">
      <c r="B37" s="194"/>
      <c r="C37" s="194"/>
      <c r="D37" s="194"/>
      <c r="E37" s="194"/>
      <c r="F37" s="194"/>
      <c r="G37" s="194"/>
      <c r="H37" s="194"/>
      <c r="I37" s="194"/>
      <c r="J37" s="194"/>
      <c r="K37" s="194"/>
      <c r="L37" s="194"/>
      <c r="M37" s="194"/>
      <c r="N37" s="194"/>
      <c r="O37" s="194"/>
      <c r="P37" s="194"/>
      <c r="Q37" s="194"/>
      <c r="R37" s="194"/>
      <c r="S37" s="194"/>
      <c r="T37" s="257"/>
      <c r="U37" s="257"/>
      <c r="V37" s="257"/>
      <c r="W37" s="257"/>
      <c r="X37" s="257"/>
      <c r="Y37" s="257"/>
      <c r="Z37" s="257"/>
      <c r="AA37" s="257"/>
      <c r="AB37" s="257"/>
      <c r="AC37" s="257"/>
      <c r="AD37" s="257"/>
      <c r="AE37" s="257"/>
      <c r="AF37" s="257"/>
      <c r="AG37" s="257"/>
      <c r="AH37" s="257"/>
      <c r="AI37" s="257"/>
      <c r="AJ37" s="257"/>
      <c r="AK37" s="257"/>
      <c r="AL37" s="257"/>
      <c r="AM37" s="257"/>
      <c r="AN37" s="257"/>
      <c r="AO37" s="257"/>
      <c r="AP37" s="257"/>
      <c r="AQ37" s="257"/>
      <c r="AR37" s="257"/>
      <c r="AS37" s="257"/>
    </row>
    <row r="38" spans="1:45" x14ac:dyDescent="0.3">
      <c r="C38" s="233"/>
      <c r="D38" s="233"/>
      <c r="E38" s="257"/>
      <c r="F38" s="257"/>
      <c r="G38" s="257"/>
      <c r="H38" s="257"/>
      <c r="I38" s="257"/>
      <c r="J38" s="257"/>
      <c r="K38" s="257"/>
      <c r="L38" s="257"/>
      <c r="M38" s="257"/>
      <c r="N38" s="257"/>
      <c r="O38" s="257"/>
      <c r="P38" s="233"/>
      <c r="Q38" s="233"/>
      <c r="R38" s="233"/>
      <c r="S38" s="233"/>
      <c r="T38" s="257"/>
      <c r="U38" s="257"/>
      <c r="V38" s="257"/>
      <c r="W38" s="257"/>
      <c r="X38" s="257"/>
      <c r="Y38" s="257"/>
      <c r="Z38" s="257"/>
      <c r="AA38" s="257"/>
      <c r="AB38" s="257"/>
      <c r="AC38" s="257"/>
      <c r="AD38" s="257"/>
      <c r="AE38" s="257"/>
      <c r="AF38" s="257"/>
      <c r="AG38" s="257"/>
      <c r="AH38" s="257"/>
      <c r="AI38" s="257"/>
      <c r="AJ38" s="257"/>
      <c r="AK38" s="257"/>
      <c r="AL38" s="257"/>
      <c r="AM38" s="257"/>
      <c r="AN38" s="257"/>
      <c r="AO38" s="257"/>
      <c r="AP38" s="257"/>
      <c r="AQ38" s="257"/>
      <c r="AR38" s="257"/>
      <c r="AS38" s="257"/>
    </row>
    <row r="39" spans="1:45" ht="11.25" customHeight="1" x14ac:dyDescent="0.3">
      <c r="F39" s="257"/>
      <c r="G39" s="257"/>
      <c r="H39" s="257"/>
      <c r="I39" s="257"/>
      <c r="J39" s="257"/>
      <c r="K39" s="257"/>
      <c r="L39" s="257"/>
      <c r="M39" s="257"/>
      <c r="N39" s="257"/>
      <c r="O39" s="257"/>
      <c r="P39" s="257"/>
      <c r="Q39" s="257"/>
      <c r="R39" s="257"/>
      <c r="S39" s="257"/>
      <c r="T39" s="257"/>
      <c r="U39" s="257"/>
      <c r="V39" s="257"/>
      <c r="W39" s="257"/>
      <c r="X39" s="257"/>
      <c r="Y39" s="257"/>
      <c r="Z39" s="257"/>
      <c r="AA39" s="257"/>
      <c r="AB39" s="257"/>
      <c r="AC39" s="257"/>
      <c r="AD39" s="257"/>
      <c r="AE39" s="257"/>
      <c r="AF39" s="257"/>
      <c r="AG39" s="257"/>
      <c r="AH39" s="257"/>
      <c r="AI39" s="257"/>
      <c r="AJ39" s="257"/>
      <c r="AK39" s="257"/>
      <c r="AL39" s="257"/>
      <c r="AM39" s="257"/>
      <c r="AN39" s="257"/>
      <c r="AO39" s="257"/>
      <c r="AP39" s="257"/>
      <c r="AQ39" s="257"/>
      <c r="AR39" s="257"/>
      <c r="AS39" s="257"/>
    </row>
    <row r="40" spans="1:45" x14ac:dyDescent="0.3">
      <c r="B40" s="194"/>
      <c r="C40" s="194"/>
      <c r="D40" s="194"/>
      <c r="E40" s="194"/>
      <c r="F40" s="194"/>
      <c r="G40" s="194"/>
      <c r="H40" s="194"/>
      <c r="I40" s="194"/>
      <c r="J40" s="194"/>
      <c r="K40" s="194"/>
      <c r="L40" s="194"/>
      <c r="M40" s="194"/>
      <c r="N40" s="194"/>
      <c r="O40" s="194"/>
      <c r="P40" s="194"/>
      <c r="Q40" s="257"/>
      <c r="R40" s="257"/>
      <c r="S40" s="257"/>
      <c r="T40" s="257"/>
      <c r="U40" s="257"/>
      <c r="V40" s="257"/>
      <c r="W40" s="257"/>
      <c r="X40" s="257"/>
      <c r="Y40" s="257"/>
      <c r="Z40" s="257"/>
      <c r="AA40" s="257"/>
      <c r="AB40" s="257"/>
      <c r="AC40" s="257"/>
      <c r="AD40" s="257"/>
      <c r="AE40" s="257"/>
      <c r="AF40" s="257"/>
      <c r="AG40" s="257"/>
      <c r="AH40" s="257"/>
      <c r="AI40" s="257"/>
      <c r="AJ40" s="257"/>
      <c r="AK40" s="257"/>
      <c r="AL40" s="257"/>
      <c r="AM40" s="257"/>
      <c r="AN40" s="257"/>
      <c r="AO40" s="257"/>
      <c r="AP40" s="257"/>
      <c r="AQ40" s="257"/>
      <c r="AR40" s="257"/>
      <c r="AS40" s="257"/>
    </row>
    <row r="41" spans="1:45" x14ac:dyDescent="0.3">
      <c r="F41" s="257"/>
      <c r="G41" s="257"/>
      <c r="H41" s="257"/>
      <c r="I41" s="257"/>
      <c r="J41" s="257"/>
      <c r="K41" s="257"/>
      <c r="L41" s="257"/>
      <c r="M41" s="257"/>
      <c r="N41" s="257"/>
      <c r="O41" s="257"/>
      <c r="P41" s="257"/>
      <c r="Q41" s="257"/>
      <c r="R41" s="257"/>
      <c r="S41" s="257"/>
      <c r="T41" s="257"/>
      <c r="U41" s="257"/>
      <c r="V41" s="257"/>
      <c r="W41" s="257"/>
      <c r="X41" s="257"/>
      <c r="Y41" s="257"/>
      <c r="Z41" s="257"/>
      <c r="AA41" s="257"/>
      <c r="AB41" s="257"/>
      <c r="AC41" s="257"/>
      <c r="AD41" s="257"/>
      <c r="AE41" s="257"/>
      <c r="AF41" s="257"/>
      <c r="AG41" s="257"/>
      <c r="AH41" s="257"/>
      <c r="AI41" s="257"/>
      <c r="AJ41" s="257"/>
      <c r="AK41" s="257"/>
      <c r="AL41" s="257"/>
      <c r="AM41" s="257"/>
      <c r="AN41" s="257"/>
      <c r="AO41" s="257"/>
      <c r="AP41" s="257"/>
      <c r="AQ41" s="257"/>
      <c r="AR41" s="257"/>
      <c r="AS41" s="257"/>
    </row>
    <row r="42" spans="1:45" x14ac:dyDescent="0.3">
      <c r="E42" s="194"/>
      <c r="F42" s="257"/>
      <c r="G42" s="257"/>
      <c r="H42" s="257"/>
      <c r="I42" s="257"/>
      <c r="J42" s="257"/>
      <c r="K42" s="257"/>
      <c r="L42" s="257"/>
      <c r="M42" s="257"/>
      <c r="N42" s="257"/>
      <c r="O42" s="257"/>
      <c r="P42" s="257"/>
      <c r="Q42" s="257"/>
      <c r="R42" s="257"/>
      <c r="S42" s="257"/>
      <c r="T42" s="257"/>
      <c r="U42" s="257"/>
      <c r="V42" s="257"/>
      <c r="W42" s="257"/>
      <c r="X42" s="257"/>
      <c r="Y42" s="257"/>
      <c r="Z42" s="257"/>
      <c r="AA42" s="257"/>
      <c r="AB42" s="257"/>
      <c r="AC42" s="257"/>
      <c r="AD42" s="257"/>
      <c r="AE42" s="257"/>
      <c r="AF42" s="257"/>
      <c r="AG42" s="257"/>
      <c r="AH42" s="257"/>
      <c r="AI42" s="257"/>
      <c r="AJ42" s="257"/>
      <c r="AK42" s="257"/>
      <c r="AL42" s="257"/>
      <c r="AM42" s="257"/>
      <c r="AN42" s="257"/>
      <c r="AO42" s="257"/>
      <c r="AP42" s="257"/>
      <c r="AQ42" s="257"/>
      <c r="AR42" s="257"/>
      <c r="AS42" s="257"/>
    </row>
    <row r="43" spans="1:45" x14ac:dyDescent="0.3">
      <c r="F43" s="257"/>
      <c r="G43" s="257"/>
      <c r="H43" s="257"/>
      <c r="I43" s="257"/>
      <c r="J43" s="257"/>
      <c r="K43" s="257"/>
      <c r="L43" s="257"/>
      <c r="M43" s="257"/>
      <c r="N43" s="257"/>
      <c r="O43" s="257"/>
      <c r="P43" s="257"/>
      <c r="Q43" s="257"/>
      <c r="R43" s="257"/>
      <c r="S43" s="257"/>
      <c r="T43" s="257"/>
      <c r="U43" s="257"/>
      <c r="V43" s="257"/>
      <c r="W43" s="257"/>
      <c r="X43" s="257"/>
      <c r="Y43" s="257"/>
      <c r="Z43" s="257"/>
      <c r="AA43" s="257"/>
      <c r="AB43" s="257"/>
      <c r="AC43" s="257"/>
      <c r="AD43" s="257"/>
      <c r="AE43" s="257"/>
      <c r="AF43" s="257"/>
      <c r="AG43" s="257"/>
      <c r="AH43" s="257"/>
      <c r="AI43" s="257"/>
      <c r="AJ43" s="257"/>
      <c r="AK43" s="257"/>
      <c r="AL43" s="257"/>
      <c r="AM43" s="257"/>
      <c r="AN43" s="257"/>
      <c r="AO43" s="257"/>
      <c r="AP43" s="257"/>
      <c r="AQ43" s="257"/>
      <c r="AR43" s="257"/>
      <c r="AS43" s="257"/>
    </row>
    <row r="44" spans="1:45" x14ac:dyDescent="0.3">
      <c r="F44" s="257"/>
      <c r="G44" s="257"/>
      <c r="H44" s="257"/>
      <c r="I44" s="257"/>
      <c r="J44" s="257"/>
      <c r="K44" s="257"/>
      <c r="L44" s="257"/>
      <c r="M44" s="257"/>
      <c r="N44" s="257"/>
      <c r="O44" s="257"/>
      <c r="P44" s="257"/>
      <c r="Q44" s="257"/>
      <c r="R44" s="257"/>
      <c r="S44" s="257"/>
      <c r="T44" s="257"/>
      <c r="U44" s="257"/>
      <c r="V44" s="257"/>
      <c r="W44" s="257"/>
      <c r="X44" s="257"/>
      <c r="Y44" s="257"/>
      <c r="Z44" s="257"/>
      <c r="AA44" s="257"/>
      <c r="AB44" s="257"/>
      <c r="AC44" s="257"/>
      <c r="AD44" s="257"/>
      <c r="AE44" s="257"/>
      <c r="AF44" s="257"/>
      <c r="AG44" s="257"/>
      <c r="AH44" s="257"/>
      <c r="AI44" s="257"/>
      <c r="AJ44" s="257"/>
      <c r="AK44" s="257"/>
      <c r="AL44" s="257"/>
      <c r="AM44" s="257"/>
      <c r="AN44" s="257"/>
      <c r="AO44" s="257"/>
      <c r="AP44" s="257"/>
      <c r="AQ44" s="257"/>
      <c r="AR44" s="257"/>
      <c r="AS44" s="257"/>
    </row>
    <row r="45" spans="1:45" x14ac:dyDescent="0.3">
      <c r="F45" s="257"/>
      <c r="G45" s="257"/>
      <c r="H45" s="257"/>
      <c r="I45" s="257"/>
      <c r="J45" s="257"/>
      <c r="K45" s="257"/>
      <c r="L45" s="257"/>
      <c r="M45" s="257"/>
      <c r="N45" s="257"/>
      <c r="O45" s="257"/>
      <c r="P45" s="257"/>
      <c r="Q45" s="257"/>
      <c r="R45" s="257"/>
      <c r="S45" s="257"/>
      <c r="T45" s="257"/>
      <c r="U45" s="257"/>
      <c r="V45" s="257"/>
      <c r="W45" s="257"/>
      <c r="X45" s="257"/>
      <c r="Y45" s="257"/>
      <c r="Z45" s="257"/>
      <c r="AA45" s="257"/>
      <c r="AB45" s="257"/>
      <c r="AC45" s="257"/>
      <c r="AD45" s="257"/>
      <c r="AE45" s="257"/>
      <c r="AF45" s="257"/>
      <c r="AG45" s="257"/>
      <c r="AH45" s="257"/>
      <c r="AI45" s="257"/>
      <c r="AJ45" s="257"/>
      <c r="AK45" s="257"/>
      <c r="AL45" s="257"/>
      <c r="AM45" s="257"/>
      <c r="AN45" s="257"/>
      <c r="AO45" s="257"/>
      <c r="AP45" s="257"/>
      <c r="AQ45" s="257"/>
      <c r="AR45" s="257"/>
      <c r="AS45" s="257"/>
    </row>
    <row r="46" spans="1:45" x14ac:dyDescent="0.3">
      <c r="B46" s="194"/>
      <c r="F46" s="257"/>
      <c r="G46" s="257"/>
      <c r="H46" s="257"/>
      <c r="I46" s="257"/>
      <c r="J46" s="257"/>
      <c r="K46" s="257"/>
      <c r="L46" s="257"/>
      <c r="M46" s="257"/>
      <c r="N46" s="257"/>
      <c r="O46" s="257"/>
      <c r="P46" s="257"/>
      <c r="Q46" s="257"/>
      <c r="R46" s="257"/>
      <c r="S46" s="257"/>
      <c r="T46" s="257"/>
      <c r="U46" s="257"/>
      <c r="V46" s="257"/>
      <c r="W46" s="257"/>
      <c r="X46" s="257"/>
      <c r="Y46" s="257"/>
      <c r="Z46" s="257"/>
      <c r="AA46" s="257"/>
      <c r="AB46" s="257"/>
      <c r="AC46" s="257"/>
      <c r="AD46" s="257"/>
      <c r="AE46" s="257"/>
      <c r="AF46" s="257"/>
      <c r="AG46" s="257"/>
      <c r="AH46" s="257"/>
      <c r="AI46" s="257"/>
      <c r="AJ46" s="257"/>
      <c r="AK46" s="257"/>
      <c r="AL46" s="257"/>
      <c r="AM46" s="257"/>
      <c r="AN46" s="257"/>
      <c r="AO46" s="257"/>
      <c r="AP46" s="257"/>
      <c r="AQ46" s="257"/>
      <c r="AR46" s="257"/>
      <c r="AS46" s="257"/>
    </row>
    <row r="47" spans="1:45" x14ac:dyDescent="0.3">
      <c r="A47" s="257"/>
      <c r="B47" s="257"/>
      <c r="C47" s="257"/>
      <c r="D47" s="257"/>
      <c r="E47" s="257"/>
      <c r="F47" s="257"/>
      <c r="G47" s="257"/>
      <c r="H47" s="257"/>
      <c r="I47" s="257"/>
      <c r="J47" s="257"/>
      <c r="K47" s="257"/>
      <c r="L47" s="257"/>
      <c r="M47" s="257"/>
      <c r="N47" s="257"/>
      <c r="O47" s="257"/>
      <c r="P47" s="257"/>
      <c r="Q47" s="257"/>
      <c r="R47" s="257"/>
      <c r="S47" s="257"/>
      <c r="T47" s="257"/>
      <c r="U47" s="257"/>
      <c r="V47" s="257"/>
      <c r="W47" s="257"/>
      <c r="X47" s="257"/>
      <c r="Y47" s="257"/>
      <c r="Z47" s="257"/>
      <c r="AA47" s="257"/>
      <c r="AB47" s="257"/>
      <c r="AC47" s="257"/>
      <c r="AD47" s="257"/>
      <c r="AE47" s="257"/>
      <c r="AF47" s="257"/>
      <c r="AG47" s="257"/>
      <c r="AH47" s="257"/>
      <c r="AI47" s="257"/>
      <c r="AJ47" s="257"/>
      <c r="AK47" s="257"/>
      <c r="AL47" s="257"/>
      <c r="AM47" s="257"/>
      <c r="AN47" s="257"/>
      <c r="AO47" s="257"/>
      <c r="AP47" s="257"/>
      <c r="AQ47" s="257"/>
      <c r="AR47" s="257"/>
      <c r="AS47" s="257"/>
    </row>
    <row r="48" spans="1:45" x14ac:dyDescent="0.3">
      <c r="B48" s="268"/>
      <c r="F48" s="257"/>
      <c r="G48" s="257"/>
      <c r="H48" s="257"/>
      <c r="I48" s="257"/>
      <c r="J48" s="257"/>
      <c r="K48" s="257"/>
      <c r="L48" s="257"/>
      <c r="M48" s="257"/>
      <c r="N48" s="257"/>
      <c r="O48" s="257"/>
      <c r="P48" s="257"/>
      <c r="Q48" s="257"/>
      <c r="R48" s="257"/>
      <c r="S48" s="257"/>
      <c r="T48" s="257"/>
      <c r="U48" s="257"/>
      <c r="V48" s="257"/>
      <c r="W48" s="257"/>
      <c r="X48" s="257"/>
      <c r="Y48" s="257"/>
      <c r="Z48" s="257"/>
      <c r="AA48" s="257"/>
      <c r="AB48" s="257"/>
      <c r="AC48" s="257"/>
      <c r="AD48" s="257"/>
      <c r="AE48" s="257"/>
      <c r="AF48" s="257"/>
      <c r="AG48" s="257"/>
      <c r="AH48" s="257"/>
      <c r="AI48" s="257"/>
      <c r="AJ48" s="257"/>
      <c r="AK48" s="257"/>
      <c r="AL48" s="257"/>
      <c r="AM48" s="257"/>
      <c r="AN48" s="257"/>
      <c r="AO48" s="257"/>
      <c r="AP48" s="257"/>
      <c r="AQ48" s="257"/>
      <c r="AR48" s="257"/>
      <c r="AS48" s="257"/>
    </row>
    <row r="49" spans="2:45" x14ac:dyDescent="0.3">
      <c r="B49" s="194"/>
      <c r="F49" s="257"/>
      <c r="G49" s="257"/>
      <c r="H49" s="257"/>
      <c r="I49" s="257"/>
      <c r="J49" s="257"/>
      <c r="K49" s="257"/>
      <c r="L49" s="257"/>
      <c r="M49" s="257"/>
      <c r="N49" s="257"/>
      <c r="O49" s="257"/>
      <c r="P49" s="257"/>
      <c r="Q49" s="257"/>
      <c r="R49" s="257"/>
      <c r="S49" s="257"/>
      <c r="T49" s="257"/>
      <c r="U49" s="257"/>
      <c r="V49" s="257"/>
      <c r="W49" s="257"/>
      <c r="X49" s="257"/>
      <c r="Y49" s="257"/>
      <c r="Z49" s="257"/>
      <c r="AA49" s="257"/>
      <c r="AB49" s="257"/>
      <c r="AC49" s="257"/>
      <c r="AD49" s="257"/>
      <c r="AE49" s="257"/>
      <c r="AF49" s="257"/>
      <c r="AG49" s="257"/>
      <c r="AH49" s="257"/>
      <c r="AI49" s="257"/>
      <c r="AJ49" s="257"/>
      <c r="AK49" s="257"/>
      <c r="AL49" s="257"/>
      <c r="AM49" s="257"/>
      <c r="AN49" s="257"/>
      <c r="AO49" s="257"/>
      <c r="AP49" s="257"/>
      <c r="AQ49" s="257"/>
      <c r="AR49" s="257"/>
      <c r="AS49" s="257"/>
    </row>
    <row r="50" spans="2:45" x14ac:dyDescent="0.3">
      <c r="B50" s="269"/>
      <c r="F50" s="257"/>
      <c r="G50" s="257"/>
      <c r="H50" s="257"/>
      <c r="I50" s="257"/>
      <c r="J50" s="257"/>
      <c r="K50" s="257"/>
      <c r="L50" s="257"/>
      <c r="M50" s="257"/>
      <c r="N50" s="257"/>
      <c r="O50" s="257"/>
      <c r="P50" s="257"/>
      <c r="Q50" s="257"/>
      <c r="R50" s="257"/>
      <c r="S50" s="257"/>
      <c r="T50" s="257"/>
      <c r="U50" s="257"/>
      <c r="V50" s="257"/>
      <c r="W50" s="257"/>
      <c r="X50" s="257"/>
      <c r="Y50" s="257"/>
      <c r="Z50" s="257"/>
      <c r="AA50" s="257"/>
      <c r="AB50" s="257"/>
      <c r="AC50" s="257"/>
      <c r="AD50" s="257"/>
      <c r="AE50" s="257"/>
      <c r="AF50" s="257"/>
      <c r="AG50" s="257"/>
      <c r="AH50" s="257"/>
      <c r="AI50" s="257"/>
      <c r="AJ50" s="257"/>
      <c r="AK50" s="257"/>
      <c r="AL50" s="257"/>
      <c r="AM50" s="257"/>
      <c r="AN50" s="257"/>
      <c r="AO50" s="257"/>
      <c r="AP50" s="257"/>
      <c r="AQ50" s="257"/>
      <c r="AR50" s="257"/>
      <c r="AS50" s="257"/>
    </row>
    <row r="51" spans="2:45" x14ac:dyDescent="0.3">
      <c r="B51" s="269"/>
      <c r="C51" s="194"/>
      <c r="D51" s="194"/>
      <c r="E51" s="194"/>
      <c r="F51" s="257"/>
      <c r="G51" s="257"/>
      <c r="H51" s="257"/>
      <c r="I51" s="257"/>
      <c r="J51" s="257"/>
      <c r="K51" s="257"/>
      <c r="L51" s="257"/>
      <c r="M51" s="257"/>
      <c r="N51" s="257"/>
      <c r="O51" s="257"/>
      <c r="P51" s="257"/>
      <c r="Q51" s="257"/>
      <c r="R51" s="257"/>
      <c r="S51" s="257"/>
      <c r="T51" s="257"/>
      <c r="U51" s="257"/>
      <c r="V51" s="257"/>
      <c r="W51" s="257"/>
      <c r="X51" s="257"/>
      <c r="Y51" s="257"/>
      <c r="Z51" s="257"/>
      <c r="AA51" s="257"/>
      <c r="AB51" s="257"/>
      <c r="AC51" s="257"/>
      <c r="AD51" s="257"/>
      <c r="AE51" s="257"/>
      <c r="AF51" s="257"/>
      <c r="AG51" s="257"/>
      <c r="AH51" s="257"/>
      <c r="AI51" s="257"/>
      <c r="AJ51" s="257"/>
      <c r="AK51" s="257"/>
      <c r="AL51" s="257"/>
      <c r="AM51" s="257"/>
      <c r="AN51" s="257"/>
      <c r="AO51" s="257"/>
      <c r="AP51" s="257"/>
      <c r="AQ51" s="257"/>
      <c r="AR51" s="257"/>
      <c r="AS51" s="257"/>
    </row>
    <row r="52" spans="2:45" x14ac:dyDescent="0.3">
      <c r="B52" s="270"/>
      <c r="F52" s="257"/>
      <c r="G52" s="257"/>
      <c r="H52" s="257"/>
      <c r="I52" s="257"/>
      <c r="J52" s="257"/>
      <c r="K52" s="257"/>
      <c r="L52" s="257"/>
      <c r="M52" s="257"/>
      <c r="N52" s="257"/>
      <c r="O52" s="257"/>
      <c r="P52" s="257"/>
      <c r="Q52" s="257"/>
      <c r="R52" s="257"/>
      <c r="S52" s="257"/>
      <c r="T52" s="257"/>
      <c r="U52" s="257"/>
      <c r="V52" s="257"/>
      <c r="W52" s="257"/>
      <c r="X52" s="257"/>
      <c r="Y52" s="257"/>
      <c r="Z52" s="257"/>
      <c r="AA52" s="257"/>
      <c r="AB52" s="257"/>
      <c r="AC52" s="257"/>
      <c r="AD52" s="257"/>
      <c r="AE52" s="257"/>
      <c r="AF52" s="257"/>
      <c r="AG52" s="257"/>
      <c r="AH52" s="257"/>
      <c r="AI52" s="257"/>
      <c r="AJ52" s="257"/>
      <c r="AK52" s="257"/>
      <c r="AL52" s="257"/>
      <c r="AM52" s="257"/>
      <c r="AN52" s="257"/>
      <c r="AO52" s="257"/>
      <c r="AP52" s="257"/>
      <c r="AQ52" s="257"/>
      <c r="AR52" s="257"/>
      <c r="AS52" s="257"/>
    </row>
    <row r="53" spans="2:45" x14ac:dyDescent="0.3">
      <c r="B53" s="269"/>
      <c r="C53" s="269"/>
      <c r="D53" s="269"/>
      <c r="F53" s="257"/>
      <c r="G53" s="257"/>
      <c r="H53" s="257"/>
      <c r="I53" s="257"/>
      <c r="J53" s="257"/>
      <c r="K53" s="257"/>
      <c r="L53" s="257"/>
      <c r="M53" s="257"/>
      <c r="N53" s="257"/>
      <c r="O53" s="257"/>
      <c r="P53" s="257"/>
      <c r="Q53" s="257"/>
      <c r="R53" s="257"/>
      <c r="S53" s="257"/>
      <c r="T53" s="257"/>
      <c r="U53" s="257"/>
      <c r="V53" s="257"/>
      <c r="W53" s="257"/>
      <c r="X53" s="257"/>
      <c r="Y53" s="257"/>
      <c r="Z53" s="257"/>
      <c r="AA53" s="257"/>
      <c r="AB53" s="257"/>
      <c r="AC53" s="257"/>
      <c r="AD53" s="257"/>
      <c r="AE53" s="257"/>
      <c r="AF53" s="257"/>
      <c r="AG53" s="257"/>
      <c r="AH53" s="257"/>
      <c r="AI53" s="257"/>
      <c r="AJ53" s="257"/>
      <c r="AK53" s="257"/>
      <c r="AL53" s="257"/>
      <c r="AM53" s="257"/>
      <c r="AN53" s="257"/>
      <c r="AO53" s="257"/>
      <c r="AP53" s="257"/>
      <c r="AQ53" s="257"/>
      <c r="AR53" s="257"/>
      <c r="AS53" s="257"/>
    </row>
    <row r="54" spans="2:45" x14ac:dyDescent="0.3">
      <c r="F54" s="257"/>
      <c r="G54" s="257"/>
      <c r="H54" s="257"/>
      <c r="I54" s="257"/>
      <c r="J54" s="257"/>
      <c r="K54" s="257"/>
      <c r="L54" s="257"/>
      <c r="M54" s="257"/>
      <c r="N54" s="257"/>
      <c r="O54" s="257"/>
      <c r="P54" s="257"/>
      <c r="Q54" s="257"/>
      <c r="R54" s="257"/>
      <c r="S54" s="257"/>
      <c r="T54" s="257"/>
      <c r="U54" s="257"/>
      <c r="V54" s="257"/>
      <c r="W54" s="257"/>
      <c r="X54" s="257"/>
      <c r="Y54" s="257"/>
      <c r="Z54" s="257"/>
      <c r="AA54" s="257"/>
      <c r="AB54" s="257"/>
      <c r="AC54" s="257"/>
      <c r="AD54" s="257"/>
      <c r="AE54" s="257"/>
      <c r="AF54" s="257"/>
      <c r="AG54" s="257"/>
      <c r="AH54" s="257"/>
      <c r="AI54" s="257"/>
      <c r="AJ54" s="257"/>
      <c r="AK54" s="257"/>
      <c r="AL54" s="257"/>
      <c r="AM54" s="257"/>
      <c r="AN54" s="257"/>
      <c r="AO54" s="257"/>
      <c r="AP54" s="257"/>
      <c r="AQ54" s="257"/>
      <c r="AR54" s="257"/>
      <c r="AS54" s="257"/>
    </row>
    <row r="55" spans="2:45" x14ac:dyDescent="0.3">
      <c r="F55" s="257"/>
      <c r="G55" s="257"/>
      <c r="H55" s="257"/>
      <c r="I55" s="257"/>
      <c r="J55" s="257"/>
      <c r="K55" s="257"/>
      <c r="L55" s="257"/>
      <c r="M55" s="257"/>
      <c r="N55" s="257"/>
      <c r="O55" s="257"/>
      <c r="P55" s="257"/>
      <c r="Q55" s="257"/>
      <c r="R55" s="257"/>
      <c r="S55" s="257"/>
      <c r="T55" s="257"/>
      <c r="U55" s="257"/>
      <c r="V55" s="257"/>
      <c r="W55" s="257"/>
      <c r="X55" s="257"/>
      <c r="Y55" s="257"/>
      <c r="Z55" s="257"/>
      <c r="AA55" s="257"/>
      <c r="AB55" s="257"/>
      <c r="AC55" s="257"/>
      <c r="AD55" s="257"/>
      <c r="AE55" s="257"/>
      <c r="AF55" s="257"/>
      <c r="AG55" s="257"/>
      <c r="AH55" s="257"/>
      <c r="AI55" s="257"/>
      <c r="AJ55" s="257"/>
      <c r="AK55" s="257"/>
      <c r="AL55" s="257"/>
      <c r="AM55" s="257"/>
      <c r="AN55" s="257"/>
      <c r="AO55" s="257"/>
      <c r="AP55" s="257"/>
      <c r="AQ55" s="257"/>
      <c r="AR55" s="257"/>
      <c r="AS55" s="257"/>
    </row>
    <row r="56" spans="2:45" x14ac:dyDescent="0.2">
      <c r="D56" s="271"/>
      <c r="F56" s="257"/>
      <c r="G56" s="257"/>
      <c r="H56" s="257"/>
      <c r="I56" s="257"/>
      <c r="J56" s="257"/>
      <c r="K56" s="257"/>
      <c r="L56" s="257"/>
      <c r="M56" s="257"/>
      <c r="N56" s="257"/>
      <c r="O56" s="257"/>
      <c r="P56" s="257"/>
      <c r="Q56" s="257"/>
      <c r="R56" s="257"/>
      <c r="S56" s="257"/>
      <c r="T56" s="257"/>
      <c r="U56" s="257"/>
      <c r="V56" s="257"/>
      <c r="W56" s="257"/>
      <c r="X56" s="257"/>
      <c r="Y56" s="257"/>
      <c r="Z56" s="257"/>
      <c r="AA56" s="257"/>
      <c r="AB56" s="257"/>
      <c r="AC56" s="257"/>
      <c r="AD56" s="257"/>
      <c r="AE56" s="257"/>
      <c r="AF56" s="257"/>
      <c r="AG56" s="257"/>
      <c r="AH56" s="257"/>
      <c r="AI56" s="257"/>
      <c r="AJ56" s="257"/>
      <c r="AK56" s="257"/>
      <c r="AL56" s="257"/>
      <c r="AM56" s="257"/>
      <c r="AN56" s="257"/>
      <c r="AO56" s="257"/>
      <c r="AP56" s="257"/>
      <c r="AQ56" s="257"/>
      <c r="AR56" s="257"/>
      <c r="AS56" s="257"/>
    </row>
    <row r="57" spans="2:45" ht="18" x14ac:dyDescent="0.35">
      <c r="D57" s="272"/>
      <c r="F57" s="257"/>
      <c r="G57" s="257"/>
      <c r="H57" s="257"/>
      <c r="I57" s="257"/>
      <c r="J57" s="257"/>
      <c r="K57" s="257"/>
      <c r="L57" s="257"/>
      <c r="M57" s="257"/>
      <c r="N57" s="257"/>
      <c r="O57" s="257"/>
      <c r="P57" s="257"/>
      <c r="Q57" s="257"/>
      <c r="R57" s="257"/>
      <c r="S57" s="257"/>
      <c r="T57" s="257"/>
      <c r="U57" s="257"/>
      <c r="V57" s="257"/>
      <c r="W57" s="257"/>
      <c r="X57" s="257"/>
      <c r="Y57" s="257"/>
      <c r="Z57" s="257"/>
      <c r="AA57" s="257"/>
      <c r="AB57" s="257"/>
      <c r="AC57" s="257"/>
      <c r="AD57" s="257"/>
      <c r="AE57" s="257"/>
      <c r="AF57" s="257"/>
      <c r="AG57" s="257"/>
      <c r="AH57" s="257"/>
      <c r="AI57" s="257"/>
      <c r="AJ57" s="257"/>
      <c r="AK57" s="257"/>
      <c r="AL57" s="257"/>
      <c r="AM57" s="257"/>
      <c r="AN57" s="257"/>
      <c r="AO57" s="257"/>
      <c r="AP57" s="257"/>
      <c r="AQ57" s="257"/>
      <c r="AR57" s="257"/>
      <c r="AS57" s="257"/>
    </row>
    <row r="58" spans="2:45" ht="18" x14ac:dyDescent="0.35">
      <c r="B58" s="675"/>
      <c r="C58" s="675"/>
      <c r="D58" s="675"/>
      <c r="E58" s="675"/>
      <c r="F58" s="257"/>
      <c r="G58" s="257"/>
      <c r="H58" s="257"/>
      <c r="I58" s="257"/>
      <c r="J58" s="257"/>
      <c r="K58" s="257"/>
      <c r="L58" s="257"/>
      <c r="M58" s="257"/>
      <c r="N58" s="257"/>
      <c r="O58" s="257"/>
      <c r="P58" s="257"/>
      <c r="Q58" s="257"/>
      <c r="R58" s="257"/>
      <c r="S58" s="257"/>
      <c r="T58" s="257"/>
      <c r="U58" s="257"/>
      <c r="V58" s="257"/>
      <c r="W58" s="257"/>
      <c r="X58" s="257"/>
      <c r="Y58" s="257"/>
      <c r="Z58" s="257"/>
      <c r="AA58" s="257"/>
      <c r="AB58" s="257"/>
      <c r="AC58" s="257"/>
      <c r="AD58" s="257"/>
      <c r="AE58" s="257"/>
      <c r="AF58" s="257"/>
      <c r="AG58" s="257"/>
      <c r="AH58" s="257"/>
      <c r="AI58" s="257"/>
      <c r="AJ58" s="257"/>
      <c r="AK58" s="257"/>
      <c r="AL58" s="257"/>
      <c r="AM58" s="257"/>
      <c r="AN58" s="257"/>
      <c r="AO58" s="257"/>
      <c r="AP58" s="257"/>
      <c r="AQ58" s="257"/>
      <c r="AR58" s="257"/>
      <c r="AS58" s="257"/>
    </row>
    <row r="59" spans="2:45" ht="27" customHeight="1" x14ac:dyDescent="0.3">
      <c r="F59" s="257"/>
      <c r="G59" s="257"/>
      <c r="H59" s="257"/>
      <c r="I59" s="257"/>
      <c r="J59" s="257"/>
      <c r="K59" s="257"/>
      <c r="L59" s="257"/>
      <c r="M59" s="257"/>
      <c r="N59" s="257"/>
      <c r="O59" s="257"/>
      <c r="P59" s="257"/>
      <c r="Q59" s="257"/>
      <c r="R59" s="257"/>
      <c r="S59" s="257"/>
      <c r="T59" s="257"/>
      <c r="U59" s="257"/>
      <c r="V59" s="257"/>
      <c r="W59" s="257"/>
      <c r="X59" s="257"/>
      <c r="Y59" s="257"/>
      <c r="Z59" s="257"/>
      <c r="AA59" s="257"/>
      <c r="AB59" s="257"/>
      <c r="AC59" s="257"/>
      <c r="AD59" s="257"/>
      <c r="AE59" s="257"/>
      <c r="AF59" s="257"/>
      <c r="AG59" s="257"/>
      <c r="AH59" s="257"/>
      <c r="AI59" s="257"/>
      <c r="AJ59" s="257"/>
      <c r="AK59" s="257"/>
      <c r="AL59" s="257"/>
      <c r="AM59" s="257"/>
      <c r="AN59" s="257"/>
      <c r="AO59" s="257"/>
      <c r="AP59" s="257"/>
      <c r="AQ59" s="257"/>
      <c r="AR59" s="257"/>
      <c r="AS59" s="257"/>
    </row>
    <row r="60" spans="2:45" ht="18" x14ac:dyDescent="0.35">
      <c r="B60" s="675"/>
      <c r="C60" s="675"/>
      <c r="D60" s="675"/>
      <c r="E60" s="675"/>
      <c r="F60" s="257"/>
      <c r="G60" s="257"/>
      <c r="H60" s="257"/>
      <c r="I60" s="257"/>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57"/>
      <c r="AI60" s="257"/>
      <c r="AJ60" s="257"/>
      <c r="AK60" s="257"/>
      <c r="AL60" s="257"/>
      <c r="AM60" s="257"/>
      <c r="AN60" s="257"/>
      <c r="AO60" s="257"/>
      <c r="AP60" s="257"/>
      <c r="AQ60" s="257"/>
      <c r="AR60" s="257"/>
      <c r="AS60" s="257"/>
    </row>
    <row r="61" spans="2:45" x14ac:dyDescent="0.3">
      <c r="F61" s="257"/>
      <c r="G61" s="257"/>
      <c r="H61" s="257"/>
      <c r="I61" s="257"/>
      <c r="J61" s="257"/>
      <c r="K61" s="257"/>
      <c r="L61" s="257"/>
      <c r="M61" s="257"/>
      <c r="N61" s="257"/>
      <c r="O61" s="257"/>
      <c r="P61" s="257"/>
      <c r="Q61" s="257"/>
      <c r="R61" s="257"/>
      <c r="S61" s="257"/>
      <c r="T61" s="257"/>
      <c r="U61" s="257"/>
      <c r="V61" s="257"/>
      <c r="W61" s="257"/>
      <c r="X61" s="257"/>
      <c r="Y61" s="257"/>
      <c r="Z61" s="257"/>
      <c r="AA61" s="257"/>
      <c r="AB61" s="257"/>
      <c r="AC61" s="257"/>
      <c r="AD61" s="257"/>
      <c r="AE61" s="257"/>
      <c r="AF61" s="257"/>
      <c r="AG61" s="257"/>
      <c r="AH61" s="257"/>
      <c r="AI61" s="257"/>
      <c r="AJ61" s="257"/>
      <c r="AK61" s="257"/>
      <c r="AL61" s="257"/>
      <c r="AM61" s="257"/>
      <c r="AN61" s="257"/>
      <c r="AO61" s="257"/>
      <c r="AP61" s="257"/>
      <c r="AQ61" s="257"/>
      <c r="AR61" s="257"/>
      <c r="AS61" s="257"/>
    </row>
    <row r="62" spans="2:45" x14ac:dyDescent="0.3">
      <c r="F62" s="257"/>
      <c r="G62" s="257"/>
      <c r="H62" s="257"/>
      <c r="I62" s="257"/>
      <c r="J62" s="257"/>
      <c r="K62" s="257"/>
      <c r="L62" s="257"/>
      <c r="M62" s="257"/>
      <c r="N62" s="257"/>
      <c r="O62" s="257"/>
      <c r="P62" s="257"/>
      <c r="Q62" s="257"/>
      <c r="R62" s="257"/>
      <c r="S62" s="257"/>
      <c r="T62" s="257"/>
      <c r="U62" s="257"/>
      <c r="V62" s="257"/>
      <c r="W62" s="257"/>
      <c r="X62" s="257"/>
      <c r="Y62" s="257"/>
      <c r="Z62" s="257"/>
      <c r="AA62" s="257"/>
      <c r="AB62" s="257"/>
      <c r="AC62" s="257"/>
      <c r="AD62" s="257"/>
      <c r="AE62" s="257"/>
      <c r="AF62" s="257"/>
      <c r="AG62" s="257"/>
      <c r="AH62" s="257"/>
      <c r="AI62" s="257"/>
      <c r="AJ62" s="257"/>
      <c r="AK62" s="257"/>
      <c r="AL62" s="257"/>
      <c r="AM62" s="257"/>
      <c r="AN62" s="257"/>
      <c r="AO62" s="257"/>
      <c r="AP62" s="257"/>
      <c r="AQ62" s="257"/>
      <c r="AR62" s="257"/>
      <c r="AS62" s="257"/>
    </row>
    <row r="63" spans="2:45" x14ac:dyDescent="0.3">
      <c r="F63" s="257"/>
      <c r="G63" s="257"/>
      <c r="H63" s="257"/>
      <c r="I63" s="257"/>
      <c r="J63" s="257"/>
      <c r="K63" s="257"/>
      <c r="L63" s="257"/>
      <c r="M63" s="257"/>
      <c r="N63" s="257"/>
      <c r="O63" s="257"/>
      <c r="P63" s="257"/>
      <c r="Q63" s="257"/>
      <c r="R63" s="257"/>
      <c r="S63" s="257"/>
      <c r="T63" s="257"/>
      <c r="U63" s="257"/>
      <c r="V63" s="257"/>
      <c r="W63" s="257"/>
      <c r="X63" s="257"/>
      <c r="Y63" s="257"/>
      <c r="Z63" s="257"/>
      <c r="AA63" s="257"/>
      <c r="AB63" s="257"/>
      <c r="AC63" s="257"/>
      <c r="AD63" s="257"/>
      <c r="AE63" s="257"/>
      <c r="AF63" s="257"/>
      <c r="AG63" s="257"/>
      <c r="AH63" s="257"/>
      <c r="AI63" s="257"/>
      <c r="AJ63" s="257"/>
      <c r="AK63" s="257"/>
      <c r="AL63" s="257"/>
      <c r="AM63" s="257"/>
      <c r="AN63" s="257"/>
      <c r="AO63" s="257"/>
      <c r="AP63" s="257"/>
      <c r="AQ63" s="257"/>
      <c r="AR63" s="257"/>
      <c r="AS63" s="257"/>
    </row>
  </sheetData>
  <mergeCells count="3">
    <mergeCell ref="A1:AC1"/>
    <mergeCell ref="B58:E58"/>
    <mergeCell ref="B60:E60"/>
  </mergeCells>
  <pageMargins left="0.7" right="0.7" top="0.75" bottom="0.75" header="0.3" footer="0.3"/>
  <pageSetup paperSize="8" scale="63" firstPageNumber="2147483648"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T49"/>
  <sheetViews>
    <sheetView zoomScale="80" zoomScaleNormal="80" workbookViewId="0">
      <selection activeCell="B29" sqref="B29"/>
    </sheetView>
  </sheetViews>
  <sheetFormatPr defaultColWidth="9.109375" defaultRowHeight="14.4" x14ac:dyDescent="0.3"/>
  <cols>
    <col min="1" max="1" width="30.109375" style="62" customWidth="1"/>
    <col min="2" max="2" width="11.5546875" style="62" customWidth="1"/>
    <col min="3" max="3" width="11.88671875" style="62" customWidth="1"/>
    <col min="4" max="4" width="11" style="62" customWidth="1"/>
    <col min="5" max="5" width="11.88671875" style="62" customWidth="1"/>
    <col min="6" max="6" width="11.6640625" style="62" customWidth="1"/>
    <col min="7" max="7" width="13.5546875" style="62" customWidth="1"/>
    <col min="8" max="8" width="13.6640625" style="62" customWidth="1"/>
    <col min="9" max="9" width="13.88671875" style="62" customWidth="1"/>
    <col min="10" max="10" width="11.33203125" style="62" customWidth="1"/>
    <col min="11" max="11" width="12" style="62" customWidth="1"/>
    <col min="12" max="12" width="12.88671875" style="62" customWidth="1"/>
    <col min="13" max="13" width="11.44140625" style="62" customWidth="1"/>
    <col min="14" max="14" width="11.109375" style="62" customWidth="1"/>
    <col min="15" max="15" width="11.33203125" style="62" customWidth="1"/>
    <col min="16" max="16" width="12.44140625" style="62" customWidth="1"/>
    <col min="17" max="17" width="12.109375" style="62" customWidth="1"/>
    <col min="18" max="18" width="11.88671875" style="62" customWidth="1"/>
    <col min="19" max="20" width="12" style="62" customWidth="1"/>
    <col min="21" max="21" width="12.44140625" style="62" customWidth="1"/>
    <col min="22" max="22" width="12" style="62" customWidth="1"/>
    <col min="23" max="23" width="12.6640625" style="62" customWidth="1"/>
    <col min="24" max="24" width="11.44140625" style="62" customWidth="1"/>
    <col min="25" max="26" width="11.6640625" style="62" customWidth="1"/>
    <col min="27" max="27" width="11.88671875" style="62" customWidth="1"/>
    <col min="28" max="28" width="12.109375" style="62" customWidth="1"/>
    <col min="29" max="29" width="12.44140625" style="62" customWidth="1"/>
    <col min="30" max="30" width="11.33203125" style="62" customWidth="1"/>
    <col min="31" max="31" width="13.44140625" style="62" customWidth="1"/>
    <col min="32" max="32" width="11.88671875" style="62" customWidth="1"/>
    <col min="33" max="33" width="11.33203125" style="62" customWidth="1"/>
    <col min="34" max="34" width="11.44140625" style="62" customWidth="1"/>
    <col min="35" max="35" width="11.6640625" style="62" customWidth="1"/>
    <col min="36" max="36" width="11.109375" style="62" customWidth="1"/>
    <col min="37" max="37" width="11.33203125" style="62" customWidth="1"/>
    <col min="38" max="38" width="11.109375" style="62" customWidth="1"/>
    <col min="39" max="39" width="15" style="62" customWidth="1"/>
    <col min="40" max="40" width="14" style="62" customWidth="1"/>
    <col min="41" max="41" width="13.6640625" style="62" customWidth="1"/>
    <col min="42" max="43" width="14.33203125" style="62" customWidth="1"/>
    <col min="44" max="44" width="12.44140625" style="62" customWidth="1"/>
    <col min="45" max="45" width="12.5546875" style="62" customWidth="1"/>
    <col min="46" max="46" width="13.88671875" style="62" customWidth="1"/>
    <col min="47" max="16384" width="9.109375" style="62"/>
  </cols>
  <sheetData>
    <row r="1" spans="1:46" x14ac:dyDescent="0.3">
      <c r="A1" s="62" t="s">
        <v>52</v>
      </c>
    </row>
    <row r="2" spans="1:46" s="515" customFormat="1" x14ac:dyDescent="0.3">
      <c r="B2" s="526" t="s">
        <v>380</v>
      </c>
      <c r="C2" s="515" t="str">
        <f>'выручка по кв и годам'!D1</f>
        <v>I кв. 1 г.</v>
      </c>
      <c r="D2" s="515" t="str">
        <f>'выручка по кв и годам'!E1</f>
        <v>II кв. 1 г.</v>
      </c>
      <c r="E2" s="515" t="str">
        <f>'выручка по кв и годам'!F1</f>
        <v>III кв. 1 г.</v>
      </c>
      <c r="F2" s="515" t="str">
        <f>'выручка по кв и годам'!G1</f>
        <v>IV кв. 1 г.</v>
      </c>
      <c r="G2" s="515" t="str">
        <f>'выручка по кв и годам'!H1</f>
        <v>I кв. 2 г.</v>
      </c>
      <c r="H2" s="515" t="str">
        <f>'выручка по кв и годам'!I1</f>
        <v>II кв. 2 г.</v>
      </c>
      <c r="I2" s="515" t="str">
        <f>'выручка по кв и годам'!J1</f>
        <v>III кв. 2 г.</v>
      </c>
      <c r="J2" s="515" t="str">
        <f>'выручка по кв и годам'!K1</f>
        <v>IV кв. 2 г.</v>
      </c>
      <c r="K2" s="515" t="str">
        <f>'выручка по кв и годам'!L1</f>
        <v>I кв. 3 г.</v>
      </c>
      <c r="L2" s="515" t="str">
        <f>'выручка по кв и годам'!M1</f>
        <v>II кв. 3 г.</v>
      </c>
      <c r="M2" s="515" t="str">
        <f>'выручка по кв и годам'!N1</f>
        <v>III кв. 3 г.</v>
      </c>
      <c r="N2" s="515" t="str">
        <f>'выручка по кв и годам'!O1</f>
        <v>IV кв. 3 г.</v>
      </c>
      <c r="O2" s="515" t="str">
        <f>'выручка по кв и годам'!P1</f>
        <v>I кв. 4 г.</v>
      </c>
      <c r="P2" s="515" t="str">
        <f>'выручка по кв и годам'!Q1</f>
        <v>II кв. 4 г.</v>
      </c>
      <c r="Q2" s="515" t="str">
        <f>'выручка по кв и годам'!R1</f>
        <v>III кв. 4 г.</v>
      </c>
      <c r="R2" s="515" t="str">
        <f>'выручка по кв и годам'!S1</f>
        <v>IV кв. 4 г.</v>
      </c>
      <c r="S2" s="515" t="str">
        <f>'выручка по кв и годам'!T1</f>
        <v>I кв. 5 г.</v>
      </c>
      <c r="T2" s="515" t="str">
        <f>'выручка по кв и годам'!U1</f>
        <v>II кв. 5 г.</v>
      </c>
      <c r="U2" s="515" t="str">
        <f>'выручка по кв и годам'!V1</f>
        <v>III кв. 5 г.</v>
      </c>
      <c r="V2" s="515" t="str">
        <f>'выручка по кв и годам'!W1</f>
        <v>IV кв. 5 г.</v>
      </c>
      <c r="W2" s="515" t="str">
        <f>'выручка по кв и годам'!X1</f>
        <v>I кв. 6 г.</v>
      </c>
      <c r="X2" s="515" t="str">
        <f>'выручка по кв и годам'!Y1</f>
        <v>II кв. 6 г.</v>
      </c>
      <c r="Y2" s="515" t="str">
        <f>'выручка по кв и годам'!Z1</f>
        <v>III кв. 6 г.</v>
      </c>
      <c r="Z2" s="515" t="str">
        <f>'выручка по кв и годам'!AA1</f>
        <v>IV кв. 6 г.</v>
      </c>
      <c r="AA2" s="515" t="str">
        <f>'выручка по кв и годам'!AB1</f>
        <v>I кв. 7 г.</v>
      </c>
      <c r="AB2" s="515" t="str">
        <f>'выручка по кв и годам'!AC1</f>
        <v>II кв. 7 г.</v>
      </c>
      <c r="AC2" s="515" t="str">
        <f>'выручка по кв и годам'!AD1</f>
        <v>III кв. 7 г.</v>
      </c>
      <c r="AD2" s="515" t="str">
        <f>'выручка по кв и годам'!AE1</f>
        <v>IV кв. 7 г.</v>
      </c>
      <c r="AE2" s="515" t="str">
        <f>'выручка по кв и годам'!AF1</f>
        <v>I кв. 8 г.</v>
      </c>
      <c r="AF2" s="515" t="str">
        <f>'выручка по кв и годам'!AG1</f>
        <v>II кв. 8 г.</v>
      </c>
      <c r="AG2" s="515" t="str">
        <f>'выручка по кв и годам'!AH1</f>
        <v>III кв. 8 г.</v>
      </c>
      <c r="AH2" s="515" t="str">
        <f>'выручка по кв и годам'!AI1</f>
        <v>IV кв. 8 г.</v>
      </c>
      <c r="AI2" s="515" t="str">
        <f>'выручка по кв и годам'!AJ1</f>
        <v>I кв. 9 г.</v>
      </c>
      <c r="AJ2" s="515" t="str">
        <f>'выручка по кв и годам'!AK1</f>
        <v>II кв. 9 г.</v>
      </c>
      <c r="AK2" s="515" t="str">
        <f>'выручка по кв и годам'!AL1</f>
        <v>III кв. 9 г.</v>
      </c>
      <c r="AL2" s="515" t="str">
        <f>'выручка по кв и годам'!AM1</f>
        <v>IV кв. 9 г.</v>
      </c>
      <c r="AM2" s="515" t="str">
        <f>'выручка по кв и годам'!AN1</f>
        <v>I кв. 10 г.</v>
      </c>
      <c r="AN2" s="515" t="str">
        <f>'выручка по кв и годам'!AO1</f>
        <v>II кв. 10 г.</v>
      </c>
      <c r="AO2" s="515" t="str">
        <f>'выручка по кв и годам'!AP1</f>
        <v>III кв. 10 г.</v>
      </c>
      <c r="AP2" s="515" t="str">
        <f>'выручка по кв и годам'!AQ1</f>
        <v>IV кв. 10 г.</v>
      </c>
      <c r="AQ2" s="515" t="str">
        <f>'выручка по кв и годам'!AR1</f>
        <v>I кв. 11 г.</v>
      </c>
      <c r="AR2" s="515" t="str">
        <f>'выручка по кв и годам'!AS1</f>
        <v>II кв. 11 г.</v>
      </c>
      <c r="AS2" s="515" t="str">
        <f>'выручка по кв и годам'!AT1</f>
        <v>III кв. 11 г.</v>
      </c>
      <c r="AT2" s="515" t="str">
        <f>'выручка по кв и годам'!AU1</f>
        <v>IV кв. 11 г.</v>
      </c>
    </row>
    <row r="3" spans="1:46" x14ac:dyDescent="0.3">
      <c r="A3" s="66" t="str">
        <f>'объем работ 100% загр'!A10</f>
        <v>Кирпич клинкерный</v>
      </c>
      <c r="B3" s="610" t="s">
        <v>407</v>
      </c>
      <c r="C3" s="62">
        <f>'объем работ 100% загр'!C10</f>
        <v>0</v>
      </c>
      <c r="D3" s="62">
        <f>C3</f>
        <v>0</v>
      </c>
      <c r="E3" s="62">
        <f t="shared" ref="E3:F3" si="0">D3</f>
        <v>0</v>
      </c>
      <c r="F3" s="62">
        <f t="shared" si="0"/>
        <v>0</v>
      </c>
      <c r="G3" s="62">
        <f>'объем работ 100% загр'!D10/4</f>
        <v>955499.99999999988</v>
      </c>
      <c r="H3" s="62">
        <f>G3</f>
        <v>955499.99999999988</v>
      </c>
      <c r="I3" s="62">
        <f t="shared" ref="I3:J3" si="1">H3</f>
        <v>955499.99999999988</v>
      </c>
      <c r="J3" s="62">
        <f t="shared" si="1"/>
        <v>955499.99999999988</v>
      </c>
      <c r="K3" s="62">
        <f>'объем работ 100% загр'!E10/4</f>
        <v>1170000</v>
      </c>
      <c r="L3" s="62">
        <f>K3</f>
        <v>1170000</v>
      </c>
      <c r="M3" s="62">
        <f t="shared" ref="M3:N3" si="2">L3</f>
        <v>1170000</v>
      </c>
      <c r="N3" s="62">
        <f t="shared" si="2"/>
        <v>1170000</v>
      </c>
      <c r="O3" s="62">
        <f>'объем работ 100% загр'!F10/4</f>
        <v>1404000</v>
      </c>
      <c r="P3" s="62">
        <f>O3</f>
        <v>1404000</v>
      </c>
      <c r="Q3" s="62">
        <f t="shared" ref="Q3:R3" si="3">P3</f>
        <v>1404000</v>
      </c>
      <c r="R3" s="62">
        <f t="shared" si="3"/>
        <v>1404000</v>
      </c>
      <c r="S3" s="62">
        <f>'объем работ 100% загр'!G10/4</f>
        <v>1491750</v>
      </c>
      <c r="T3" s="62">
        <f>S3</f>
        <v>1491750</v>
      </c>
      <c r="U3" s="62">
        <f t="shared" ref="U3:V3" si="4">T3</f>
        <v>1491750</v>
      </c>
      <c r="V3" s="62">
        <f t="shared" si="4"/>
        <v>1491750</v>
      </c>
      <c r="W3" s="62">
        <f>'объем работ 100% загр'!H10/4</f>
        <v>1579500.0000000005</v>
      </c>
      <c r="X3" s="62">
        <f>W3</f>
        <v>1579500.0000000005</v>
      </c>
      <c r="Y3" s="62">
        <f t="shared" ref="Y3:Z3" si="5">X3</f>
        <v>1579500.0000000005</v>
      </c>
      <c r="Z3" s="62">
        <f t="shared" si="5"/>
        <v>1579500.0000000005</v>
      </c>
      <c r="AA3" s="62">
        <f>'объем работ 100% загр'!I10/4</f>
        <v>1667250.0000000005</v>
      </c>
      <c r="AB3" s="62">
        <f>AA3</f>
        <v>1667250.0000000005</v>
      </c>
      <c r="AC3" s="62">
        <f t="shared" ref="AC3:AD3" si="6">AB3</f>
        <v>1667250.0000000005</v>
      </c>
      <c r="AD3" s="62">
        <f t="shared" si="6"/>
        <v>1667250.0000000005</v>
      </c>
      <c r="AE3" s="62">
        <f>'объем работ 100% загр'!J10/4</f>
        <v>1755000.0000000005</v>
      </c>
      <c r="AF3" s="62">
        <f>AE3</f>
        <v>1755000.0000000005</v>
      </c>
      <c r="AG3" s="62">
        <f t="shared" ref="AG3:AH3" si="7">AF3</f>
        <v>1755000.0000000005</v>
      </c>
      <c r="AH3" s="62">
        <f t="shared" si="7"/>
        <v>1755000.0000000005</v>
      </c>
      <c r="AI3" s="62">
        <f>'объем работ 100% загр'!K10/4</f>
        <v>1755000.0000000005</v>
      </c>
      <c r="AJ3" s="62">
        <f>AI3</f>
        <v>1755000.0000000005</v>
      </c>
      <c r="AK3" s="62">
        <f t="shared" ref="AK3:AL3" si="8">AJ3</f>
        <v>1755000.0000000005</v>
      </c>
      <c r="AL3" s="62">
        <f t="shared" si="8"/>
        <v>1755000.0000000005</v>
      </c>
      <c r="AM3" s="62">
        <f>'объем работ 100% загр'!L10/4</f>
        <v>1755000</v>
      </c>
      <c r="AN3" s="62">
        <f>AM3</f>
        <v>1755000</v>
      </c>
      <c r="AO3" s="62">
        <f t="shared" ref="AO3:AP3" si="9">AN3</f>
        <v>1755000</v>
      </c>
      <c r="AP3" s="62">
        <f t="shared" si="9"/>
        <v>1755000</v>
      </c>
      <c r="AQ3" s="62">
        <f>'объем работ 100% загр'!M10/4</f>
        <v>1755000</v>
      </c>
      <c r="AR3" s="62">
        <f>AQ3</f>
        <v>1755000</v>
      </c>
      <c r="AS3" s="62">
        <f t="shared" ref="AS3:AT3" si="10">AR3</f>
        <v>1755000</v>
      </c>
      <c r="AT3" s="62">
        <f t="shared" si="10"/>
        <v>1755000</v>
      </c>
    </row>
    <row r="6" spans="1:46" x14ac:dyDescent="0.3">
      <c r="A6" s="596"/>
      <c r="B6" s="596"/>
    </row>
    <row r="7" spans="1:46" x14ac:dyDescent="0.3">
      <c r="A7" s="596"/>
      <c r="B7" s="596"/>
    </row>
    <row r="8" spans="1:46" x14ac:dyDescent="0.3">
      <c r="A8" s="596"/>
      <c r="B8" s="596"/>
    </row>
    <row r="9" spans="1:46" x14ac:dyDescent="0.3">
      <c r="A9" s="596"/>
      <c r="B9" s="596"/>
    </row>
    <row r="11" spans="1:46" s="515" customFormat="1" x14ac:dyDescent="0.3">
      <c r="A11" s="514" t="s">
        <v>388</v>
      </c>
      <c r="C11" s="515" t="str">
        <f>C2</f>
        <v>I кв. 1 г.</v>
      </c>
      <c r="D11" s="515" t="str">
        <f t="shared" ref="D11:AT11" si="11">D2</f>
        <v>II кв. 1 г.</v>
      </c>
      <c r="E11" s="515" t="str">
        <f t="shared" si="11"/>
        <v>III кв. 1 г.</v>
      </c>
      <c r="F11" s="515" t="str">
        <f t="shared" si="11"/>
        <v>IV кв. 1 г.</v>
      </c>
      <c r="G11" s="515" t="str">
        <f t="shared" si="11"/>
        <v>I кв. 2 г.</v>
      </c>
      <c r="H11" s="515" t="str">
        <f t="shared" si="11"/>
        <v>II кв. 2 г.</v>
      </c>
      <c r="I11" s="515" t="str">
        <f t="shared" si="11"/>
        <v>III кв. 2 г.</v>
      </c>
      <c r="J11" s="515" t="str">
        <f t="shared" si="11"/>
        <v>IV кв. 2 г.</v>
      </c>
      <c r="K11" s="515" t="str">
        <f t="shared" si="11"/>
        <v>I кв. 3 г.</v>
      </c>
      <c r="L11" s="515" t="str">
        <f t="shared" si="11"/>
        <v>II кв. 3 г.</v>
      </c>
      <c r="M11" s="515" t="str">
        <f t="shared" si="11"/>
        <v>III кв. 3 г.</v>
      </c>
      <c r="N11" s="515" t="str">
        <f t="shared" si="11"/>
        <v>IV кв. 3 г.</v>
      </c>
      <c r="O11" s="515" t="str">
        <f t="shared" si="11"/>
        <v>I кв. 4 г.</v>
      </c>
      <c r="P11" s="515" t="str">
        <f t="shared" si="11"/>
        <v>II кв. 4 г.</v>
      </c>
      <c r="Q11" s="515" t="str">
        <f t="shared" si="11"/>
        <v>III кв. 4 г.</v>
      </c>
      <c r="R11" s="515" t="str">
        <f t="shared" si="11"/>
        <v>IV кв. 4 г.</v>
      </c>
      <c r="S11" s="515" t="str">
        <f t="shared" si="11"/>
        <v>I кв. 5 г.</v>
      </c>
      <c r="T11" s="515" t="str">
        <f t="shared" si="11"/>
        <v>II кв. 5 г.</v>
      </c>
      <c r="U11" s="515" t="str">
        <f t="shared" si="11"/>
        <v>III кв. 5 г.</v>
      </c>
      <c r="V11" s="515" t="str">
        <f t="shared" si="11"/>
        <v>IV кв. 5 г.</v>
      </c>
      <c r="W11" s="515" t="str">
        <f t="shared" si="11"/>
        <v>I кв. 6 г.</v>
      </c>
      <c r="X11" s="515" t="str">
        <f t="shared" si="11"/>
        <v>II кв. 6 г.</v>
      </c>
      <c r="Y11" s="515" t="str">
        <f t="shared" si="11"/>
        <v>III кв. 6 г.</v>
      </c>
      <c r="Z11" s="515" t="str">
        <f t="shared" si="11"/>
        <v>IV кв. 6 г.</v>
      </c>
      <c r="AA11" s="515" t="str">
        <f t="shared" si="11"/>
        <v>I кв. 7 г.</v>
      </c>
      <c r="AB11" s="515" t="str">
        <f t="shared" si="11"/>
        <v>II кв. 7 г.</v>
      </c>
      <c r="AC11" s="515" t="str">
        <f t="shared" si="11"/>
        <v>III кв. 7 г.</v>
      </c>
      <c r="AD11" s="515" t="str">
        <f t="shared" si="11"/>
        <v>IV кв. 7 г.</v>
      </c>
      <c r="AE11" s="515" t="str">
        <f t="shared" si="11"/>
        <v>I кв. 8 г.</v>
      </c>
      <c r="AF11" s="515" t="str">
        <f t="shared" si="11"/>
        <v>II кв. 8 г.</v>
      </c>
      <c r="AG11" s="515" t="str">
        <f t="shared" si="11"/>
        <v>III кв. 8 г.</v>
      </c>
      <c r="AH11" s="515" t="str">
        <f t="shared" si="11"/>
        <v>IV кв. 8 г.</v>
      </c>
      <c r="AI11" s="515" t="str">
        <f t="shared" si="11"/>
        <v>I кв. 9 г.</v>
      </c>
      <c r="AJ11" s="515" t="str">
        <f t="shared" si="11"/>
        <v>II кв. 9 г.</v>
      </c>
      <c r="AK11" s="515" t="str">
        <f t="shared" si="11"/>
        <v>III кв. 9 г.</v>
      </c>
      <c r="AL11" s="515" t="str">
        <f t="shared" si="11"/>
        <v>IV кв. 9 г.</v>
      </c>
      <c r="AM11" s="515" t="str">
        <f t="shared" si="11"/>
        <v>I кв. 10 г.</v>
      </c>
      <c r="AN11" s="515" t="str">
        <f t="shared" si="11"/>
        <v>II кв. 10 г.</v>
      </c>
      <c r="AO11" s="515" t="str">
        <f t="shared" si="11"/>
        <v>III кв. 10 г.</v>
      </c>
      <c r="AP11" s="515" t="str">
        <f t="shared" si="11"/>
        <v>IV кв. 10 г.</v>
      </c>
      <c r="AQ11" s="515" t="str">
        <f t="shared" si="11"/>
        <v>I кв. 11 г.</v>
      </c>
      <c r="AR11" s="515" t="str">
        <f t="shared" si="11"/>
        <v>II кв. 11 г.</v>
      </c>
      <c r="AS11" s="515" t="str">
        <f t="shared" si="11"/>
        <v>III кв. 11 г.</v>
      </c>
      <c r="AT11" s="515" t="str">
        <f t="shared" si="11"/>
        <v>IV кв. 11 г.</v>
      </c>
    </row>
    <row r="12" spans="1:46" x14ac:dyDescent="0.3">
      <c r="A12" s="600" t="str">
        <f>'Расходы ТОР'!A4</f>
        <v>Расходы на сырье (глина)</v>
      </c>
      <c r="B12" s="516" t="s">
        <v>381</v>
      </c>
      <c r="C12" s="62">
        <f>C3*допущения!$C$70*'объем работ 100% загр'!$N$4</f>
        <v>0</v>
      </c>
      <c r="D12" s="62">
        <f>D3*допущения!$C$70*'объем работ 100% загр'!$N$4</f>
        <v>0</v>
      </c>
      <c r="E12" s="62">
        <f>E3*допущения!$C$70*'объем работ 100% загр'!$N$4</f>
        <v>0</v>
      </c>
      <c r="F12" s="62">
        <f>F3*допущения!$C$70*'объем работ 100% загр'!$N$4</f>
        <v>0</v>
      </c>
      <c r="G12" s="62">
        <f>G3*допущения!$C$70*'объем работ 100% загр'!$N$4</f>
        <v>5037.6998269779779</v>
      </c>
      <c r="H12" s="62">
        <f>H3*допущения!$C$70*'объем работ 100% загр'!$N$4</f>
        <v>5037.6998269779779</v>
      </c>
      <c r="I12" s="62">
        <f>I3*допущения!$C$70*'объем работ 100% загр'!$N$4</f>
        <v>5037.6998269779779</v>
      </c>
      <c r="J12" s="62">
        <f>J3*допущения!$C$70*'объем работ 100% загр'!$N$4</f>
        <v>5037.6998269779779</v>
      </c>
      <c r="K12" s="62">
        <f>K3*допущения!$C$70*'объем работ 100% загр'!$N$4</f>
        <v>6168.6120330342601</v>
      </c>
      <c r="L12" s="62">
        <f>L3*допущения!$C$70*'объем работ 100% загр'!$N$4</f>
        <v>6168.6120330342601</v>
      </c>
      <c r="M12" s="62">
        <f>M3*допущения!$C$70*'объем работ 100% загр'!$N$4</f>
        <v>6168.6120330342601</v>
      </c>
      <c r="N12" s="62">
        <f>N3*допущения!$C$70*'объем работ 100% загр'!$N$4</f>
        <v>6168.6120330342601</v>
      </c>
      <c r="O12" s="62">
        <f>O3*допущения!$C$70*'объем работ 100% загр'!$N$4</f>
        <v>7402.3344396411121</v>
      </c>
      <c r="P12" s="62">
        <f>P3*допущения!$C$70*'объем работ 100% загр'!$N$4</f>
        <v>7402.3344396411121</v>
      </c>
      <c r="Q12" s="62">
        <f>Q3*допущения!$C$70*'объем работ 100% загр'!$N$4</f>
        <v>7402.3344396411121</v>
      </c>
      <c r="R12" s="62">
        <f>R3*допущения!$C$70*'объем работ 100% загр'!$N$4</f>
        <v>7402.3344396411121</v>
      </c>
      <c r="S12" s="62">
        <f>S3*допущения!$C$70*'объем работ 100% загр'!$N$4</f>
        <v>7864.9803421186807</v>
      </c>
      <c r="T12" s="62">
        <f>T3*допущения!$C$70*'объем работ 100% загр'!$N$4</f>
        <v>7864.9803421186807</v>
      </c>
      <c r="U12" s="62">
        <f>U3*допущения!$C$70*'объем работ 100% загр'!$N$4</f>
        <v>7864.9803421186807</v>
      </c>
      <c r="V12" s="62">
        <f>V3*допущения!$C$70*'объем работ 100% загр'!$N$4</f>
        <v>7864.9803421186807</v>
      </c>
      <c r="W12" s="62">
        <f>W3*допущения!$C$70*'объем работ 100% загр'!$N$4</f>
        <v>8327.6262445962529</v>
      </c>
      <c r="X12" s="62">
        <f>X3*допущения!$C$70*'объем работ 100% загр'!$N$4</f>
        <v>8327.6262445962529</v>
      </c>
      <c r="Y12" s="62">
        <f>Y3*допущения!$C$70*'объем работ 100% загр'!$N$4</f>
        <v>8327.6262445962529</v>
      </c>
      <c r="Z12" s="62">
        <f>Z3*допущения!$C$70*'объем работ 100% загр'!$N$4</f>
        <v>8327.6262445962529</v>
      </c>
      <c r="AA12" s="62">
        <f>AA3*допущения!$C$70*'объем работ 100% загр'!$N$4</f>
        <v>8790.2721470738234</v>
      </c>
      <c r="AB12" s="62">
        <f>AB3*допущения!$C$70*'объем работ 100% загр'!$N$4</f>
        <v>8790.2721470738234</v>
      </c>
      <c r="AC12" s="62">
        <f>AC3*допущения!$C$70*'объем работ 100% загр'!$N$4</f>
        <v>8790.2721470738234</v>
      </c>
      <c r="AD12" s="62">
        <f>AD3*допущения!$C$70*'объем работ 100% загр'!$N$4</f>
        <v>8790.2721470738234</v>
      </c>
      <c r="AE12" s="62">
        <f>AE3*допущения!$C$70*'объем работ 100% загр'!$N$4</f>
        <v>9252.918049551392</v>
      </c>
      <c r="AF12" s="62">
        <f>AF3*допущения!$C$70*'объем работ 100% загр'!$N$4</f>
        <v>9252.918049551392</v>
      </c>
      <c r="AG12" s="62">
        <f>AG3*допущения!$C$70*'объем работ 100% загр'!$N$4</f>
        <v>9252.918049551392</v>
      </c>
      <c r="AH12" s="62">
        <f>AH3*допущения!$C$70*'объем работ 100% загр'!$N$4</f>
        <v>9252.918049551392</v>
      </c>
      <c r="AI12" s="62">
        <f>AI3*допущения!$C$70*'объем работ 100% загр'!$N$4</f>
        <v>9252.918049551392</v>
      </c>
      <c r="AJ12" s="62">
        <f>AJ3*допущения!$C$70*'объем работ 100% загр'!$N$4</f>
        <v>9252.918049551392</v>
      </c>
      <c r="AK12" s="62">
        <f>AK3*допущения!$C$70*'объем работ 100% загр'!$N$4</f>
        <v>9252.918049551392</v>
      </c>
      <c r="AL12" s="62">
        <f>AL3*допущения!$C$70*'объем работ 100% загр'!$N$4</f>
        <v>9252.918049551392</v>
      </c>
      <c r="AM12" s="62">
        <f>AM3*допущения!$C$70*'объем работ 100% загр'!$N$4</f>
        <v>9252.9180495513901</v>
      </c>
      <c r="AN12" s="62">
        <f>AN3*допущения!$C$70*'объем работ 100% загр'!$N$4</f>
        <v>9252.9180495513901</v>
      </c>
      <c r="AO12" s="62">
        <f>AO3*допущения!$C$70*'объем работ 100% загр'!$N$4</f>
        <v>9252.9180495513901</v>
      </c>
      <c r="AP12" s="62">
        <f>AP3*допущения!$C$70*'объем работ 100% загр'!$N$4</f>
        <v>9252.9180495513901</v>
      </c>
      <c r="AQ12" s="62">
        <f>AQ3*допущения!$C$70*'объем работ 100% загр'!$N$4</f>
        <v>9252.9180495513901</v>
      </c>
      <c r="AR12" s="62">
        <f>AR3*допущения!$C$70*'объем работ 100% загр'!$N$4</f>
        <v>9252.9180495513901</v>
      </c>
      <c r="AS12" s="62">
        <f>AS3*допущения!$C$70*'объем работ 100% загр'!$N$4</f>
        <v>9252.9180495513901</v>
      </c>
      <c r="AT12" s="62">
        <f>AT3*допущения!$C$70*'объем работ 100% загр'!$N$4</f>
        <v>9252.9180495513901</v>
      </c>
    </row>
    <row r="13" spans="1:46" ht="28.8" x14ac:dyDescent="0.3">
      <c r="A13" s="598" t="str">
        <f>'Расходы ТОР'!A5</f>
        <v>Расходы на спецодежду, средства защиты</v>
      </c>
      <c r="B13" s="516" t="s">
        <v>381</v>
      </c>
      <c r="C13" s="62">
        <f>'Расходы ТОР'!B5</f>
        <v>0</v>
      </c>
      <c r="D13" s="62">
        <f>'Расходы ТОР'!C5</f>
        <v>0</v>
      </c>
      <c r="E13" s="62">
        <f>'Расходы ТОР'!D5</f>
        <v>0</v>
      </c>
      <c r="F13" s="62">
        <f>'Расходы ТОР'!E5</f>
        <v>0</v>
      </c>
      <c r="G13" s="62">
        <f>'Расходы ТОР'!F5</f>
        <v>57.947399999999995</v>
      </c>
      <c r="H13" s="62">
        <f>'Расходы ТОР'!G5</f>
        <v>57.947399999999995</v>
      </c>
      <c r="I13" s="62">
        <f>'Расходы ТОР'!H5</f>
        <v>57.947399999999995</v>
      </c>
      <c r="J13" s="62">
        <f>'Расходы ТОР'!I5</f>
        <v>57.947399999999995</v>
      </c>
      <c r="K13" s="62">
        <f>'Расходы ТОР'!J5</f>
        <v>59.685822000000002</v>
      </c>
      <c r="L13" s="62">
        <f>'Расходы ТОР'!K5</f>
        <v>59.685822000000002</v>
      </c>
      <c r="M13" s="62">
        <f>'Расходы ТОР'!L5</f>
        <v>59.685822000000002</v>
      </c>
      <c r="N13" s="62">
        <f>'Расходы ТОР'!M5</f>
        <v>59.685822000000002</v>
      </c>
      <c r="O13" s="62">
        <f>'Расходы ТОР'!N5</f>
        <v>61.476396660000006</v>
      </c>
      <c r="P13" s="62">
        <f>'Расходы ТОР'!O5</f>
        <v>61.476396660000006</v>
      </c>
      <c r="Q13" s="62">
        <f>'Расходы ТОР'!P5</f>
        <v>61.476396660000006</v>
      </c>
      <c r="R13" s="62">
        <f>'Расходы ТОР'!Q5</f>
        <v>61.476396660000006</v>
      </c>
      <c r="S13" s="62">
        <f>'Расходы ТОР'!R5</f>
        <v>63.320688559800018</v>
      </c>
      <c r="T13" s="62">
        <f>'Расходы ТОР'!S5</f>
        <v>63.320688559800018</v>
      </c>
      <c r="U13" s="62">
        <f>'Расходы ТОР'!T5</f>
        <v>63.320688559800018</v>
      </c>
      <c r="V13" s="62">
        <f>'Расходы ТОР'!U5</f>
        <v>63.320688559800018</v>
      </c>
      <c r="W13" s="62">
        <f>'Расходы ТОР'!V5</f>
        <v>65.220309216593989</v>
      </c>
      <c r="X13" s="62">
        <f>'Расходы ТОР'!W5</f>
        <v>65.220309216593989</v>
      </c>
      <c r="Y13" s="62">
        <f>'Расходы ТОР'!X5</f>
        <v>65.220309216593989</v>
      </c>
      <c r="Z13" s="62">
        <f>'Расходы ТОР'!Y5</f>
        <v>65.220309216593989</v>
      </c>
      <c r="AA13" s="62">
        <f>'Расходы ТОР'!Z5</f>
        <v>67.176918493091833</v>
      </c>
      <c r="AB13" s="62">
        <f>'Расходы ТОР'!AA5</f>
        <v>67.176918493091833</v>
      </c>
      <c r="AC13" s="62">
        <f>'Расходы ТОР'!AB5</f>
        <v>67.176918493091833</v>
      </c>
      <c r="AD13" s="62">
        <f>'Расходы ТОР'!AC5</f>
        <v>67.176918493091833</v>
      </c>
      <c r="AE13" s="62">
        <f>'Расходы ТОР'!AD5</f>
        <v>69.4698449457387</v>
      </c>
      <c r="AF13" s="62">
        <f>'Расходы ТОР'!AE5</f>
        <v>69.4698449457387</v>
      </c>
      <c r="AG13" s="62">
        <f>'Расходы ТОР'!AF5</f>
        <v>69.4698449457387</v>
      </c>
      <c r="AH13" s="62">
        <f>'Расходы ТОР'!AG5</f>
        <v>69.4698449457387</v>
      </c>
      <c r="AI13" s="62">
        <f>'Расходы ТОР'!AH5</f>
        <v>71.553940294110859</v>
      </c>
      <c r="AJ13" s="62">
        <f>'Расходы ТОР'!AI5</f>
        <v>71.553940294110859</v>
      </c>
      <c r="AK13" s="62">
        <f>'Расходы ТОР'!AJ5</f>
        <v>71.553940294110859</v>
      </c>
      <c r="AL13" s="62">
        <f>'Расходы ТОР'!AK5</f>
        <v>71.553940294110859</v>
      </c>
      <c r="AM13" s="62">
        <f>'Расходы ТОР'!AL5</f>
        <v>73.700558502934172</v>
      </c>
      <c r="AN13" s="62">
        <f>'Расходы ТОР'!AM5</f>
        <v>73.700558502934172</v>
      </c>
      <c r="AO13" s="62">
        <f>'Расходы ТОР'!AN5</f>
        <v>73.700558502934172</v>
      </c>
      <c r="AP13" s="62">
        <f>'Расходы ТОР'!AO5</f>
        <v>73.700558502934172</v>
      </c>
      <c r="AQ13" s="62">
        <f>'Расходы ТОР'!AP5</f>
        <v>73.700558502934172</v>
      </c>
      <c r="AR13" s="62">
        <f>'Расходы ТОР'!AQ5</f>
        <v>73.700558502934172</v>
      </c>
      <c r="AS13" s="62">
        <f>'Расходы ТОР'!AR5</f>
        <v>73.700558502934172</v>
      </c>
      <c r="AT13" s="62">
        <f>'Расходы ТОР'!AS5</f>
        <v>73.700558502934172</v>
      </c>
    </row>
    <row r="14" spans="1:46" x14ac:dyDescent="0.3">
      <c r="A14" s="598" t="s">
        <v>421</v>
      </c>
      <c r="B14" s="516" t="s">
        <v>381</v>
      </c>
      <c r="C14" s="62">
        <f>C9*допущения!$C$60</f>
        <v>0</v>
      </c>
      <c r="D14" s="62">
        <f>D9*допущения!$C$60</f>
        <v>0</v>
      </c>
      <c r="E14" s="62">
        <f>E9*допущения!$C$60</f>
        <v>0</v>
      </c>
      <c r="F14" s="62">
        <f>F9*допущения!$C$60</f>
        <v>0</v>
      </c>
      <c r="G14" s="611">
        <f>допущения!$C$72*допущения!$C$75*допущения!$C$76*допущения!$C$73*3/1000</f>
        <v>405</v>
      </c>
      <c r="H14" s="611">
        <f>допущения!$C$72*допущения!$C$75*допущения!$C$76*допущения!$C$73*3/1000</f>
        <v>405</v>
      </c>
      <c r="I14" s="611">
        <f>допущения!$C$72*допущения!$C$75*допущения!$C$76*допущения!$C$73*3/1000</f>
        <v>405</v>
      </c>
      <c r="J14" s="611">
        <f>допущения!$C$72*допущения!$C$75*допущения!$C$76*допущения!$C$73*3/1000</f>
        <v>405</v>
      </c>
      <c r="K14" s="611">
        <f>допущения!$C$72*допущения!$C$75*допущения!$C$76*допущения!$C$73*3/1000</f>
        <v>405</v>
      </c>
      <c r="L14" s="611">
        <f>допущения!$C$72*допущения!$C$75*допущения!$C$76*допущения!$C$73*3/1000</f>
        <v>405</v>
      </c>
      <c r="M14" s="611">
        <f>допущения!$C$72*допущения!$C$75*допущения!$C$76*допущения!$C$73*3/1000</f>
        <v>405</v>
      </c>
      <c r="N14" s="611">
        <f>допущения!$C$72*допущения!$C$75*допущения!$C$76*допущения!$C$73*3/1000</f>
        <v>405</v>
      </c>
      <c r="O14" s="611">
        <f>допущения!$C$72*допущения!$C$75*допущения!$C$76*допущения!$C$73*3/1000</f>
        <v>405</v>
      </c>
      <c r="P14" s="611">
        <f>допущения!$C$72*допущения!$C$75*допущения!$C$76*допущения!$C$73*3/1000</f>
        <v>405</v>
      </c>
      <c r="Q14" s="611">
        <f>допущения!$C$72*допущения!$C$75*допущения!$C$76*допущения!$C$73*3/1000</f>
        <v>405</v>
      </c>
      <c r="R14" s="611">
        <f>допущения!$C$72*допущения!$C$75*допущения!$C$76*допущения!$C$73*3/1000</f>
        <v>405</v>
      </c>
      <c r="S14" s="611">
        <f>допущения!$C$72*допущения!$C$75*допущения!$C$76*допущения!$C$73*3/1000</f>
        <v>405</v>
      </c>
      <c r="T14" s="611">
        <f>допущения!$C$72*допущения!$C$75*допущения!$C$76*допущения!$C$73*3/1000</f>
        <v>405</v>
      </c>
      <c r="U14" s="611">
        <f>допущения!$C$72*допущения!$C$75*допущения!$C$76*допущения!$C$73*3/1000</f>
        <v>405</v>
      </c>
      <c r="V14" s="611">
        <f>допущения!$C$72*допущения!$C$75*допущения!$C$76*допущения!$C$73*3/1000</f>
        <v>405</v>
      </c>
      <c r="W14" s="611">
        <f>допущения!$C$72*допущения!$C$75*допущения!$C$76*допущения!$C$73*3/1000</f>
        <v>405</v>
      </c>
      <c r="X14" s="611">
        <f>допущения!$C$72*допущения!$C$75*допущения!$C$76*допущения!$C$73*3/1000</f>
        <v>405</v>
      </c>
      <c r="Y14" s="611">
        <f>допущения!$C$72*допущения!$C$75*допущения!$C$76*допущения!$C$73*3/1000</f>
        <v>405</v>
      </c>
      <c r="Z14" s="611">
        <f>допущения!$C$72*допущения!$C$75*допущения!$C$76*допущения!$C$73*3/1000</f>
        <v>405</v>
      </c>
      <c r="AA14" s="611">
        <f>допущения!$C$72*допущения!$C$75*допущения!$C$76*допущения!$C$73*3/1000</f>
        <v>405</v>
      </c>
      <c r="AB14" s="611">
        <f>допущения!$C$72*допущения!$C$75*допущения!$C$76*допущения!$C$73*3/1000</f>
        <v>405</v>
      </c>
      <c r="AC14" s="611">
        <f>допущения!$C$72*допущения!$C$75*допущения!$C$76*допущения!$C$73*3/1000</f>
        <v>405</v>
      </c>
      <c r="AD14" s="611">
        <f>допущения!$C$72*допущения!$C$75*допущения!$C$76*допущения!$C$73*3/1000</f>
        <v>405</v>
      </c>
      <c r="AE14" s="611">
        <f>допущения!$C$72*допущения!$C$75*допущения!$C$76*допущения!$C$73*3/1000</f>
        <v>405</v>
      </c>
      <c r="AF14" s="611">
        <f>допущения!$C$72*допущения!$C$75*допущения!$C$76*допущения!$C$73*3/1000</f>
        <v>405</v>
      </c>
      <c r="AG14" s="611">
        <f>допущения!$C$72*допущения!$C$75*допущения!$C$76*допущения!$C$73*3/1000</f>
        <v>405</v>
      </c>
      <c r="AH14" s="611">
        <f>допущения!$C$72*допущения!$C$75*допущения!$C$76*допущения!$C$73*3/1000</f>
        <v>405</v>
      </c>
      <c r="AI14" s="611">
        <f>допущения!$C$72*допущения!$C$75*допущения!$C$76*допущения!$C$73*3/1000</f>
        <v>405</v>
      </c>
      <c r="AJ14" s="611">
        <f>допущения!$C$72*допущения!$C$75*допущения!$C$76*допущения!$C$73*3/1000</f>
        <v>405</v>
      </c>
      <c r="AK14" s="611">
        <f>допущения!$C$72*допущения!$C$75*допущения!$C$76*допущения!$C$73*3/1000</f>
        <v>405</v>
      </c>
      <c r="AL14" s="611">
        <f>допущения!$C$72*допущения!$C$75*допущения!$C$76*допущения!$C$73*3/1000</f>
        <v>405</v>
      </c>
      <c r="AM14" s="611">
        <f>допущения!$C$72*допущения!$C$75*допущения!$C$76*допущения!$C$73*3/1000</f>
        <v>405</v>
      </c>
      <c r="AN14" s="611">
        <f>допущения!$C$72*допущения!$C$75*допущения!$C$76*допущения!$C$73*3/1000</f>
        <v>405</v>
      </c>
      <c r="AO14" s="611">
        <f>допущения!$C$72*допущения!$C$75*допущения!$C$76*допущения!$C$73*3/1000</f>
        <v>405</v>
      </c>
      <c r="AP14" s="611">
        <f>допущения!$C$72*допущения!$C$75*допущения!$C$76*допущения!$C$73*3/1000</f>
        <v>405</v>
      </c>
      <c r="AQ14" s="611">
        <f>допущения!$C$72*допущения!$C$75*допущения!$C$76*допущения!$C$73*3/1000</f>
        <v>405</v>
      </c>
      <c r="AR14" s="611">
        <f>допущения!$C$72*допущения!$C$75*допущения!$C$76*допущения!$C$73*3/1000</f>
        <v>405</v>
      </c>
      <c r="AS14" s="611">
        <f>допущения!$C$72*допущения!$C$75*допущения!$C$76*допущения!$C$73*3/1000</f>
        <v>405</v>
      </c>
      <c r="AT14" s="611">
        <f>допущения!$C$72*допущения!$C$75*допущения!$C$76*допущения!$C$73*3/1000</f>
        <v>405</v>
      </c>
    </row>
    <row r="15" spans="1:46" ht="66.75" customHeight="1" x14ac:dyDescent="0.3">
      <c r="A15" s="630" t="s">
        <v>490</v>
      </c>
      <c r="B15" s="516" t="s">
        <v>381</v>
      </c>
      <c r="C15" s="62">
        <f>допущения!$C$67*'объем работ 100% загр'!$N$4*Себестоимость!C3</f>
        <v>0</v>
      </c>
      <c r="D15" s="62">
        <f>допущения!$C$67*'объем работ 100% загр'!$N$4*Себестоимость!D3</f>
        <v>0</v>
      </c>
      <c r="E15" s="62">
        <f>допущения!$C$67*'объем работ 100% загр'!$N$4*Себестоимость!E3</f>
        <v>0</v>
      </c>
      <c r="F15" s="62">
        <f>допущения!$C$67*'объем работ 100% загр'!$N$4*Себестоимость!F3</f>
        <v>0</v>
      </c>
      <c r="G15" s="62">
        <f>допущения!$C$67*'объем работ 100% загр'!$N$4*Себестоимость!G3</f>
        <v>2418.0959169494295</v>
      </c>
      <c r="H15" s="62">
        <f>допущения!$C$67*'объем работ 100% загр'!$N$4*Себестоимость!H3</f>
        <v>2418.0959169494295</v>
      </c>
      <c r="I15" s="62">
        <f>допущения!$C$67*'объем работ 100% загр'!$N$4*Себестоимость!I3</f>
        <v>2418.0959169494295</v>
      </c>
      <c r="J15" s="62">
        <f>допущения!$C$67*'объем работ 100% загр'!$N$4*Себестоимость!J3</f>
        <v>2418.0959169494295</v>
      </c>
      <c r="K15" s="62">
        <f>допущения!$C$67*'объем работ 100% загр'!$N$4*Себестоимость!K3</f>
        <v>2960.9337758564443</v>
      </c>
      <c r="L15" s="62">
        <f>допущения!$C$67*'объем работ 100% загр'!$N$4*Себестоимость!L3</f>
        <v>2960.9337758564443</v>
      </c>
      <c r="M15" s="62">
        <f>допущения!$C$67*'объем работ 100% загр'!$N$4*Себестоимость!M3</f>
        <v>2960.9337758564443</v>
      </c>
      <c r="N15" s="62">
        <f>допущения!$C$67*'объем работ 100% загр'!$N$4*Себестоимость!N3</f>
        <v>2960.9337758564443</v>
      </c>
      <c r="O15" s="62">
        <f>допущения!$C$67*'объем работ 100% загр'!$N$4*Себестоимость!O3</f>
        <v>3553.1205310277333</v>
      </c>
      <c r="P15" s="62">
        <f>допущения!$C$67*'объем работ 100% загр'!$N$4*Себестоимость!P3</f>
        <v>3553.1205310277333</v>
      </c>
      <c r="Q15" s="62">
        <f>допущения!$C$67*'объем работ 100% загр'!$N$4*Себестоимость!Q3</f>
        <v>3553.1205310277333</v>
      </c>
      <c r="R15" s="62">
        <f>допущения!$C$67*'объем работ 100% загр'!$N$4*Себестоимость!R3</f>
        <v>3553.1205310277333</v>
      </c>
      <c r="S15" s="62">
        <f>допущения!$C$67*'объем работ 100% загр'!$N$4*Себестоимость!S3</f>
        <v>3775.1905642169668</v>
      </c>
      <c r="T15" s="62">
        <f>допущения!$C$67*'объем работ 100% загр'!$N$4*Себестоимость!T3</f>
        <v>3775.1905642169668</v>
      </c>
      <c r="U15" s="62">
        <f>допущения!$C$67*'объем работ 100% загр'!$N$4*Себестоимость!U3</f>
        <v>3775.1905642169668</v>
      </c>
      <c r="V15" s="62">
        <f>допущения!$C$67*'объем работ 100% загр'!$N$4*Себестоимость!V3</f>
        <v>3775.1905642169668</v>
      </c>
      <c r="W15" s="62">
        <f>допущения!$C$67*'объем работ 100% загр'!$N$4*Себестоимость!W3</f>
        <v>3997.2605974062012</v>
      </c>
      <c r="X15" s="62">
        <f>допущения!$C$67*'объем работ 100% загр'!$N$4*Себестоимость!X3</f>
        <v>3997.2605974062012</v>
      </c>
      <c r="Y15" s="62">
        <f>допущения!$C$67*'объем работ 100% загр'!$N$4*Себестоимость!Y3</f>
        <v>3997.2605974062012</v>
      </c>
      <c r="Z15" s="62">
        <f>допущения!$C$67*'объем работ 100% загр'!$N$4*Себестоимость!Z3</f>
        <v>3997.2605974062012</v>
      </c>
      <c r="AA15" s="62">
        <f>допущения!$C$67*'объем работ 100% загр'!$N$4*Себестоимость!AA3</f>
        <v>4219.3306305954347</v>
      </c>
      <c r="AB15" s="62">
        <f>допущения!$C$67*'объем работ 100% загр'!$N$4*Себестоимость!AB3</f>
        <v>4219.3306305954347</v>
      </c>
      <c r="AC15" s="62">
        <f>допущения!$C$67*'объем работ 100% загр'!$N$4*Себестоимость!AC3</f>
        <v>4219.3306305954347</v>
      </c>
      <c r="AD15" s="62">
        <f>допущения!$C$67*'объем работ 100% загр'!$N$4*Себестоимость!AD3</f>
        <v>4219.3306305954347</v>
      </c>
      <c r="AE15" s="62">
        <f>допущения!$C$67*'объем работ 100% загр'!$N$4*Себестоимость!AE3</f>
        <v>4441.4006637846678</v>
      </c>
      <c r="AF15" s="62">
        <f>допущения!$C$67*'объем работ 100% загр'!$N$4*Себестоимость!AF3</f>
        <v>4441.4006637846678</v>
      </c>
      <c r="AG15" s="62">
        <f>допущения!$C$67*'объем работ 100% загр'!$N$4*Себестоимость!AG3</f>
        <v>4441.4006637846678</v>
      </c>
      <c r="AH15" s="62">
        <f>допущения!$C$67*'объем работ 100% загр'!$N$4*Себестоимость!AH3</f>
        <v>4441.4006637846678</v>
      </c>
      <c r="AI15" s="62">
        <f>допущения!$C$67*'объем работ 100% загр'!$N$4*Себестоимость!AI3</f>
        <v>4441.4006637846678</v>
      </c>
      <c r="AJ15" s="62">
        <f>допущения!$C$67*'объем работ 100% загр'!$N$4*Себестоимость!AJ3</f>
        <v>4441.4006637846678</v>
      </c>
      <c r="AK15" s="62">
        <f>допущения!$C$67*'объем работ 100% загр'!$N$4*Себестоимость!AK3</f>
        <v>4441.4006637846678</v>
      </c>
      <c r="AL15" s="62">
        <f>допущения!$C$67*'объем работ 100% загр'!$N$4*Себестоимость!AL3</f>
        <v>4441.4006637846678</v>
      </c>
      <c r="AM15" s="62">
        <f>допущения!$C$67*'объем работ 100% загр'!$N$4*Себестоимость!AM3</f>
        <v>4441.4006637846669</v>
      </c>
      <c r="AN15" s="62">
        <f>допущения!$C$67*'объем работ 100% загр'!$N$4*Себестоимость!AN3</f>
        <v>4441.4006637846669</v>
      </c>
      <c r="AO15" s="62">
        <f>допущения!$C$67*'объем работ 100% загр'!$N$4*Себестоимость!AO3</f>
        <v>4441.4006637846669</v>
      </c>
      <c r="AP15" s="62">
        <f>допущения!$C$67*'объем работ 100% загр'!$N$4*Себестоимость!AP3</f>
        <v>4441.4006637846669</v>
      </c>
      <c r="AQ15" s="62">
        <f>допущения!$C$67*'объем работ 100% загр'!$N$4*Себестоимость!AQ3</f>
        <v>4441.4006637846669</v>
      </c>
      <c r="AR15" s="62">
        <f>допущения!$C$67*'объем работ 100% загр'!$N$4*Себестоимость!AR3</f>
        <v>4441.4006637846669</v>
      </c>
      <c r="AS15" s="62">
        <f>допущения!$C$67*'объем работ 100% загр'!$N$4*Себестоимость!AS3</f>
        <v>4441.4006637846669</v>
      </c>
      <c r="AT15" s="62">
        <f>допущения!$C$67*'объем работ 100% загр'!$N$4*Себестоимость!AT3</f>
        <v>4441.4006637846669</v>
      </c>
    </row>
    <row r="16" spans="1:46" ht="12.75" customHeight="1" x14ac:dyDescent="0.3">
      <c r="A16" s="598" t="s">
        <v>423</v>
      </c>
      <c r="B16" s="516" t="s">
        <v>381</v>
      </c>
      <c r="C16" s="62">
        <f>C12*допущения!$C$71</f>
        <v>0</v>
      </c>
      <c r="D16" s="62">
        <f>D12*допущения!$C$71</f>
        <v>0</v>
      </c>
      <c r="E16" s="62">
        <f>E12*допущения!$C$71</f>
        <v>0</v>
      </c>
      <c r="F16" s="62">
        <f>F12*допущения!$C$71</f>
        <v>0</v>
      </c>
      <c r="G16" s="62">
        <f>G12*допущения!$C$71</f>
        <v>100.75399653955957</v>
      </c>
      <c r="H16" s="62">
        <f>H12*допущения!$C$71</f>
        <v>100.75399653955957</v>
      </c>
      <c r="I16" s="62">
        <f>I12*допущения!$C$71</f>
        <v>100.75399653955957</v>
      </c>
      <c r="J16" s="62">
        <f>J12*допущения!$C$71</f>
        <v>100.75399653955957</v>
      </c>
      <c r="K16" s="62">
        <f>K12*допущения!$C$71</f>
        <v>123.37224066068521</v>
      </c>
      <c r="L16" s="62">
        <f>L12*допущения!$C$71</f>
        <v>123.37224066068521</v>
      </c>
      <c r="M16" s="62">
        <f>M12*допущения!$C$71</f>
        <v>123.37224066068521</v>
      </c>
      <c r="N16" s="62">
        <f>N12*допущения!$C$71</f>
        <v>123.37224066068521</v>
      </c>
      <c r="O16" s="62">
        <f>O12*допущения!$C$71</f>
        <v>148.04668879282224</v>
      </c>
      <c r="P16" s="62">
        <f>P12*допущения!$C$71</f>
        <v>148.04668879282224</v>
      </c>
      <c r="Q16" s="62">
        <f>Q12*допущения!$C$71</f>
        <v>148.04668879282224</v>
      </c>
      <c r="R16" s="62">
        <f>R12*допущения!$C$71</f>
        <v>148.04668879282224</v>
      </c>
      <c r="S16" s="62">
        <f>S12*допущения!$C$71</f>
        <v>157.29960684237361</v>
      </c>
      <c r="T16" s="62">
        <f>T12*допущения!$C$71</f>
        <v>157.29960684237361</v>
      </c>
      <c r="U16" s="62">
        <f>U12*допущения!$C$71</f>
        <v>157.29960684237361</v>
      </c>
      <c r="V16" s="62">
        <f>V12*допущения!$C$71</f>
        <v>157.29960684237361</v>
      </c>
      <c r="W16" s="62">
        <f>W12*допущения!$C$71</f>
        <v>166.55252489192506</v>
      </c>
      <c r="X16" s="62">
        <f>X12*допущения!$C$71</f>
        <v>166.55252489192506</v>
      </c>
      <c r="Y16" s="62">
        <f>Y12*допущения!$C$71</f>
        <v>166.55252489192506</v>
      </c>
      <c r="Z16" s="62">
        <f>Z12*допущения!$C$71</f>
        <v>166.55252489192506</v>
      </c>
      <c r="AA16" s="62">
        <f>AA12*допущения!$C$71</f>
        <v>175.80544294147646</v>
      </c>
      <c r="AB16" s="62">
        <f>AB12*допущения!$C$71</f>
        <v>175.80544294147646</v>
      </c>
      <c r="AC16" s="62">
        <f>AC12*допущения!$C$71</f>
        <v>175.80544294147646</v>
      </c>
      <c r="AD16" s="62">
        <f>AD12*допущения!$C$71</f>
        <v>175.80544294147646</v>
      </c>
      <c r="AE16" s="62">
        <f>AE12*допущения!$C$71</f>
        <v>185.05836099102785</v>
      </c>
      <c r="AF16" s="62">
        <f>AF12*допущения!$C$71</f>
        <v>185.05836099102785</v>
      </c>
      <c r="AG16" s="62">
        <f>AG12*допущения!$C$71</f>
        <v>185.05836099102785</v>
      </c>
      <c r="AH16" s="62">
        <f>AH12*допущения!$C$71</f>
        <v>185.05836099102785</v>
      </c>
      <c r="AI16" s="62">
        <f>AI12*допущения!$C$71</f>
        <v>185.05836099102785</v>
      </c>
      <c r="AJ16" s="62">
        <f>AJ12*допущения!$C$71</f>
        <v>185.05836099102785</v>
      </c>
      <c r="AK16" s="62">
        <f>AK12*допущения!$C$71</f>
        <v>185.05836099102785</v>
      </c>
      <c r="AL16" s="62">
        <f>AL12*допущения!$C$71</f>
        <v>185.05836099102785</v>
      </c>
      <c r="AM16" s="62">
        <f>AM12*допущения!$C$71</f>
        <v>185.0583609910278</v>
      </c>
      <c r="AN16" s="62">
        <f>AN12*допущения!$C$71</f>
        <v>185.0583609910278</v>
      </c>
      <c r="AO16" s="62">
        <f>AO12*допущения!$C$71</f>
        <v>185.0583609910278</v>
      </c>
      <c r="AP16" s="62">
        <f>AP12*допущения!$C$71</f>
        <v>185.0583609910278</v>
      </c>
      <c r="AQ16" s="62">
        <f>AQ12*допущения!$C$71</f>
        <v>185.0583609910278</v>
      </c>
      <c r="AR16" s="62">
        <f>AR12*допущения!$C$71</f>
        <v>185.0583609910278</v>
      </c>
      <c r="AS16" s="62">
        <f>AS12*допущения!$C$71</f>
        <v>185.0583609910278</v>
      </c>
      <c r="AT16" s="62">
        <f>AT12*допущения!$C$71</f>
        <v>185.0583609910278</v>
      </c>
    </row>
    <row r="17" spans="1:46" s="538" customFormat="1" ht="20.25" customHeight="1" x14ac:dyDescent="0.3">
      <c r="A17" s="532" t="s">
        <v>16</v>
      </c>
      <c r="B17" s="540" t="s">
        <v>381</v>
      </c>
      <c r="C17" s="541">
        <f>SUM(C12:C16)</f>
        <v>0</v>
      </c>
      <c r="D17" s="541">
        <f t="shared" ref="D17:AT17" si="12">SUM(D12:D16)</f>
        <v>0</v>
      </c>
      <c r="E17" s="541">
        <f t="shared" si="12"/>
        <v>0</v>
      </c>
      <c r="F17" s="541">
        <f t="shared" si="12"/>
        <v>0</v>
      </c>
      <c r="G17" s="541">
        <f>SUM(G12:G16)</f>
        <v>8019.4971404669677</v>
      </c>
      <c r="H17" s="541">
        <f t="shared" si="12"/>
        <v>8019.4971404669677</v>
      </c>
      <c r="I17" s="541">
        <f t="shared" si="12"/>
        <v>8019.4971404669677</v>
      </c>
      <c r="J17" s="541">
        <f t="shared" si="12"/>
        <v>8019.4971404669677</v>
      </c>
      <c r="K17" s="541">
        <f t="shared" si="12"/>
        <v>9717.6038715513896</v>
      </c>
      <c r="L17" s="541">
        <f t="shared" si="12"/>
        <v>9717.6038715513896</v>
      </c>
      <c r="M17" s="541">
        <f t="shared" si="12"/>
        <v>9717.6038715513896</v>
      </c>
      <c r="N17" s="541">
        <f t="shared" si="12"/>
        <v>9717.6038715513896</v>
      </c>
      <c r="O17" s="541">
        <f t="shared" si="12"/>
        <v>11569.978056121667</v>
      </c>
      <c r="P17" s="541">
        <f t="shared" si="12"/>
        <v>11569.978056121667</v>
      </c>
      <c r="Q17" s="541">
        <f t="shared" si="12"/>
        <v>11569.978056121667</v>
      </c>
      <c r="R17" s="541">
        <f t="shared" si="12"/>
        <v>11569.978056121667</v>
      </c>
      <c r="S17" s="541">
        <f t="shared" si="12"/>
        <v>12265.791201737822</v>
      </c>
      <c r="T17" s="541">
        <f t="shared" si="12"/>
        <v>12265.791201737822</v>
      </c>
      <c r="U17" s="541">
        <f t="shared" si="12"/>
        <v>12265.791201737822</v>
      </c>
      <c r="V17" s="541">
        <f t="shared" si="12"/>
        <v>12265.791201737822</v>
      </c>
      <c r="W17" s="541">
        <f t="shared" si="12"/>
        <v>12961.659676110974</v>
      </c>
      <c r="X17" s="541">
        <f t="shared" si="12"/>
        <v>12961.659676110974</v>
      </c>
      <c r="Y17" s="541">
        <f t="shared" si="12"/>
        <v>12961.659676110974</v>
      </c>
      <c r="Z17" s="541">
        <f t="shared" si="12"/>
        <v>12961.659676110974</v>
      </c>
      <c r="AA17" s="541">
        <f t="shared" si="12"/>
        <v>13657.585139103827</v>
      </c>
      <c r="AB17" s="541">
        <f t="shared" si="12"/>
        <v>13657.585139103827</v>
      </c>
      <c r="AC17" s="541">
        <f t="shared" si="12"/>
        <v>13657.585139103827</v>
      </c>
      <c r="AD17" s="541">
        <f t="shared" si="12"/>
        <v>13657.585139103827</v>
      </c>
      <c r="AE17" s="541">
        <f t="shared" si="12"/>
        <v>14353.846919272826</v>
      </c>
      <c r="AF17" s="541">
        <f t="shared" si="12"/>
        <v>14353.846919272826</v>
      </c>
      <c r="AG17" s="541">
        <f t="shared" si="12"/>
        <v>14353.846919272826</v>
      </c>
      <c r="AH17" s="541">
        <f t="shared" si="12"/>
        <v>14353.846919272826</v>
      </c>
      <c r="AI17" s="541">
        <f t="shared" si="12"/>
        <v>14355.931014621197</v>
      </c>
      <c r="AJ17" s="541">
        <f t="shared" si="12"/>
        <v>14355.931014621197</v>
      </c>
      <c r="AK17" s="541">
        <f t="shared" si="12"/>
        <v>14355.931014621197</v>
      </c>
      <c r="AL17" s="541">
        <f t="shared" si="12"/>
        <v>14355.931014621197</v>
      </c>
      <c r="AM17" s="541">
        <f t="shared" si="12"/>
        <v>14358.07763283002</v>
      </c>
      <c r="AN17" s="541">
        <f t="shared" si="12"/>
        <v>14358.07763283002</v>
      </c>
      <c r="AO17" s="541">
        <f t="shared" si="12"/>
        <v>14358.07763283002</v>
      </c>
      <c r="AP17" s="541">
        <f t="shared" si="12"/>
        <v>14358.07763283002</v>
      </c>
      <c r="AQ17" s="541">
        <f t="shared" si="12"/>
        <v>14358.07763283002</v>
      </c>
      <c r="AR17" s="541">
        <f t="shared" si="12"/>
        <v>14358.07763283002</v>
      </c>
      <c r="AS17" s="541">
        <f t="shared" si="12"/>
        <v>14358.07763283002</v>
      </c>
      <c r="AT17" s="541">
        <f t="shared" si="12"/>
        <v>14358.07763283002</v>
      </c>
    </row>
    <row r="19" spans="1:46" s="539" customFormat="1" ht="28.8" x14ac:dyDescent="0.3">
      <c r="A19" s="544" t="s">
        <v>385</v>
      </c>
      <c r="B19" s="612" t="s">
        <v>422</v>
      </c>
      <c r="G19" s="613">
        <f>G17/(G3)</f>
        <v>8.3929849717079737E-3</v>
      </c>
      <c r="H19" s="613">
        <f t="shared" ref="H19:AT19" si="13">H17/(H3)</f>
        <v>8.3929849717079737E-3</v>
      </c>
      <c r="I19" s="613">
        <f t="shared" si="13"/>
        <v>8.3929849717079737E-3</v>
      </c>
      <c r="J19" s="613">
        <f t="shared" si="13"/>
        <v>8.3929849717079737E-3</v>
      </c>
      <c r="K19" s="613">
        <f t="shared" si="13"/>
        <v>8.3056443346593081E-3</v>
      </c>
      <c r="L19" s="613">
        <f t="shared" si="13"/>
        <v>8.3056443346593081E-3</v>
      </c>
      <c r="M19" s="613">
        <f t="shared" si="13"/>
        <v>8.3056443346593081E-3</v>
      </c>
      <c r="N19" s="613">
        <f t="shared" si="13"/>
        <v>8.3056443346593081E-3</v>
      </c>
      <c r="O19" s="613">
        <f t="shared" si="13"/>
        <v>8.2407251111977688E-3</v>
      </c>
      <c r="P19" s="613">
        <f t="shared" si="13"/>
        <v>8.2407251111977688E-3</v>
      </c>
      <c r="Q19" s="613">
        <f t="shared" si="13"/>
        <v>8.2407251111977688E-3</v>
      </c>
      <c r="R19" s="613">
        <f t="shared" si="13"/>
        <v>8.2407251111977688E-3</v>
      </c>
      <c r="S19" s="613">
        <f t="shared" si="13"/>
        <v>8.2224174303588554E-3</v>
      </c>
      <c r="T19" s="613">
        <f t="shared" si="13"/>
        <v>8.2224174303588554E-3</v>
      </c>
      <c r="U19" s="613">
        <f t="shared" si="13"/>
        <v>8.2224174303588554E-3</v>
      </c>
      <c r="V19" s="613">
        <f t="shared" si="13"/>
        <v>8.2224174303588554E-3</v>
      </c>
      <c r="W19" s="613">
        <f t="shared" si="13"/>
        <v>8.2061789655656671E-3</v>
      </c>
      <c r="X19" s="613">
        <f t="shared" si="13"/>
        <v>8.2061789655656671E-3</v>
      </c>
      <c r="Y19" s="613">
        <f t="shared" si="13"/>
        <v>8.2061789655656671E-3</v>
      </c>
      <c r="Z19" s="613">
        <f t="shared" si="13"/>
        <v>8.2061789655656671E-3</v>
      </c>
      <c r="AA19" s="613">
        <f t="shared" si="13"/>
        <v>8.1916839940643707E-3</v>
      </c>
      <c r="AB19" s="613">
        <f t="shared" si="13"/>
        <v>8.1916839940643707E-3</v>
      </c>
      <c r="AC19" s="613">
        <f t="shared" si="13"/>
        <v>8.1916839940643707E-3</v>
      </c>
      <c r="AD19" s="613">
        <f t="shared" si="13"/>
        <v>8.1916839940643707E-3</v>
      </c>
      <c r="AE19" s="613">
        <f t="shared" si="13"/>
        <v>8.178830153431807E-3</v>
      </c>
      <c r="AF19" s="613">
        <f t="shared" si="13"/>
        <v>8.178830153431807E-3</v>
      </c>
      <c r="AG19" s="613">
        <f t="shared" si="13"/>
        <v>8.178830153431807E-3</v>
      </c>
      <c r="AH19" s="613">
        <f t="shared" si="13"/>
        <v>8.178830153431807E-3</v>
      </c>
      <c r="AI19" s="613">
        <f t="shared" si="13"/>
        <v>8.1800176721488274E-3</v>
      </c>
      <c r="AJ19" s="613">
        <f t="shared" si="13"/>
        <v>8.1800176721488274E-3</v>
      </c>
      <c r="AK19" s="613">
        <f t="shared" si="13"/>
        <v>8.1800176721488274E-3</v>
      </c>
      <c r="AL19" s="613">
        <f t="shared" si="13"/>
        <v>8.1800176721488274E-3</v>
      </c>
      <c r="AM19" s="613">
        <f t="shared" si="13"/>
        <v>8.1812408164273626E-3</v>
      </c>
      <c r="AN19" s="613">
        <f t="shared" si="13"/>
        <v>8.1812408164273626E-3</v>
      </c>
      <c r="AO19" s="613">
        <f t="shared" si="13"/>
        <v>8.1812408164273626E-3</v>
      </c>
      <c r="AP19" s="613">
        <f t="shared" si="13"/>
        <v>8.1812408164273626E-3</v>
      </c>
      <c r="AQ19" s="613">
        <f t="shared" si="13"/>
        <v>8.1812408164273626E-3</v>
      </c>
      <c r="AR19" s="613">
        <f t="shared" si="13"/>
        <v>8.1812408164273626E-3</v>
      </c>
      <c r="AS19" s="613">
        <f t="shared" si="13"/>
        <v>8.1812408164273626E-3</v>
      </c>
      <c r="AT19" s="613">
        <f t="shared" si="13"/>
        <v>8.1812408164273626E-3</v>
      </c>
    </row>
    <row r="20" spans="1:46" x14ac:dyDescent="0.3">
      <c r="A20" s="521"/>
      <c r="B20" s="517"/>
    </row>
    <row r="21" spans="1:46" s="515" customFormat="1" x14ac:dyDescent="0.3">
      <c r="A21" s="518" t="s">
        <v>389</v>
      </c>
      <c r="B21" s="519"/>
      <c r="C21" s="520" t="str">
        <f>C11</f>
        <v>I кв. 1 г.</v>
      </c>
      <c r="D21" s="520" t="str">
        <f t="shared" ref="D21:AT21" si="14">D11</f>
        <v>II кв. 1 г.</v>
      </c>
      <c r="E21" s="520" t="str">
        <f t="shared" si="14"/>
        <v>III кв. 1 г.</v>
      </c>
      <c r="F21" s="520" t="str">
        <f t="shared" si="14"/>
        <v>IV кв. 1 г.</v>
      </c>
      <c r="G21" s="520" t="str">
        <f t="shared" si="14"/>
        <v>I кв. 2 г.</v>
      </c>
      <c r="H21" s="520" t="str">
        <f t="shared" si="14"/>
        <v>II кв. 2 г.</v>
      </c>
      <c r="I21" s="520" t="str">
        <f t="shared" si="14"/>
        <v>III кв. 2 г.</v>
      </c>
      <c r="J21" s="520" t="str">
        <f t="shared" si="14"/>
        <v>IV кв. 2 г.</v>
      </c>
      <c r="K21" s="520" t="str">
        <f t="shared" si="14"/>
        <v>I кв. 3 г.</v>
      </c>
      <c r="L21" s="520" t="str">
        <f t="shared" si="14"/>
        <v>II кв. 3 г.</v>
      </c>
      <c r="M21" s="520" t="str">
        <f t="shared" si="14"/>
        <v>III кв. 3 г.</v>
      </c>
      <c r="N21" s="520" t="str">
        <f t="shared" si="14"/>
        <v>IV кв. 3 г.</v>
      </c>
      <c r="O21" s="520" t="str">
        <f t="shared" si="14"/>
        <v>I кв. 4 г.</v>
      </c>
      <c r="P21" s="520" t="str">
        <f t="shared" si="14"/>
        <v>II кв. 4 г.</v>
      </c>
      <c r="Q21" s="520" t="str">
        <f t="shared" si="14"/>
        <v>III кв. 4 г.</v>
      </c>
      <c r="R21" s="520" t="str">
        <f t="shared" si="14"/>
        <v>IV кв. 4 г.</v>
      </c>
      <c r="S21" s="520" t="str">
        <f t="shared" si="14"/>
        <v>I кв. 5 г.</v>
      </c>
      <c r="T21" s="520" t="str">
        <f t="shared" si="14"/>
        <v>II кв. 5 г.</v>
      </c>
      <c r="U21" s="520" t="str">
        <f t="shared" si="14"/>
        <v>III кв. 5 г.</v>
      </c>
      <c r="V21" s="520" t="str">
        <f t="shared" si="14"/>
        <v>IV кв. 5 г.</v>
      </c>
      <c r="W21" s="520" t="str">
        <f t="shared" si="14"/>
        <v>I кв. 6 г.</v>
      </c>
      <c r="X21" s="520" t="str">
        <f t="shared" si="14"/>
        <v>II кв. 6 г.</v>
      </c>
      <c r="Y21" s="520" t="str">
        <f t="shared" si="14"/>
        <v>III кв. 6 г.</v>
      </c>
      <c r="Z21" s="520" t="str">
        <f t="shared" si="14"/>
        <v>IV кв. 6 г.</v>
      </c>
      <c r="AA21" s="520" t="str">
        <f t="shared" si="14"/>
        <v>I кв. 7 г.</v>
      </c>
      <c r="AB21" s="520" t="str">
        <f t="shared" si="14"/>
        <v>II кв. 7 г.</v>
      </c>
      <c r="AC21" s="520" t="str">
        <f t="shared" si="14"/>
        <v>III кв. 7 г.</v>
      </c>
      <c r="AD21" s="520" t="str">
        <f t="shared" si="14"/>
        <v>IV кв. 7 г.</v>
      </c>
      <c r="AE21" s="520" t="str">
        <f t="shared" si="14"/>
        <v>I кв. 8 г.</v>
      </c>
      <c r="AF21" s="520" t="str">
        <f t="shared" si="14"/>
        <v>II кв. 8 г.</v>
      </c>
      <c r="AG21" s="520" t="str">
        <f t="shared" si="14"/>
        <v>III кв. 8 г.</v>
      </c>
      <c r="AH21" s="520" t="str">
        <f t="shared" si="14"/>
        <v>IV кв. 8 г.</v>
      </c>
      <c r="AI21" s="520" t="str">
        <f t="shared" si="14"/>
        <v>I кв. 9 г.</v>
      </c>
      <c r="AJ21" s="520" t="str">
        <f t="shared" si="14"/>
        <v>II кв. 9 г.</v>
      </c>
      <c r="AK21" s="520" t="str">
        <f t="shared" si="14"/>
        <v>III кв. 9 г.</v>
      </c>
      <c r="AL21" s="520" t="str">
        <f t="shared" si="14"/>
        <v>IV кв. 9 г.</v>
      </c>
      <c r="AM21" s="520" t="str">
        <f t="shared" si="14"/>
        <v>I кв. 10 г.</v>
      </c>
      <c r="AN21" s="520" t="str">
        <f t="shared" si="14"/>
        <v>II кв. 10 г.</v>
      </c>
      <c r="AO21" s="520" t="str">
        <f t="shared" si="14"/>
        <v>III кв. 10 г.</v>
      </c>
      <c r="AP21" s="520" t="str">
        <f t="shared" si="14"/>
        <v>IV кв. 10 г.</v>
      </c>
      <c r="AQ21" s="520" t="str">
        <f t="shared" si="14"/>
        <v>I кв. 11 г.</v>
      </c>
      <c r="AR21" s="520" t="str">
        <f t="shared" si="14"/>
        <v>II кв. 11 г.</v>
      </c>
      <c r="AS21" s="520" t="str">
        <f t="shared" si="14"/>
        <v>III кв. 11 г.</v>
      </c>
      <c r="AT21" s="520" t="str">
        <f t="shared" si="14"/>
        <v>IV кв. 11 г.</v>
      </c>
    </row>
    <row r="22" spans="1:46" s="531" customFormat="1" x14ac:dyDescent="0.3">
      <c r="A22" s="598" t="str">
        <f>'Расходы ТОР'!A2</f>
        <v>Арендная плата за зем. Участок</v>
      </c>
      <c r="B22" s="522"/>
      <c r="C22" s="523">
        <f>'Расходы ТОР'!B2</f>
        <v>0</v>
      </c>
      <c r="D22" s="523">
        <f>'Расходы ТОР'!C2</f>
        <v>0</v>
      </c>
      <c r="E22" s="523">
        <f>'Расходы ТОР'!D2</f>
        <v>1.6246391812500001</v>
      </c>
      <c r="F22" s="523">
        <f>'Расходы ТОР'!E2</f>
        <v>1.6246391812500001</v>
      </c>
      <c r="G22" s="523">
        <f>'Расходы ТОР'!F2</f>
        <v>1.6246391812500001</v>
      </c>
      <c r="H22" s="523">
        <f>'Расходы ТОР'!G2</f>
        <v>1.6246391812500001</v>
      </c>
      <c r="I22" s="523">
        <f>'Расходы ТОР'!H2</f>
        <v>1.6246391812500001</v>
      </c>
      <c r="J22" s="523">
        <f>'Расходы ТОР'!I2</f>
        <v>1.6246391812500001</v>
      </c>
      <c r="K22" s="523">
        <f>'Расходы ТОР'!J2</f>
        <v>1.6246391812500001</v>
      </c>
      <c r="L22" s="523">
        <f>'Расходы ТОР'!K2</f>
        <v>1.6246391812500001</v>
      </c>
      <c r="M22" s="523">
        <f>'Расходы ТОР'!L2</f>
        <v>1.6246391812500001</v>
      </c>
      <c r="N22" s="523">
        <f>'Расходы ТОР'!M2</f>
        <v>1.6246391812500001</v>
      </c>
      <c r="O22" s="523">
        <f>'Расходы ТОР'!N2</f>
        <v>1.6246391812500001</v>
      </c>
      <c r="P22" s="523">
        <f>'Расходы ТОР'!O2</f>
        <v>1.6246391812500001</v>
      </c>
      <c r="Q22" s="523">
        <f>'Расходы ТОР'!P2</f>
        <v>1.6246391812500001</v>
      </c>
      <c r="R22" s="523">
        <f>'Расходы ТОР'!Q2</f>
        <v>1.6246391812500001</v>
      </c>
      <c r="S22" s="523">
        <f>'Расходы ТОР'!R2</f>
        <v>1.6246391812500001</v>
      </c>
      <c r="T22" s="523">
        <f>'Расходы ТОР'!S2</f>
        <v>1.6246391812500001</v>
      </c>
      <c r="U22" s="523">
        <f>'Расходы ТОР'!T2</f>
        <v>1.6246391812500001</v>
      </c>
      <c r="V22" s="523">
        <f>'Расходы ТОР'!U2</f>
        <v>1.6246391812500001</v>
      </c>
      <c r="W22" s="523">
        <f>'Расходы ТОР'!V2</f>
        <v>1.6246391812500001</v>
      </c>
      <c r="X22" s="523">
        <f>'Расходы ТОР'!W2</f>
        <v>1.6246391812500001</v>
      </c>
      <c r="Y22" s="523">
        <f>'Расходы ТОР'!X2</f>
        <v>1.6246391812500001</v>
      </c>
      <c r="Z22" s="523">
        <f>'Расходы ТОР'!Y2</f>
        <v>1.6246391812500001</v>
      </c>
      <c r="AA22" s="523">
        <f>'Расходы ТОР'!Z2</f>
        <v>1.6246391812500001</v>
      </c>
      <c r="AB22" s="523">
        <f>'Расходы ТОР'!AA2</f>
        <v>1.6246391812500001</v>
      </c>
      <c r="AC22" s="523">
        <f>'Расходы ТОР'!AB2</f>
        <v>1.6246391812500001</v>
      </c>
      <c r="AD22" s="523">
        <f>'Расходы ТОР'!AC2</f>
        <v>1.6246391812500001</v>
      </c>
      <c r="AE22" s="523">
        <f>'Расходы ТОР'!AD2</f>
        <v>1.6246391812500001</v>
      </c>
      <c r="AF22" s="523">
        <f>'Расходы ТОР'!AE2</f>
        <v>1.6246391812500001</v>
      </c>
      <c r="AG22" s="523">
        <f>'Расходы ТОР'!AF2</f>
        <v>1.6246391812500001</v>
      </c>
      <c r="AH22" s="523">
        <f>'Расходы ТОР'!AG2</f>
        <v>1.6246391812500001</v>
      </c>
      <c r="AI22" s="523">
        <f>'Расходы ТОР'!AH2</f>
        <v>1.6246391812500001</v>
      </c>
      <c r="AJ22" s="523">
        <f>'Расходы ТОР'!AI2</f>
        <v>1.6246391812500001</v>
      </c>
      <c r="AK22" s="523">
        <f>'Расходы ТОР'!AJ2</f>
        <v>1.6246391812500001</v>
      </c>
      <c r="AL22" s="523">
        <f>'Расходы ТОР'!AK2</f>
        <v>1.6246391812500001</v>
      </c>
      <c r="AM22" s="523">
        <f>'Расходы ТОР'!AL2</f>
        <v>1.6246391812500001</v>
      </c>
      <c r="AN22" s="523">
        <f>'Расходы ТОР'!AM2</f>
        <v>1.6246391812500001</v>
      </c>
      <c r="AO22" s="523">
        <f>'Расходы ТОР'!AN2</f>
        <v>1.6246391812500001</v>
      </c>
      <c r="AP22" s="523">
        <f>'Расходы ТОР'!AO2</f>
        <v>1.6246391812500001</v>
      </c>
      <c r="AQ22" s="523">
        <f>'Расходы ТОР'!AP2</f>
        <v>1.6246391812500001</v>
      </c>
      <c r="AR22" s="523">
        <f>'Расходы ТОР'!AQ2</f>
        <v>1.6246391812500001</v>
      </c>
      <c r="AS22" s="523">
        <f>'Расходы ТОР'!AR2</f>
        <v>1.6246391812500001</v>
      </c>
      <c r="AT22" s="523">
        <f>'Расходы ТОР'!AS2</f>
        <v>1.6246391812500001</v>
      </c>
    </row>
    <row r="23" spans="1:46" ht="28.8" x14ac:dyDescent="0.3">
      <c r="A23" s="598" t="str">
        <f>'Расходы ТОР'!A3</f>
        <v>Заработная плата и страховые взносы</v>
      </c>
      <c r="B23" s="522"/>
      <c r="C23" s="523">
        <f>'Расходы ТОР'!B3</f>
        <v>0</v>
      </c>
      <c r="D23" s="523">
        <f>'Расходы ТОР'!C3</f>
        <v>0</v>
      </c>
      <c r="E23" s="523">
        <f>'Расходы ТОР'!D3</f>
        <v>0</v>
      </c>
      <c r="F23" s="523">
        <f>'Расходы ТОР'!E3</f>
        <v>0</v>
      </c>
      <c r="G23" s="523">
        <f>'Расходы ТОР'!F3</f>
        <v>3863.16</v>
      </c>
      <c r="H23" s="523">
        <f>'Расходы ТОР'!G3</f>
        <v>3863.16</v>
      </c>
      <c r="I23" s="523">
        <f>'Расходы ТОР'!H3</f>
        <v>3863.16</v>
      </c>
      <c r="J23" s="523">
        <f>'Расходы ТОР'!I3</f>
        <v>3863.16</v>
      </c>
      <c r="K23" s="523">
        <f>'Расходы ТОР'!J3</f>
        <v>3979.0548000000003</v>
      </c>
      <c r="L23" s="523">
        <f>'Расходы ТОР'!K3</f>
        <v>3979.0548000000003</v>
      </c>
      <c r="M23" s="523">
        <f>'Расходы ТОР'!L3</f>
        <v>3979.0548000000003</v>
      </c>
      <c r="N23" s="523">
        <f>'Расходы ТОР'!M3</f>
        <v>3979.0548000000003</v>
      </c>
      <c r="O23" s="523">
        <f>'Расходы ТОР'!N3</f>
        <v>4098.4264440000006</v>
      </c>
      <c r="P23" s="523">
        <f>'Расходы ТОР'!O3</f>
        <v>4098.4264440000006</v>
      </c>
      <c r="Q23" s="523">
        <f>'Расходы ТОР'!P3</f>
        <v>4098.4264440000006</v>
      </c>
      <c r="R23" s="523">
        <f>'Расходы ТОР'!Q3</f>
        <v>4098.4264440000006</v>
      </c>
      <c r="S23" s="523">
        <f>'Расходы ТОР'!R3</f>
        <v>4221.3792373200013</v>
      </c>
      <c r="T23" s="523">
        <f>'Расходы ТОР'!S3</f>
        <v>4221.3792373200013</v>
      </c>
      <c r="U23" s="523">
        <f>'Расходы ТОР'!T3</f>
        <v>4221.3792373200013</v>
      </c>
      <c r="V23" s="523">
        <f>'Расходы ТОР'!U3</f>
        <v>4221.3792373200013</v>
      </c>
      <c r="W23" s="523">
        <f>'Расходы ТОР'!V3</f>
        <v>4348.0206144395997</v>
      </c>
      <c r="X23" s="523">
        <f>'Расходы ТОР'!W3</f>
        <v>4348.0206144395997</v>
      </c>
      <c r="Y23" s="523">
        <f>'Расходы ТОР'!X3</f>
        <v>4348.0206144395997</v>
      </c>
      <c r="Z23" s="523">
        <f>'Расходы ТОР'!Y3</f>
        <v>4348.0206144395997</v>
      </c>
      <c r="AA23" s="523">
        <f>'Расходы ТОР'!Z3</f>
        <v>4478.461232872789</v>
      </c>
      <c r="AB23" s="523">
        <f>'Расходы ТОР'!AA3</f>
        <v>4478.461232872789</v>
      </c>
      <c r="AC23" s="523">
        <f>'Расходы ТОР'!AB3</f>
        <v>4478.461232872789</v>
      </c>
      <c r="AD23" s="523">
        <f>'Расходы ТОР'!AC3</f>
        <v>4478.461232872789</v>
      </c>
      <c r="AE23" s="523">
        <f>'Расходы ТОР'!AD3</f>
        <v>4631.3229963825797</v>
      </c>
      <c r="AF23" s="523">
        <f>'Расходы ТОР'!AE3</f>
        <v>4631.3229963825797</v>
      </c>
      <c r="AG23" s="523">
        <f>'Расходы ТОР'!AF3</f>
        <v>4631.3229963825797</v>
      </c>
      <c r="AH23" s="523">
        <f>'Расходы ТОР'!AG3</f>
        <v>4631.3229963825797</v>
      </c>
      <c r="AI23" s="523">
        <f>'Расходы ТОР'!AH3</f>
        <v>4770.2626862740572</v>
      </c>
      <c r="AJ23" s="523">
        <f>'Расходы ТОР'!AI3</f>
        <v>4770.2626862740572</v>
      </c>
      <c r="AK23" s="523">
        <f>'Расходы ТОР'!AJ3</f>
        <v>4770.2626862740572</v>
      </c>
      <c r="AL23" s="523">
        <f>'Расходы ТОР'!AK3</f>
        <v>4770.2626862740572</v>
      </c>
      <c r="AM23" s="523">
        <f>'Расходы ТОР'!AL3</f>
        <v>4913.3705668622779</v>
      </c>
      <c r="AN23" s="523">
        <f>'Расходы ТОР'!AM3</f>
        <v>4913.3705668622779</v>
      </c>
      <c r="AO23" s="523">
        <f>'Расходы ТОР'!AN3</f>
        <v>4913.3705668622779</v>
      </c>
      <c r="AP23" s="523">
        <f>'Расходы ТОР'!AO3</f>
        <v>4913.3705668622779</v>
      </c>
      <c r="AQ23" s="523">
        <f>'Расходы ТОР'!AP3</f>
        <v>4913.3705668622779</v>
      </c>
      <c r="AR23" s="523">
        <f>'Расходы ТОР'!AQ3</f>
        <v>4913.3705668622779</v>
      </c>
      <c r="AS23" s="523">
        <f>'Расходы ТОР'!AR3</f>
        <v>4913.3705668622779</v>
      </c>
      <c r="AT23" s="523">
        <f>'Расходы ТОР'!AS3</f>
        <v>4913.3705668622779</v>
      </c>
    </row>
    <row r="24" spans="1:46" ht="28.8" x14ac:dyDescent="0.3">
      <c r="A24" s="598" t="str">
        <f>'Расходы ТОР'!A8</f>
        <v>Запасные части, комлектующие, обслуживание оборудования</v>
      </c>
      <c r="B24" s="522"/>
      <c r="C24" s="523">
        <f>'Расходы ТОР'!B8</f>
        <v>0</v>
      </c>
      <c r="D24" s="523">
        <f>'Расходы ТОР'!C8</f>
        <v>0</v>
      </c>
      <c r="E24" s="523">
        <f>'Расходы ТОР'!D8</f>
        <v>0</v>
      </c>
      <c r="F24" s="523">
        <f>'Расходы ТОР'!E8</f>
        <v>0</v>
      </c>
      <c r="G24" s="523">
        <f>'Расходы ТОР'!F8</f>
        <v>90</v>
      </c>
      <c r="H24" s="523">
        <f>'Расходы ТОР'!G8</f>
        <v>90</v>
      </c>
      <c r="I24" s="523">
        <f>'Расходы ТОР'!H8</f>
        <v>90</v>
      </c>
      <c r="J24" s="523">
        <f>'Расходы ТОР'!I8</f>
        <v>90</v>
      </c>
      <c r="K24" s="523">
        <f>'Расходы ТОР'!J8</f>
        <v>90</v>
      </c>
      <c r="L24" s="523">
        <f>'Расходы ТОР'!K8</f>
        <v>90</v>
      </c>
      <c r="M24" s="523">
        <f>'Расходы ТОР'!L8</f>
        <v>90</v>
      </c>
      <c r="N24" s="523">
        <f>'Расходы ТОР'!M8</f>
        <v>90</v>
      </c>
      <c r="O24" s="523">
        <f>'Расходы ТОР'!N8</f>
        <v>90</v>
      </c>
      <c r="P24" s="523">
        <f>'Расходы ТОР'!O8</f>
        <v>90</v>
      </c>
      <c r="Q24" s="523">
        <f>'Расходы ТОР'!P8</f>
        <v>90</v>
      </c>
      <c r="R24" s="523">
        <f>'Расходы ТОР'!Q8</f>
        <v>90</v>
      </c>
      <c r="S24" s="523">
        <f>'Расходы ТОР'!R8</f>
        <v>90</v>
      </c>
      <c r="T24" s="523">
        <f>'Расходы ТОР'!S8</f>
        <v>90</v>
      </c>
      <c r="U24" s="523">
        <f>'Расходы ТОР'!T8</f>
        <v>90</v>
      </c>
      <c r="V24" s="523">
        <f>'Расходы ТОР'!U8</f>
        <v>90</v>
      </c>
      <c r="W24" s="523">
        <f>'Расходы ТОР'!V8</f>
        <v>90</v>
      </c>
      <c r="X24" s="523">
        <f>'Расходы ТОР'!W8</f>
        <v>90</v>
      </c>
      <c r="Y24" s="523">
        <f>'Расходы ТОР'!X8</f>
        <v>90</v>
      </c>
      <c r="Z24" s="523">
        <f>'Расходы ТОР'!Y8</f>
        <v>90</v>
      </c>
      <c r="AA24" s="523">
        <f>'Расходы ТОР'!Z8</f>
        <v>90</v>
      </c>
      <c r="AB24" s="523">
        <f>'Расходы ТОР'!AA8</f>
        <v>90</v>
      </c>
      <c r="AC24" s="523">
        <f>'Расходы ТОР'!AB8</f>
        <v>90</v>
      </c>
      <c r="AD24" s="523">
        <f>'Расходы ТОР'!AC8</f>
        <v>90</v>
      </c>
      <c r="AE24" s="523">
        <f>'Расходы ТОР'!AD8</f>
        <v>90</v>
      </c>
      <c r="AF24" s="523">
        <f>'Расходы ТОР'!AE8</f>
        <v>90</v>
      </c>
      <c r="AG24" s="523">
        <f>'Расходы ТОР'!AF8</f>
        <v>90</v>
      </c>
      <c r="AH24" s="523">
        <f>'Расходы ТОР'!AG8</f>
        <v>90</v>
      </c>
      <c r="AI24" s="523">
        <f>'Расходы ТОР'!AH8</f>
        <v>90</v>
      </c>
      <c r="AJ24" s="523">
        <f>'Расходы ТОР'!AI8</f>
        <v>90</v>
      </c>
      <c r="AK24" s="523">
        <f>'Расходы ТОР'!AJ8</f>
        <v>90</v>
      </c>
      <c r="AL24" s="523">
        <f>'Расходы ТОР'!AK8</f>
        <v>90</v>
      </c>
      <c r="AM24" s="523">
        <f>'Расходы ТОР'!AL8</f>
        <v>90</v>
      </c>
      <c r="AN24" s="523">
        <f>'Расходы ТОР'!AM8</f>
        <v>90</v>
      </c>
      <c r="AO24" s="523">
        <f>'Расходы ТОР'!AN8</f>
        <v>90</v>
      </c>
      <c r="AP24" s="523">
        <f>'Расходы ТОР'!AO8</f>
        <v>90</v>
      </c>
      <c r="AQ24" s="523">
        <f>'Расходы ТОР'!AP8</f>
        <v>90</v>
      </c>
      <c r="AR24" s="523">
        <f>'Расходы ТОР'!AQ8</f>
        <v>90</v>
      </c>
      <c r="AS24" s="523">
        <f>'Расходы ТОР'!AR8</f>
        <v>90</v>
      </c>
      <c r="AT24" s="523">
        <f>'Расходы ТОР'!AS8</f>
        <v>90</v>
      </c>
    </row>
    <row r="25" spans="1:46" x14ac:dyDescent="0.3">
      <c r="A25" s="598" t="str">
        <f>'Расходы ТОР'!A9</f>
        <v>Расходы на продвижение</v>
      </c>
      <c r="B25" s="522"/>
      <c r="C25" s="523"/>
      <c r="D25" s="523"/>
      <c r="E25" s="523"/>
      <c r="F25" s="523"/>
      <c r="G25" s="523">
        <f>'Расходы ТОР'!F9</f>
        <v>100</v>
      </c>
      <c r="H25" s="523">
        <f>'Расходы ТОР'!G9</f>
        <v>100</v>
      </c>
      <c r="I25" s="523">
        <f>'Расходы ТОР'!H9</f>
        <v>100</v>
      </c>
      <c r="J25" s="523">
        <f>'Расходы ТОР'!I9</f>
        <v>100</v>
      </c>
      <c r="K25" s="523">
        <f>'Расходы ТОР'!J9</f>
        <v>100</v>
      </c>
      <c r="L25" s="523">
        <f>'Расходы ТОР'!K9</f>
        <v>100</v>
      </c>
      <c r="M25" s="523">
        <f>'Расходы ТОР'!L9</f>
        <v>100</v>
      </c>
      <c r="N25" s="523">
        <f>'Расходы ТОР'!M9</f>
        <v>100</v>
      </c>
      <c r="O25" s="523">
        <f>'Расходы ТОР'!N9</f>
        <v>100</v>
      </c>
      <c r="P25" s="523">
        <f>'Расходы ТОР'!O9</f>
        <v>100</v>
      </c>
      <c r="Q25" s="523">
        <f>'Расходы ТОР'!P9</f>
        <v>100</v>
      </c>
      <c r="R25" s="523">
        <f>'Расходы ТОР'!Q9</f>
        <v>100</v>
      </c>
      <c r="S25" s="523">
        <f>'Расходы ТОР'!R9</f>
        <v>100</v>
      </c>
      <c r="T25" s="523">
        <f>'Расходы ТОР'!S9</f>
        <v>100</v>
      </c>
      <c r="U25" s="523">
        <f>'Расходы ТОР'!T9</f>
        <v>100</v>
      </c>
      <c r="V25" s="523">
        <f>'Расходы ТОР'!U9</f>
        <v>100</v>
      </c>
      <c r="W25" s="523">
        <f>'Расходы ТОР'!V9</f>
        <v>100</v>
      </c>
      <c r="X25" s="523">
        <f>'Расходы ТОР'!W9</f>
        <v>100</v>
      </c>
      <c r="Y25" s="523">
        <f>'Расходы ТОР'!X9</f>
        <v>100</v>
      </c>
      <c r="Z25" s="523">
        <f>'Расходы ТОР'!Y9</f>
        <v>100</v>
      </c>
      <c r="AA25" s="523">
        <f>'Расходы ТОР'!Z9</f>
        <v>100</v>
      </c>
      <c r="AB25" s="523">
        <f>'Расходы ТОР'!AA9</f>
        <v>100</v>
      </c>
      <c r="AC25" s="523">
        <f>'Расходы ТОР'!AB9</f>
        <v>100</v>
      </c>
      <c r="AD25" s="523">
        <f>'Расходы ТОР'!AC9</f>
        <v>100</v>
      </c>
      <c r="AE25" s="523">
        <f>'Расходы ТОР'!AD9</f>
        <v>100</v>
      </c>
      <c r="AF25" s="523">
        <f>'Расходы ТОР'!AE9</f>
        <v>100</v>
      </c>
      <c r="AG25" s="523">
        <f>'Расходы ТОР'!AF9</f>
        <v>100</v>
      </c>
      <c r="AH25" s="523">
        <f>'Расходы ТОР'!AG9</f>
        <v>100</v>
      </c>
      <c r="AI25" s="523">
        <f>'Расходы ТОР'!AH9</f>
        <v>100</v>
      </c>
      <c r="AJ25" s="523">
        <f>'Расходы ТОР'!AI9</f>
        <v>100</v>
      </c>
      <c r="AK25" s="523">
        <f>'Расходы ТОР'!AJ9</f>
        <v>100</v>
      </c>
      <c r="AL25" s="523">
        <f>'Расходы ТОР'!AK9</f>
        <v>100</v>
      </c>
      <c r="AM25" s="523">
        <f>'Расходы ТОР'!AL9</f>
        <v>100</v>
      </c>
      <c r="AN25" s="523">
        <f>'Расходы ТОР'!AM9</f>
        <v>100</v>
      </c>
      <c r="AO25" s="523">
        <f>'Расходы ТОР'!AN9</f>
        <v>100</v>
      </c>
      <c r="AP25" s="523">
        <f>'Расходы ТОР'!AO9</f>
        <v>100</v>
      </c>
      <c r="AQ25" s="523">
        <f>'Расходы ТОР'!AP9</f>
        <v>100</v>
      </c>
      <c r="AR25" s="523">
        <f>'Расходы ТОР'!AQ9</f>
        <v>100</v>
      </c>
      <c r="AS25" s="523">
        <f>'Расходы ТОР'!AR9</f>
        <v>100</v>
      </c>
      <c r="AT25" s="523">
        <f>'Расходы ТОР'!AS9</f>
        <v>100</v>
      </c>
    </row>
    <row r="26" spans="1:46" x14ac:dyDescent="0.3">
      <c r="A26" s="598" t="str">
        <f>'Расходы ТОР'!A12</f>
        <v>Амортизация</v>
      </c>
      <c r="B26" s="523"/>
      <c r="C26" s="523">
        <f>'Расходы ТОР'!B12</f>
        <v>0</v>
      </c>
      <c r="D26" s="523">
        <f>'Расходы ТОР'!C12</f>
        <v>0</v>
      </c>
      <c r="E26" s="523">
        <f>'Расходы ТОР'!D12</f>
        <v>0</v>
      </c>
      <c r="F26" s="523">
        <f>'Расходы ТОР'!E12</f>
        <v>253.75</v>
      </c>
      <c r="G26" s="523">
        <f>'Расходы ТОР'!F12</f>
        <v>253.75</v>
      </c>
      <c r="H26" s="523">
        <f>'Расходы ТОР'!G12</f>
        <v>253.75</v>
      </c>
      <c r="I26" s="523">
        <f>'Расходы ТОР'!H12</f>
        <v>253.75</v>
      </c>
      <c r="J26" s="523">
        <f>'Расходы ТОР'!I12</f>
        <v>253.75</v>
      </c>
      <c r="K26" s="523">
        <f>'Расходы ТОР'!J12</f>
        <v>253.75</v>
      </c>
      <c r="L26" s="523">
        <f>'Расходы ТОР'!K12</f>
        <v>253.75</v>
      </c>
      <c r="M26" s="523">
        <f>'Расходы ТОР'!L12</f>
        <v>253.75</v>
      </c>
      <c r="N26" s="523">
        <f>'Расходы ТОР'!M12</f>
        <v>253.75</v>
      </c>
      <c r="O26" s="523">
        <f>'Расходы ТОР'!N12</f>
        <v>253.75</v>
      </c>
      <c r="P26" s="523">
        <f>'Расходы ТОР'!O12</f>
        <v>253.75</v>
      </c>
      <c r="Q26" s="523">
        <f>'Расходы ТОР'!P12</f>
        <v>253.75</v>
      </c>
      <c r="R26" s="523">
        <f>'Расходы ТОР'!Q12</f>
        <v>253.75</v>
      </c>
      <c r="S26" s="523">
        <f>'Расходы ТОР'!R12</f>
        <v>253.75</v>
      </c>
      <c r="T26" s="523">
        <f>'Расходы ТОР'!S12</f>
        <v>253.75</v>
      </c>
      <c r="U26" s="523">
        <f>'Расходы ТОР'!T12</f>
        <v>253.75</v>
      </c>
      <c r="V26" s="523">
        <f>'Расходы ТОР'!U12</f>
        <v>253.75</v>
      </c>
      <c r="W26" s="523">
        <f>'Расходы ТОР'!V12</f>
        <v>253.75</v>
      </c>
      <c r="X26" s="523">
        <f>'Расходы ТОР'!W12</f>
        <v>253.75</v>
      </c>
      <c r="Y26" s="523">
        <f>'Расходы ТОР'!X12</f>
        <v>253.75</v>
      </c>
      <c r="Z26" s="523">
        <f>'Расходы ТОР'!Y12</f>
        <v>253.75</v>
      </c>
      <c r="AA26" s="523">
        <f>'Расходы ТОР'!Z12</f>
        <v>253.75</v>
      </c>
      <c r="AB26" s="523">
        <f>'Расходы ТОР'!AA12</f>
        <v>253.75</v>
      </c>
      <c r="AC26" s="523">
        <f>'Расходы ТОР'!AB12</f>
        <v>253.75</v>
      </c>
      <c r="AD26" s="523">
        <f>'Расходы ТОР'!AC12</f>
        <v>253.75</v>
      </c>
      <c r="AE26" s="523">
        <f>'Расходы ТОР'!AD12</f>
        <v>253.75</v>
      </c>
      <c r="AF26" s="523">
        <f>'Расходы ТОР'!AE12</f>
        <v>253.75</v>
      </c>
      <c r="AG26" s="523">
        <f>'Расходы ТОР'!AF12</f>
        <v>253.75</v>
      </c>
      <c r="AH26" s="523">
        <f>'Расходы ТОР'!AG12</f>
        <v>253.75</v>
      </c>
      <c r="AI26" s="523">
        <f>'Расходы ТОР'!AH12</f>
        <v>253.75</v>
      </c>
      <c r="AJ26" s="523">
        <f>'Расходы ТОР'!AI12</f>
        <v>253.75</v>
      </c>
      <c r="AK26" s="523">
        <f>'Расходы ТОР'!AJ12</f>
        <v>253.75</v>
      </c>
      <c r="AL26" s="523">
        <f>'Расходы ТОР'!AK12</f>
        <v>253.75</v>
      </c>
      <c r="AM26" s="523">
        <f>'Расходы ТОР'!AL12</f>
        <v>253.75</v>
      </c>
      <c r="AN26" s="523">
        <f>'Расходы ТОР'!AM12</f>
        <v>253.75</v>
      </c>
      <c r="AO26" s="523">
        <f>'Расходы ТОР'!AN12</f>
        <v>253.75</v>
      </c>
      <c r="AP26" s="523">
        <f>'Расходы ТОР'!AO12</f>
        <v>253.75</v>
      </c>
      <c r="AQ26" s="523">
        <f>'Расходы ТОР'!AP12</f>
        <v>253.75</v>
      </c>
      <c r="AR26" s="523">
        <f>'Расходы ТОР'!AQ12</f>
        <v>253.75</v>
      </c>
      <c r="AS26" s="523">
        <f>'Расходы ТОР'!AR12</f>
        <v>253.75</v>
      </c>
      <c r="AT26" s="523">
        <f>'Расходы ТОР'!AS12</f>
        <v>253.75</v>
      </c>
    </row>
    <row r="27" spans="1:46" x14ac:dyDescent="0.3">
      <c r="A27" s="598" t="str">
        <f>'Расходы ТОР'!A17</f>
        <v>Обновление основных средств</v>
      </c>
      <c r="B27" s="523"/>
      <c r="C27" s="523">
        <f>'Расходы ТОР'!B17</f>
        <v>0</v>
      </c>
      <c r="D27" s="523">
        <f>'Расходы ТОР'!C17</f>
        <v>0</v>
      </c>
      <c r="E27" s="523">
        <f>'Расходы ТОР'!D17</f>
        <v>0</v>
      </c>
      <c r="F27" s="523">
        <f>'Расходы ТОР'!E17</f>
        <v>0</v>
      </c>
      <c r="G27" s="523">
        <f>'Расходы ТОР'!F17</f>
        <v>0</v>
      </c>
      <c r="H27" s="523">
        <f>'Расходы ТОР'!G17</f>
        <v>0</v>
      </c>
      <c r="I27" s="523">
        <f>'Расходы ТОР'!H17</f>
        <v>0</v>
      </c>
      <c r="J27" s="523">
        <f>'Расходы ТОР'!I17</f>
        <v>0</v>
      </c>
      <c r="K27" s="523">
        <f>'Расходы ТОР'!J17</f>
        <v>33.75</v>
      </c>
      <c r="L27" s="523">
        <f>'Расходы ТОР'!K17</f>
        <v>33.75</v>
      </c>
      <c r="M27" s="523">
        <f>'Расходы ТОР'!L17</f>
        <v>33.75</v>
      </c>
      <c r="N27" s="523">
        <f>'Расходы ТОР'!M17</f>
        <v>33.75</v>
      </c>
      <c r="O27" s="523">
        <f>'Расходы ТОР'!N17</f>
        <v>33.75</v>
      </c>
      <c r="P27" s="523">
        <f>'Расходы ТОР'!O17</f>
        <v>33.75</v>
      </c>
      <c r="Q27" s="523">
        <f>'Расходы ТОР'!P17</f>
        <v>33.75</v>
      </c>
      <c r="R27" s="523">
        <f>'Расходы ТОР'!Q17</f>
        <v>33.75</v>
      </c>
      <c r="S27" s="523">
        <f>'Расходы ТОР'!R17</f>
        <v>33.75</v>
      </c>
      <c r="T27" s="523">
        <f>'Расходы ТОР'!S17</f>
        <v>33.75</v>
      </c>
      <c r="U27" s="523">
        <f>'Расходы ТОР'!T17</f>
        <v>33.75</v>
      </c>
      <c r="V27" s="523">
        <f>'Расходы ТОР'!U17</f>
        <v>33.75</v>
      </c>
      <c r="W27" s="523">
        <f>'Расходы ТОР'!V17</f>
        <v>33.75</v>
      </c>
      <c r="X27" s="523">
        <f>'Расходы ТОР'!W17</f>
        <v>33.75</v>
      </c>
      <c r="Y27" s="523">
        <f>'Расходы ТОР'!X17</f>
        <v>33.75</v>
      </c>
      <c r="Z27" s="523">
        <f>'Расходы ТОР'!Y17</f>
        <v>33.75</v>
      </c>
      <c r="AA27" s="523">
        <f>'Расходы ТОР'!Z17</f>
        <v>33.75</v>
      </c>
      <c r="AB27" s="523">
        <f>'Расходы ТОР'!AA17</f>
        <v>33.75</v>
      </c>
      <c r="AC27" s="523">
        <f>'Расходы ТОР'!AB17</f>
        <v>33.75</v>
      </c>
      <c r="AD27" s="523">
        <f>'Расходы ТОР'!AC17</f>
        <v>33.75</v>
      </c>
      <c r="AE27" s="523">
        <f>'Расходы ТОР'!AD17</f>
        <v>33.75</v>
      </c>
      <c r="AF27" s="523">
        <f>'Расходы ТОР'!AE17</f>
        <v>33.75</v>
      </c>
      <c r="AG27" s="523">
        <f>'Расходы ТОР'!AF17</f>
        <v>33.75</v>
      </c>
      <c r="AH27" s="523">
        <f>'Расходы ТОР'!AG17</f>
        <v>33.75</v>
      </c>
      <c r="AI27" s="523">
        <f>'Расходы ТОР'!AH17</f>
        <v>33.75</v>
      </c>
      <c r="AJ27" s="523">
        <f>'Расходы ТОР'!AI17</f>
        <v>33.75</v>
      </c>
      <c r="AK27" s="523">
        <f>'Расходы ТОР'!AJ17</f>
        <v>33.75</v>
      </c>
      <c r="AL27" s="523">
        <f>'Расходы ТОР'!AK17</f>
        <v>33.75</v>
      </c>
      <c r="AM27" s="523">
        <f>'Расходы ТОР'!AL17</f>
        <v>33.75</v>
      </c>
      <c r="AN27" s="523">
        <f>'Расходы ТОР'!AM17</f>
        <v>33.75</v>
      </c>
      <c r="AO27" s="523">
        <f>'Расходы ТОР'!AN17</f>
        <v>33.75</v>
      </c>
      <c r="AP27" s="523">
        <f>'Расходы ТОР'!AO17</f>
        <v>33.75</v>
      </c>
      <c r="AQ27" s="523">
        <f>'Расходы ТОР'!AP17</f>
        <v>33.75</v>
      </c>
      <c r="AR27" s="523">
        <f>'Расходы ТОР'!AQ17</f>
        <v>33.75</v>
      </c>
      <c r="AS27" s="523">
        <f>'Расходы ТОР'!AR17</f>
        <v>33.75</v>
      </c>
      <c r="AT27" s="523">
        <f>'Расходы ТОР'!AS17</f>
        <v>33.75</v>
      </c>
    </row>
    <row r="28" spans="1:46" s="538" customFormat="1" x14ac:dyDescent="0.3">
      <c r="A28" s="534" t="s">
        <v>15</v>
      </c>
      <c r="B28" s="534"/>
      <c r="C28" s="534">
        <f t="shared" ref="C28:AT28" si="15">SUM(C22:C27)</f>
        <v>0</v>
      </c>
      <c r="D28" s="534">
        <f t="shared" si="15"/>
        <v>0</v>
      </c>
      <c r="E28" s="534">
        <f t="shared" si="15"/>
        <v>1.6246391812500001</v>
      </c>
      <c r="F28" s="534">
        <f>SUM(F22:F27)</f>
        <v>255.37463918124999</v>
      </c>
      <c r="G28" s="534">
        <f t="shared" si="15"/>
        <v>4308.53463918125</v>
      </c>
      <c r="H28" s="534">
        <f t="shared" si="15"/>
        <v>4308.53463918125</v>
      </c>
      <c r="I28" s="534">
        <f t="shared" si="15"/>
        <v>4308.53463918125</v>
      </c>
      <c r="J28" s="534">
        <f t="shared" si="15"/>
        <v>4308.53463918125</v>
      </c>
      <c r="K28" s="534">
        <f t="shared" si="15"/>
        <v>4458.1794391812509</v>
      </c>
      <c r="L28" s="534">
        <f t="shared" si="15"/>
        <v>4458.1794391812509</v>
      </c>
      <c r="M28" s="534">
        <f t="shared" si="15"/>
        <v>4458.1794391812509</v>
      </c>
      <c r="N28" s="534">
        <f t="shared" si="15"/>
        <v>4458.1794391812509</v>
      </c>
      <c r="O28" s="534">
        <f t="shared" si="15"/>
        <v>4577.5510831812508</v>
      </c>
      <c r="P28" s="534">
        <f t="shared" si="15"/>
        <v>4577.5510831812508</v>
      </c>
      <c r="Q28" s="534">
        <f t="shared" si="15"/>
        <v>4577.5510831812508</v>
      </c>
      <c r="R28" s="534">
        <f t="shared" si="15"/>
        <v>4577.5510831812508</v>
      </c>
      <c r="S28" s="534">
        <f t="shared" si="15"/>
        <v>4700.5038765012514</v>
      </c>
      <c r="T28" s="534">
        <f t="shared" si="15"/>
        <v>4700.5038765012514</v>
      </c>
      <c r="U28" s="534">
        <f t="shared" si="15"/>
        <v>4700.5038765012514</v>
      </c>
      <c r="V28" s="534">
        <f t="shared" si="15"/>
        <v>4700.5038765012514</v>
      </c>
      <c r="W28" s="534">
        <f t="shared" si="15"/>
        <v>4827.1452536208499</v>
      </c>
      <c r="X28" s="534">
        <f t="shared" si="15"/>
        <v>4827.1452536208499</v>
      </c>
      <c r="Y28" s="534">
        <f t="shared" si="15"/>
        <v>4827.1452536208499</v>
      </c>
      <c r="Z28" s="534">
        <f t="shared" si="15"/>
        <v>4827.1452536208499</v>
      </c>
      <c r="AA28" s="534">
        <f t="shared" si="15"/>
        <v>4957.5858720540391</v>
      </c>
      <c r="AB28" s="534">
        <f t="shared" si="15"/>
        <v>4957.5858720540391</v>
      </c>
      <c r="AC28" s="534">
        <f t="shared" si="15"/>
        <v>4957.5858720540391</v>
      </c>
      <c r="AD28" s="534">
        <f t="shared" si="15"/>
        <v>4957.5858720540391</v>
      </c>
      <c r="AE28" s="534">
        <f t="shared" si="15"/>
        <v>5110.4476355638299</v>
      </c>
      <c r="AF28" s="534">
        <f t="shared" si="15"/>
        <v>5110.4476355638299</v>
      </c>
      <c r="AG28" s="534">
        <f t="shared" si="15"/>
        <v>5110.4476355638299</v>
      </c>
      <c r="AH28" s="534">
        <f t="shared" si="15"/>
        <v>5110.4476355638299</v>
      </c>
      <c r="AI28" s="534">
        <f t="shared" si="15"/>
        <v>5249.3873254553073</v>
      </c>
      <c r="AJ28" s="534">
        <f t="shared" si="15"/>
        <v>5249.3873254553073</v>
      </c>
      <c r="AK28" s="534">
        <f t="shared" si="15"/>
        <v>5249.3873254553073</v>
      </c>
      <c r="AL28" s="534">
        <f t="shared" si="15"/>
        <v>5249.3873254553073</v>
      </c>
      <c r="AM28" s="534">
        <f t="shared" si="15"/>
        <v>5392.495206043528</v>
      </c>
      <c r="AN28" s="534">
        <f t="shared" si="15"/>
        <v>5392.495206043528</v>
      </c>
      <c r="AO28" s="534">
        <f t="shared" si="15"/>
        <v>5392.495206043528</v>
      </c>
      <c r="AP28" s="534">
        <f t="shared" si="15"/>
        <v>5392.495206043528</v>
      </c>
      <c r="AQ28" s="534">
        <f t="shared" si="15"/>
        <v>5392.495206043528</v>
      </c>
      <c r="AR28" s="534">
        <f t="shared" si="15"/>
        <v>5392.495206043528</v>
      </c>
      <c r="AS28" s="534">
        <f t="shared" si="15"/>
        <v>5392.495206043528</v>
      </c>
      <c r="AT28" s="534">
        <f t="shared" si="15"/>
        <v>5392.495206043528</v>
      </c>
    </row>
    <row r="29" spans="1:46" s="527" customFormat="1" x14ac:dyDescent="0.3">
      <c r="A29" s="537" t="s">
        <v>386</v>
      </c>
      <c r="B29" s="615" t="s">
        <v>432</v>
      </c>
      <c r="C29" s="524"/>
      <c r="D29" s="524"/>
      <c r="E29" s="524"/>
      <c r="F29" s="524"/>
      <c r="G29" s="613">
        <f t="shared" ref="G29:AT29" si="16">(G17+G28)/(G3)</f>
        <v>1.2902178733279141E-2</v>
      </c>
      <c r="H29" s="613">
        <f t="shared" si="16"/>
        <v>1.2902178733279141E-2</v>
      </c>
      <c r="I29" s="613">
        <f t="shared" si="16"/>
        <v>1.2902178733279141E-2</v>
      </c>
      <c r="J29" s="613">
        <f t="shared" si="16"/>
        <v>1.2902178733279141E-2</v>
      </c>
      <c r="K29" s="613">
        <f t="shared" si="16"/>
        <v>1.2116054111737299E-2</v>
      </c>
      <c r="L29" s="613">
        <f t="shared" si="16"/>
        <v>1.2116054111737299E-2</v>
      </c>
      <c r="M29" s="613">
        <f t="shared" si="16"/>
        <v>1.2116054111737299E-2</v>
      </c>
      <c r="N29" s="613">
        <f t="shared" si="16"/>
        <v>1.2116054111737299E-2</v>
      </c>
      <c r="O29" s="613">
        <f t="shared" si="16"/>
        <v>1.1501089130557635E-2</v>
      </c>
      <c r="P29" s="613">
        <f t="shared" si="16"/>
        <v>1.1501089130557635E-2</v>
      </c>
      <c r="Q29" s="613">
        <f t="shared" si="16"/>
        <v>1.1501089130557635E-2</v>
      </c>
      <c r="R29" s="613">
        <f t="shared" si="16"/>
        <v>1.1501089130557635E-2</v>
      </c>
      <c r="S29" s="613">
        <f t="shared" si="16"/>
        <v>1.1373417179982619E-2</v>
      </c>
      <c r="T29" s="613">
        <f t="shared" si="16"/>
        <v>1.1373417179982619E-2</v>
      </c>
      <c r="U29" s="613">
        <f t="shared" si="16"/>
        <v>1.1373417179982619E-2</v>
      </c>
      <c r="V29" s="613">
        <f t="shared" si="16"/>
        <v>1.1373417179982619E-2</v>
      </c>
      <c r="W29" s="613">
        <f t="shared" si="16"/>
        <v>1.126230131670264E-2</v>
      </c>
      <c r="X29" s="613">
        <f t="shared" si="16"/>
        <v>1.126230131670264E-2</v>
      </c>
      <c r="Y29" s="613">
        <f t="shared" si="16"/>
        <v>1.126230131670264E-2</v>
      </c>
      <c r="Z29" s="613">
        <f t="shared" si="16"/>
        <v>1.126230131670264E-2</v>
      </c>
      <c r="AA29" s="613">
        <f t="shared" si="16"/>
        <v>1.1165194788518734E-2</v>
      </c>
      <c r="AB29" s="613">
        <f t="shared" si="16"/>
        <v>1.1165194788518734E-2</v>
      </c>
      <c r="AC29" s="613">
        <f t="shared" si="16"/>
        <v>1.1165194788518734E-2</v>
      </c>
      <c r="AD29" s="613">
        <f t="shared" si="16"/>
        <v>1.1165194788518734E-2</v>
      </c>
      <c r="AE29" s="613">
        <f t="shared" si="16"/>
        <v>1.1090766128112051E-2</v>
      </c>
      <c r="AF29" s="613">
        <f t="shared" si="16"/>
        <v>1.1090766128112051E-2</v>
      </c>
      <c r="AG29" s="613">
        <f t="shared" si="16"/>
        <v>1.1090766128112051E-2</v>
      </c>
      <c r="AH29" s="613">
        <f t="shared" si="16"/>
        <v>1.1090766128112051E-2</v>
      </c>
      <c r="AI29" s="613">
        <f t="shared" si="16"/>
        <v>1.117112156129715E-2</v>
      </c>
      <c r="AJ29" s="613">
        <f t="shared" si="16"/>
        <v>1.117112156129715E-2</v>
      </c>
      <c r="AK29" s="613">
        <f t="shared" si="16"/>
        <v>1.117112156129715E-2</v>
      </c>
      <c r="AL29" s="613">
        <f t="shared" si="16"/>
        <v>1.117112156129715E-2</v>
      </c>
      <c r="AM29" s="613">
        <f t="shared" si="16"/>
        <v>1.1253887657477805E-2</v>
      </c>
      <c r="AN29" s="613">
        <f t="shared" si="16"/>
        <v>1.1253887657477805E-2</v>
      </c>
      <c r="AO29" s="613">
        <f t="shared" si="16"/>
        <v>1.1253887657477805E-2</v>
      </c>
      <c r="AP29" s="613">
        <f t="shared" si="16"/>
        <v>1.1253887657477805E-2</v>
      </c>
      <c r="AQ29" s="613">
        <f t="shared" si="16"/>
        <v>1.1253887657477805E-2</v>
      </c>
      <c r="AR29" s="613">
        <f t="shared" si="16"/>
        <v>1.1253887657477805E-2</v>
      </c>
      <c r="AS29" s="613">
        <f t="shared" si="16"/>
        <v>1.1253887657477805E-2</v>
      </c>
      <c r="AT29" s="613">
        <f t="shared" si="16"/>
        <v>1.1253887657477805E-2</v>
      </c>
    </row>
    <row r="30" spans="1:46" x14ac:dyDescent="0.3">
      <c r="F30" s="62">
        <f>F17+F28</f>
        <v>255.37463918124999</v>
      </c>
      <c r="G30" s="62">
        <f t="shared" ref="G30:AT30" si="17">G17+G28</f>
        <v>12328.031779648218</v>
      </c>
      <c r="H30" s="62">
        <f t="shared" si="17"/>
        <v>12328.031779648218</v>
      </c>
      <c r="I30" s="62">
        <f t="shared" si="17"/>
        <v>12328.031779648218</v>
      </c>
      <c r="J30" s="62">
        <f t="shared" si="17"/>
        <v>12328.031779648218</v>
      </c>
      <c r="K30" s="62">
        <f t="shared" si="17"/>
        <v>14175.783310732641</v>
      </c>
      <c r="L30" s="62">
        <f t="shared" si="17"/>
        <v>14175.783310732641</v>
      </c>
      <c r="M30" s="62">
        <f t="shared" si="17"/>
        <v>14175.783310732641</v>
      </c>
      <c r="N30" s="62">
        <f t="shared" si="17"/>
        <v>14175.783310732641</v>
      </c>
      <c r="O30" s="62">
        <f t="shared" si="17"/>
        <v>16147.529139302918</v>
      </c>
      <c r="P30" s="62">
        <f t="shared" si="17"/>
        <v>16147.529139302918</v>
      </c>
      <c r="Q30" s="62">
        <f t="shared" si="17"/>
        <v>16147.529139302918</v>
      </c>
      <c r="R30" s="62">
        <f t="shared" si="17"/>
        <v>16147.529139302918</v>
      </c>
      <c r="S30" s="62">
        <f t="shared" si="17"/>
        <v>16966.295078239073</v>
      </c>
      <c r="T30" s="62">
        <f t="shared" si="17"/>
        <v>16966.295078239073</v>
      </c>
      <c r="U30" s="62">
        <f t="shared" si="17"/>
        <v>16966.295078239073</v>
      </c>
      <c r="V30" s="62">
        <f t="shared" si="17"/>
        <v>16966.295078239073</v>
      </c>
      <c r="W30" s="62">
        <f t="shared" si="17"/>
        <v>17788.804929731825</v>
      </c>
      <c r="X30" s="62">
        <f t="shared" si="17"/>
        <v>17788.804929731825</v>
      </c>
      <c r="Y30" s="62">
        <f t="shared" si="17"/>
        <v>17788.804929731825</v>
      </c>
      <c r="Z30" s="62">
        <f t="shared" si="17"/>
        <v>17788.804929731825</v>
      </c>
      <c r="AA30" s="62">
        <f t="shared" si="17"/>
        <v>18615.171011157865</v>
      </c>
      <c r="AB30" s="62">
        <f t="shared" si="17"/>
        <v>18615.171011157865</v>
      </c>
      <c r="AC30" s="62">
        <f t="shared" si="17"/>
        <v>18615.171011157865</v>
      </c>
      <c r="AD30" s="62">
        <f t="shared" si="17"/>
        <v>18615.171011157865</v>
      </c>
      <c r="AE30" s="62">
        <f t="shared" si="17"/>
        <v>19464.294554836655</v>
      </c>
      <c r="AF30" s="62">
        <f t="shared" si="17"/>
        <v>19464.294554836655</v>
      </c>
      <c r="AG30" s="62">
        <f t="shared" si="17"/>
        <v>19464.294554836655</v>
      </c>
      <c r="AH30" s="62">
        <f t="shared" si="17"/>
        <v>19464.294554836655</v>
      </c>
      <c r="AI30" s="62">
        <f t="shared" si="17"/>
        <v>19605.318340076505</v>
      </c>
      <c r="AJ30" s="62">
        <f t="shared" si="17"/>
        <v>19605.318340076505</v>
      </c>
      <c r="AK30" s="62">
        <f t="shared" si="17"/>
        <v>19605.318340076505</v>
      </c>
      <c r="AL30" s="62">
        <f t="shared" si="17"/>
        <v>19605.318340076505</v>
      </c>
      <c r="AM30" s="62">
        <f t="shared" si="17"/>
        <v>19750.572838873548</v>
      </c>
      <c r="AN30" s="62">
        <f t="shared" si="17"/>
        <v>19750.572838873548</v>
      </c>
      <c r="AO30" s="62">
        <f t="shared" si="17"/>
        <v>19750.572838873548</v>
      </c>
      <c r="AP30" s="62">
        <f t="shared" si="17"/>
        <v>19750.572838873548</v>
      </c>
      <c r="AQ30" s="62">
        <f t="shared" si="17"/>
        <v>19750.572838873548</v>
      </c>
      <c r="AR30" s="62">
        <f t="shared" si="17"/>
        <v>19750.572838873548</v>
      </c>
      <c r="AS30" s="62">
        <f t="shared" si="17"/>
        <v>19750.572838873548</v>
      </c>
      <c r="AT30" s="62">
        <f t="shared" si="17"/>
        <v>19750.572838873548</v>
      </c>
    </row>
    <row r="32" spans="1:46" s="515" customFormat="1" x14ac:dyDescent="0.3">
      <c r="A32" s="519" t="str">
        <f t="shared" ref="A32:A38" si="18">A11</f>
        <v>Прямые расходы, тыс руб</v>
      </c>
      <c r="B32" s="543" t="str">
        <f>'Расходы ТОР'!B25</f>
        <v>1 год</v>
      </c>
      <c r="C32" s="543" t="str">
        <f>'Расходы ТОР'!C25</f>
        <v>2 год</v>
      </c>
      <c r="D32" s="543" t="str">
        <f>'Расходы ТОР'!D25</f>
        <v>3 год</v>
      </c>
      <c r="E32" s="543" t="str">
        <f>'Расходы ТОР'!E25</f>
        <v>4 год</v>
      </c>
      <c r="F32" s="543" t="str">
        <f>'Расходы ТОР'!F25</f>
        <v>5 год</v>
      </c>
      <c r="G32" s="543" t="str">
        <f>'Расходы ТОР'!G25</f>
        <v>6 год</v>
      </c>
      <c r="H32" s="543" t="str">
        <f>'Расходы ТОР'!H25</f>
        <v>7 год</v>
      </c>
      <c r="I32" s="543" t="str">
        <f>'Расходы ТОР'!I25</f>
        <v>8 год</v>
      </c>
      <c r="J32" s="543" t="str">
        <f>'Расходы ТОР'!J25</f>
        <v>9 год</v>
      </c>
      <c r="K32" s="543" t="str">
        <f>'Расходы ТОР'!K25</f>
        <v>10 год</v>
      </c>
      <c r="L32" s="543" t="str">
        <f>'Расходы ТОР'!L25</f>
        <v>11 год</v>
      </c>
    </row>
    <row r="33" spans="1:12" x14ac:dyDescent="0.3">
      <c r="A33" s="522" t="str">
        <f t="shared" si="18"/>
        <v>Расходы на сырье (глина)</v>
      </c>
      <c r="B33" s="62">
        <f>SUM(C12:F12)</f>
        <v>0</v>
      </c>
      <c r="C33" s="62">
        <f>SUM(G12:J12)</f>
        <v>20150.799307911911</v>
      </c>
      <c r="D33" s="62">
        <f>SUM(K12:N12)</f>
        <v>24674.44813213704</v>
      </c>
      <c r="E33" s="62">
        <f>SUM(O12:R12)</f>
        <v>29609.337758564448</v>
      </c>
      <c r="F33" s="62">
        <f>SUM(S12:V12)</f>
        <v>31459.921368474723</v>
      </c>
      <c r="G33" s="62">
        <f>SUM(W12:Z12)</f>
        <v>33310.504978385012</v>
      </c>
      <c r="H33" s="62">
        <f>SUM(AA12:AD12)</f>
        <v>35161.088588295293</v>
      </c>
      <c r="I33" s="62">
        <f>SUM(AE12:AH12)</f>
        <v>37011.672198205568</v>
      </c>
      <c r="J33" s="62">
        <f>SUM(AI12:AL12)</f>
        <v>37011.672198205568</v>
      </c>
      <c r="K33" s="62">
        <f>SUM(AM12:AP12)</f>
        <v>37011.672198205561</v>
      </c>
      <c r="L33" s="62">
        <f>SUM(AQ12:AT12)</f>
        <v>37011.672198205561</v>
      </c>
    </row>
    <row r="34" spans="1:12" ht="28.8" x14ac:dyDescent="0.3">
      <c r="A34" s="522" t="str">
        <f t="shared" si="18"/>
        <v>Расходы на спецодежду, средства защиты</v>
      </c>
      <c r="B34" s="62">
        <f>SUM(C13:F13)</f>
        <v>0</v>
      </c>
      <c r="C34" s="62">
        <f>SUM(G13:J13)</f>
        <v>231.78959999999998</v>
      </c>
      <c r="D34" s="62">
        <f>SUM(K13:N13)</f>
        <v>238.74328800000001</v>
      </c>
      <c r="E34" s="62">
        <f>SUM(O13:R13)</f>
        <v>245.90558664000002</v>
      </c>
      <c r="F34" s="62">
        <f>SUM(S13:V13)</f>
        <v>253.28275423920007</v>
      </c>
      <c r="G34" s="62">
        <f>SUM(W13:Z13)</f>
        <v>260.88123686637596</v>
      </c>
      <c r="H34" s="62">
        <f>SUM(AA13:AD13)</f>
        <v>268.70767397236733</v>
      </c>
      <c r="I34" s="62">
        <f>SUM(AE13:AH13)</f>
        <v>277.8793797829548</v>
      </c>
      <c r="J34" s="62">
        <f>SUM(AI13:AL13)</f>
        <v>286.21576117644344</v>
      </c>
      <c r="K34" s="62">
        <f>SUM(AM13:AP13)</f>
        <v>294.80223401173669</v>
      </c>
      <c r="L34" s="62">
        <f>SUM(AQ13:AT13)</f>
        <v>294.80223401173669</v>
      </c>
    </row>
    <row r="35" spans="1:12" x14ac:dyDescent="0.3">
      <c r="A35" s="522" t="str">
        <f t="shared" si="18"/>
        <v xml:space="preserve">Расходы на ДТ </v>
      </c>
      <c r="B35" s="62">
        <f>SUM(C14:F14)</f>
        <v>0</v>
      </c>
      <c r="C35" s="62">
        <f>SUM(G14:J14)</f>
        <v>1620</v>
      </c>
      <c r="D35" s="62">
        <f>SUM(K14:N14)</f>
        <v>1620</v>
      </c>
      <c r="E35" s="62">
        <f>SUM(O14:R14)</f>
        <v>1620</v>
      </c>
      <c r="F35" s="62">
        <f>SUM(S14:V14)</f>
        <v>1620</v>
      </c>
      <c r="G35" s="62">
        <f>SUM(W14:Z14)</f>
        <v>1620</v>
      </c>
      <c r="H35" s="62">
        <f>SUM(AA14:AD14)</f>
        <v>1620</v>
      </c>
      <c r="I35" s="62">
        <f>SUM(AE14:AH14)</f>
        <v>1620</v>
      </c>
      <c r="J35" s="62">
        <f>SUM(AI14:AL14)</f>
        <v>1620</v>
      </c>
      <c r="K35" s="62">
        <f>SUM(AM14:AP14)</f>
        <v>1620</v>
      </c>
      <c r="L35" s="62">
        <f>SUM(AQ14:AT14)</f>
        <v>1620</v>
      </c>
    </row>
    <row r="36" spans="1:12" ht="60" customHeight="1" x14ac:dyDescent="0.3">
      <c r="A36" s="522" t="str">
        <f>A15</f>
        <v>Коммунальные расходы (уголь для технологических целей, вода, вывоз ТКО, эл./эн.)</v>
      </c>
      <c r="B36" s="62">
        <f>SUM(C15:F15)</f>
        <v>0</v>
      </c>
      <c r="C36" s="62">
        <f>SUM(G15:J15)</f>
        <v>9672.3836677977179</v>
      </c>
      <c r="D36" s="62">
        <f>SUM(K15:N15)</f>
        <v>11843.735103425777</v>
      </c>
      <c r="E36" s="62">
        <f>SUM(O15:R15)</f>
        <v>14212.482124110933</v>
      </c>
      <c r="F36" s="62">
        <f>SUM(S15:V15)</f>
        <v>15100.762256867867</v>
      </c>
      <c r="G36" s="62">
        <f>SUM(W15:Z15)</f>
        <v>15989.042389624805</v>
      </c>
      <c r="H36" s="62">
        <f>SUM(AA15:AD15)</f>
        <v>16877.322522381739</v>
      </c>
      <c r="I36" s="62">
        <f>SUM(AE15:AH15)</f>
        <v>17765.602655138671</v>
      </c>
      <c r="J36" s="62">
        <f>SUM(AI15:AL15)</f>
        <v>17765.602655138671</v>
      </c>
      <c r="K36" s="62">
        <f>SUM(AM15:AP15)</f>
        <v>17765.602655138668</v>
      </c>
      <c r="L36" s="62">
        <f>SUM(AQ15:AT15)</f>
        <v>17765.602655138668</v>
      </c>
    </row>
    <row r="37" spans="1:12" x14ac:dyDescent="0.3">
      <c r="A37" s="522" t="str">
        <f t="shared" si="18"/>
        <v>Расходы на тару, упаковку</v>
      </c>
      <c r="C37" s="62">
        <f>SUM(G16:J16)</f>
        <v>403.01598615823826</v>
      </c>
      <c r="D37" s="62">
        <f>SUM(K16:N16)</f>
        <v>493.48896264274083</v>
      </c>
      <c r="E37" s="62">
        <f>SUM(O16:R16)</f>
        <v>592.18675517128895</v>
      </c>
      <c r="F37" s="62">
        <f>SUM(S16:V16)</f>
        <v>629.19842736949442</v>
      </c>
      <c r="G37" s="62">
        <f>SUM(W16:Z16)</f>
        <v>666.21009956770024</v>
      </c>
      <c r="H37" s="62">
        <f>SUM(AA16:AD16)</f>
        <v>703.22177176590583</v>
      </c>
      <c r="I37" s="62">
        <f>SUM(AE16:AH16)</f>
        <v>740.23344396411142</v>
      </c>
      <c r="J37" s="62">
        <f>SUM(AI16:AL16)</f>
        <v>740.23344396411142</v>
      </c>
      <c r="K37" s="62">
        <f>SUM(AM16:AP16)</f>
        <v>740.23344396411119</v>
      </c>
      <c r="L37" s="62">
        <f>SUM(AQ16:AT16)</f>
        <v>740.23344396411119</v>
      </c>
    </row>
    <row r="38" spans="1:12" x14ac:dyDescent="0.3">
      <c r="A38" s="522" t="str">
        <f t="shared" si="18"/>
        <v>Итого</v>
      </c>
      <c r="B38" s="62">
        <f>SUM(B33:B37)</f>
        <v>0</v>
      </c>
      <c r="C38" s="62">
        <f>SUM(C33:C37)</f>
        <v>32077.988561867871</v>
      </c>
      <c r="D38" s="62">
        <f t="shared" ref="D38:L38" si="19">SUM(D33:D37)</f>
        <v>38870.415486205558</v>
      </c>
      <c r="E38" s="62">
        <f t="shared" si="19"/>
        <v>46279.912224486667</v>
      </c>
      <c r="F38" s="62">
        <f t="shared" si="19"/>
        <v>49063.164806951288</v>
      </c>
      <c r="G38" s="62">
        <f t="shared" si="19"/>
        <v>51846.638704443896</v>
      </c>
      <c r="H38" s="62">
        <f t="shared" si="19"/>
        <v>54630.340556415307</v>
      </c>
      <c r="I38" s="62">
        <f t="shared" si="19"/>
        <v>57415.387677091305</v>
      </c>
      <c r="J38" s="62">
        <f t="shared" si="19"/>
        <v>57423.72405848479</v>
      </c>
      <c r="K38" s="62">
        <f t="shared" si="19"/>
        <v>57432.310531320079</v>
      </c>
      <c r="L38" s="62">
        <f t="shared" si="19"/>
        <v>57432.310531320079</v>
      </c>
    </row>
    <row r="39" spans="1:12" s="538" customFormat="1" ht="28.8" x14ac:dyDescent="0.3">
      <c r="A39" s="533" t="str">
        <f>A19</f>
        <v>Себестоимость по прямым затратам</v>
      </c>
      <c r="C39" s="616">
        <f>C38/('объем работ 100% загр'!D10)</f>
        <v>8.3929849717079737E-3</v>
      </c>
      <c r="D39" s="616">
        <f>D38/('объем работ 100% загр'!E10)</f>
        <v>8.3056443346593081E-3</v>
      </c>
      <c r="E39" s="616">
        <f>E38/('объем работ 100% загр'!F10)</f>
        <v>8.2407251111977688E-3</v>
      </c>
      <c r="F39" s="616">
        <f>F38/('объем работ 100% загр'!G10)</f>
        <v>8.2224174303588554E-3</v>
      </c>
      <c r="G39" s="616">
        <f>G38/('объем работ 100% загр'!H10)</f>
        <v>8.2061789655656671E-3</v>
      </c>
      <c r="H39" s="616">
        <f>H38/('объем работ 100% загр'!I10)</f>
        <v>8.1916839940643707E-3</v>
      </c>
      <c r="I39" s="616">
        <f>I38/('объем работ 100% загр'!J10)</f>
        <v>8.178830153431807E-3</v>
      </c>
      <c r="J39" s="616">
        <f>J38/('объем работ 100% загр'!K10)</f>
        <v>8.1800176721488274E-3</v>
      </c>
      <c r="K39" s="616">
        <f>K38/('объем работ 100% загр'!L10)</f>
        <v>8.1812408164273626E-3</v>
      </c>
      <c r="L39" s="616">
        <f>L38/('объем работ 100% загр'!M10)</f>
        <v>8.1812408164273626E-3</v>
      </c>
    </row>
    <row r="40" spans="1:12" s="515" customFormat="1" x14ac:dyDescent="0.3">
      <c r="A40" s="519" t="str">
        <f t="shared" ref="A40:A47" si="20">A21</f>
        <v>Косвенные расходы, тыс руб</v>
      </c>
      <c r="B40" s="543" t="str">
        <f>B32</f>
        <v>1 год</v>
      </c>
      <c r="C40" s="543" t="str">
        <f t="shared" ref="C40:L40" si="21">C32</f>
        <v>2 год</v>
      </c>
      <c r="D40" s="543" t="str">
        <f t="shared" si="21"/>
        <v>3 год</v>
      </c>
      <c r="E40" s="543" t="str">
        <f t="shared" si="21"/>
        <v>4 год</v>
      </c>
      <c r="F40" s="543" t="str">
        <f t="shared" si="21"/>
        <v>5 год</v>
      </c>
      <c r="G40" s="543" t="str">
        <f t="shared" si="21"/>
        <v>6 год</v>
      </c>
      <c r="H40" s="543" t="str">
        <f t="shared" si="21"/>
        <v>7 год</v>
      </c>
      <c r="I40" s="543" t="str">
        <f t="shared" si="21"/>
        <v>8 год</v>
      </c>
      <c r="J40" s="543" t="str">
        <f t="shared" si="21"/>
        <v>9 год</v>
      </c>
      <c r="K40" s="543" t="str">
        <f t="shared" si="21"/>
        <v>10 год</v>
      </c>
      <c r="L40" s="543" t="str">
        <f t="shared" si="21"/>
        <v>11 год</v>
      </c>
    </row>
    <row r="41" spans="1:12" x14ac:dyDescent="0.3">
      <c r="A41" s="522" t="str">
        <f t="shared" si="20"/>
        <v>Арендная плата за зем. Участок</v>
      </c>
      <c r="B41" s="62">
        <f t="shared" ref="B41:B46" si="22">SUM(C22:F22)</f>
        <v>3.2492783625000001</v>
      </c>
      <c r="C41" s="62">
        <f t="shared" ref="C41:C46" si="23">SUM(G22:J22)</f>
        <v>6.4985567250000003</v>
      </c>
      <c r="D41" s="62">
        <f t="shared" ref="D41:D46" si="24">SUM(K22:N22)</f>
        <v>6.4985567250000003</v>
      </c>
      <c r="E41" s="62">
        <f t="shared" ref="E41:E46" si="25">SUM(O22:R22)</f>
        <v>6.4985567250000003</v>
      </c>
      <c r="F41" s="62">
        <f t="shared" ref="F41:F46" si="26">SUM(S22:V22)</f>
        <v>6.4985567250000003</v>
      </c>
      <c r="G41" s="62">
        <f t="shared" ref="G41:G46" si="27">SUM(W22:Z22)</f>
        <v>6.4985567250000003</v>
      </c>
      <c r="H41" s="62">
        <f t="shared" ref="H41:H46" si="28">SUM(AA22:AD22)</f>
        <v>6.4985567250000003</v>
      </c>
      <c r="I41" s="62">
        <f t="shared" ref="I41:I46" si="29">SUM(AE22:AH22)</f>
        <v>6.4985567250000003</v>
      </c>
      <c r="J41" s="62">
        <f t="shared" ref="J41:J46" si="30">SUM(AI22:AL22)</f>
        <v>6.4985567250000003</v>
      </c>
      <c r="K41" s="62">
        <f t="shared" ref="K41:K46" si="31">SUM(AM22:AP22)</f>
        <v>6.4985567250000003</v>
      </c>
      <c r="L41" s="62">
        <f t="shared" ref="L41:L46" si="32">SUM(AQ22:AT22)</f>
        <v>6.4985567250000003</v>
      </c>
    </row>
    <row r="42" spans="1:12" ht="28.8" x14ac:dyDescent="0.3">
      <c r="A42" s="522" t="str">
        <f t="shared" si="20"/>
        <v>Заработная плата и страховые взносы</v>
      </c>
      <c r="B42" s="62">
        <f t="shared" si="22"/>
        <v>0</v>
      </c>
      <c r="C42" s="62">
        <f t="shared" si="23"/>
        <v>15452.64</v>
      </c>
      <c r="D42" s="62">
        <f t="shared" si="24"/>
        <v>15916.219200000001</v>
      </c>
      <c r="E42" s="62">
        <f t="shared" si="25"/>
        <v>16393.705776000003</v>
      </c>
      <c r="F42" s="62">
        <f t="shared" si="26"/>
        <v>16885.516949280005</v>
      </c>
      <c r="G42" s="62">
        <f t="shared" si="27"/>
        <v>17392.082457758399</v>
      </c>
      <c r="H42" s="62">
        <f t="shared" si="28"/>
        <v>17913.844931491156</v>
      </c>
      <c r="I42" s="62">
        <f t="shared" si="29"/>
        <v>18525.291985530319</v>
      </c>
      <c r="J42" s="62">
        <f t="shared" si="30"/>
        <v>19081.050745096229</v>
      </c>
      <c r="K42" s="62">
        <f t="shared" si="31"/>
        <v>19653.482267449112</v>
      </c>
      <c r="L42" s="62">
        <f t="shared" si="32"/>
        <v>19653.482267449112</v>
      </c>
    </row>
    <row r="43" spans="1:12" ht="28.8" x14ac:dyDescent="0.3">
      <c r="A43" s="522" t="str">
        <f t="shared" si="20"/>
        <v>Запасные части, комлектующие, обслуживание оборудования</v>
      </c>
      <c r="B43" s="62">
        <f t="shared" si="22"/>
        <v>0</v>
      </c>
      <c r="C43" s="62">
        <f t="shared" si="23"/>
        <v>360</v>
      </c>
      <c r="D43" s="62">
        <f t="shared" si="24"/>
        <v>360</v>
      </c>
      <c r="E43" s="62">
        <f t="shared" si="25"/>
        <v>360</v>
      </c>
      <c r="F43" s="62">
        <f t="shared" si="26"/>
        <v>360</v>
      </c>
      <c r="G43" s="62">
        <f t="shared" si="27"/>
        <v>360</v>
      </c>
      <c r="H43" s="62">
        <f t="shared" si="28"/>
        <v>360</v>
      </c>
      <c r="I43" s="62">
        <f t="shared" si="29"/>
        <v>360</v>
      </c>
      <c r="J43" s="62">
        <f t="shared" si="30"/>
        <v>360</v>
      </c>
      <c r="K43" s="62">
        <f t="shared" si="31"/>
        <v>360</v>
      </c>
      <c r="L43" s="62">
        <f t="shared" si="32"/>
        <v>360</v>
      </c>
    </row>
    <row r="44" spans="1:12" x14ac:dyDescent="0.3">
      <c r="A44" s="522" t="str">
        <f t="shared" si="20"/>
        <v>Расходы на продвижение</v>
      </c>
      <c r="B44" s="62">
        <f t="shared" si="22"/>
        <v>0</v>
      </c>
      <c r="C44" s="62">
        <f t="shared" si="23"/>
        <v>400</v>
      </c>
      <c r="D44" s="62">
        <f t="shared" si="24"/>
        <v>400</v>
      </c>
      <c r="E44" s="62">
        <f t="shared" si="25"/>
        <v>400</v>
      </c>
      <c r="F44" s="62">
        <f t="shared" si="26"/>
        <v>400</v>
      </c>
      <c r="G44" s="62">
        <f t="shared" si="27"/>
        <v>400</v>
      </c>
      <c r="H44" s="62">
        <f t="shared" si="28"/>
        <v>400</v>
      </c>
      <c r="I44" s="62">
        <f t="shared" si="29"/>
        <v>400</v>
      </c>
      <c r="J44" s="62">
        <f t="shared" si="30"/>
        <v>400</v>
      </c>
      <c r="K44" s="62">
        <f t="shared" si="31"/>
        <v>400</v>
      </c>
      <c r="L44" s="62">
        <f t="shared" si="32"/>
        <v>400</v>
      </c>
    </row>
    <row r="45" spans="1:12" x14ac:dyDescent="0.3">
      <c r="A45" s="522" t="str">
        <f t="shared" si="20"/>
        <v>Амортизация</v>
      </c>
      <c r="B45" s="62">
        <f t="shared" si="22"/>
        <v>253.75</v>
      </c>
      <c r="C45" s="62">
        <f t="shared" si="23"/>
        <v>1015</v>
      </c>
      <c r="D45" s="62">
        <f t="shared" si="24"/>
        <v>1015</v>
      </c>
      <c r="E45" s="62">
        <f t="shared" si="25"/>
        <v>1015</v>
      </c>
      <c r="F45" s="62">
        <f t="shared" si="26"/>
        <v>1015</v>
      </c>
      <c r="G45" s="62">
        <f t="shared" si="27"/>
        <v>1015</v>
      </c>
      <c r="H45" s="62">
        <f t="shared" si="28"/>
        <v>1015</v>
      </c>
      <c r="I45" s="62">
        <f t="shared" si="29"/>
        <v>1015</v>
      </c>
      <c r="J45" s="62">
        <f t="shared" si="30"/>
        <v>1015</v>
      </c>
      <c r="K45" s="62">
        <f t="shared" si="31"/>
        <v>1015</v>
      </c>
      <c r="L45" s="62">
        <f t="shared" si="32"/>
        <v>1015</v>
      </c>
    </row>
    <row r="46" spans="1:12" x14ac:dyDescent="0.3">
      <c r="A46" s="522" t="str">
        <f t="shared" si="20"/>
        <v>Обновление основных средств</v>
      </c>
      <c r="B46" s="62">
        <f t="shared" si="22"/>
        <v>0</v>
      </c>
      <c r="C46" s="62">
        <f t="shared" si="23"/>
        <v>0</v>
      </c>
      <c r="D46" s="62">
        <f t="shared" si="24"/>
        <v>135</v>
      </c>
      <c r="E46" s="62">
        <f t="shared" si="25"/>
        <v>135</v>
      </c>
      <c r="F46" s="62">
        <f t="shared" si="26"/>
        <v>135</v>
      </c>
      <c r="G46" s="62">
        <f t="shared" si="27"/>
        <v>135</v>
      </c>
      <c r="H46" s="62">
        <f t="shared" si="28"/>
        <v>135</v>
      </c>
      <c r="I46" s="62">
        <f t="shared" si="29"/>
        <v>135</v>
      </c>
      <c r="J46" s="62">
        <f t="shared" si="30"/>
        <v>135</v>
      </c>
      <c r="K46" s="62">
        <f t="shared" si="31"/>
        <v>135</v>
      </c>
      <c r="L46" s="62">
        <f t="shared" si="32"/>
        <v>135</v>
      </c>
    </row>
    <row r="47" spans="1:12" s="538" customFormat="1" x14ac:dyDescent="0.3">
      <c r="A47" s="533" t="str">
        <f t="shared" si="20"/>
        <v>итого</v>
      </c>
      <c r="B47" s="538">
        <f t="shared" ref="B47:L47" si="33">SUM(B41:B46)</f>
        <v>256.99927836249998</v>
      </c>
      <c r="C47" s="538">
        <f>SUM(C41:C46)</f>
        <v>17234.138556725</v>
      </c>
      <c r="D47" s="538">
        <f t="shared" si="33"/>
        <v>17832.717756725004</v>
      </c>
      <c r="E47" s="538">
        <f t="shared" si="33"/>
        <v>18310.204332725003</v>
      </c>
      <c r="F47" s="538">
        <f t="shared" si="33"/>
        <v>18802.015506005006</v>
      </c>
      <c r="G47" s="538">
        <f t="shared" si="33"/>
        <v>19308.581014483399</v>
      </c>
      <c r="H47" s="538">
        <f t="shared" si="33"/>
        <v>19830.343488216156</v>
      </c>
      <c r="I47" s="538">
        <f t="shared" si="33"/>
        <v>20441.790542255319</v>
      </c>
      <c r="J47" s="538">
        <f t="shared" si="33"/>
        <v>20997.549301821229</v>
      </c>
      <c r="K47" s="538">
        <f t="shared" si="33"/>
        <v>21569.980824174112</v>
      </c>
      <c r="L47" s="538">
        <f t="shared" si="33"/>
        <v>21569.980824174112</v>
      </c>
    </row>
    <row r="48" spans="1:12" s="538" customFormat="1" x14ac:dyDescent="0.3">
      <c r="A48" s="533" t="s">
        <v>392</v>
      </c>
      <c r="B48" s="538">
        <f t="shared" ref="B48:L48" si="34">B38+B47</f>
        <v>256.99927836249998</v>
      </c>
      <c r="C48" s="538">
        <f>C38+C47</f>
        <v>49312.127118592871</v>
      </c>
      <c r="D48" s="538">
        <f t="shared" si="34"/>
        <v>56703.133242930562</v>
      </c>
      <c r="E48" s="538">
        <f t="shared" si="34"/>
        <v>64590.116557211673</v>
      </c>
      <c r="F48" s="538">
        <f t="shared" si="34"/>
        <v>67865.18031295629</v>
      </c>
      <c r="G48" s="538">
        <f t="shared" si="34"/>
        <v>71155.219718927299</v>
      </c>
      <c r="H48" s="538">
        <f t="shared" si="34"/>
        <v>74460.68404463146</v>
      </c>
      <c r="I48" s="538">
        <f t="shared" si="34"/>
        <v>77857.178219346621</v>
      </c>
      <c r="J48" s="538">
        <f t="shared" si="34"/>
        <v>78421.273360306019</v>
      </c>
      <c r="K48" s="538">
        <f t="shared" si="34"/>
        <v>79002.291355494192</v>
      </c>
      <c r="L48" s="538">
        <f t="shared" si="34"/>
        <v>79002.291355494192</v>
      </c>
    </row>
    <row r="49" spans="1:13" s="539" customFormat="1" x14ac:dyDescent="0.3">
      <c r="A49" s="542" t="str">
        <f>A29</f>
        <v>Полная себестоимсть</v>
      </c>
      <c r="C49" s="613">
        <f>C48/('объем работ 100% загр'!D10)</f>
        <v>1.2902178733279141E-2</v>
      </c>
      <c r="D49" s="613">
        <f>D48/('объем работ 100% загр'!E10)</f>
        <v>1.2116054111737299E-2</v>
      </c>
      <c r="E49" s="613">
        <f>E48/('объем работ 100% загр'!F10)</f>
        <v>1.1501089130557635E-2</v>
      </c>
      <c r="F49" s="613">
        <f>F48/('объем работ 100% загр'!G10)</f>
        <v>1.1373417179982619E-2</v>
      </c>
      <c r="G49" s="613">
        <f>G48/('объем работ 100% загр'!H10)</f>
        <v>1.126230131670264E-2</v>
      </c>
      <c r="H49" s="613">
        <f>H48/('объем работ 100% загр'!I10)</f>
        <v>1.1165194788518734E-2</v>
      </c>
      <c r="I49" s="613">
        <f>I48/('объем работ 100% загр'!J10)</f>
        <v>1.1090766128112051E-2</v>
      </c>
      <c r="J49" s="613">
        <f>J48/('объем работ 100% загр'!K10)</f>
        <v>1.117112156129715E-2</v>
      </c>
      <c r="K49" s="613">
        <f>K48/('объем работ 100% загр'!L10)</f>
        <v>1.1253887657477805E-2</v>
      </c>
      <c r="L49" s="613">
        <f>L48/('объем работ 100% загр'!M10)</f>
        <v>1.1253887657477805E-2</v>
      </c>
      <c r="M49" s="617">
        <f>AVERAGE(C49:L49)</f>
        <v>1.150898982651429E-2</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7030A0"/>
  </sheetPr>
  <dimension ref="A1:AA59"/>
  <sheetViews>
    <sheetView topLeftCell="G4" zoomScale="80" zoomScaleNormal="80" workbookViewId="0">
      <selection activeCell="P17" sqref="P17:AA17"/>
    </sheetView>
  </sheetViews>
  <sheetFormatPr defaultRowHeight="14.4" x14ac:dyDescent="0.3"/>
  <cols>
    <col min="1" max="1" width="19" style="63" customWidth="1"/>
    <col min="2" max="2" width="10.33203125" style="63" customWidth="1"/>
    <col min="3" max="3" width="13.44140625" style="63" customWidth="1"/>
    <col min="4" max="4" width="13.109375" customWidth="1"/>
    <col min="5" max="5" width="12.109375" customWidth="1"/>
    <col min="6" max="6" width="12.6640625" customWidth="1"/>
    <col min="7" max="7" width="13.109375" customWidth="1"/>
    <col min="8" max="8" width="12.33203125" customWidth="1"/>
    <col min="9" max="9" width="13.44140625" customWidth="1"/>
    <col min="10" max="10" width="10.88671875" customWidth="1"/>
    <col min="11" max="11" width="11.109375" customWidth="1"/>
    <col min="12" max="12" width="13.88671875" customWidth="1"/>
    <col min="13" max="13" width="11.33203125" customWidth="1"/>
    <col min="15" max="15" width="19.44140625" customWidth="1"/>
    <col min="16" max="16" width="12.77734375" customWidth="1"/>
    <col min="17" max="17" width="9.6640625" customWidth="1"/>
    <col min="18" max="18" width="11.33203125" customWidth="1"/>
    <col min="19" max="19" width="11.44140625" customWidth="1"/>
    <col min="20" max="20" width="10.109375" customWidth="1"/>
    <col min="21" max="21" width="11.109375" customWidth="1"/>
    <col min="22" max="22" width="10.109375" customWidth="1"/>
    <col min="23" max="24" width="11.44140625" customWidth="1"/>
    <col min="25" max="25" width="12.33203125" customWidth="1"/>
    <col min="26" max="26" width="12.5546875" customWidth="1"/>
    <col min="27" max="27" width="16" customWidth="1"/>
  </cols>
  <sheetData>
    <row r="1" spans="1:27" ht="26.25" customHeight="1" x14ac:dyDescent="0.3">
      <c r="A1" s="676" t="s">
        <v>374</v>
      </c>
      <c r="B1" s="676"/>
      <c r="C1" s="676"/>
      <c r="D1" s="676"/>
      <c r="E1" s="676"/>
      <c r="F1" s="676"/>
      <c r="G1" s="676"/>
      <c r="H1" s="676"/>
      <c r="I1" s="676"/>
      <c r="J1" s="676"/>
      <c r="K1" s="676"/>
      <c r="L1" s="676"/>
      <c r="O1" s="1" t="s">
        <v>375</v>
      </c>
    </row>
    <row r="2" spans="1:27" x14ac:dyDescent="0.3">
      <c r="A2" s="422"/>
      <c r="B2" s="422" t="str">
        <f>'объем работ 100% загр'!C3</f>
        <v>1 год</v>
      </c>
      <c r="C2" s="422" t="str">
        <f>'объем работ 100% загр'!D3</f>
        <v>2 год</v>
      </c>
      <c r="D2" s="422" t="str">
        <f>'объем работ 100% загр'!E3</f>
        <v>3 год</v>
      </c>
      <c r="E2" s="422" t="str">
        <f>'объем работ 100% загр'!F3</f>
        <v>4 год</v>
      </c>
      <c r="F2" s="422" t="str">
        <f>'объем работ 100% загр'!G3</f>
        <v>5 год</v>
      </c>
      <c r="G2" s="422" t="str">
        <f>'объем работ 100% загр'!H3</f>
        <v>6 год</v>
      </c>
      <c r="H2" s="422" t="str">
        <f>'объем работ 100% загр'!I3</f>
        <v>7 год</v>
      </c>
      <c r="I2" s="422" t="str">
        <f>'объем работ 100% загр'!J3</f>
        <v>8 год</v>
      </c>
      <c r="J2" s="422" t="str">
        <f>'объем работ 100% загр'!K3</f>
        <v>9 год</v>
      </c>
      <c r="K2" s="422" t="str">
        <f>'объем работ 100% загр'!L3</f>
        <v>10 год</v>
      </c>
      <c r="L2" s="422" t="str">
        <f>'объем работ 100% загр'!M3</f>
        <v>11 год</v>
      </c>
      <c r="O2" s="426"/>
      <c r="P2" s="427" t="s">
        <v>38</v>
      </c>
      <c r="Q2" s="427" t="s">
        <v>39</v>
      </c>
      <c r="R2" s="427" t="s">
        <v>40</v>
      </c>
      <c r="S2" s="427" t="s">
        <v>41</v>
      </c>
      <c r="T2" s="427" t="s">
        <v>42</v>
      </c>
      <c r="U2" s="427" t="s">
        <v>43</v>
      </c>
      <c r="V2" s="427" t="s">
        <v>44</v>
      </c>
      <c r="W2" s="427" t="s">
        <v>45</v>
      </c>
      <c r="X2" s="427" t="s">
        <v>46</v>
      </c>
      <c r="Y2" s="427" t="s">
        <v>47</v>
      </c>
      <c r="Z2" s="427" t="s">
        <v>48</v>
      </c>
      <c r="AA2" s="428" t="s">
        <v>15</v>
      </c>
    </row>
    <row r="3" spans="1:27" x14ac:dyDescent="0.3">
      <c r="A3" s="443" t="s">
        <v>180</v>
      </c>
      <c r="B3" s="444">
        <f>'Фин результат ТОР'!B25</f>
        <v>0</v>
      </c>
      <c r="C3" s="444">
        <f>'Фин результат ТОР'!C25</f>
        <v>0</v>
      </c>
      <c r="D3" s="444">
        <f>'Фин результат ТОР'!D25</f>
        <v>0</v>
      </c>
      <c r="E3" s="444">
        <f>'Фин результат ТОР'!E25</f>
        <v>0</v>
      </c>
      <c r="F3" s="444">
        <f>'Фин результат ТОР'!F25</f>
        <v>0</v>
      </c>
      <c r="G3" s="444">
        <f>'Фин результат ТОР'!G25</f>
        <v>0</v>
      </c>
      <c r="H3" s="444">
        <f>'Фин результат ТОР'!H25</f>
        <v>5696.1782895629849</v>
      </c>
      <c r="I3" s="444">
        <f>'Фин результат ТОР'!I25</f>
        <v>6814.8159012539882</v>
      </c>
      <c r="J3" s="444">
        <f>'Фин результат ТОР'!J25</f>
        <v>7570.4736514308206</v>
      </c>
      <c r="K3" s="444">
        <f>'Фин результат ТОР'!K25</f>
        <v>8373.0837902122985</v>
      </c>
      <c r="L3" s="444">
        <f>'Фин результат ТОР'!L25</f>
        <v>9285.1820515865093</v>
      </c>
      <c r="O3" s="447" t="str">
        <f t="shared" ref="O3:O9" si="0">A3</f>
        <v>Налог на прибыль:</v>
      </c>
      <c r="P3" s="448">
        <f>'Налоги без ТОР'!B3-'Налоги ТОР'!B3</f>
        <v>0</v>
      </c>
      <c r="Q3" s="448">
        <f>'Налоги без ТОР'!C3-'Налоги ТОР'!C3</f>
        <v>2103.2956679581293</v>
      </c>
      <c r="R3" s="448">
        <f>'Налоги без ТОР'!D3-'Налоги ТОР'!D3</f>
        <v>2993.6095379938615</v>
      </c>
      <c r="S3" s="448">
        <f>'Налоги без ТОР'!E3-'Налоги ТОР'!E3</f>
        <v>5541.8055613325232</v>
      </c>
      <c r="T3" s="448">
        <f>'Налоги без ТОР'!F3-'Налоги ТОР'!F3</f>
        <v>7363.6110536947672</v>
      </c>
      <c r="U3" s="448">
        <f>'Налоги без ТОР'!G3-'Налоги ТОР'!G3</f>
        <v>9395.2638839334613</v>
      </c>
      <c r="V3" s="448">
        <f>'Налоги без ТОР'!H3-'Налоги ТОР'!H3</f>
        <v>5748.6070395629858</v>
      </c>
      <c r="W3" s="448">
        <f>'Налоги без ТОР'!I3-'Налоги ТОР'!I3</f>
        <v>6866.0053179206543</v>
      </c>
      <c r="X3" s="448">
        <f>'Налоги без ТОР'!J3-'Налоги ТОР'!J3</f>
        <v>7620.423734764152</v>
      </c>
      <c r="Y3" s="448">
        <f>'Налоги без ТОР'!K3-'Налоги ТОР'!K3</f>
        <v>8421.7945402123005</v>
      </c>
      <c r="Z3" s="448">
        <f>'Налоги без ТОР'!L3-'Налоги ТОР'!L3</f>
        <v>9332.6534682531728</v>
      </c>
      <c r="AA3" s="448">
        <f t="shared" ref="AA3:AA23" si="1">SUM(P3:Z3)</f>
        <v>65387.069805626008</v>
      </c>
    </row>
    <row r="4" spans="1:27" ht="31.5" customHeight="1" x14ac:dyDescent="0.3">
      <c r="A4" s="149" t="s">
        <v>181</v>
      </c>
      <c r="B4" s="292" t="s">
        <v>182</v>
      </c>
      <c r="C4" s="292" t="str">
        <f t="shared" ref="C4:C5" si="2">B4</f>
        <v>0</v>
      </c>
      <c r="D4" s="292" t="str">
        <f t="shared" ref="D4:F5" si="3">C4</f>
        <v>0</v>
      </c>
      <c r="E4" s="292" t="str">
        <f t="shared" si="3"/>
        <v>0</v>
      </c>
      <c r="F4" s="292" t="str">
        <f t="shared" si="3"/>
        <v>0</v>
      </c>
      <c r="G4" s="292">
        <f>(G3/12)*2</f>
        <v>0</v>
      </c>
      <c r="H4" s="292">
        <f t="shared" ref="H4:K4" si="4">(H3/12)*2</f>
        <v>949.36304826049752</v>
      </c>
      <c r="I4" s="292">
        <f t="shared" si="4"/>
        <v>1135.8026502089981</v>
      </c>
      <c r="J4" s="292">
        <f t="shared" si="4"/>
        <v>1261.7456085718034</v>
      </c>
      <c r="K4" s="292">
        <f t="shared" si="4"/>
        <v>1395.5139650353831</v>
      </c>
      <c r="L4" s="292">
        <f>L3/20*2</f>
        <v>928.51820515865097</v>
      </c>
      <c r="O4" s="151" t="str">
        <f t="shared" si="0"/>
        <v>- федеральный бюджет</v>
      </c>
      <c r="P4" s="154">
        <f>'Налоги без ТОР'!B4-'Налоги ТОР'!B4</f>
        <v>0</v>
      </c>
      <c r="Q4" s="154">
        <f>'Налоги без ТОР'!C4-'Налоги ТОР'!C4</f>
        <v>210.32956679581292</v>
      </c>
      <c r="R4" s="154">
        <f>'Налоги без ТОР'!D4-'Налоги ТОР'!D4</f>
        <v>299.36095379938615</v>
      </c>
      <c r="S4" s="154">
        <f>'Налоги без ТОР'!E4-'Налоги ТОР'!E4</f>
        <v>554.18055613325237</v>
      </c>
      <c r="T4" s="154">
        <f>'Налоги без ТОР'!F4-'Налоги ТОР'!F4</f>
        <v>736.36110536947672</v>
      </c>
      <c r="U4" s="154">
        <f>'Налоги без ТОР'!G4-'Налоги ТОР'!G4</f>
        <v>939.52638839334611</v>
      </c>
      <c r="V4" s="154">
        <f>'Налоги без ТОР'!H4-'Налоги ТОР'!H4</f>
        <v>195.11548465209955</v>
      </c>
      <c r="W4" s="154">
        <f>'Налоги без ТОР'!I4-'Налоги ТОР'!I4</f>
        <v>232.27947170846619</v>
      </c>
      <c r="X4" s="154">
        <f>'Налоги без ТОР'!J4-'Налоги ТОР'!J4</f>
        <v>257.34413004769385</v>
      </c>
      <c r="Y4" s="154">
        <f>'Налоги без ТОР'!K4-'Налоги ТОР'!K4</f>
        <v>283.97386800707682</v>
      </c>
      <c r="Z4" s="154">
        <f>'Налоги без ТОР'!L4-'Налоги ТОР'!L4</f>
        <v>933.26534682531724</v>
      </c>
      <c r="AA4" s="154">
        <f t="shared" si="1"/>
        <v>4641.7368717319277</v>
      </c>
    </row>
    <row r="5" spans="1:27" ht="32.25" customHeight="1" x14ac:dyDescent="0.3">
      <c r="A5" s="149" t="s">
        <v>183</v>
      </c>
      <c r="B5" s="292" t="s">
        <v>182</v>
      </c>
      <c r="C5" s="292" t="str">
        <f t="shared" si="2"/>
        <v>0</v>
      </c>
      <c r="D5" s="292" t="str">
        <f t="shared" si="3"/>
        <v>0</v>
      </c>
      <c r="E5" s="292" t="str">
        <f t="shared" si="3"/>
        <v>0</v>
      </c>
      <c r="F5" s="292" t="str">
        <f t="shared" si="3"/>
        <v>0</v>
      </c>
      <c r="G5" s="293">
        <f>(G3/12)*10</f>
        <v>0</v>
      </c>
      <c r="H5" s="293">
        <f t="shared" ref="H5:K5" si="5">(H3/12)*10</f>
        <v>4746.8152413024873</v>
      </c>
      <c r="I5" s="293">
        <f t="shared" si="5"/>
        <v>5679.0132510449903</v>
      </c>
      <c r="J5" s="293">
        <f t="shared" si="5"/>
        <v>6308.7280428590166</v>
      </c>
      <c r="K5" s="293">
        <f t="shared" si="5"/>
        <v>6977.5698251769154</v>
      </c>
      <c r="L5" s="293">
        <f>L3/20*18</f>
        <v>8356.6638464278585</v>
      </c>
      <c r="O5" s="151" t="str">
        <f t="shared" si="0"/>
        <v>- региональный бюджет</v>
      </c>
      <c r="P5" s="154">
        <f>'Налоги без ТОР'!B5-'Налоги ТОР'!B5</f>
        <v>0</v>
      </c>
      <c r="Q5" s="154">
        <f>'Налоги без ТОР'!C5-'Налоги ТОР'!C5</f>
        <v>1892.9661011623164</v>
      </c>
      <c r="R5" s="154">
        <f>'Налоги без ТОР'!D5-'Налоги ТОР'!D5</f>
        <v>2694.2485841944754</v>
      </c>
      <c r="S5" s="154">
        <f>'Налоги без ТОР'!E5-'Налоги ТОР'!E5</f>
        <v>4987.6250051992711</v>
      </c>
      <c r="T5" s="154">
        <f>'Налоги без ТОР'!F5-'Налоги ТОР'!F5</f>
        <v>6627.2499483252905</v>
      </c>
      <c r="U5" s="155">
        <f>'Налоги без ТОР'!G5-'Налоги ТОР'!G5</f>
        <v>8455.7374955401156</v>
      </c>
      <c r="V5" s="155">
        <f>'Налоги без ТОР'!H5-'Налоги ТОР'!H5</f>
        <v>5553.4915549108864</v>
      </c>
      <c r="W5" s="155">
        <f>'Налоги без ТОР'!I5-'Налоги ТОР'!I5</f>
        <v>6633.7258462121872</v>
      </c>
      <c r="X5" s="155">
        <f>'Налоги без ТОР'!J5-'Налоги ТОР'!J5</f>
        <v>7363.0796047164586</v>
      </c>
      <c r="Y5" s="155">
        <f>'Налоги без ТОР'!K5-'Налоги ТОР'!K5</f>
        <v>8137.8206722052237</v>
      </c>
      <c r="Z5" s="155">
        <f>'Налоги без ТОР'!L5-'Налоги ТОР'!L5</f>
        <v>8399.3881214278554</v>
      </c>
      <c r="AA5" s="155">
        <f t="shared" si="1"/>
        <v>60745.332933894082</v>
      </c>
    </row>
    <row r="6" spans="1:27" ht="27.75" customHeight="1" x14ac:dyDescent="0.3">
      <c r="A6" s="443" t="s">
        <v>184</v>
      </c>
      <c r="B6" s="445">
        <f>B7</f>
        <v>0</v>
      </c>
      <c r="C6" s="445">
        <f t="shared" ref="C6:L6" si="6">C7</f>
        <v>0</v>
      </c>
      <c r="D6" s="445">
        <f t="shared" si="6"/>
        <v>0</v>
      </c>
      <c r="E6" s="445">
        <f t="shared" si="6"/>
        <v>0</v>
      </c>
      <c r="F6" s="445">
        <f t="shared" si="6"/>
        <v>0</v>
      </c>
      <c r="G6" s="445">
        <f t="shared" si="6"/>
        <v>66.504166666666734</v>
      </c>
      <c r="H6" s="445">
        <f t="shared" si="6"/>
        <v>262.1437500000003</v>
      </c>
      <c r="I6" s="445">
        <f t="shared" si="6"/>
        <v>255.94708333333367</v>
      </c>
      <c r="J6" s="445">
        <f t="shared" si="6"/>
        <v>249.75041666666706</v>
      </c>
      <c r="K6" s="445">
        <f t="shared" si="6"/>
        <v>243.55375000000046</v>
      </c>
      <c r="L6" s="445">
        <f t="shared" si="6"/>
        <v>237.35708333333386</v>
      </c>
      <c r="O6" s="447" t="str">
        <f t="shared" si="0"/>
        <v>Налог на имущество:</v>
      </c>
      <c r="P6" s="448">
        <f>'Налоги без ТОР'!B6-'Налоги ТОР'!B6</f>
        <v>0</v>
      </c>
      <c r="Q6" s="448">
        <f>'Налоги без ТОР'!C6-'Налоги ТОР'!C6</f>
        <v>293.1270833333333</v>
      </c>
      <c r="R6" s="448">
        <f>'Налоги без ТОР'!D6-'Налоги ТОР'!D6</f>
        <v>286.93041666666676</v>
      </c>
      <c r="S6" s="448">
        <f>'Налоги без ТОР'!E6-'Налоги ТОР'!E6</f>
        <v>280.7337500000001</v>
      </c>
      <c r="T6" s="448">
        <f>'Налоги без ТОР'!F6-'Налоги ТОР'!F6</f>
        <v>274.5370833333335</v>
      </c>
      <c r="U6" s="448">
        <f>'Налоги без ТОР'!G6-'Налоги ТОР'!G6</f>
        <v>201.83625000000018</v>
      </c>
      <c r="V6" s="448">
        <f>'Налоги без ТОР'!H6-'Налоги ТОР'!H6</f>
        <v>0</v>
      </c>
      <c r="W6" s="448">
        <f>'Налоги без ТОР'!I6-'Налоги ТОР'!I6</f>
        <v>0</v>
      </c>
      <c r="X6" s="448">
        <f>'Налоги без ТОР'!J6-'Налоги ТОР'!J6</f>
        <v>0</v>
      </c>
      <c r="Y6" s="448">
        <f>'Налоги без ТОР'!K6-'Налоги ТОР'!K6</f>
        <v>0</v>
      </c>
      <c r="Z6" s="448">
        <f>'Налоги без ТОР'!L6-'Налоги ТОР'!L6</f>
        <v>0</v>
      </c>
      <c r="AA6" s="448">
        <f t="shared" si="1"/>
        <v>1337.1645833333341</v>
      </c>
    </row>
    <row r="7" spans="1:27" ht="35.25" customHeight="1" x14ac:dyDescent="0.3">
      <c r="A7" s="149" t="s">
        <v>183</v>
      </c>
      <c r="B7" s="291">
        <f>'Расходы на П, строит-во, ввод'!B38</f>
        <v>0</v>
      </c>
      <c r="C7" s="291">
        <f>'Расходы на П, строит-во, ввод'!C38</f>
        <v>0</v>
      </c>
      <c r="D7" s="291">
        <f>'Расходы на П, строит-во, ввод'!D38</f>
        <v>0</v>
      </c>
      <c r="E7" s="291">
        <f>'Расходы на П, строит-во, ввод'!E38</f>
        <v>0</v>
      </c>
      <c r="F7" s="291">
        <f>'Расходы на П, строит-во, ввод'!F38</f>
        <v>0</v>
      </c>
      <c r="G7" s="291">
        <f>'Расходы на П, строит-во, ввод'!G38</f>
        <v>66.504166666666734</v>
      </c>
      <c r="H7" s="291">
        <f>'Расходы на П, строит-во, ввод'!H38</f>
        <v>262.1437500000003</v>
      </c>
      <c r="I7" s="291">
        <f>'Расходы на П, строит-во, ввод'!I38</f>
        <v>255.94708333333367</v>
      </c>
      <c r="J7" s="291">
        <f>'Расходы на П, строит-во, ввод'!J38</f>
        <v>249.75041666666706</v>
      </c>
      <c r="K7" s="291">
        <f>'Расходы на П, строит-во, ввод'!K38</f>
        <v>243.55375000000046</v>
      </c>
      <c r="L7" s="291">
        <f>'Расходы на П, строит-во, ввод'!L38</f>
        <v>237.35708333333386</v>
      </c>
      <c r="O7" s="151" t="str">
        <f t="shared" si="0"/>
        <v>- региональный бюджет</v>
      </c>
      <c r="P7" s="154">
        <f>'Налоги без ТОР'!B7-'Налоги ТОР'!B7</f>
        <v>0</v>
      </c>
      <c r="Q7" s="154">
        <f>'Налоги без ТОР'!C7-'Налоги ТОР'!C7</f>
        <v>293.1270833333333</v>
      </c>
      <c r="R7" s="154">
        <f>'Налоги без ТОР'!D7-'Налоги ТОР'!D7</f>
        <v>286.93041666666676</v>
      </c>
      <c r="S7" s="154">
        <f>'Налоги без ТОР'!E7-'Налоги ТОР'!E7</f>
        <v>280.7337500000001</v>
      </c>
      <c r="T7" s="154">
        <f>'Налоги без ТОР'!F7-'Налоги ТОР'!F7</f>
        <v>274.5370833333335</v>
      </c>
      <c r="U7" s="154">
        <f>'Налоги без ТОР'!G7-'Налоги ТОР'!G7</f>
        <v>201.83625000000018</v>
      </c>
      <c r="V7" s="154">
        <f>'Налоги без ТОР'!H7-'Налоги ТОР'!H7</f>
        <v>0</v>
      </c>
      <c r="W7" s="154">
        <f>'Налоги без ТОР'!I7-'Налоги ТОР'!I7</f>
        <v>0</v>
      </c>
      <c r="X7" s="154">
        <f>'Налоги без ТОР'!J7-'Налоги ТОР'!J7</f>
        <v>0</v>
      </c>
      <c r="Y7" s="154">
        <f>'Налоги без ТОР'!K7-'Налоги ТОР'!K7</f>
        <v>0</v>
      </c>
      <c r="Z7" s="154">
        <f>'Налоги без ТОР'!L7-'Налоги ТОР'!L7</f>
        <v>0</v>
      </c>
      <c r="AA7" s="154">
        <f t="shared" si="1"/>
        <v>1337.1645833333341</v>
      </c>
    </row>
    <row r="8" spans="1:27" ht="33" customHeight="1" x14ac:dyDescent="0.3">
      <c r="A8" s="152" t="s">
        <v>185</v>
      </c>
      <c r="B8" s="293">
        <v>0</v>
      </c>
      <c r="C8" s="294">
        <v>0</v>
      </c>
      <c r="D8" s="294">
        <v>0</v>
      </c>
      <c r="E8" s="294">
        <v>0</v>
      </c>
      <c r="F8" s="294">
        <v>0</v>
      </c>
      <c r="G8" s="294">
        <v>0</v>
      </c>
      <c r="H8" s="294">
        <v>0</v>
      </c>
      <c r="I8" s="294">
        <v>0</v>
      </c>
      <c r="J8" s="294">
        <v>0</v>
      </c>
      <c r="K8" s="294">
        <v>0</v>
      </c>
      <c r="L8" s="293">
        <v>0</v>
      </c>
      <c r="O8" s="447" t="str">
        <f t="shared" si="0"/>
        <v>Транспортный налог:</v>
      </c>
      <c r="P8" s="448">
        <f>'Налоги без ТОР'!B8-'Налоги ТОР'!B8</f>
        <v>0</v>
      </c>
      <c r="Q8" s="448">
        <f>'Налоги без ТОР'!C8-'Налоги ТОР'!C8</f>
        <v>0</v>
      </c>
      <c r="R8" s="448">
        <f>'Налоги без ТОР'!D8-'Налоги ТОР'!D8</f>
        <v>0</v>
      </c>
      <c r="S8" s="448">
        <f>'Налоги без ТОР'!E8-'Налоги ТОР'!E8</f>
        <v>0</v>
      </c>
      <c r="T8" s="448">
        <f>'Налоги без ТОР'!F8-'Налоги ТОР'!F8</f>
        <v>0</v>
      </c>
      <c r="U8" s="448">
        <f>'Налоги без ТОР'!G8-'Налоги ТОР'!G8</f>
        <v>0</v>
      </c>
      <c r="V8" s="448">
        <f>'Налоги без ТОР'!H8-'Налоги ТОР'!H8</f>
        <v>0</v>
      </c>
      <c r="W8" s="448">
        <f>'Налоги без ТОР'!I8-'Налоги ТОР'!I8</f>
        <v>0</v>
      </c>
      <c r="X8" s="448">
        <f>'Налоги без ТОР'!J8-'Налоги ТОР'!J8</f>
        <v>0</v>
      </c>
      <c r="Y8" s="448">
        <f>'Налоги без ТОР'!K8-'Налоги ТОР'!K8</f>
        <v>0</v>
      </c>
      <c r="Z8" s="448">
        <f>'Налоги без ТОР'!L8-'Налоги ТОР'!L8</f>
        <v>0</v>
      </c>
      <c r="AA8" s="448">
        <f t="shared" si="1"/>
        <v>0</v>
      </c>
    </row>
    <row r="9" spans="1:27" ht="28.8" x14ac:dyDescent="0.3">
      <c r="A9" s="149" t="s">
        <v>183</v>
      </c>
      <c r="B9" s="293">
        <v>0</v>
      </c>
      <c r="C9" s="294">
        <v>0</v>
      </c>
      <c r="D9" s="294">
        <v>0</v>
      </c>
      <c r="E9" s="294">
        <v>0</v>
      </c>
      <c r="F9" s="294">
        <v>0</v>
      </c>
      <c r="G9" s="294">
        <v>0</v>
      </c>
      <c r="H9" s="294">
        <v>0</v>
      </c>
      <c r="I9" s="294">
        <v>0</v>
      </c>
      <c r="J9" s="294">
        <v>0</v>
      </c>
      <c r="K9" s="294">
        <v>0</v>
      </c>
      <c r="L9" s="293">
        <v>0</v>
      </c>
      <c r="O9" s="151" t="str">
        <f t="shared" si="0"/>
        <v>- региональный бюджет</v>
      </c>
      <c r="P9" s="154">
        <f>'Налоги без ТОР'!B9-'Налоги ТОР'!B9</f>
        <v>0</v>
      </c>
      <c r="Q9" s="154">
        <f>'Налоги без ТОР'!C9-'Налоги ТОР'!C9</f>
        <v>0</v>
      </c>
      <c r="R9" s="154">
        <f>'Налоги без ТОР'!D9-'Налоги ТОР'!D9</f>
        <v>0</v>
      </c>
      <c r="S9" s="154">
        <f>'Налоги без ТОР'!E9-'Налоги ТОР'!E9</f>
        <v>0</v>
      </c>
      <c r="T9" s="154">
        <f>'Налоги без ТОР'!F9-'Налоги ТОР'!F9</f>
        <v>0</v>
      </c>
      <c r="U9" s="154">
        <f>'Налоги без ТОР'!G9-'Налоги ТОР'!G9</f>
        <v>0</v>
      </c>
      <c r="V9" s="154">
        <f>'Налоги без ТОР'!H9-'Налоги ТОР'!H9</f>
        <v>0</v>
      </c>
      <c r="W9" s="154">
        <f>'Налоги без ТОР'!I9-'Налоги ТОР'!I9</f>
        <v>0</v>
      </c>
      <c r="X9" s="154">
        <f>'Налоги без ТОР'!J9-'Налоги ТОР'!J9</f>
        <v>0</v>
      </c>
      <c r="Y9" s="154">
        <f>'Налоги без ТОР'!K9-'Налоги ТОР'!K9</f>
        <v>0</v>
      </c>
      <c r="Z9" s="154">
        <f>'Налоги без ТОР'!L9-'Налоги ТОР'!L9</f>
        <v>0</v>
      </c>
      <c r="AA9" s="154">
        <f t="shared" si="1"/>
        <v>0</v>
      </c>
    </row>
    <row r="10" spans="1:27" x14ac:dyDescent="0.3">
      <c r="A10" s="443" t="s">
        <v>186</v>
      </c>
      <c r="B10" s="444">
        <f>'Расходы на ЗП ТОР'!AS58</f>
        <v>0</v>
      </c>
      <c r="C10" s="444">
        <f>'Расходы на ЗП ТОР'!AT58</f>
        <v>1528.8</v>
      </c>
      <c r="D10" s="444">
        <f>'Расходы на ЗП ТОР'!AU58</f>
        <v>1574.6640000000002</v>
      </c>
      <c r="E10" s="444">
        <f>'Расходы на ЗП ТОР'!AV58</f>
        <v>1621.9039200000002</v>
      </c>
      <c r="F10" s="444">
        <f>'Расходы на ЗП ТОР'!AW58</f>
        <v>1670.5610376000004</v>
      </c>
      <c r="G10" s="444">
        <f>'Расходы на ЗП ТОР'!AX58</f>
        <v>1720.677868728</v>
      </c>
      <c r="H10" s="444">
        <f>'Расходы на ЗП ТОР'!AY58</f>
        <v>1772.2982047898404</v>
      </c>
      <c r="I10" s="444">
        <f>'Расходы на ЗП ТОР'!AZ58</f>
        <v>1832.7914445349629</v>
      </c>
      <c r="J10" s="444">
        <f>'Расходы на ЗП ТОР'!BA58</f>
        <v>1887.7751878710119</v>
      </c>
      <c r="K10" s="444">
        <f>'Расходы на ЗП ТОР'!BB58</f>
        <v>1944.408443507142</v>
      </c>
      <c r="L10" s="444">
        <f>'Расходы на ЗП ТОР'!BC58</f>
        <v>1944.408443507142</v>
      </c>
      <c r="O10" s="447" t="str">
        <f t="shared" ref="O10:O23" si="7">A10</f>
        <v>НДФЛ:</v>
      </c>
      <c r="P10" s="448">
        <f>'Налоги без ТОР'!B10-'Налоги ТОР'!B10</f>
        <v>0</v>
      </c>
      <c r="Q10" s="448">
        <f>'Налоги без ТОР'!C10-'Налоги ТОР'!C10</f>
        <v>0</v>
      </c>
      <c r="R10" s="448">
        <f>'Налоги без ТОР'!D10-'Налоги ТОР'!D10</f>
        <v>0</v>
      </c>
      <c r="S10" s="448">
        <f>'Налоги без ТОР'!E10-'Налоги ТОР'!E10</f>
        <v>0</v>
      </c>
      <c r="T10" s="448">
        <f>'Налоги без ТОР'!F10-'Налоги ТОР'!F10</f>
        <v>0</v>
      </c>
      <c r="U10" s="448">
        <f>'Налоги без ТОР'!G10-'Налоги ТОР'!G10</f>
        <v>0</v>
      </c>
      <c r="V10" s="448">
        <f>'Налоги без ТОР'!H10-'Налоги ТОР'!H10</f>
        <v>0</v>
      </c>
      <c r="W10" s="448">
        <f>'Налоги без ТОР'!I10-'Налоги ТОР'!I10</f>
        <v>0</v>
      </c>
      <c r="X10" s="448">
        <f>'Налоги без ТОР'!J10-'Налоги ТОР'!J10</f>
        <v>0</v>
      </c>
      <c r="Y10" s="448">
        <f>'Налоги без ТОР'!K10-'Налоги ТОР'!K10</f>
        <v>0</v>
      </c>
      <c r="Z10" s="448">
        <f>'Налоги без ТОР'!L10-'Налоги ТОР'!L10</f>
        <v>0</v>
      </c>
      <c r="AA10" s="448">
        <f t="shared" si="1"/>
        <v>0</v>
      </c>
    </row>
    <row r="11" spans="1:27" ht="28.8" x14ac:dyDescent="0.3">
      <c r="A11" s="149" t="s">
        <v>183</v>
      </c>
      <c r="B11" s="293">
        <v>0</v>
      </c>
      <c r="C11" s="294">
        <f>C10*0.85</f>
        <v>1299.48</v>
      </c>
      <c r="D11" s="294">
        <f t="shared" ref="D11:L11" si="8">D10*0.85</f>
        <v>1338.4644000000001</v>
      </c>
      <c r="E11" s="294">
        <f t="shared" si="8"/>
        <v>1378.6183320000002</v>
      </c>
      <c r="F11" s="294">
        <f t="shared" si="8"/>
        <v>1419.9768819600004</v>
      </c>
      <c r="G11" s="294">
        <f t="shared" si="8"/>
        <v>1462.5761884188</v>
      </c>
      <c r="H11" s="294">
        <f t="shared" si="8"/>
        <v>1506.4534740713643</v>
      </c>
      <c r="I11" s="294">
        <f t="shared" si="8"/>
        <v>1557.8727278547185</v>
      </c>
      <c r="J11" s="294">
        <f t="shared" si="8"/>
        <v>1604.6089096903602</v>
      </c>
      <c r="K11" s="294">
        <f t="shared" si="8"/>
        <v>1652.7471769810707</v>
      </c>
      <c r="L11" s="293">
        <f t="shared" si="8"/>
        <v>1652.7471769810707</v>
      </c>
      <c r="O11" s="151" t="str">
        <f t="shared" si="7"/>
        <v>- региональный бюджет</v>
      </c>
      <c r="P11" s="154">
        <f>'Налоги без ТОР'!B11-'Налоги ТОР'!B11</f>
        <v>0</v>
      </c>
      <c r="Q11" s="154">
        <f>'Налоги без ТОР'!C11-'Налоги ТОР'!C11</f>
        <v>0</v>
      </c>
      <c r="R11" s="154">
        <f>'Налоги без ТОР'!D11-'Налоги ТОР'!D11</f>
        <v>0</v>
      </c>
      <c r="S11" s="154">
        <f>'Налоги без ТОР'!E11-'Налоги ТОР'!E11</f>
        <v>0</v>
      </c>
      <c r="T11" s="154">
        <f>'Налоги без ТОР'!F11-'Налоги ТОР'!F11</f>
        <v>0</v>
      </c>
      <c r="U11" s="154">
        <f>'Налоги без ТОР'!G11-'Налоги ТОР'!G11</f>
        <v>0</v>
      </c>
      <c r="V11" s="154">
        <f>'Налоги без ТОР'!H11-'Налоги ТОР'!H11</f>
        <v>0</v>
      </c>
      <c r="W11" s="154">
        <f>'Налоги без ТОР'!I11-'Налоги ТОР'!I11</f>
        <v>0</v>
      </c>
      <c r="X11" s="154">
        <f>'Налоги без ТОР'!J11-'Налоги ТОР'!J11</f>
        <v>0</v>
      </c>
      <c r="Y11" s="154">
        <f>'Налоги без ТОР'!K11-'Налоги ТОР'!K11</f>
        <v>0</v>
      </c>
      <c r="Z11" s="154">
        <f>'Налоги без ТОР'!L11-'Налоги ТОР'!L11</f>
        <v>0</v>
      </c>
      <c r="AA11" s="154">
        <f t="shared" si="1"/>
        <v>0</v>
      </c>
    </row>
    <row r="12" spans="1:27" ht="28.8" x14ac:dyDescent="0.3">
      <c r="A12" s="149" t="s">
        <v>187</v>
      </c>
      <c r="B12" s="293">
        <v>0</v>
      </c>
      <c r="C12" s="294">
        <f>C10*0.15</f>
        <v>229.32</v>
      </c>
      <c r="D12" s="294">
        <f t="shared" ref="D12:L12" si="9">D10*0.15</f>
        <v>236.19960000000003</v>
      </c>
      <c r="E12" s="294">
        <f t="shared" si="9"/>
        <v>243.28558800000002</v>
      </c>
      <c r="F12" s="294">
        <f t="shared" si="9"/>
        <v>250.58415564000006</v>
      </c>
      <c r="G12" s="294">
        <f t="shared" si="9"/>
        <v>258.10168030919999</v>
      </c>
      <c r="H12" s="294">
        <f t="shared" si="9"/>
        <v>265.84473071847606</v>
      </c>
      <c r="I12" s="294">
        <f t="shared" si="9"/>
        <v>274.91871668024442</v>
      </c>
      <c r="J12" s="294">
        <f t="shared" si="9"/>
        <v>283.16627818065177</v>
      </c>
      <c r="K12" s="294">
        <f t="shared" si="9"/>
        <v>291.6612665260713</v>
      </c>
      <c r="L12" s="293">
        <f t="shared" si="9"/>
        <v>291.6612665260713</v>
      </c>
      <c r="O12" s="151" t="str">
        <f t="shared" si="7"/>
        <v>- муниципальный бюджет</v>
      </c>
      <c r="P12" s="154">
        <f>'Налоги без ТОР'!B12-'Налоги ТОР'!B12</f>
        <v>0</v>
      </c>
      <c r="Q12" s="154">
        <f>'Налоги без ТОР'!C12-'Налоги ТОР'!C12</f>
        <v>0</v>
      </c>
      <c r="R12" s="154">
        <f>'Налоги без ТОР'!D12-'Налоги ТОР'!D12</f>
        <v>0</v>
      </c>
      <c r="S12" s="154">
        <f>'Налоги без ТОР'!E12-'Налоги ТОР'!E12</f>
        <v>0</v>
      </c>
      <c r="T12" s="154">
        <f>'Налоги без ТОР'!F12-'Налоги ТОР'!F12</f>
        <v>0</v>
      </c>
      <c r="U12" s="154">
        <f>'Налоги без ТОР'!G12-'Налоги ТОР'!G12</f>
        <v>0</v>
      </c>
      <c r="V12" s="154">
        <f>'Налоги без ТОР'!H12-'Налоги ТОР'!H12</f>
        <v>0</v>
      </c>
      <c r="W12" s="154">
        <f>'Налоги без ТОР'!I12-'Налоги ТОР'!I12</f>
        <v>0</v>
      </c>
      <c r="X12" s="154">
        <f>'Налоги без ТОР'!J12-'Налоги ТОР'!J12</f>
        <v>0</v>
      </c>
      <c r="Y12" s="154">
        <f>'Налоги без ТОР'!K12-'Налоги ТОР'!K12</f>
        <v>0</v>
      </c>
      <c r="Z12" s="154">
        <f>'Налоги без ТОР'!L12-'Налоги ТОР'!L12</f>
        <v>0</v>
      </c>
      <c r="AA12" s="154">
        <f t="shared" si="1"/>
        <v>0</v>
      </c>
    </row>
    <row r="13" spans="1:27" ht="35.25" customHeight="1" x14ac:dyDescent="0.3">
      <c r="A13" s="149" t="s">
        <v>188</v>
      </c>
      <c r="B13" s="293">
        <v>0</v>
      </c>
      <c r="C13" s="294">
        <v>0</v>
      </c>
      <c r="D13" s="294">
        <v>0</v>
      </c>
      <c r="E13" s="294">
        <v>0</v>
      </c>
      <c r="F13" s="294">
        <v>0</v>
      </c>
      <c r="G13" s="294">
        <v>0</v>
      </c>
      <c r="H13" s="294">
        <v>0</v>
      </c>
      <c r="I13" s="294">
        <v>0</v>
      </c>
      <c r="J13" s="294">
        <v>0</v>
      </c>
      <c r="K13" s="294">
        <v>0</v>
      </c>
      <c r="L13" s="293">
        <v>0</v>
      </c>
      <c r="O13" s="151" t="str">
        <f t="shared" si="7"/>
        <v>- бюджет поселения</v>
      </c>
      <c r="P13" s="154">
        <f>'Налоги без ТОР'!B13-'Налоги ТОР'!B13</f>
        <v>0</v>
      </c>
      <c r="Q13" s="154">
        <f>'Налоги без ТОР'!C13-'Налоги ТОР'!C13</f>
        <v>0</v>
      </c>
      <c r="R13" s="154">
        <f>'Налоги без ТОР'!D13-'Налоги ТОР'!D13</f>
        <v>0</v>
      </c>
      <c r="S13" s="154">
        <f>'Налоги без ТОР'!E13-'Налоги ТОР'!E13</f>
        <v>0</v>
      </c>
      <c r="T13" s="154">
        <f>'Налоги без ТОР'!F13-'Налоги ТОР'!F13</f>
        <v>0</v>
      </c>
      <c r="U13" s="154">
        <f>'Налоги без ТОР'!G13-'Налоги ТОР'!G13</f>
        <v>0</v>
      </c>
      <c r="V13" s="154">
        <f>'Налоги без ТОР'!H13-'Налоги ТОР'!H13</f>
        <v>0</v>
      </c>
      <c r="W13" s="154">
        <f>'Налоги без ТОР'!I13-'Налоги ТОР'!I13</f>
        <v>0</v>
      </c>
      <c r="X13" s="154">
        <f>'Налоги без ТОР'!J13-'Налоги ТОР'!J13</f>
        <v>0</v>
      </c>
      <c r="Y13" s="154">
        <f>'Налоги без ТОР'!K13-'Налоги ТОР'!K13</f>
        <v>0</v>
      </c>
      <c r="Z13" s="154">
        <f>'Налоги без ТОР'!L13-'Налоги ТОР'!L13</f>
        <v>0</v>
      </c>
      <c r="AA13" s="154">
        <f t="shared" si="1"/>
        <v>0</v>
      </c>
    </row>
    <row r="14" spans="1:27" ht="31.5" customHeight="1" x14ac:dyDescent="0.3">
      <c r="A14" s="443" t="s">
        <v>189</v>
      </c>
      <c r="B14" s="444">
        <f>'Расходы на ЗП ТОР'!AS51</f>
        <v>0</v>
      </c>
      <c r="C14" s="444">
        <f>'Расходы на ЗП ТОР'!AT51</f>
        <v>3528</v>
      </c>
      <c r="D14" s="444">
        <f>'Расходы на ЗП ТОР'!AU51</f>
        <v>3633.84</v>
      </c>
      <c r="E14" s="444">
        <f>'Расходы на ЗП ТОР'!AV51</f>
        <v>3742.8552</v>
      </c>
      <c r="F14" s="444">
        <f>'Расходы на ЗП ТОР'!AW51</f>
        <v>3855.140856</v>
      </c>
      <c r="G14" s="444">
        <f>'Расходы на ЗП ТОР'!AX51</f>
        <v>3970.7950816799998</v>
      </c>
      <c r="H14" s="444">
        <f>'Расходы на ЗП ТОР'!AY51</f>
        <v>4089.9189341304009</v>
      </c>
      <c r="I14" s="444">
        <f>'Расходы на ЗП ТОР'!AZ51</f>
        <v>4229.5187181576066</v>
      </c>
      <c r="J14" s="444">
        <f>'Расходы на ЗП ТОР'!BA51</f>
        <v>4356.4042797023349</v>
      </c>
      <c r="K14" s="444">
        <f>'Расходы на ЗП ТОР'!BB51</f>
        <v>4487.0964080934045</v>
      </c>
      <c r="L14" s="444">
        <f>'Расходы на ЗП ТОР'!BC51</f>
        <v>4487.0964080934045</v>
      </c>
      <c r="O14" s="447" t="str">
        <f t="shared" si="7"/>
        <v>Страховые платежи в ФНС</v>
      </c>
      <c r="P14" s="448">
        <f>'Налоги без ТОР'!B14-'Налоги ТОР'!B14</f>
        <v>0</v>
      </c>
      <c r="Q14" s="448">
        <f>'Налоги без ТОР'!C14-'Налоги ТОР'!C14</f>
        <v>0</v>
      </c>
      <c r="R14" s="448">
        <f>'Налоги без ТОР'!D14-'Налоги ТОР'!D14</f>
        <v>0</v>
      </c>
      <c r="S14" s="448">
        <f>'Налоги без ТОР'!E14-'Налоги ТОР'!E14</f>
        <v>0</v>
      </c>
      <c r="T14" s="448">
        <f>'Налоги без ТОР'!F14-'Налоги ТОР'!F14</f>
        <v>0</v>
      </c>
      <c r="U14" s="448">
        <f>'Налоги без ТОР'!G14-'Налоги ТОР'!G14</f>
        <v>0</v>
      </c>
      <c r="V14" s="448">
        <f>'Налоги без ТОР'!H14-'Налоги ТОР'!H14</f>
        <v>0</v>
      </c>
      <c r="W14" s="448">
        <f>'Налоги без ТОР'!I14-'Налоги ТОР'!I14</f>
        <v>0</v>
      </c>
      <c r="X14" s="448">
        <f>'Налоги без ТОР'!J14-'Налоги ТОР'!J14</f>
        <v>0</v>
      </c>
      <c r="Y14" s="448">
        <f>'Налоги без ТОР'!K14-'Налоги ТОР'!K14</f>
        <v>0</v>
      </c>
      <c r="Z14" s="448">
        <f>'Налоги без ТОР'!L14-'Налоги ТОР'!L14</f>
        <v>0</v>
      </c>
      <c r="AA14" s="448">
        <f t="shared" si="1"/>
        <v>0</v>
      </c>
    </row>
    <row r="15" spans="1:27" ht="30" customHeight="1" x14ac:dyDescent="0.3">
      <c r="A15" s="443" t="s">
        <v>190</v>
      </c>
      <c r="B15" s="444">
        <f>'Расходы на ЗП ТОР'!AS53</f>
        <v>0</v>
      </c>
      <c r="C15" s="444">
        <f>'Расходы на ЗП ТОР'!AT53</f>
        <v>164.64000000000001</v>
      </c>
      <c r="D15" s="444">
        <f>'Расходы на ЗП ТОР'!AU53</f>
        <v>169.57920000000001</v>
      </c>
      <c r="E15" s="444">
        <f>'Расходы на ЗП ТОР'!AV53</f>
        <v>174.66657600000002</v>
      </c>
      <c r="F15" s="444">
        <f>'Расходы на ЗП ТОР'!AW53</f>
        <v>179.90657328000003</v>
      </c>
      <c r="G15" s="444">
        <f>'Расходы на ЗП ТОР'!AX53</f>
        <v>185.3037704784</v>
      </c>
      <c r="H15" s="444">
        <f>'Расходы на ЗП ТОР'!AY53</f>
        <v>190.86288359275204</v>
      </c>
      <c r="I15" s="444">
        <f>'Расходы на ЗП ТОР'!AZ53</f>
        <v>197.37754018068833</v>
      </c>
      <c r="J15" s="444">
        <f>'Расходы на ЗП ТОР'!BA53</f>
        <v>203.29886638610898</v>
      </c>
      <c r="K15" s="444">
        <f>'Расходы на ЗП ТОР'!BB53</f>
        <v>209.39783237769223</v>
      </c>
      <c r="L15" s="444">
        <f>'Расходы на ЗП ТОР'!BC53</f>
        <v>209.39783237769223</v>
      </c>
      <c r="O15" s="447" t="str">
        <f t="shared" si="7"/>
        <v>Страховые платежи в ФСС</v>
      </c>
      <c r="P15" s="448">
        <f>'Налоги без ТОР'!B15-'Налоги ТОР'!B15</f>
        <v>0</v>
      </c>
      <c r="Q15" s="449">
        <f>'Налоги без ТОР'!C15-'Налоги ТОР'!C15</f>
        <v>0</v>
      </c>
      <c r="R15" s="449">
        <f>'Налоги без ТОР'!D15-'Налоги ТОР'!D15</f>
        <v>0</v>
      </c>
      <c r="S15" s="449">
        <f>'Налоги без ТОР'!E15-'Налоги ТОР'!E15</f>
        <v>0</v>
      </c>
      <c r="T15" s="449">
        <f>'Налоги без ТОР'!F15-'Налоги ТОР'!F15</f>
        <v>0</v>
      </c>
      <c r="U15" s="449">
        <f>'Налоги без ТОР'!G15-'Налоги ТОР'!G15</f>
        <v>0</v>
      </c>
      <c r="V15" s="449">
        <f>'Налоги без ТОР'!H15-'Налоги ТОР'!H15</f>
        <v>0</v>
      </c>
      <c r="W15" s="449">
        <f>'Налоги без ТОР'!I15-'Налоги ТОР'!I15</f>
        <v>0</v>
      </c>
      <c r="X15" s="449">
        <f>'Налоги без ТОР'!J15-'Налоги ТОР'!J15</f>
        <v>0</v>
      </c>
      <c r="Y15" s="449">
        <f>'Налоги без ТОР'!K15-'Налоги ТОР'!K15</f>
        <v>0</v>
      </c>
      <c r="Z15" s="449">
        <f>'Налоги без ТОР'!L15-'Налоги ТОР'!L15</f>
        <v>0</v>
      </c>
      <c r="AA15" s="448">
        <f t="shared" si="1"/>
        <v>0</v>
      </c>
    </row>
    <row r="16" spans="1:27" x14ac:dyDescent="0.3">
      <c r="A16" s="443" t="s">
        <v>191</v>
      </c>
      <c r="B16" s="444">
        <f>'Расходы ТОР'!B39</f>
        <v>0</v>
      </c>
      <c r="C16" s="444">
        <f>'Расходы ТОР'!C39</f>
        <v>890.56281819140713</v>
      </c>
      <c r="D16" s="444">
        <f>'Расходы ТОР'!D39</f>
        <v>9079.648295287443</v>
      </c>
      <c r="E16" s="444">
        <f>'Расходы ТОР'!E39</f>
        <v>12194.441645336929</v>
      </c>
      <c r="F16" s="444">
        <f>'Расходы ТОР'!F39</f>
        <v>14347.446789107647</v>
      </c>
      <c r="G16" s="444">
        <f>'Расходы ТОР'!G39</f>
        <v>16747.623716710536</v>
      </c>
      <c r="H16" s="444">
        <f>'Расходы ТОР'!H39</f>
        <v>19414.908913902982</v>
      </c>
      <c r="I16" s="444">
        <f>'Расходы ТОР'!I39</f>
        <v>22370.519291356501</v>
      </c>
      <c r="J16" s="444">
        <f>'Расходы ТОР'!J39</f>
        <v>24395.505023356724</v>
      </c>
      <c r="K16" s="444">
        <f>'Расходы ТОР'!K39</f>
        <v>26542.0399175653</v>
      </c>
      <c r="L16" s="444">
        <f>'Расходы ТОР'!L39</f>
        <v>28819.187237667495</v>
      </c>
      <c r="O16" s="447" t="str">
        <f t="shared" si="7"/>
        <v>НДС:</v>
      </c>
      <c r="P16" s="448">
        <f>'Налоги без ТОР'!B16-'Налоги ТОР'!B16</f>
        <v>0</v>
      </c>
      <c r="Q16" s="448">
        <f>'Налоги без ТОР'!C16-'Налоги ТОР'!C16</f>
        <v>0</v>
      </c>
      <c r="R16" s="448">
        <f>'Налоги без ТОР'!D16-'Налоги ТОР'!D16</f>
        <v>0</v>
      </c>
      <c r="S16" s="448">
        <f>'Налоги без ТОР'!E16-'Налоги ТОР'!E16</f>
        <v>0</v>
      </c>
      <c r="T16" s="448">
        <f>'Налоги без ТОР'!F16-'Налоги ТОР'!F16</f>
        <v>0</v>
      </c>
      <c r="U16" s="448">
        <f>'Налоги без ТОР'!G16-'Налоги ТОР'!G16</f>
        <v>0</v>
      </c>
      <c r="V16" s="448">
        <f>'Налоги без ТОР'!H16-'Налоги ТОР'!H16</f>
        <v>0</v>
      </c>
      <c r="W16" s="448">
        <f>'Налоги без ТОР'!I16-'Налоги ТОР'!I16</f>
        <v>0</v>
      </c>
      <c r="X16" s="448">
        <f>'Налоги без ТОР'!J16-'Налоги ТОР'!J16</f>
        <v>0</v>
      </c>
      <c r="Y16" s="448">
        <f>'Налоги без ТОР'!K16-'Налоги ТОР'!K16</f>
        <v>0</v>
      </c>
      <c r="Z16" s="448">
        <f>'Налоги без ТОР'!L16-'Налоги ТОР'!L16</f>
        <v>0</v>
      </c>
      <c r="AA16" s="448">
        <f t="shared" si="1"/>
        <v>0</v>
      </c>
    </row>
    <row r="17" spans="1:27" ht="28.8" x14ac:dyDescent="0.3">
      <c r="A17" s="149" t="s">
        <v>181</v>
      </c>
      <c r="B17" s="293">
        <f>B16</f>
        <v>0</v>
      </c>
      <c r="C17" s="293">
        <f t="shared" ref="C17:L17" si="10">C16</f>
        <v>890.56281819140713</v>
      </c>
      <c r="D17" s="293">
        <f t="shared" si="10"/>
        <v>9079.648295287443</v>
      </c>
      <c r="E17" s="293">
        <f t="shared" si="10"/>
        <v>12194.441645336929</v>
      </c>
      <c r="F17" s="293">
        <f t="shared" si="10"/>
        <v>14347.446789107647</v>
      </c>
      <c r="G17" s="293">
        <f t="shared" si="10"/>
        <v>16747.623716710536</v>
      </c>
      <c r="H17" s="293">
        <f t="shared" si="10"/>
        <v>19414.908913902982</v>
      </c>
      <c r="I17" s="293">
        <f t="shared" si="10"/>
        <v>22370.519291356501</v>
      </c>
      <c r="J17" s="293">
        <f t="shared" si="10"/>
        <v>24395.505023356724</v>
      </c>
      <c r="K17" s="293">
        <f t="shared" si="10"/>
        <v>26542.0399175653</v>
      </c>
      <c r="L17" s="293">
        <f t="shared" si="10"/>
        <v>28819.187237667495</v>
      </c>
      <c r="O17" s="151" t="str">
        <f t="shared" si="7"/>
        <v>- федеральный бюджет</v>
      </c>
      <c r="P17" s="154">
        <f>P16</f>
        <v>0</v>
      </c>
      <c r="Q17" s="154">
        <f t="shared" ref="Q17:AA17" si="11">Q16</f>
        <v>0</v>
      </c>
      <c r="R17" s="154">
        <f t="shared" si="11"/>
        <v>0</v>
      </c>
      <c r="S17" s="154">
        <f t="shared" si="11"/>
        <v>0</v>
      </c>
      <c r="T17" s="154">
        <f t="shared" si="11"/>
        <v>0</v>
      </c>
      <c r="U17" s="154">
        <f t="shared" si="11"/>
        <v>0</v>
      </c>
      <c r="V17" s="154">
        <f t="shared" si="11"/>
        <v>0</v>
      </c>
      <c r="W17" s="154">
        <f t="shared" si="11"/>
        <v>0</v>
      </c>
      <c r="X17" s="154">
        <f t="shared" si="11"/>
        <v>0</v>
      </c>
      <c r="Y17" s="154">
        <f t="shared" si="11"/>
        <v>0</v>
      </c>
      <c r="Z17" s="154">
        <f t="shared" si="11"/>
        <v>0</v>
      </c>
      <c r="AA17" s="154">
        <f t="shared" si="11"/>
        <v>0</v>
      </c>
    </row>
    <row r="18" spans="1:27" x14ac:dyDescent="0.3">
      <c r="A18" s="443" t="s">
        <v>192</v>
      </c>
      <c r="B18" s="446">
        <v>0</v>
      </c>
      <c r="C18" s="446">
        <v>0</v>
      </c>
      <c r="D18" s="446">
        <v>0</v>
      </c>
      <c r="E18" s="446">
        <v>0</v>
      </c>
      <c r="F18" s="446">
        <v>0</v>
      </c>
      <c r="G18" s="446">
        <v>0</v>
      </c>
      <c r="H18" s="446">
        <v>0</v>
      </c>
      <c r="I18" s="446">
        <v>0</v>
      </c>
      <c r="J18" s="446">
        <v>0</v>
      </c>
      <c r="K18" s="446">
        <v>0</v>
      </c>
      <c r="L18" s="446">
        <v>0</v>
      </c>
      <c r="O18" s="447" t="str">
        <f t="shared" si="7"/>
        <v>Земельный налог</v>
      </c>
      <c r="P18" s="448">
        <f>'Налоги без ТОР'!B18-'Налоги ТОР'!B18</f>
        <v>0</v>
      </c>
      <c r="Q18" s="448">
        <f>'Налоги без ТОР'!C18-'Налоги ТОР'!C18</f>
        <v>0</v>
      </c>
      <c r="R18" s="448">
        <f>'Налоги без ТОР'!D18-'Налоги ТОР'!D18</f>
        <v>0</v>
      </c>
      <c r="S18" s="448">
        <f>'Налоги без ТОР'!E18-'Налоги ТОР'!E18</f>
        <v>0</v>
      </c>
      <c r="T18" s="448">
        <f>'Налоги без ТОР'!F18-'Налоги ТОР'!F18</f>
        <v>0</v>
      </c>
      <c r="U18" s="448">
        <f>'Налоги без ТОР'!G18-'Налоги ТОР'!G18</f>
        <v>0</v>
      </c>
      <c r="V18" s="448">
        <f>'Налоги без ТОР'!H18-'Налоги ТОР'!H18</f>
        <v>0</v>
      </c>
      <c r="W18" s="448">
        <f>'Налоги без ТОР'!I18-'Налоги ТОР'!I18</f>
        <v>0</v>
      </c>
      <c r="X18" s="448">
        <f>'Налоги без ТОР'!J18-'Налоги ТОР'!J18</f>
        <v>0</v>
      </c>
      <c r="Y18" s="448">
        <f>'Налоги без ТОР'!K18-'Налоги ТОР'!K18</f>
        <v>0</v>
      </c>
      <c r="Z18" s="448">
        <f>'Налоги без ТОР'!L18-'Налоги ТОР'!L18</f>
        <v>0</v>
      </c>
      <c r="AA18" s="448">
        <f t="shared" si="1"/>
        <v>0</v>
      </c>
    </row>
    <row r="19" spans="1:27" ht="28.8" x14ac:dyDescent="0.3">
      <c r="A19" s="149" t="str">
        <f>A12</f>
        <v>- муниципальный бюджет</v>
      </c>
      <c r="B19" s="293">
        <v>0</v>
      </c>
      <c r="C19" s="293">
        <v>0</v>
      </c>
      <c r="D19" s="293">
        <v>0</v>
      </c>
      <c r="E19" s="293">
        <v>0</v>
      </c>
      <c r="F19" s="293">
        <v>0</v>
      </c>
      <c r="G19" s="293">
        <v>0</v>
      </c>
      <c r="H19" s="293">
        <v>0</v>
      </c>
      <c r="I19" s="293">
        <v>0</v>
      </c>
      <c r="J19" s="293">
        <v>0</v>
      </c>
      <c r="K19" s="293">
        <v>0</v>
      </c>
      <c r="L19" s="293">
        <v>0</v>
      </c>
      <c r="O19" s="151" t="str">
        <f t="shared" si="7"/>
        <v>- муниципальный бюджет</v>
      </c>
      <c r="P19" s="154">
        <f>'Налоги без ТОР'!B19-'Налоги ТОР'!B19</f>
        <v>0</v>
      </c>
      <c r="Q19" s="154">
        <f>'Налоги без ТОР'!C19-'Налоги ТОР'!C19</f>
        <v>0</v>
      </c>
      <c r="R19" s="154">
        <f>'Налоги без ТОР'!D19-'Налоги ТОР'!D19</f>
        <v>0</v>
      </c>
      <c r="S19" s="154">
        <f>'Налоги без ТОР'!E19-'Налоги ТОР'!E19</f>
        <v>0</v>
      </c>
      <c r="T19" s="154">
        <f>'Налоги без ТОР'!F19-'Налоги ТОР'!F19</f>
        <v>0</v>
      </c>
      <c r="U19" s="154">
        <f>'Налоги без ТОР'!G19-'Налоги ТОР'!G19</f>
        <v>0</v>
      </c>
      <c r="V19" s="154">
        <f>'Налоги без ТОР'!H19-'Налоги ТОР'!H19</f>
        <v>0</v>
      </c>
      <c r="W19" s="154">
        <f>'Налоги без ТОР'!I19-'Налоги ТОР'!I19</f>
        <v>0</v>
      </c>
      <c r="X19" s="154">
        <f>'Налоги без ТОР'!J19-'Налоги ТОР'!J19</f>
        <v>0</v>
      </c>
      <c r="Y19" s="154">
        <f>'Налоги без ТОР'!K19-'Налоги ТОР'!K19</f>
        <v>0</v>
      </c>
      <c r="Z19" s="154">
        <f>'Налоги без ТОР'!L19-'Налоги ТОР'!L19</f>
        <v>0</v>
      </c>
      <c r="AA19" s="154">
        <f t="shared" si="1"/>
        <v>0</v>
      </c>
    </row>
    <row r="20" spans="1:27" ht="16.5" customHeight="1" x14ac:dyDescent="0.3">
      <c r="A20" s="450" t="s">
        <v>193</v>
      </c>
      <c r="B20" s="451">
        <f>B4+B17</f>
        <v>0</v>
      </c>
      <c r="C20" s="452">
        <f>C4+C17</f>
        <v>890.56281819140713</v>
      </c>
      <c r="D20" s="453">
        <f>D4+D17</f>
        <v>9079.648295287443</v>
      </c>
      <c r="E20" s="451">
        <f>E4+E17</f>
        <v>12194.441645336929</v>
      </c>
      <c r="F20" s="451">
        <f t="shared" ref="F20:L20" si="12">F4+F17</f>
        <v>14347.446789107647</v>
      </c>
      <c r="G20" s="451">
        <f t="shared" si="12"/>
        <v>16747.623716710536</v>
      </c>
      <c r="H20" s="451">
        <f t="shared" si="12"/>
        <v>20364.271962163479</v>
      </c>
      <c r="I20" s="451">
        <f t="shared" si="12"/>
        <v>23506.3219415655</v>
      </c>
      <c r="J20" s="451">
        <f t="shared" si="12"/>
        <v>25657.250631928528</v>
      </c>
      <c r="K20" s="451">
        <f t="shared" si="12"/>
        <v>27937.553882600681</v>
      </c>
      <c r="L20" s="451">
        <f t="shared" si="12"/>
        <v>29747.705442826147</v>
      </c>
      <c r="O20" s="456" t="str">
        <f t="shared" si="7"/>
        <v>фб</v>
      </c>
      <c r="P20" s="420">
        <f>'Налоги без ТОР'!B20-'Налоги ТОР'!B20</f>
        <v>0</v>
      </c>
      <c r="Q20" s="420">
        <f>'Налоги без ТОР'!C20-'Налоги ТОР'!C20</f>
        <v>210.32956679581298</v>
      </c>
      <c r="R20" s="420">
        <f>'Налоги без ТОР'!D20-'Налоги ТОР'!D20</f>
        <v>299.36095379938706</v>
      </c>
      <c r="S20" s="420">
        <f>'Налоги без ТОР'!E20-'Налоги ТОР'!E20</f>
        <v>554.18055613325305</v>
      </c>
      <c r="T20" s="420">
        <f>'Налоги без ТОР'!F20-'Налоги ТОР'!F20</f>
        <v>736.36110536947672</v>
      </c>
      <c r="U20" s="420">
        <f>'Налоги без ТОР'!G20-'Налоги ТОР'!G20</f>
        <v>939.52638839334759</v>
      </c>
      <c r="V20" s="420">
        <f>'Налоги без ТОР'!H20-'Налоги ТОР'!H20</f>
        <v>195.11548465209853</v>
      </c>
      <c r="W20" s="420">
        <f>'Налоги без ТОР'!I20-'Налоги ТОР'!I20</f>
        <v>232.27947170846528</v>
      </c>
      <c r="X20" s="420">
        <f>'Налоги без ТОР'!J20-'Налоги ТОР'!J20</f>
        <v>257.34413004769158</v>
      </c>
      <c r="Y20" s="420">
        <f>'Налоги без ТОР'!K20-'Налоги ТОР'!K20</f>
        <v>283.97386800708045</v>
      </c>
      <c r="Z20" s="420">
        <f>'Налоги без ТОР'!L20-'Налоги ТОР'!L20</f>
        <v>933.26534682531565</v>
      </c>
      <c r="AA20" s="420">
        <f>SUM(P20:Z20)</f>
        <v>4641.7368717319287</v>
      </c>
    </row>
    <row r="21" spans="1:27" ht="16.5" customHeight="1" x14ac:dyDescent="0.3">
      <c r="A21" s="450" t="s">
        <v>194</v>
      </c>
      <c r="B21" s="451">
        <f>B5+B7+B9+B11</f>
        <v>0</v>
      </c>
      <c r="C21" s="452">
        <f>C5+C7+C9+C11</f>
        <v>1299.48</v>
      </c>
      <c r="D21" s="453">
        <f>D5+D7+D9+D11</f>
        <v>1338.4644000000001</v>
      </c>
      <c r="E21" s="451">
        <f>E5+E7+E9+E11</f>
        <v>1378.6183320000002</v>
      </c>
      <c r="F21" s="451">
        <f t="shared" ref="F21:L21" si="13">F5+F7+F9+F11</f>
        <v>1419.9768819600004</v>
      </c>
      <c r="G21" s="451">
        <f t="shared" si="13"/>
        <v>1529.0803550854669</v>
      </c>
      <c r="H21" s="451">
        <f t="shared" si="13"/>
        <v>6515.4124653738518</v>
      </c>
      <c r="I21" s="451">
        <f t="shared" si="13"/>
        <v>7492.8330622330423</v>
      </c>
      <c r="J21" s="451">
        <f t="shared" si="13"/>
        <v>8163.087369216044</v>
      </c>
      <c r="K21" s="451">
        <f t="shared" si="13"/>
        <v>8873.8707521579854</v>
      </c>
      <c r="L21" s="451">
        <f t="shared" si="13"/>
        <v>10246.768106742264</v>
      </c>
      <c r="O21" s="456" t="str">
        <f t="shared" si="7"/>
        <v>рб</v>
      </c>
      <c r="P21" s="420">
        <f>'Налоги без ТОР'!B21-'Налоги ТОР'!B21</f>
        <v>0</v>
      </c>
      <c r="Q21" s="420">
        <f>'Налоги без ТОР'!C21-'Налоги ТОР'!C21</f>
        <v>2186.0931844956494</v>
      </c>
      <c r="R21" s="420">
        <f>'Налоги без ТОР'!D21-'Налоги ТОР'!D21</f>
        <v>2981.1790008611424</v>
      </c>
      <c r="S21" s="420">
        <f>'Налоги без ТОР'!E21-'Налоги ТОР'!E21</f>
        <v>5268.3587551992714</v>
      </c>
      <c r="T21" s="420">
        <f>'Налоги без ТОР'!F21-'Налоги ТОР'!F21</f>
        <v>6901.7870316586241</v>
      </c>
      <c r="U21" s="420">
        <f>'Налоги без ТОР'!G21-'Налоги ТОР'!G21</f>
        <v>8657.5737455401159</v>
      </c>
      <c r="V21" s="420">
        <f>'Налоги без ТОР'!H21-'Налоги ТОР'!H21</f>
        <v>5553.4915549108873</v>
      </c>
      <c r="W21" s="420">
        <f>'Налоги без ТОР'!I21-'Налоги ТОР'!I21</f>
        <v>6633.7258462121872</v>
      </c>
      <c r="X21" s="420">
        <f>'Налоги без ТОР'!J21-'Налоги ТОР'!J21</f>
        <v>7363.0796047164586</v>
      </c>
      <c r="Y21" s="420">
        <f>'Налоги без ТОР'!K21-'Налоги ТОР'!K21</f>
        <v>8137.8206722052237</v>
      </c>
      <c r="Z21" s="420">
        <f>'Налоги без ТОР'!L21-'Налоги ТОР'!L21</f>
        <v>8399.3881214278517</v>
      </c>
      <c r="AA21" s="420">
        <f t="shared" si="1"/>
        <v>62082.497517227413</v>
      </c>
    </row>
    <row r="22" spans="1:27" x14ac:dyDescent="0.3">
      <c r="A22" s="450" t="s">
        <v>195</v>
      </c>
      <c r="B22" s="451">
        <f>B12</f>
        <v>0</v>
      </c>
      <c r="C22" s="452">
        <f>C12</f>
        <v>229.32</v>
      </c>
      <c r="D22" s="453">
        <f>D12</f>
        <v>236.19960000000003</v>
      </c>
      <c r="E22" s="451">
        <f>E12</f>
        <v>243.28558800000002</v>
      </c>
      <c r="F22" s="451">
        <f t="shared" ref="F22:L22" si="14">F12</f>
        <v>250.58415564000006</v>
      </c>
      <c r="G22" s="451">
        <f t="shared" si="14"/>
        <v>258.10168030919999</v>
      </c>
      <c r="H22" s="451">
        <f t="shared" si="14"/>
        <v>265.84473071847606</v>
      </c>
      <c r="I22" s="451">
        <f t="shared" si="14"/>
        <v>274.91871668024442</v>
      </c>
      <c r="J22" s="451">
        <f t="shared" si="14"/>
        <v>283.16627818065177</v>
      </c>
      <c r="K22" s="451">
        <f t="shared" si="14"/>
        <v>291.6612665260713</v>
      </c>
      <c r="L22" s="451">
        <f t="shared" si="14"/>
        <v>291.6612665260713</v>
      </c>
      <c r="M22" s="156"/>
      <c r="O22" s="456" t="str">
        <f t="shared" si="7"/>
        <v>мб</v>
      </c>
      <c r="P22" s="420">
        <f>'Налоги без ТОР'!B22-'Налоги ТОР'!B22</f>
        <v>0</v>
      </c>
      <c r="Q22" s="420">
        <f>'Налоги без ТОР'!C22-'Налоги ТОР'!C22</f>
        <v>0</v>
      </c>
      <c r="R22" s="420">
        <f>'Налоги без ТОР'!D22-'Налоги ТОР'!D22</f>
        <v>0</v>
      </c>
      <c r="S22" s="420">
        <f>'Налоги без ТОР'!E22-'Налоги ТОР'!E22</f>
        <v>0</v>
      </c>
      <c r="T22" s="420">
        <f>'Налоги без ТОР'!F22-'Налоги ТОР'!F22</f>
        <v>0</v>
      </c>
      <c r="U22" s="420">
        <f>'Налоги без ТОР'!G22-'Налоги ТОР'!G22</f>
        <v>0</v>
      </c>
      <c r="V22" s="420">
        <f>'Налоги без ТОР'!H22-'Налоги ТОР'!H22</f>
        <v>0</v>
      </c>
      <c r="W22" s="420">
        <f>'Налоги без ТОР'!I22-'Налоги ТОР'!I22</f>
        <v>0</v>
      </c>
      <c r="X22" s="420">
        <f>'Налоги без ТОР'!J22-'Налоги ТОР'!J22</f>
        <v>0</v>
      </c>
      <c r="Y22" s="420">
        <f>'Налоги без ТОР'!K22-'Налоги ТОР'!K22</f>
        <v>0</v>
      </c>
      <c r="Z22" s="420">
        <f>'Налоги без ТОР'!L22-'Налоги ТОР'!L22</f>
        <v>0</v>
      </c>
      <c r="AA22" s="420">
        <f t="shared" si="1"/>
        <v>0</v>
      </c>
    </row>
    <row r="23" spans="1:27" x14ac:dyDescent="0.3">
      <c r="A23" s="450" t="s">
        <v>196</v>
      </c>
      <c r="B23" s="451">
        <f>B13+B19</f>
        <v>0</v>
      </c>
      <c r="C23" s="452">
        <f>C13+C19</f>
        <v>0</v>
      </c>
      <c r="D23" s="454">
        <f>D13+D19</f>
        <v>0</v>
      </c>
      <c r="E23" s="455">
        <f t="shared" ref="E23:L23" si="15">E13+E19</f>
        <v>0</v>
      </c>
      <c r="F23" s="455">
        <f t="shared" si="15"/>
        <v>0</v>
      </c>
      <c r="G23" s="455">
        <f t="shared" si="15"/>
        <v>0</v>
      </c>
      <c r="H23" s="455">
        <f t="shared" si="15"/>
        <v>0</v>
      </c>
      <c r="I23" s="455">
        <f t="shared" si="15"/>
        <v>0</v>
      </c>
      <c r="J23" s="455">
        <f t="shared" si="15"/>
        <v>0</v>
      </c>
      <c r="K23" s="455">
        <f t="shared" si="15"/>
        <v>0</v>
      </c>
      <c r="L23" s="455">
        <f t="shared" si="15"/>
        <v>0</v>
      </c>
      <c r="M23" s="157"/>
      <c r="O23" s="457" t="str">
        <f t="shared" si="7"/>
        <v>бп</v>
      </c>
      <c r="P23" s="420">
        <f>'Налоги без ТОР'!B23-'Налоги ТОР'!B23</f>
        <v>0</v>
      </c>
      <c r="Q23" s="420">
        <f>'Налоги без ТОР'!C23-'Налоги ТОР'!C23</f>
        <v>0</v>
      </c>
      <c r="R23" s="420">
        <f>'Налоги без ТОР'!D23-'Налоги ТОР'!D23</f>
        <v>0</v>
      </c>
      <c r="S23" s="420">
        <f>'Налоги без ТОР'!E23-'Налоги ТОР'!E23</f>
        <v>0</v>
      </c>
      <c r="T23" s="420">
        <f>'Налоги без ТОР'!F23-'Налоги ТОР'!F23</f>
        <v>0</v>
      </c>
      <c r="U23" s="420">
        <f>'Налоги без ТОР'!G23-'Налоги ТОР'!G23</f>
        <v>0</v>
      </c>
      <c r="V23" s="420">
        <f>'Налоги без ТОР'!H23-'Налоги ТОР'!H23</f>
        <v>0</v>
      </c>
      <c r="W23" s="420">
        <f>'Налоги без ТОР'!I23-'Налоги ТОР'!I23</f>
        <v>0</v>
      </c>
      <c r="X23" s="420">
        <f>'Налоги без ТОР'!J23-'Налоги ТОР'!J23</f>
        <v>0</v>
      </c>
      <c r="Y23" s="420">
        <f>'Налоги без ТОР'!K23-'Налоги ТОР'!K23</f>
        <v>0</v>
      </c>
      <c r="Z23" s="420">
        <f>'Налоги без ТОР'!L23-'Налоги ТОР'!L23</f>
        <v>0</v>
      </c>
      <c r="AA23" s="420">
        <f t="shared" si="1"/>
        <v>0</v>
      </c>
    </row>
    <row r="24" spans="1:27" ht="28.8" x14ac:dyDescent="0.3">
      <c r="A24" s="153" t="s">
        <v>197</v>
      </c>
      <c r="B24" s="291">
        <f>'Расходы ТОР'!B26</f>
        <v>3.2492783625000001</v>
      </c>
      <c r="C24" s="291">
        <f>'Расходы ТОР'!C26</f>
        <v>6.4985567250000003</v>
      </c>
      <c r="D24" s="291">
        <f>'Расходы ТОР'!D26</f>
        <v>6.4985567250000003</v>
      </c>
      <c r="E24" s="291">
        <f>'Расходы ТОР'!E26</f>
        <v>6.4985567250000003</v>
      </c>
      <c r="F24" s="291">
        <f>'Расходы ТОР'!F26</f>
        <v>6.4985567250000003</v>
      </c>
      <c r="G24" s="291">
        <f>'Расходы ТОР'!G26</f>
        <v>6.4985567250000003</v>
      </c>
      <c r="H24" s="291">
        <f>'Расходы ТОР'!H26</f>
        <v>6.4985567250000003</v>
      </c>
      <c r="I24" s="291">
        <f>'Расходы ТОР'!I26</f>
        <v>6.4985567250000003</v>
      </c>
      <c r="J24" s="291">
        <f>'Расходы ТОР'!J26</f>
        <v>6.4985567250000003</v>
      </c>
      <c r="K24" s="291">
        <f>'Расходы ТОР'!K26</f>
        <v>6.4985567250000003</v>
      </c>
      <c r="L24" s="291">
        <f>'Расходы ТОР'!L26</f>
        <v>6.4985567250000003</v>
      </c>
      <c r="AA24" s="158">
        <f>SUM(AA20:AA23)</f>
        <v>66724.234388959347</v>
      </c>
    </row>
    <row r="25" spans="1:27" x14ac:dyDescent="0.3">
      <c r="A25" s="423"/>
      <c r="B25" s="422" t="str">
        <f>B2</f>
        <v>1 год</v>
      </c>
      <c r="C25" s="424" t="str">
        <f>C2</f>
        <v>2 год</v>
      </c>
      <c r="D25" s="424" t="str">
        <f t="shared" ref="D25:L25" si="16">D2</f>
        <v>3 год</v>
      </c>
      <c r="E25" s="424" t="str">
        <f t="shared" si="16"/>
        <v>4 год</v>
      </c>
      <c r="F25" s="424" t="str">
        <f t="shared" si="16"/>
        <v>5 год</v>
      </c>
      <c r="G25" s="424" t="str">
        <f t="shared" si="16"/>
        <v>6 год</v>
      </c>
      <c r="H25" s="424" t="str">
        <f t="shared" si="16"/>
        <v>7 год</v>
      </c>
      <c r="I25" s="424" t="str">
        <f t="shared" si="16"/>
        <v>8 год</v>
      </c>
      <c r="J25" s="424" t="str">
        <f t="shared" si="16"/>
        <v>9 год</v>
      </c>
      <c r="K25" s="424" t="str">
        <f t="shared" si="16"/>
        <v>10 год</v>
      </c>
      <c r="L25" s="424" t="str">
        <f t="shared" si="16"/>
        <v>11 год</v>
      </c>
    </row>
    <row r="26" spans="1:27" x14ac:dyDescent="0.3">
      <c r="A26" s="425" t="s">
        <v>198</v>
      </c>
      <c r="C26" s="63">
        <v>0</v>
      </c>
      <c r="D26" s="7">
        <f t="shared" ref="D26:D28" si="17">D20/1000</f>
        <v>9.0796482952874431</v>
      </c>
      <c r="E26" s="7">
        <f t="shared" ref="E26:L28" si="18">E20/1000</f>
        <v>12.194441645336928</v>
      </c>
      <c r="F26" s="7">
        <f t="shared" si="18"/>
        <v>14.347446789107648</v>
      </c>
      <c r="G26" s="7">
        <f t="shared" si="18"/>
        <v>16.747623716710535</v>
      </c>
      <c r="H26" s="7">
        <f t="shared" si="18"/>
        <v>20.364271962163478</v>
      </c>
      <c r="I26" s="7">
        <f t="shared" si="18"/>
        <v>23.506321941565499</v>
      </c>
      <c r="J26" s="7">
        <f t="shared" si="18"/>
        <v>25.657250631928527</v>
      </c>
      <c r="K26" s="7">
        <f t="shared" si="18"/>
        <v>27.937553882600682</v>
      </c>
      <c r="L26" s="7">
        <f t="shared" si="18"/>
        <v>29.747705442826149</v>
      </c>
    </row>
    <row r="27" spans="1:27" x14ac:dyDescent="0.3">
      <c r="A27" s="418" t="s">
        <v>199</v>
      </c>
      <c r="C27" s="63">
        <v>0</v>
      </c>
      <c r="D27" s="7">
        <f t="shared" si="17"/>
        <v>1.3384644000000001</v>
      </c>
      <c r="E27" s="7">
        <f t="shared" si="18"/>
        <v>1.3786183320000003</v>
      </c>
      <c r="F27" s="7">
        <f t="shared" si="18"/>
        <v>1.4199768819600003</v>
      </c>
      <c r="G27" s="7">
        <f t="shared" si="18"/>
        <v>1.5290803550854668</v>
      </c>
      <c r="H27" s="7">
        <f t="shared" si="18"/>
        <v>6.5154124653738519</v>
      </c>
      <c r="I27" s="7">
        <f t="shared" si="18"/>
        <v>7.4928330622330419</v>
      </c>
      <c r="J27" s="7">
        <f t="shared" si="18"/>
        <v>8.1630873692160435</v>
      </c>
      <c r="K27" s="7">
        <f t="shared" si="18"/>
        <v>8.8738707521579858</v>
      </c>
      <c r="L27" s="7">
        <f t="shared" si="18"/>
        <v>10.246768106742264</v>
      </c>
    </row>
    <row r="28" spans="1:27" x14ac:dyDescent="0.3">
      <c r="A28" s="418" t="s">
        <v>200</v>
      </c>
      <c r="C28" s="63">
        <v>0</v>
      </c>
      <c r="D28" s="159">
        <f t="shared" si="17"/>
        <v>0.23619960000000004</v>
      </c>
      <c r="E28" s="159">
        <f t="shared" si="18"/>
        <v>0.24328558800000002</v>
      </c>
      <c r="F28" s="159">
        <f t="shared" si="18"/>
        <v>0.25058415564000008</v>
      </c>
      <c r="G28" s="159">
        <f t="shared" si="18"/>
        <v>0.2581016803092</v>
      </c>
      <c r="H28" s="159">
        <f t="shared" si="18"/>
        <v>0.26584473071847603</v>
      </c>
      <c r="I28" s="159">
        <f t="shared" si="18"/>
        <v>0.27491871668024442</v>
      </c>
      <c r="J28" s="159">
        <f t="shared" si="18"/>
        <v>0.28316627818065176</v>
      </c>
      <c r="K28" s="159">
        <f t="shared" si="18"/>
        <v>0.29166126652607133</v>
      </c>
      <c r="L28" s="159">
        <f t="shared" si="18"/>
        <v>0.29166126652607133</v>
      </c>
    </row>
    <row r="29" spans="1:27" x14ac:dyDescent="0.3">
      <c r="A29" s="418" t="s">
        <v>376</v>
      </c>
      <c r="C29" s="63">
        <v>0</v>
      </c>
      <c r="D29" s="160">
        <f>(D14+D15)/1000</f>
        <v>3.8034192000000004</v>
      </c>
      <c r="E29" s="160">
        <f t="shared" ref="E29:L29" si="19">(E14+E15)/1000</f>
        <v>3.9175217760000001</v>
      </c>
      <c r="F29" s="160">
        <f t="shared" si="19"/>
        <v>4.0350474292799996</v>
      </c>
      <c r="G29" s="160">
        <f t="shared" si="19"/>
        <v>4.1560988521583999</v>
      </c>
      <c r="H29" s="160">
        <f t="shared" si="19"/>
        <v>4.2807818177231534</v>
      </c>
      <c r="I29" s="160">
        <f t="shared" si="19"/>
        <v>4.4268962583382949</v>
      </c>
      <c r="J29" s="160">
        <f t="shared" si="19"/>
        <v>4.5597031460884434</v>
      </c>
      <c r="K29" s="160">
        <f t="shared" si="19"/>
        <v>4.6964942404710968</v>
      </c>
      <c r="L29" s="160">
        <f t="shared" si="19"/>
        <v>4.6964942404710968</v>
      </c>
    </row>
    <row r="30" spans="1:27" x14ac:dyDescent="0.3">
      <c r="A30" s="418" t="s">
        <v>19</v>
      </c>
      <c r="C30" s="150">
        <f>SUM(C26:C29)</f>
        <v>0</v>
      </c>
      <c r="D30" s="150">
        <f t="shared" ref="D30:L30" si="20">SUM(D26:D29)</f>
        <v>14.457731495287444</v>
      </c>
      <c r="E30" s="150">
        <f t="shared" si="20"/>
        <v>17.733867341336929</v>
      </c>
      <c r="F30" s="150">
        <f t="shared" si="20"/>
        <v>20.053055255987648</v>
      </c>
      <c r="G30" s="150">
        <f t="shared" si="20"/>
        <v>22.690904604263601</v>
      </c>
      <c r="H30" s="150">
        <f t="shared" si="20"/>
        <v>31.426310975978961</v>
      </c>
      <c r="I30" s="150">
        <f t="shared" si="20"/>
        <v>35.700969978817078</v>
      </c>
      <c r="J30" s="150">
        <f t="shared" si="20"/>
        <v>38.663207425413667</v>
      </c>
      <c r="K30" s="150">
        <f t="shared" si="20"/>
        <v>41.799580141755833</v>
      </c>
      <c r="L30" s="150">
        <f t="shared" si="20"/>
        <v>44.982629056565578</v>
      </c>
    </row>
    <row r="32" spans="1:27" x14ac:dyDescent="0.3">
      <c r="D32" s="63"/>
      <c r="E32" s="63"/>
      <c r="F32" s="63"/>
      <c r="G32" s="63"/>
      <c r="H32" s="63"/>
      <c r="I32" s="63"/>
      <c r="J32" s="63"/>
      <c r="K32" s="63"/>
      <c r="L32" s="63"/>
    </row>
    <row r="33" spans="1:26" x14ac:dyDescent="0.3">
      <c r="J33" s="160"/>
      <c r="M33" s="161"/>
      <c r="S33" s="160"/>
      <c r="T33" s="160"/>
      <c r="U33" s="160"/>
      <c r="V33" s="160"/>
      <c r="W33" s="160"/>
      <c r="X33" s="160"/>
      <c r="Y33" s="160"/>
      <c r="Z33" s="160"/>
    </row>
    <row r="34" spans="1:26" ht="15.6" x14ac:dyDescent="0.3">
      <c r="A34" s="162"/>
      <c r="B34" s="163"/>
      <c r="C34" s="163"/>
      <c r="D34" s="163"/>
      <c r="E34" s="163"/>
      <c r="F34" s="163"/>
      <c r="G34" s="163"/>
      <c r="H34" s="163"/>
      <c r="I34" s="163"/>
      <c r="J34" s="163"/>
      <c r="K34" s="163"/>
      <c r="L34" s="163"/>
      <c r="M34" s="164"/>
      <c r="S34" s="160"/>
      <c r="T34" s="160"/>
      <c r="U34" s="160"/>
      <c r="V34" s="160"/>
      <c r="W34" s="160"/>
      <c r="X34" s="160"/>
      <c r="Y34" s="160"/>
      <c r="Z34" s="160"/>
    </row>
    <row r="35" spans="1:26" ht="15.6" x14ac:dyDescent="0.3">
      <c r="A35" s="165"/>
      <c r="B35" s="166"/>
      <c r="C35" s="166"/>
      <c r="D35" s="166"/>
      <c r="E35" s="166"/>
      <c r="F35" s="166"/>
      <c r="G35" s="166"/>
      <c r="H35" s="166"/>
      <c r="I35" s="166"/>
      <c r="J35" s="166"/>
      <c r="K35" s="166"/>
      <c r="L35" s="166"/>
      <c r="M35" s="164"/>
    </row>
    <row r="36" spans="1:26" ht="15.6" x14ac:dyDescent="0.3">
      <c r="A36" s="162"/>
      <c r="B36" s="166"/>
      <c r="C36" s="166"/>
      <c r="D36" s="166"/>
      <c r="E36" s="166"/>
      <c r="F36" s="166"/>
      <c r="G36" s="166"/>
      <c r="H36" s="166"/>
      <c r="I36" s="166"/>
      <c r="J36" s="166"/>
      <c r="K36" s="166"/>
      <c r="L36" s="166"/>
      <c r="M36" s="164"/>
    </row>
    <row r="37" spans="1:26" ht="15.6" x14ac:dyDescent="0.3">
      <c r="A37" s="165"/>
      <c r="B37" s="166"/>
      <c r="C37" s="166"/>
      <c r="D37" s="166"/>
      <c r="E37" s="166"/>
      <c r="F37" s="166"/>
      <c r="G37" s="166"/>
      <c r="H37" s="166"/>
      <c r="I37" s="166"/>
      <c r="J37" s="166"/>
      <c r="K37" s="166"/>
      <c r="L37" s="166"/>
      <c r="M37" s="62"/>
    </row>
    <row r="38" spans="1:26" ht="15.6" x14ac:dyDescent="0.3">
      <c r="A38" s="162"/>
      <c r="B38" s="162"/>
      <c r="C38" s="167"/>
      <c r="D38" s="167"/>
      <c r="E38" s="167"/>
      <c r="F38" s="167"/>
      <c r="G38" s="166"/>
      <c r="H38" s="166"/>
      <c r="I38" s="166"/>
      <c r="J38" s="166"/>
      <c r="K38" s="166"/>
      <c r="L38" s="166"/>
      <c r="M38" s="62"/>
      <c r="Q38" s="160"/>
    </row>
    <row r="39" spans="1:26" ht="15.6" x14ac:dyDescent="0.3">
      <c r="A39" s="162"/>
      <c r="B39" s="162"/>
      <c r="C39" s="167"/>
      <c r="D39" s="167"/>
      <c r="E39" s="167"/>
      <c r="F39" s="167"/>
      <c r="G39" s="166"/>
      <c r="H39" s="166"/>
      <c r="I39" s="166"/>
      <c r="J39" s="166"/>
      <c r="K39" s="166"/>
      <c r="L39" s="166"/>
      <c r="M39" s="62"/>
    </row>
    <row r="40" spans="1:26" ht="15.6" x14ac:dyDescent="0.3">
      <c r="A40" s="165"/>
      <c r="B40" s="162"/>
      <c r="C40" s="166"/>
      <c r="D40" s="166"/>
      <c r="E40" s="166"/>
      <c r="F40" s="166"/>
      <c r="G40" s="166"/>
      <c r="H40" s="166"/>
      <c r="I40" s="166"/>
      <c r="J40" s="166"/>
      <c r="K40" s="166"/>
      <c r="L40" s="166"/>
      <c r="M40" s="62"/>
    </row>
    <row r="41" spans="1:26" ht="15.6" x14ac:dyDescent="0.3">
      <c r="A41" s="162"/>
      <c r="B41" s="162"/>
      <c r="C41" s="166"/>
      <c r="D41" s="166"/>
      <c r="E41" s="166"/>
      <c r="F41" s="166"/>
      <c r="G41" s="166"/>
      <c r="H41" s="166"/>
      <c r="I41" s="166"/>
      <c r="J41" s="166"/>
      <c r="K41" s="166"/>
      <c r="L41" s="166"/>
      <c r="M41" s="62"/>
    </row>
    <row r="42" spans="1:26" ht="15.6" x14ac:dyDescent="0.3">
      <c r="A42" s="165"/>
      <c r="B42" s="162"/>
      <c r="C42" s="166"/>
      <c r="D42" s="166"/>
      <c r="E42" s="166"/>
      <c r="F42" s="166"/>
      <c r="G42" s="166"/>
      <c r="H42" s="166"/>
      <c r="I42" s="166"/>
      <c r="J42" s="166"/>
      <c r="K42" s="166"/>
      <c r="L42" s="166"/>
      <c r="M42" s="62"/>
    </row>
    <row r="43" spans="1:26" ht="15.6" x14ac:dyDescent="0.3">
      <c r="A43" s="162"/>
      <c r="B43" s="162"/>
      <c r="C43" s="166"/>
      <c r="D43" s="166"/>
      <c r="E43" s="166"/>
      <c r="F43" s="166"/>
      <c r="G43" s="166"/>
      <c r="H43" s="166"/>
      <c r="I43" s="166"/>
      <c r="J43" s="166"/>
      <c r="K43" s="166"/>
      <c r="L43" s="166"/>
      <c r="M43" s="62"/>
    </row>
    <row r="44" spans="1:26" ht="15.6" x14ac:dyDescent="0.3">
      <c r="A44" s="165"/>
      <c r="B44" s="162"/>
      <c r="C44" s="166"/>
      <c r="D44" s="166"/>
      <c r="E44" s="166"/>
      <c r="F44" s="166"/>
      <c r="G44" s="166"/>
      <c r="H44" s="166"/>
      <c r="I44" s="166"/>
      <c r="J44" s="166"/>
      <c r="K44" s="166"/>
      <c r="L44" s="166"/>
      <c r="M44" s="62"/>
    </row>
    <row r="45" spans="1:26" ht="15.6" x14ac:dyDescent="0.3">
      <c r="A45" s="162"/>
      <c r="B45" s="162"/>
      <c r="C45" s="166"/>
      <c r="D45" s="166"/>
      <c r="E45" s="166"/>
      <c r="F45" s="166"/>
      <c r="G45" s="166"/>
      <c r="H45" s="166"/>
      <c r="I45" s="166"/>
      <c r="J45" s="166"/>
      <c r="K45" s="166"/>
      <c r="L45" s="166"/>
      <c r="M45" s="62"/>
    </row>
    <row r="46" spans="1:26" ht="15.6" x14ac:dyDescent="0.3">
      <c r="A46" s="165"/>
      <c r="B46" s="162"/>
      <c r="C46" s="166"/>
      <c r="D46" s="166"/>
      <c r="E46" s="166"/>
      <c r="F46" s="166"/>
      <c r="G46" s="166"/>
      <c r="H46" s="166"/>
      <c r="I46" s="166"/>
      <c r="J46" s="166"/>
      <c r="K46" s="166"/>
      <c r="L46" s="166"/>
      <c r="M46" s="62"/>
    </row>
    <row r="47" spans="1:26" ht="15.6" x14ac:dyDescent="0.3">
      <c r="A47" s="162"/>
      <c r="B47" s="162"/>
      <c r="C47" s="166"/>
      <c r="D47" s="166"/>
      <c r="E47" s="166"/>
      <c r="F47" s="166"/>
      <c r="G47" s="166"/>
      <c r="H47" s="166"/>
      <c r="I47" s="166"/>
      <c r="J47" s="166"/>
      <c r="K47" s="166"/>
      <c r="L47" s="166"/>
      <c r="M47" s="62"/>
    </row>
    <row r="48" spans="1:26" ht="15.6" x14ac:dyDescent="0.3">
      <c r="A48" s="162"/>
      <c r="B48" s="162"/>
      <c r="C48" s="166"/>
      <c r="D48" s="166"/>
      <c r="E48" s="166"/>
      <c r="F48" s="166"/>
      <c r="G48" s="166"/>
      <c r="H48" s="166"/>
      <c r="I48" s="166"/>
      <c r="J48" s="166"/>
      <c r="K48" s="166"/>
      <c r="L48" s="166"/>
      <c r="M48" s="62"/>
    </row>
    <row r="49" spans="1:13" ht="15.6" x14ac:dyDescent="0.3">
      <c r="A49" s="165"/>
      <c r="B49" s="162"/>
      <c r="C49" s="166"/>
      <c r="D49" s="166"/>
      <c r="E49" s="166"/>
      <c r="F49" s="166"/>
      <c r="G49" s="166"/>
      <c r="H49" s="166"/>
      <c r="I49" s="166"/>
      <c r="J49" s="166"/>
      <c r="K49" s="166"/>
      <c r="L49" s="166"/>
      <c r="M49" s="62"/>
    </row>
    <row r="50" spans="1:13" ht="15.6" x14ac:dyDescent="0.3">
      <c r="A50" s="162"/>
      <c r="B50" s="162"/>
      <c r="C50" s="166"/>
      <c r="D50" s="168"/>
      <c r="E50" s="168"/>
      <c r="F50" s="168"/>
      <c r="G50" s="168"/>
      <c r="H50" s="168"/>
      <c r="I50" s="168"/>
      <c r="J50" s="168"/>
      <c r="K50" s="168"/>
      <c r="L50" s="168"/>
      <c r="M50" s="62"/>
    </row>
    <row r="51" spans="1:13" ht="15.6" x14ac:dyDescent="0.3">
      <c r="A51" s="162"/>
      <c r="B51" s="162"/>
      <c r="C51" s="166"/>
      <c r="D51" s="168"/>
      <c r="E51" s="168"/>
      <c r="F51" s="168"/>
      <c r="G51" s="168"/>
      <c r="H51" s="168"/>
      <c r="I51" s="168"/>
      <c r="J51" s="168"/>
      <c r="K51" s="168"/>
      <c r="L51" s="168"/>
      <c r="M51" s="62"/>
    </row>
    <row r="52" spans="1:13" ht="15.6" x14ac:dyDescent="0.3">
      <c r="A52" s="162"/>
      <c r="B52" s="162"/>
      <c r="C52" s="166"/>
      <c r="D52" s="168"/>
      <c r="E52" s="168"/>
      <c r="F52" s="168"/>
      <c r="G52" s="168"/>
      <c r="H52" s="168"/>
      <c r="I52" s="168"/>
      <c r="J52" s="168"/>
      <c r="K52" s="168"/>
      <c r="L52" s="168"/>
      <c r="M52" s="62"/>
    </row>
    <row r="53" spans="1:13" ht="15.6" x14ac:dyDescent="0.3">
      <c r="A53" s="165"/>
      <c r="B53" s="162"/>
      <c r="C53" s="166"/>
      <c r="D53" s="166"/>
      <c r="E53" s="166"/>
      <c r="F53" s="166"/>
      <c r="G53" s="166"/>
      <c r="H53" s="166"/>
      <c r="I53" s="166"/>
      <c r="J53" s="166"/>
      <c r="K53" s="166"/>
      <c r="L53" s="166"/>
      <c r="M53" s="62"/>
    </row>
    <row r="54" spans="1:13" ht="15.6" x14ac:dyDescent="0.3">
      <c r="A54" s="165"/>
      <c r="B54" s="165"/>
      <c r="C54" s="169"/>
      <c r="D54" s="71"/>
      <c r="E54" s="71"/>
      <c r="F54" s="71"/>
      <c r="G54" s="71"/>
      <c r="H54" s="71"/>
      <c r="I54" s="71"/>
      <c r="J54" s="71"/>
      <c r="K54" s="71"/>
      <c r="L54" s="71"/>
      <c r="M54" s="62"/>
    </row>
    <row r="55" spans="1:13" x14ac:dyDescent="0.3">
      <c r="A55" s="66"/>
      <c r="B55" s="66"/>
      <c r="C55" s="66"/>
      <c r="D55" s="62"/>
      <c r="E55" s="62"/>
      <c r="F55" s="62"/>
      <c r="G55" s="62"/>
      <c r="H55" s="62"/>
      <c r="I55" s="62"/>
      <c r="J55" s="62"/>
      <c r="K55" s="62"/>
      <c r="L55" s="62"/>
      <c r="M55" s="170"/>
    </row>
    <row r="56" spans="1:13" x14ac:dyDescent="0.3">
      <c r="A56" s="66"/>
      <c r="B56" s="66"/>
      <c r="C56" s="66"/>
      <c r="D56" s="66"/>
      <c r="E56" s="66"/>
      <c r="F56" s="66"/>
      <c r="G56" s="66"/>
      <c r="H56" s="66"/>
      <c r="I56" s="66"/>
      <c r="J56" s="66"/>
      <c r="K56" s="66"/>
      <c r="L56" s="66"/>
      <c r="M56" s="62"/>
    </row>
    <row r="57" spans="1:13" x14ac:dyDescent="0.3">
      <c r="A57" s="66"/>
      <c r="B57" s="66"/>
      <c r="C57" s="66"/>
      <c r="D57" s="66"/>
      <c r="E57" s="66"/>
      <c r="F57" s="66"/>
      <c r="G57" s="66"/>
      <c r="H57" s="66"/>
      <c r="I57" s="66"/>
      <c r="J57" s="66"/>
      <c r="K57" s="66"/>
      <c r="L57" s="66"/>
      <c r="M57" s="62"/>
    </row>
    <row r="58" spans="1:13" x14ac:dyDescent="0.3">
      <c r="A58" s="66"/>
      <c r="B58" s="66"/>
      <c r="C58" s="66"/>
      <c r="D58" s="66"/>
      <c r="E58" s="66"/>
      <c r="F58" s="66"/>
      <c r="G58" s="66"/>
      <c r="H58" s="66"/>
      <c r="I58" s="66"/>
      <c r="J58" s="66"/>
      <c r="K58" s="66"/>
      <c r="L58" s="66"/>
      <c r="M58" s="62"/>
    </row>
    <row r="59" spans="1:13" x14ac:dyDescent="0.3">
      <c r="A59" s="66"/>
      <c r="B59" s="66"/>
      <c r="C59" s="66"/>
      <c r="D59" s="66"/>
      <c r="E59" s="66"/>
      <c r="F59" s="66"/>
      <c r="G59" s="66"/>
      <c r="H59" s="66"/>
      <c r="I59" s="66"/>
      <c r="J59" s="66"/>
      <c r="K59" s="66"/>
      <c r="L59" s="66"/>
      <c r="M59" s="62"/>
    </row>
  </sheetData>
  <mergeCells count="1">
    <mergeCell ref="A1:L1"/>
  </mergeCells>
  <phoneticPr fontId="45" type="noConversion"/>
  <pageMargins left="0.7" right="0.7" top="0.75" bottom="0.75" header="0.3" footer="0.3"/>
  <pageSetup paperSize="9" firstPageNumber="2147483648"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T67"/>
  <sheetViews>
    <sheetView zoomScale="50" zoomScaleNormal="50" workbookViewId="0">
      <selection activeCell="B16" sqref="B16:L16"/>
    </sheetView>
  </sheetViews>
  <sheetFormatPr defaultRowHeight="14.4" x14ac:dyDescent="0.3"/>
  <cols>
    <col min="1" max="1" width="19" style="63" customWidth="1"/>
    <col min="2" max="2" width="12" style="63" customWidth="1"/>
    <col min="3" max="3" width="14.33203125" customWidth="1"/>
    <col min="4" max="5" width="16.33203125" customWidth="1"/>
    <col min="6" max="6" width="15.33203125" customWidth="1"/>
    <col min="7" max="7" width="15.88671875" customWidth="1"/>
    <col min="8" max="8" width="16" customWidth="1"/>
    <col min="9" max="10" width="17.6640625" customWidth="1"/>
    <col min="11" max="11" width="15.5546875" customWidth="1"/>
    <col min="12" max="12" width="15.88671875" customWidth="1"/>
    <col min="13" max="13" width="17.6640625" customWidth="1"/>
    <col min="14" max="14" width="17.44140625" customWidth="1"/>
    <col min="15" max="15" width="16.88671875" customWidth="1"/>
    <col min="16" max="16" width="23.44140625" customWidth="1"/>
    <col min="17" max="17" width="17.33203125" customWidth="1"/>
    <col min="18" max="18" width="19.5546875" customWidth="1"/>
    <col min="19" max="19" width="16.88671875" customWidth="1"/>
    <col min="20" max="20" width="14.44140625" customWidth="1"/>
    <col min="21" max="21" width="14.6640625" customWidth="1"/>
    <col min="22" max="22" width="13.88671875" customWidth="1"/>
    <col min="23" max="23" width="17.88671875" customWidth="1"/>
    <col min="24" max="24" width="10.44140625" customWidth="1"/>
    <col min="25" max="25" width="12.44140625" customWidth="1"/>
    <col min="26" max="26" width="14.6640625" customWidth="1"/>
  </cols>
  <sheetData>
    <row r="1" spans="1:20" ht="25.8" x14ac:dyDescent="0.5">
      <c r="A1" s="171" t="s">
        <v>201</v>
      </c>
      <c r="B1" s="295"/>
      <c r="C1" s="295"/>
      <c r="D1" s="295"/>
      <c r="E1" s="295"/>
      <c r="F1" s="295"/>
      <c r="G1" s="295"/>
      <c r="H1" s="296"/>
      <c r="J1" s="66"/>
      <c r="K1" s="66"/>
      <c r="L1" s="169"/>
      <c r="M1" s="677"/>
      <c r="N1" s="677"/>
      <c r="O1" s="677"/>
    </row>
    <row r="2" spans="1:20" x14ac:dyDescent="0.3">
      <c r="A2" s="429"/>
      <c r="B2" s="429" t="str">
        <f>'Налоги ТОР'!B2</f>
        <v>1 год</v>
      </c>
      <c r="C2" s="429" t="str">
        <f>'Налоги ТОР'!C2</f>
        <v>2 год</v>
      </c>
      <c r="D2" s="429" t="str">
        <f>'Налоги ТОР'!D2</f>
        <v>3 год</v>
      </c>
      <c r="E2" s="429" t="str">
        <f>'Налоги ТОР'!E2</f>
        <v>4 год</v>
      </c>
      <c r="F2" s="429" t="str">
        <f>'Налоги ТОР'!F2</f>
        <v>5 год</v>
      </c>
      <c r="G2" s="429" t="str">
        <f>'Налоги ТОР'!G2</f>
        <v>6 год</v>
      </c>
      <c r="H2" s="429" t="str">
        <f>'Налоги ТОР'!H2</f>
        <v>7 год</v>
      </c>
      <c r="I2" s="429" t="str">
        <f>'Налоги ТОР'!I2</f>
        <v>8 год</v>
      </c>
      <c r="J2" s="429" t="str">
        <f>'Налоги ТОР'!J2</f>
        <v>9 год</v>
      </c>
      <c r="K2" s="429" t="str">
        <f>'Налоги ТОР'!K2</f>
        <v>10 год</v>
      </c>
      <c r="L2" s="429" t="str">
        <f>'Налоги ТОР'!L2</f>
        <v>11 год</v>
      </c>
      <c r="M2" s="678"/>
      <c r="N2" s="678"/>
      <c r="O2" s="678"/>
      <c r="P2" s="430"/>
      <c r="Q2" s="431" t="s">
        <v>202</v>
      </c>
      <c r="R2" s="432"/>
      <c r="S2" s="431" t="s">
        <v>202</v>
      </c>
      <c r="T2" s="433"/>
    </row>
    <row r="3" spans="1:20" x14ac:dyDescent="0.3">
      <c r="A3" s="173" t="s">
        <v>180</v>
      </c>
      <c r="B3" s="173">
        <f>IF('Фин результат ТОР'!B24&lt;0, 0, 0.2*'Фин результат ТОР'!B24)</f>
        <v>0</v>
      </c>
      <c r="C3" s="173">
        <f>IF('Фин результат ТОР'!C24&lt;0, 0, 0.2*'Фин результат ТОР'!C24)</f>
        <v>2103.2956679581293</v>
      </c>
      <c r="D3" s="173">
        <f>IF('Фин результат ТОР'!D24&lt;0, 0, 0.2*'Фин результат ТОР'!D24)</f>
        <v>2993.6095379938615</v>
      </c>
      <c r="E3" s="173">
        <f>IF('Фин результат ТОР'!E24&lt;0, 0, 0.2*'Фин результат ТОР'!E24)</f>
        <v>5541.8055613325232</v>
      </c>
      <c r="F3" s="173">
        <f>IF('Фин результат ТОР'!F24&lt;0, 0, 0.2*'Фин результат ТОР'!F24)</f>
        <v>7363.6110536947672</v>
      </c>
      <c r="G3" s="173">
        <f>IF('Фин результат ТОР'!G24&lt;0, 0, 0.2*'Фин результат ТОР'!G24)</f>
        <v>9395.2638839334613</v>
      </c>
      <c r="H3" s="173">
        <f>IF('Фин результат ТОР'!H24&lt;0, 0, 0.2*'Фин результат ТОР'!H24)</f>
        <v>11444.785329125971</v>
      </c>
      <c r="I3" s="173">
        <f>IF('Фин результат ТОР'!I24&lt;0, 0, 0.2*'Фин результат ТОР'!I24)</f>
        <v>13680.821219174642</v>
      </c>
      <c r="J3" s="173">
        <f>IF('Фин результат ТОР'!J24&lt;0, 0, 0.2*'Фин результат ТОР'!J24)</f>
        <v>15190.897386194973</v>
      </c>
      <c r="K3" s="173">
        <f>IF('Фин результат ТОР'!K24&lt;0, 0, 0.2*'Фин результат ТОР'!K24)</f>
        <v>16794.878330424599</v>
      </c>
      <c r="L3" s="173">
        <f>IF('Фин результат ТОР'!L24&lt;0, 0, 0.2*'Фин результат ТОР'!L24)</f>
        <v>18617.835519839682</v>
      </c>
      <c r="M3" s="677"/>
      <c r="N3" s="677"/>
      <c r="O3" s="677"/>
      <c r="P3" s="175" t="str">
        <f>A3</f>
        <v>Налог на прибыль:</v>
      </c>
      <c r="Q3" s="175">
        <f>SUM(B3:K3)</f>
        <v>84508.967969832942</v>
      </c>
      <c r="R3" s="8"/>
      <c r="S3" s="175" t="s">
        <v>193</v>
      </c>
      <c r="T3" s="176">
        <f>Q4+Q17</f>
        <v>154433.59320779875</v>
      </c>
    </row>
    <row r="4" spans="1:20" ht="28.8" x14ac:dyDescent="0.3">
      <c r="A4" s="173" t="s">
        <v>181</v>
      </c>
      <c r="B4" s="173">
        <f>B3*2/20</f>
        <v>0</v>
      </c>
      <c r="C4" s="173">
        <f t="shared" ref="C4:G4" si="0">C3*2/20</f>
        <v>210.32956679581292</v>
      </c>
      <c r="D4" s="173">
        <f t="shared" si="0"/>
        <v>299.36095379938615</v>
      </c>
      <c r="E4" s="173">
        <f t="shared" si="0"/>
        <v>554.18055613325237</v>
      </c>
      <c r="F4" s="173">
        <f t="shared" si="0"/>
        <v>736.36110536947672</v>
      </c>
      <c r="G4" s="173">
        <f t="shared" si="0"/>
        <v>939.52638839334611</v>
      </c>
      <c r="H4" s="173">
        <f>H3*2/20</f>
        <v>1144.4785329125971</v>
      </c>
      <c r="I4" s="173">
        <f>I3*2/20</f>
        <v>1368.0821219174643</v>
      </c>
      <c r="J4" s="173">
        <f>J3*2/20</f>
        <v>1519.0897386194972</v>
      </c>
      <c r="K4" s="173">
        <f>K3*2/20</f>
        <v>1679.4878330424599</v>
      </c>
      <c r="L4" s="173">
        <f>L3*2/20</f>
        <v>1861.7835519839682</v>
      </c>
      <c r="M4" s="678"/>
      <c r="N4" s="678"/>
      <c r="O4" s="678"/>
      <c r="P4" s="175" t="str">
        <f t="shared" ref="P4:P18" si="1">A4</f>
        <v>- федеральный бюджет</v>
      </c>
      <c r="Q4" s="175">
        <f>SUM(B4:K4)</f>
        <v>8450.896796983292</v>
      </c>
      <c r="R4" s="8"/>
      <c r="S4" s="175" t="s">
        <v>194</v>
      </c>
      <c r="T4" s="176">
        <f>Q5+Q7+Q9+Q11</f>
        <v>91693.933013825939</v>
      </c>
    </row>
    <row r="5" spans="1:20" ht="28.8" x14ac:dyDescent="0.3">
      <c r="A5" s="173" t="s">
        <v>183</v>
      </c>
      <c r="B5" s="173">
        <f>B3-B4</f>
        <v>0</v>
      </c>
      <c r="C5" s="173">
        <f t="shared" ref="C5:L5" si="2">C3-C4</f>
        <v>1892.9661011623164</v>
      </c>
      <c r="D5" s="173">
        <f t="shared" si="2"/>
        <v>2694.2485841944754</v>
      </c>
      <c r="E5" s="173">
        <f t="shared" si="2"/>
        <v>4987.6250051992711</v>
      </c>
      <c r="F5" s="173">
        <f t="shared" si="2"/>
        <v>6627.2499483252905</v>
      </c>
      <c r="G5" s="173">
        <f t="shared" si="2"/>
        <v>8455.7374955401156</v>
      </c>
      <c r="H5" s="173">
        <f t="shared" si="2"/>
        <v>10300.306796213374</v>
      </c>
      <c r="I5" s="173">
        <f t="shared" si="2"/>
        <v>12312.739097257177</v>
      </c>
      <c r="J5" s="173">
        <f t="shared" si="2"/>
        <v>13671.807647575475</v>
      </c>
      <c r="K5" s="173">
        <f t="shared" si="2"/>
        <v>15115.390497382139</v>
      </c>
      <c r="L5" s="173">
        <f t="shared" si="2"/>
        <v>16756.051967855714</v>
      </c>
      <c r="M5" s="677"/>
      <c r="N5" s="677"/>
      <c r="O5" s="677"/>
      <c r="P5" s="175" t="str">
        <f t="shared" si="1"/>
        <v>- региональный бюджет</v>
      </c>
      <c r="Q5" s="175">
        <f t="shared" ref="Q5:Q18" si="3">SUM(B5:K5)</f>
        <v>76058.071172849624</v>
      </c>
      <c r="R5" s="8"/>
      <c r="S5" s="175" t="s">
        <v>195</v>
      </c>
      <c r="T5" s="176">
        <f>Q12+Q18</f>
        <v>2333.0820160546436</v>
      </c>
    </row>
    <row r="6" spans="1:20" ht="20.25" customHeight="1" x14ac:dyDescent="0.3">
      <c r="A6" s="173" t="s">
        <v>184</v>
      </c>
      <c r="B6" s="173">
        <f>'Расходы на П, строит-во, ввод'!B39</f>
        <v>0</v>
      </c>
      <c r="C6" s="173">
        <f>'Расходы на П, строит-во, ввод'!C39</f>
        <v>293.1270833333333</v>
      </c>
      <c r="D6" s="173">
        <f>'Расходы на П, строит-во, ввод'!D39</f>
        <v>286.93041666666676</v>
      </c>
      <c r="E6" s="173">
        <f>'Расходы на П, строит-во, ввод'!E39</f>
        <v>280.7337500000001</v>
      </c>
      <c r="F6" s="173">
        <f>'Расходы на П, строит-во, ввод'!F39</f>
        <v>274.5370833333335</v>
      </c>
      <c r="G6" s="173">
        <f>'Расходы на П, строит-во, ввод'!G39</f>
        <v>268.3404166666669</v>
      </c>
      <c r="H6" s="173">
        <f>'Расходы на П, строит-во, ввод'!H39</f>
        <v>262.1437500000003</v>
      </c>
      <c r="I6" s="173">
        <f>'Расходы на П, строит-во, ввод'!I39</f>
        <v>255.94708333333367</v>
      </c>
      <c r="J6" s="173">
        <f>'Расходы на П, строит-во, ввод'!J39</f>
        <v>249.75041666666706</v>
      </c>
      <c r="K6" s="173">
        <f>'Расходы на П, строит-во, ввод'!K39</f>
        <v>243.55375000000046</v>
      </c>
      <c r="L6" s="173">
        <f>'Расходы на П, строит-во, ввод'!L39</f>
        <v>237.35708333333386</v>
      </c>
      <c r="M6" s="678"/>
      <c r="N6" s="678"/>
      <c r="O6" s="678"/>
      <c r="P6" s="175" t="str">
        <f t="shared" si="1"/>
        <v>Налог на имущество:</v>
      </c>
      <c r="Q6" s="175">
        <f t="shared" si="3"/>
        <v>2415.0637500000021</v>
      </c>
      <c r="R6" s="8"/>
      <c r="S6" s="175" t="s">
        <v>196</v>
      </c>
      <c r="T6" s="176"/>
    </row>
    <row r="7" spans="1:20" ht="28.8" x14ac:dyDescent="0.3">
      <c r="A7" s="173" t="s">
        <v>183</v>
      </c>
      <c r="B7" s="173">
        <f>B6</f>
        <v>0</v>
      </c>
      <c r="C7" s="173">
        <f>'Расходы на П, строит-во, ввод'!C39</f>
        <v>293.1270833333333</v>
      </c>
      <c r="D7" s="173">
        <f>'Расходы на П, строит-во, ввод'!D39</f>
        <v>286.93041666666676</v>
      </c>
      <c r="E7" s="173">
        <f>'Расходы на П, строит-во, ввод'!E39</f>
        <v>280.7337500000001</v>
      </c>
      <c r="F7" s="173">
        <f>'Расходы на П, строит-во, ввод'!F39</f>
        <v>274.5370833333335</v>
      </c>
      <c r="G7" s="173">
        <f>'Расходы на П, строит-во, ввод'!G39</f>
        <v>268.3404166666669</v>
      </c>
      <c r="H7" s="173">
        <f>'Расходы на П, строит-во, ввод'!H39</f>
        <v>262.1437500000003</v>
      </c>
      <c r="I7" s="173">
        <f>'Расходы на П, строит-во, ввод'!I39</f>
        <v>255.94708333333367</v>
      </c>
      <c r="J7" s="173">
        <f>'Расходы на П, строит-во, ввод'!J39</f>
        <v>249.75041666666706</v>
      </c>
      <c r="K7" s="173">
        <f>'Расходы на П, строит-во, ввод'!K39</f>
        <v>243.55375000000046</v>
      </c>
      <c r="L7" s="173">
        <f>'Расходы на П, строит-во, ввод'!L39</f>
        <v>237.35708333333386</v>
      </c>
      <c r="M7" s="677"/>
      <c r="N7" s="677"/>
      <c r="O7" s="677"/>
      <c r="P7" s="175" t="str">
        <f t="shared" si="1"/>
        <v>- региональный бюджет</v>
      </c>
      <c r="Q7" s="175">
        <f t="shared" si="3"/>
        <v>2415.0637500000021</v>
      </c>
      <c r="R7" s="8"/>
      <c r="S7" s="8"/>
      <c r="T7" s="177"/>
    </row>
    <row r="8" spans="1:20" ht="19.5" customHeight="1" x14ac:dyDescent="0.3">
      <c r="A8" s="173" t="s">
        <v>185</v>
      </c>
      <c r="B8" s="173">
        <f>'Расходы ТОР'!B38</f>
        <v>0</v>
      </c>
      <c r="C8" s="173">
        <f>'Расходы ТОР'!C38</f>
        <v>0</v>
      </c>
      <c r="D8" s="173">
        <f>'Расходы ТОР'!D38</f>
        <v>0</v>
      </c>
      <c r="E8" s="173">
        <f>'Расходы ТОР'!E38</f>
        <v>0</v>
      </c>
      <c r="F8" s="173">
        <f>'Расходы ТОР'!F38</f>
        <v>0</v>
      </c>
      <c r="G8" s="173">
        <v>0</v>
      </c>
      <c r="H8" s="173">
        <f>H9</f>
        <v>0</v>
      </c>
      <c r="I8" s="173">
        <f t="shared" ref="I8:L8" si="4">I9</f>
        <v>0</v>
      </c>
      <c r="J8" s="173">
        <f t="shared" si="4"/>
        <v>0</v>
      </c>
      <c r="K8" s="173">
        <f t="shared" si="4"/>
        <v>0</v>
      </c>
      <c r="L8" s="173">
        <f t="shared" si="4"/>
        <v>0</v>
      </c>
      <c r="M8" s="678"/>
      <c r="N8" s="678"/>
      <c r="O8" s="678"/>
      <c r="P8" s="175" t="str">
        <f t="shared" si="1"/>
        <v>Транспортный налог:</v>
      </c>
      <c r="Q8" s="175">
        <f t="shared" si="3"/>
        <v>0</v>
      </c>
      <c r="R8" s="8"/>
      <c r="S8" s="8"/>
      <c r="T8" s="177"/>
    </row>
    <row r="9" spans="1:20" ht="28.8" x14ac:dyDescent="0.3">
      <c r="A9" s="173" t="s">
        <v>183</v>
      </c>
      <c r="B9" s="173">
        <f>B8</f>
        <v>0</v>
      </c>
      <c r="C9" s="173">
        <f t="shared" ref="C9:G9" si="5">C8</f>
        <v>0</v>
      </c>
      <c r="D9" s="173">
        <f t="shared" si="5"/>
        <v>0</v>
      </c>
      <c r="E9" s="173">
        <f t="shared" si="5"/>
        <v>0</v>
      </c>
      <c r="F9" s="173">
        <f t="shared" si="5"/>
        <v>0</v>
      </c>
      <c r="G9" s="173">
        <f t="shared" si="5"/>
        <v>0</v>
      </c>
      <c r="H9" s="173">
        <v>0</v>
      </c>
      <c r="I9" s="173">
        <v>0</v>
      </c>
      <c r="J9" s="173">
        <v>0</v>
      </c>
      <c r="K9" s="173">
        <v>0</v>
      </c>
      <c r="L9" s="173">
        <v>0</v>
      </c>
      <c r="M9" s="677"/>
      <c r="N9" s="677"/>
      <c r="O9" s="677"/>
      <c r="P9" s="175" t="str">
        <f t="shared" si="1"/>
        <v>- региональный бюджет</v>
      </c>
      <c r="Q9" s="175">
        <f t="shared" si="3"/>
        <v>0</v>
      </c>
      <c r="R9" s="8"/>
      <c r="S9" s="8"/>
      <c r="T9" s="177"/>
    </row>
    <row r="10" spans="1:20" x14ac:dyDescent="0.3">
      <c r="A10" s="173" t="s">
        <v>186</v>
      </c>
      <c r="B10" s="173">
        <f>'Расходы на ЗП ОТ'!AS58</f>
        <v>0</v>
      </c>
      <c r="C10" s="173">
        <f>'Расходы на ЗП ОТ'!AT58</f>
        <v>1528.8</v>
      </c>
      <c r="D10" s="173">
        <f>'Расходы на ЗП ОТ'!AU58</f>
        <v>1574.6640000000002</v>
      </c>
      <c r="E10" s="173">
        <f>'Расходы на ЗП ОТ'!AV58</f>
        <v>1621.9039200000002</v>
      </c>
      <c r="F10" s="173">
        <f>'Расходы на ЗП ОТ'!AW58</f>
        <v>1670.5610376000004</v>
      </c>
      <c r="G10" s="173">
        <f>'Расходы на ЗП ОТ'!AX58</f>
        <v>1720.677868728</v>
      </c>
      <c r="H10" s="173">
        <f>'Расходы на ЗП ОТ'!AY58</f>
        <v>1772.2982047898404</v>
      </c>
      <c r="I10" s="173">
        <f>'Расходы на ЗП ОТ'!AZ58</f>
        <v>1832.7914445349629</v>
      </c>
      <c r="J10" s="173">
        <f>'Расходы на ЗП ОТ'!BA58</f>
        <v>1887.7751878710119</v>
      </c>
      <c r="K10" s="173">
        <f>'Расходы на ЗП ОТ'!BB58</f>
        <v>1944.408443507142</v>
      </c>
      <c r="L10" s="173">
        <f>'Расходы на ЗП ОТ'!BC58</f>
        <v>1944.408443507142</v>
      </c>
      <c r="M10" s="678"/>
      <c r="N10" s="678"/>
      <c r="O10" s="678"/>
      <c r="P10" s="175" t="str">
        <f t="shared" si="1"/>
        <v>НДФЛ:</v>
      </c>
      <c r="Q10" s="175">
        <f t="shared" si="3"/>
        <v>15553.880107030958</v>
      </c>
      <c r="R10" s="8"/>
      <c r="S10" s="8"/>
      <c r="T10" s="177"/>
    </row>
    <row r="11" spans="1:20" ht="28.8" x14ac:dyDescent="0.3">
      <c r="A11" s="173" t="s">
        <v>183</v>
      </c>
      <c r="B11" s="173">
        <f>B10*0.85</f>
        <v>0</v>
      </c>
      <c r="C11" s="173">
        <f t="shared" ref="C11:L11" si="6">C10*0.85</f>
        <v>1299.48</v>
      </c>
      <c r="D11" s="173">
        <f t="shared" si="6"/>
        <v>1338.4644000000001</v>
      </c>
      <c r="E11" s="173">
        <f t="shared" si="6"/>
        <v>1378.6183320000002</v>
      </c>
      <c r="F11" s="173">
        <f t="shared" si="6"/>
        <v>1419.9768819600004</v>
      </c>
      <c r="G11" s="173">
        <f t="shared" si="6"/>
        <v>1462.5761884188</v>
      </c>
      <c r="H11" s="173">
        <f t="shared" si="6"/>
        <v>1506.4534740713643</v>
      </c>
      <c r="I11" s="173">
        <f t="shared" si="6"/>
        <v>1557.8727278547185</v>
      </c>
      <c r="J11" s="173">
        <f t="shared" si="6"/>
        <v>1604.6089096903602</v>
      </c>
      <c r="K11" s="173">
        <f t="shared" si="6"/>
        <v>1652.7471769810707</v>
      </c>
      <c r="L11" s="173">
        <f t="shared" si="6"/>
        <v>1652.7471769810707</v>
      </c>
      <c r="M11" s="677"/>
      <c r="N11" s="677"/>
      <c r="O11" s="677"/>
      <c r="P11" s="175" t="str">
        <f t="shared" si="1"/>
        <v>- региональный бюджет</v>
      </c>
      <c r="Q11" s="175">
        <f t="shared" si="3"/>
        <v>13220.798090976316</v>
      </c>
      <c r="R11" s="8"/>
      <c r="S11" s="8"/>
      <c r="T11" s="177"/>
    </row>
    <row r="12" spans="1:20" ht="28.8" x14ac:dyDescent="0.3">
      <c r="A12" s="173" t="s">
        <v>187</v>
      </c>
      <c r="B12" s="173">
        <f>B10*0.15</f>
        <v>0</v>
      </c>
      <c r="C12" s="173">
        <f>C10*0.15</f>
        <v>229.32</v>
      </c>
      <c r="D12" s="173">
        <f>D10*0.15</f>
        <v>236.19960000000003</v>
      </c>
      <c r="E12" s="173">
        <f t="shared" ref="E12:L12" si="7">E10*0.15</f>
        <v>243.28558800000002</v>
      </c>
      <c r="F12" s="173">
        <f t="shared" si="7"/>
        <v>250.58415564000006</v>
      </c>
      <c r="G12" s="173">
        <f t="shared" si="7"/>
        <v>258.10168030919999</v>
      </c>
      <c r="H12" s="173">
        <f t="shared" si="7"/>
        <v>265.84473071847606</v>
      </c>
      <c r="I12" s="173">
        <f t="shared" si="7"/>
        <v>274.91871668024442</v>
      </c>
      <c r="J12" s="173">
        <f t="shared" si="7"/>
        <v>283.16627818065177</v>
      </c>
      <c r="K12" s="173">
        <f t="shared" si="7"/>
        <v>291.6612665260713</v>
      </c>
      <c r="L12" s="173">
        <f t="shared" si="7"/>
        <v>291.6612665260713</v>
      </c>
      <c r="M12" s="678"/>
      <c r="N12" s="678"/>
      <c r="O12" s="678"/>
      <c r="P12" s="175" t="str">
        <f t="shared" si="1"/>
        <v>- муниципальный бюджет</v>
      </c>
      <c r="Q12" s="175">
        <f t="shared" si="3"/>
        <v>2333.0820160546436</v>
      </c>
      <c r="R12" s="8"/>
      <c r="S12" s="8"/>
      <c r="T12" s="177"/>
    </row>
    <row r="13" spans="1:20" x14ac:dyDescent="0.3">
      <c r="A13" s="173" t="s">
        <v>188</v>
      </c>
      <c r="B13" s="173">
        <v>0</v>
      </c>
      <c r="C13" s="173">
        <v>0</v>
      </c>
      <c r="D13" s="173">
        <v>0</v>
      </c>
      <c r="E13" s="173">
        <v>0</v>
      </c>
      <c r="F13" s="173">
        <v>0</v>
      </c>
      <c r="G13" s="173">
        <v>0</v>
      </c>
      <c r="H13" s="173">
        <v>0</v>
      </c>
      <c r="I13" s="173">
        <v>0</v>
      </c>
      <c r="J13" s="173">
        <v>0</v>
      </c>
      <c r="K13" s="173">
        <v>0</v>
      </c>
      <c r="L13" s="173">
        <v>0</v>
      </c>
      <c r="M13" s="677"/>
      <c r="N13" s="677"/>
      <c r="O13" s="677"/>
      <c r="P13" s="175" t="str">
        <f t="shared" si="1"/>
        <v>- бюджет поселения</v>
      </c>
      <c r="Q13" s="175">
        <f t="shared" si="3"/>
        <v>0</v>
      </c>
      <c r="R13" s="8"/>
      <c r="S13" s="8"/>
      <c r="T13" s="177"/>
    </row>
    <row r="14" spans="1:20" ht="28.8" x14ac:dyDescent="0.3">
      <c r="A14" s="173" t="s">
        <v>189</v>
      </c>
      <c r="B14" s="173">
        <v>0</v>
      </c>
      <c r="C14" s="173">
        <f>'Расходы на ЗП ОТ'!C69</f>
        <v>3528</v>
      </c>
      <c r="D14" s="173">
        <f>'Расходы на ЗП ОТ'!D69</f>
        <v>3633.84</v>
      </c>
      <c r="E14" s="173">
        <f>'Расходы на ЗП ОТ'!E69</f>
        <v>3742.8552</v>
      </c>
      <c r="F14" s="173">
        <f>'Расходы на ЗП ОТ'!F69</f>
        <v>3855.140856</v>
      </c>
      <c r="G14" s="173">
        <f>'Расходы на ЗП ОТ'!G69</f>
        <v>3970.7950816799998</v>
      </c>
      <c r="H14" s="173">
        <f>'Расходы на ЗП ОТ'!H69</f>
        <v>4089.9189341304009</v>
      </c>
      <c r="I14" s="173">
        <f>'Расходы на ЗП ОТ'!I69</f>
        <v>4229.5187181576066</v>
      </c>
      <c r="J14" s="173">
        <f>'Расходы на ЗП ОТ'!J69</f>
        <v>4356.4042797023349</v>
      </c>
      <c r="K14" s="173">
        <f>'Расходы на ЗП ОТ'!K69</f>
        <v>4487.0964080934045</v>
      </c>
      <c r="L14" s="173">
        <f>'Расходы на ЗП ОТ'!L69</f>
        <v>4487.0964080934045</v>
      </c>
      <c r="M14" s="678"/>
      <c r="N14" s="678"/>
      <c r="O14" s="678"/>
      <c r="P14" s="175" t="str">
        <f t="shared" si="1"/>
        <v>Страховые платежи в ФНС</v>
      </c>
      <c r="Q14" s="175">
        <f t="shared" si="3"/>
        <v>35893.569477763747</v>
      </c>
      <c r="R14" s="8"/>
      <c r="S14" s="8"/>
      <c r="T14" s="177"/>
    </row>
    <row r="15" spans="1:20" ht="28.8" x14ac:dyDescent="0.3">
      <c r="A15" s="173" t="s">
        <v>190</v>
      </c>
      <c r="B15" s="173">
        <v>0</v>
      </c>
      <c r="C15" s="173">
        <f>'Расходы на ЗП ОТ'!AT53</f>
        <v>164.64000000000001</v>
      </c>
      <c r="D15" s="173">
        <f>'Расходы на ЗП ОТ'!AU53</f>
        <v>169.57920000000001</v>
      </c>
      <c r="E15" s="173">
        <f>'Расходы на ЗП ОТ'!AV53</f>
        <v>174.66657600000002</v>
      </c>
      <c r="F15" s="173">
        <f>'Расходы на ЗП ОТ'!AW53</f>
        <v>179.90657328000003</v>
      </c>
      <c r="G15" s="173">
        <f>'Расходы на ЗП ОТ'!AX53</f>
        <v>185.3037704784</v>
      </c>
      <c r="H15" s="173">
        <f>'Расходы на ЗП ОТ'!AY53</f>
        <v>190.86288359275204</v>
      </c>
      <c r="I15" s="173">
        <f>'Расходы на ЗП ОТ'!AZ53</f>
        <v>197.37754018068833</v>
      </c>
      <c r="J15" s="173">
        <f>'Расходы на ЗП ОТ'!BA53</f>
        <v>203.29886638610898</v>
      </c>
      <c r="K15" s="173">
        <f>'Расходы на ЗП ОТ'!BB53</f>
        <v>209.39783237769223</v>
      </c>
      <c r="L15" s="173">
        <f>'Расходы на ЗП ОТ'!BC53</f>
        <v>209.39783237769223</v>
      </c>
      <c r="M15" s="677"/>
      <c r="N15" s="677"/>
      <c r="O15" s="677"/>
      <c r="P15" s="175" t="str">
        <f t="shared" si="1"/>
        <v>Страховые платежи в ФСС</v>
      </c>
      <c r="Q15" s="175">
        <f t="shared" si="3"/>
        <v>1675.0332422956417</v>
      </c>
      <c r="R15" s="8"/>
      <c r="S15" s="8"/>
      <c r="T15" s="177"/>
    </row>
    <row r="16" spans="1:20" x14ac:dyDescent="0.3">
      <c r="A16" s="173" t="s">
        <v>191</v>
      </c>
      <c r="B16" s="173">
        <f>'Расходы ТОР'!B39</f>
        <v>0</v>
      </c>
      <c r="C16" s="173">
        <f>'Расходы ТОР'!C39</f>
        <v>890.56281819140713</v>
      </c>
      <c r="D16" s="173">
        <f>'Расходы ТОР'!D39</f>
        <v>9079.648295287443</v>
      </c>
      <c r="E16" s="173">
        <f>'Расходы ТОР'!E39</f>
        <v>12194.441645336929</v>
      </c>
      <c r="F16" s="173">
        <f>'Расходы ТОР'!F39</f>
        <v>14347.446789107647</v>
      </c>
      <c r="G16" s="173">
        <f>'Расходы ТОР'!G39</f>
        <v>16747.623716710536</v>
      </c>
      <c r="H16" s="173">
        <f>'Расходы ТОР'!H39</f>
        <v>19414.908913902982</v>
      </c>
      <c r="I16" s="173">
        <f>'Расходы ТОР'!I39</f>
        <v>22370.519291356501</v>
      </c>
      <c r="J16" s="173">
        <f>'Расходы ТОР'!J39</f>
        <v>24395.505023356724</v>
      </c>
      <c r="K16" s="173">
        <f>'Расходы ТОР'!K39</f>
        <v>26542.0399175653</v>
      </c>
      <c r="L16" s="173">
        <f>'Расходы ТОР'!L39</f>
        <v>28819.187237667495</v>
      </c>
      <c r="M16" s="678"/>
      <c r="N16" s="678"/>
      <c r="O16" s="678"/>
      <c r="P16" s="175" t="str">
        <f t="shared" si="1"/>
        <v>НДС:</v>
      </c>
      <c r="Q16" s="175">
        <f t="shared" si="3"/>
        <v>145982.69641081546</v>
      </c>
      <c r="R16" s="8"/>
      <c r="S16" s="8"/>
      <c r="T16" s="177"/>
    </row>
    <row r="17" spans="1:20" ht="28.8" x14ac:dyDescent="0.3">
      <c r="A17" s="173" t="s">
        <v>181</v>
      </c>
      <c r="B17" s="173">
        <f>B16</f>
        <v>0</v>
      </c>
      <c r="C17" s="173">
        <f t="shared" ref="C17:L17" si="8">C16</f>
        <v>890.56281819140713</v>
      </c>
      <c r="D17" s="173">
        <f t="shared" si="8"/>
        <v>9079.648295287443</v>
      </c>
      <c r="E17" s="173">
        <f t="shared" si="8"/>
        <v>12194.441645336929</v>
      </c>
      <c r="F17" s="173">
        <f t="shared" si="8"/>
        <v>14347.446789107647</v>
      </c>
      <c r="G17" s="173">
        <f t="shared" si="8"/>
        <v>16747.623716710536</v>
      </c>
      <c r="H17" s="173">
        <f t="shared" si="8"/>
        <v>19414.908913902982</v>
      </c>
      <c r="I17" s="173">
        <f t="shared" si="8"/>
        <v>22370.519291356501</v>
      </c>
      <c r="J17" s="173">
        <f t="shared" si="8"/>
        <v>24395.505023356724</v>
      </c>
      <c r="K17" s="173">
        <f t="shared" si="8"/>
        <v>26542.0399175653</v>
      </c>
      <c r="L17" s="173">
        <f t="shared" si="8"/>
        <v>28819.187237667495</v>
      </c>
      <c r="M17" s="677"/>
      <c r="N17" s="677"/>
      <c r="O17" s="677"/>
      <c r="P17" s="175" t="str">
        <f t="shared" si="1"/>
        <v>- федеральный бюджет</v>
      </c>
      <c r="Q17" s="175">
        <f t="shared" si="3"/>
        <v>145982.69641081546</v>
      </c>
      <c r="R17" s="8"/>
      <c r="S17" s="8"/>
      <c r="T17" s="177"/>
    </row>
    <row r="18" spans="1:20" x14ac:dyDescent="0.3">
      <c r="A18" s="173" t="s">
        <v>192</v>
      </c>
      <c r="B18" s="173">
        <f>B19</f>
        <v>0</v>
      </c>
      <c r="C18" s="173">
        <f>C19</f>
        <v>0</v>
      </c>
      <c r="D18" s="173">
        <f t="shared" ref="D18:G18" si="9">D19</f>
        <v>0</v>
      </c>
      <c r="E18" s="173">
        <f t="shared" si="9"/>
        <v>0</v>
      </c>
      <c r="F18" s="173">
        <f t="shared" si="9"/>
        <v>0</v>
      </c>
      <c r="G18" s="173">
        <f t="shared" si="9"/>
        <v>0</v>
      </c>
      <c r="H18" s="173">
        <f>'Расходы на П, строит-во, ввод'!G46</f>
        <v>0</v>
      </c>
      <c r="I18" s="173">
        <f>'Расходы на П, строит-во, ввод'!H46</f>
        <v>0</v>
      </c>
      <c r="J18" s="173">
        <f>'Расходы на П, строит-во, ввод'!I46</f>
        <v>0</v>
      </c>
      <c r="K18" s="173">
        <f>'Расходы на П, строит-во, ввод'!J46</f>
        <v>0</v>
      </c>
      <c r="L18" s="173">
        <f>'Расходы на П, строит-во, ввод'!K46</f>
        <v>0</v>
      </c>
      <c r="M18" s="678"/>
      <c r="N18" s="678"/>
      <c r="O18" s="678"/>
      <c r="P18" s="175" t="str">
        <f t="shared" si="1"/>
        <v>Земельный налог</v>
      </c>
      <c r="Q18" s="175">
        <f t="shared" si="3"/>
        <v>0</v>
      </c>
      <c r="R18" s="8"/>
      <c r="S18" s="8"/>
      <c r="T18" s="177"/>
    </row>
    <row r="19" spans="1:20" ht="28.8" x14ac:dyDescent="0.3">
      <c r="A19" s="173" t="str">
        <f>A12</f>
        <v>- муниципальный бюджет</v>
      </c>
      <c r="B19" s="173">
        <f>'Расходы на П, строит-во, ввод'!B52</f>
        <v>0</v>
      </c>
      <c r="C19" s="173">
        <f>'Расходы на П, строит-во, ввод'!C52</f>
        <v>0</v>
      </c>
      <c r="D19" s="173">
        <f>'Расходы на П, строит-во, ввод'!D52</f>
        <v>0</v>
      </c>
      <c r="E19" s="173">
        <f>'Расходы на П, строит-во, ввод'!E52</f>
        <v>0</v>
      </c>
      <c r="F19" s="173">
        <f>'Расходы на П, строит-во, ввод'!F52</f>
        <v>0</v>
      </c>
      <c r="G19" s="173">
        <f>'Расходы на П, строит-во, ввод'!G52</f>
        <v>0</v>
      </c>
      <c r="H19" s="173">
        <f>'Расходы на П, строит-во, ввод'!H52</f>
        <v>0</v>
      </c>
      <c r="I19" s="173">
        <f>'Расходы на П, строит-во, ввод'!I52</f>
        <v>0</v>
      </c>
      <c r="J19" s="173">
        <f>'Расходы на П, строит-во, ввод'!J52</f>
        <v>0</v>
      </c>
      <c r="K19" s="173">
        <f>'Расходы на П, строит-во, ввод'!K52</f>
        <v>0</v>
      </c>
      <c r="L19" s="173">
        <f>'Расходы на П, строит-во, ввод'!L52</f>
        <v>0</v>
      </c>
      <c r="M19" s="677"/>
      <c r="N19" s="677"/>
      <c r="O19" s="677"/>
      <c r="P19" s="174"/>
      <c r="Q19" s="8"/>
      <c r="R19" s="8"/>
      <c r="S19" s="8"/>
      <c r="T19" s="177"/>
    </row>
    <row r="20" spans="1:20" x14ac:dyDescent="0.3">
      <c r="A20" s="178" t="s">
        <v>193</v>
      </c>
      <c r="B20" s="173">
        <f>B4+B17</f>
        <v>0</v>
      </c>
      <c r="C20" s="173">
        <f>C4+C17</f>
        <v>1100.8923849872201</v>
      </c>
      <c r="D20" s="173">
        <f>D4+D17</f>
        <v>9379.0092490868301</v>
      </c>
      <c r="E20" s="173">
        <f t="shared" ref="E20:L20" si="10">E4+E17</f>
        <v>12748.622201470182</v>
      </c>
      <c r="F20" s="173">
        <f t="shared" si="10"/>
        <v>15083.807894477124</v>
      </c>
      <c r="G20" s="173">
        <f t="shared" si="10"/>
        <v>17687.150105103883</v>
      </c>
      <c r="H20" s="173">
        <f t="shared" si="10"/>
        <v>20559.387446815577</v>
      </c>
      <c r="I20" s="173">
        <f t="shared" si="10"/>
        <v>23738.601413273966</v>
      </c>
      <c r="J20" s="173">
        <f t="shared" si="10"/>
        <v>25914.594761976219</v>
      </c>
      <c r="K20" s="173">
        <f t="shared" si="10"/>
        <v>28221.527750607762</v>
      </c>
      <c r="L20" s="173">
        <f t="shared" si="10"/>
        <v>30680.970789651463</v>
      </c>
      <c r="M20" s="678"/>
      <c r="N20" s="678"/>
      <c r="O20" s="678"/>
      <c r="P20" s="179" t="s">
        <v>203</v>
      </c>
      <c r="Q20" s="442">
        <f>Q3+Q6+Q8+Q10+Q16</f>
        <v>248460.60823767935</v>
      </c>
      <c r="R20" s="8"/>
      <c r="S20" s="8"/>
      <c r="T20" s="177"/>
    </row>
    <row r="21" spans="1:20" x14ac:dyDescent="0.3">
      <c r="A21" s="178" t="s">
        <v>194</v>
      </c>
      <c r="B21" s="173">
        <f>B5+B7+B9+B11</f>
        <v>0</v>
      </c>
      <c r="C21" s="173">
        <f>C5+C7+C9+C11</f>
        <v>3485.5731844956495</v>
      </c>
      <c r="D21" s="173">
        <f>D5+D7+D9+D11</f>
        <v>4319.6434008611423</v>
      </c>
      <c r="E21" s="173">
        <f t="shared" ref="E21:L21" si="11">E5+E7+E9+E11</f>
        <v>6646.9770871992714</v>
      </c>
      <c r="F21" s="173">
        <f t="shared" si="11"/>
        <v>8321.7639136186244</v>
      </c>
      <c r="G21" s="173">
        <f t="shared" si="11"/>
        <v>10186.654100625583</v>
      </c>
      <c r="H21" s="173">
        <f t="shared" si="11"/>
        <v>12068.904020284739</v>
      </c>
      <c r="I21" s="173">
        <f t="shared" si="11"/>
        <v>14126.558908445229</v>
      </c>
      <c r="J21" s="173">
        <f t="shared" si="11"/>
        <v>15526.166973932503</v>
      </c>
      <c r="K21" s="173">
        <f t="shared" si="11"/>
        <v>17011.691424363209</v>
      </c>
      <c r="L21" s="173">
        <f t="shared" si="11"/>
        <v>18646.156228170115</v>
      </c>
      <c r="M21" s="677"/>
      <c r="N21" s="677"/>
      <c r="O21" s="677"/>
      <c r="P21" s="180" t="s">
        <v>204</v>
      </c>
      <c r="Q21" s="442">
        <f>Q14+Q15</f>
        <v>37568.602720059389</v>
      </c>
      <c r="R21" s="181"/>
      <c r="S21" s="181"/>
      <c r="T21" s="182"/>
    </row>
    <row r="22" spans="1:20" x14ac:dyDescent="0.3">
      <c r="A22" s="178" t="s">
        <v>195</v>
      </c>
      <c r="B22" s="173">
        <f>B12</f>
        <v>0</v>
      </c>
      <c r="C22" s="173">
        <f>C12</f>
        <v>229.32</v>
      </c>
      <c r="D22" s="173">
        <f>D12</f>
        <v>236.19960000000003</v>
      </c>
      <c r="E22" s="173">
        <f t="shared" ref="E22:L22" si="12">E12</f>
        <v>243.28558800000002</v>
      </c>
      <c r="F22" s="173">
        <f t="shared" si="12"/>
        <v>250.58415564000006</v>
      </c>
      <c r="G22" s="173">
        <f t="shared" si="12"/>
        <v>258.10168030919999</v>
      </c>
      <c r="H22" s="173">
        <f t="shared" si="12"/>
        <v>265.84473071847606</v>
      </c>
      <c r="I22" s="173">
        <f t="shared" si="12"/>
        <v>274.91871668024442</v>
      </c>
      <c r="J22" s="173">
        <f t="shared" si="12"/>
        <v>283.16627818065177</v>
      </c>
      <c r="K22" s="173">
        <f t="shared" si="12"/>
        <v>291.6612665260713</v>
      </c>
      <c r="L22" s="173">
        <f t="shared" si="12"/>
        <v>291.6612665260713</v>
      </c>
      <c r="M22" s="678"/>
      <c r="N22" s="678"/>
      <c r="O22" s="678"/>
      <c r="P22" s="156"/>
    </row>
    <row r="23" spans="1:20" x14ac:dyDescent="0.3">
      <c r="A23" s="178" t="s">
        <v>196</v>
      </c>
      <c r="B23" s="173">
        <f>B13+B19</f>
        <v>0</v>
      </c>
      <c r="C23" s="173">
        <f t="shared" ref="C23:L23" si="13">C13+C19</f>
        <v>0</v>
      </c>
      <c r="D23" s="173">
        <f t="shared" si="13"/>
        <v>0</v>
      </c>
      <c r="E23" s="173">
        <f t="shared" si="13"/>
        <v>0</v>
      </c>
      <c r="F23" s="173">
        <f t="shared" si="13"/>
        <v>0</v>
      </c>
      <c r="G23" s="173">
        <f t="shared" si="13"/>
        <v>0</v>
      </c>
      <c r="H23" s="173">
        <f t="shared" si="13"/>
        <v>0</v>
      </c>
      <c r="I23" s="173">
        <f t="shared" si="13"/>
        <v>0</v>
      </c>
      <c r="J23" s="173">
        <f t="shared" si="13"/>
        <v>0</v>
      </c>
      <c r="K23" s="173">
        <f t="shared" si="13"/>
        <v>0</v>
      </c>
      <c r="L23" s="173">
        <f t="shared" si="13"/>
        <v>0</v>
      </c>
      <c r="M23" s="677"/>
      <c r="N23" s="677"/>
      <c r="O23" s="677"/>
      <c r="P23" s="157"/>
    </row>
    <row r="24" spans="1:20" x14ac:dyDescent="0.3">
      <c r="L24" s="157"/>
      <c r="M24" s="678"/>
      <c r="N24" s="678"/>
      <c r="O24" s="678"/>
      <c r="P24" s="677"/>
    </row>
    <row r="25" spans="1:20" x14ac:dyDescent="0.3">
      <c r="I25" s="160"/>
      <c r="J25" s="160"/>
      <c r="P25" s="678"/>
    </row>
    <row r="26" spans="1:20" x14ac:dyDescent="0.3">
      <c r="I26" s="160"/>
      <c r="M26" s="677"/>
      <c r="N26" s="677"/>
      <c r="O26" s="677"/>
      <c r="P26" s="677"/>
      <c r="Q26" s="677"/>
      <c r="R26" s="677"/>
      <c r="S26" s="677"/>
    </row>
    <row r="27" spans="1:20" ht="15.6" x14ac:dyDescent="0.3">
      <c r="A27" s="434" t="s">
        <v>205</v>
      </c>
      <c r="B27" s="435" t="str">
        <f>B2</f>
        <v>1 год</v>
      </c>
      <c r="C27" s="435" t="str">
        <f t="shared" ref="C27:L27" si="14">C2</f>
        <v>2 год</v>
      </c>
      <c r="D27" s="435" t="str">
        <f t="shared" si="14"/>
        <v>3 год</v>
      </c>
      <c r="E27" s="435" t="str">
        <f t="shared" si="14"/>
        <v>4 год</v>
      </c>
      <c r="F27" s="435" t="str">
        <f t="shared" si="14"/>
        <v>5 год</v>
      </c>
      <c r="G27" s="435" t="str">
        <f t="shared" si="14"/>
        <v>6 год</v>
      </c>
      <c r="H27" s="435" t="str">
        <f t="shared" si="14"/>
        <v>7 год</v>
      </c>
      <c r="I27" s="435" t="str">
        <f t="shared" si="14"/>
        <v>8 год</v>
      </c>
      <c r="J27" s="435" t="str">
        <f t="shared" si="14"/>
        <v>9 год</v>
      </c>
      <c r="K27" s="435" t="str">
        <f t="shared" si="14"/>
        <v>10 год</v>
      </c>
      <c r="L27" s="435" t="str">
        <f t="shared" si="14"/>
        <v>11 год</v>
      </c>
      <c r="M27" s="678"/>
      <c r="N27" s="678"/>
      <c r="O27" s="678"/>
      <c r="P27" s="678"/>
      <c r="Q27" s="678"/>
      <c r="R27" s="678"/>
      <c r="S27" s="678"/>
    </row>
    <row r="28" spans="1:20" ht="15.6" x14ac:dyDescent="0.3">
      <c r="A28" s="458" t="s">
        <v>191</v>
      </c>
      <c r="B28" s="459">
        <f t="shared" ref="B28:B29" si="15">B16</f>
        <v>0</v>
      </c>
      <c r="C28" s="459">
        <f t="shared" ref="C28:L29" si="16">C16</f>
        <v>890.56281819140713</v>
      </c>
      <c r="D28" s="459">
        <f t="shared" si="16"/>
        <v>9079.648295287443</v>
      </c>
      <c r="E28" s="459">
        <f t="shared" si="16"/>
        <v>12194.441645336929</v>
      </c>
      <c r="F28" s="459">
        <f t="shared" si="16"/>
        <v>14347.446789107647</v>
      </c>
      <c r="G28" s="459">
        <f t="shared" si="16"/>
        <v>16747.623716710536</v>
      </c>
      <c r="H28" s="459">
        <f t="shared" si="16"/>
        <v>19414.908913902982</v>
      </c>
      <c r="I28" s="459">
        <f t="shared" si="16"/>
        <v>22370.519291356501</v>
      </c>
      <c r="J28" s="459">
        <f t="shared" si="16"/>
        <v>24395.505023356724</v>
      </c>
      <c r="K28" s="459">
        <f t="shared" si="16"/>
        <v>26542.0399175653</v>
      </c>
      <c r="L28" s="459">
        <f t="shared" si="16"/>
        <v>28819.187237667495</v>
      </c>
      <c r="M28" s="677"/>
      <c r="N28" s="677"/>
      <c r="O28" s="677"/>
      <c r="P28" s="677"/>
      <c r="Q28" s="677"/>
      <c r="R28" s="677"/>
      <c r="S28" s="677"/>
    </row>
    <row r="29" spans="1:20" ht="31.2" x14ac:dyDescent="0.3">
      <c r="A29" s="438" t="s">
        <v>181</v>
      </c>
      <c r="B29" s="437">
        <f t="shared" si="15"/>
        <v>0</v>
      </c>
      <c r="C29" s="437">
        <f t="shared" si="16"/>
        <v>890.56281819140713</v>
      </c>
      <c r="D29" s="437">
        <f t="shared" si="16"/>
        <v>9079.648295287443</v>
      </c>
      <c r="E29" s="437">
        <f t="shared" si="16"/>
        <v>12194.441645336929</v>
      </c>
      <c r="F29" s="437">
        <f t="shared" si="16"/>
        <v>14347.446789107647</v>
      </c>
      <c r="G29" s="437">
        <f t="shared" si="16"/>
        <v>16747.623716710536</v>
      </c>
      <c r="H29" s="437">
        <f t="shared" si="16"/>
        <v>19414.908913902982</v>
      </c>
      <c r="I29" s="437">
        <f t="shared" si="16"/>
        <v>22370.519291356501</v>
      </c>
      <c r="J29" s="437">
        <f t="shared" si="16"/>
        <v>24395.505023356724</v>
      </c>
      <c r="K29" s="437">
        <f t="shared" si="16"/>
        <v>26542.0399175653</v>
      </c>
      <c r="L29" s="437">
        <f t="shared" si="16"/>
        <v>28819.187237667495</v>
      </c>
      <c r="M29" s="678"/>
      <c r="N29" s="678"/>
      <c r="O29" s="678"/>
      <c r="P29" s="678"/>
      <c r="Q29" s="678"/>
      <c r="R29" s="678"/>
      <c r="S29" s="678"/>
    </row>
    <row r="30" spans="1:20" ht="31.2" x14ac:dyDescent="0.3">
      <c r="A30" s="458" t="s">
        <v>180</v>
      </c>
      <c r="B30" s="459">
        <f t="shared" ref="B30:L32" si="17">B3</f>
        <v>0</v>
      </c>
      <c r="C30" s="459">
        <f t="shared" ref="C30:L30" si="18">C3</f>
        <v>2103.2956679581293</v>
      </c>
      <c r="D30" s="459">
        <f t="shared" si="18"/>
        <v>2993.6095379938615</v>
      </c>
      <c r="E30" s="459">
        <f t="shared" si="18"/>
        <v>5541.8055613325232</v>
      </c>
      <c r="F30" s="459">
        <f t="shared" si="18"/>
        <v>7363.6110536947672</v>
      </c>
      <c r="G30" s="459">
        <f t="shared" si="18"/>
        <v>9395.2638839334613</v>
      </c>
      <c r="H30" s="459">
        <f t="shared" si="18"/>
        <v>11444.785329125971</v>
      </c>
      <c r="I30" s="459">
        <f t="shared" si="18"/>
        <v>13680.821219174642</v>
      </c>
      <c r="J30" s="459">
        <f t="shared" si="18"/>
        <v>15190.897386194973</v>
      </c>
      <c r="K30" s="459">
        <f t="shared" si="18"/>
        <v>16794.878330424599</v>
      </c>
      <c r="L30" s="459">
        <f t="shared" si="18"/>
        <v>18617.835519839682</v>
      </c>
      <c r="M30" s="677"/>
      <c r="N30" s="677"/>
      <c r="O30" s="677"/>
      <c r="P30" s="677"/>
      <c r="Q30" s="677"/>
      <c r="R30" s="677"/>
      <c r="S30" s="677"/>
    </row>
    <row r="31" spans="1:20" ht="31.2" x14ac:dyDescent="0.3">
      <c r="A31" s="438" t="s">
        <v>181</v>
      </c>
      <c r="B31" s="437">
        <f t="shared" si="17"/>
        <v>0</v>
      </c>
      <c r="C31" s="437">
        <f t="shared" si="17"/>
        <v>210.32956679581292</v>
      </c>
      <c r="D31" s="437">
        <f t="shared" si="17"/>
        <v>299.36095379938615</v>
      </c>
      <c r="E31" s="437">
        <f t="shared" si="17"/>
        <v>554.18055613325237</v>
      </c>
      <c r="F31" s="437">
        <f t="shared" si="17"/>
        <v>736.36110536947672</v>
      </c>
      <c r="G31" s="437">
        <f t="shared" si="17"/>
        <v>939.52638839334611</v>
      </c>
      <c r="H31" s="437">
        <f t="shared" si="17"/>
        <v>1144.4785329125971</v>
      </c>
      <c r="I31" s="437">
        <f t="shared" si="17"/>
        <v>1368.0821219174643</v>
      </c>
      <c r="J31" s="437">
        <f t="shared" si="17"/>
        <v>1519.0897386194972</v>
      </c>
      <c r="K31" s="437">
        <f t="shared" si="17"/>
        <v>1679.4878330424599</v>
      </c>
      <c r="L31" s="437">
        <f t="shared" si="17"/>
        <v>1861.7835519839682</v>
      </c>
      <c r="M31" s="678"/>
      <c r="N31" s="678"/>
      <c r="O31" s="678"/>
      <c r="P31" s="678"/>
      <c r="Q31" s="678"/>
      <c r="R31" s="678"/>
      <c r="S31" s="678"/>
    </row>
    <row r="32" spans="1:20" ht="31.2" x14ac:dyDescent="0.3">
      <c r="A32" s="438" t="s">
        <v>183</v>
      </c>
      <c r="B32" s="437">
        <f t="shared" si="17"/>
        <v>0</v>
      </c>
      <c r="C32" s="437">
        <f t="shared" si="17"/>
        <v>1892.9661011623164</v>
      </c>
      <c r="D32" s="437">
        <f t="shared" si="17"/>
        <v>2694.2485841944754</v>
      </c>
      <c r="E32" s="437">
        <f t="shared" si="17"/>
        <v>4987.6250051992711</v>
      </c>
      <c r="F32" s="437">
        <f t="shared" si="17"/>
        <v>6627.2499483252905</v>
      </c>
      <c r="G32" s="437">
        <f t="shared" si="17"/>
        <v>8455.7374955401156</v>
      </c>
      <c r="H32" s="437">
        <f t="shared" si="17"/>
        <v>10300.306796213374</v>
      </c>
      <c r="I32" s="437">
        <f t="shared" si="17"/>
        <v>12312.739097257177</v>
      </c>
      <c r="J32" s="437">
        <f t="shared" si="17"/>
        <v>13671.807647575475</v>
      </c>
      <c r="K32" s="437">
        <f t="shared" si="17"/>
        <v>15115.390497382139</v>
      </c>
      <c r="L32" s="437">
        <f t="shared" si="17"/>
        <v>16756.051967855714</v>
      </c>
      <c r="M32" s="677"/>
      <c r="N32" s="677"/>
      <c r="O32" s="677"/>
      <c r="P32" s="677"/>
      <c r="Q32" s="677"/>
      <c r="R32" s="677"/>
      <c r="S32" s="677"/>
    </row>
    <row r="33" spans="1:19" ht="31.2" x14ac:dyDescent="0.3">
      <c r="A33" s="458" t="s">
        <v>184</v>
      </c>
      <c r="B33" s="459">
        <f>B34</f>
        <v>0</v>
      </c>
      <c r="C33" s="459">
        <f t="shared" ref="C33:L33" si="19">C34</f>
        <v>293.1270833333333</v>
      </c>
      <c r="D33" s="459">
        <f t="shared" si="19"/>
        <v>286.93041666666676</v>
      </c>
      <c r="E33" s="459">
        <f>E34</f>
        <v>280.7337500000001</v>
      </c>
      <c r="F33" s="459">
        <f t="shared" si="19"/>
        <v>274.5370833333335</v>
      </c>
      <c r="G33" s="459">
        <f t="shared" si="19"/>
        <v>268.3404166666669</v>
      </c>
      <c r="H33" s="459">
        <f t="shared" si="19"/>
        <v>262.1437500000003</v>
      </c>
      <c r="I33" s="459">
        <f t="shared" si="19"/>
        <v>255.94708333333367</v>
      </c>
      <c r="J33" s="459">
        <f t="shared" si="19"/>
        <v>249.75041666666706</v>
      </c>
      <c r="K33" s="459">
        <f t="shared" si="19"/>
        <v>243.55375000000046</v>
      </c>
      <c r="L33" s="459">
        <f t="shared" si="19"/>
        <v>237.35708333333386</v>
      </c>
      <c r="M33" s="678"/>
      <c r="N33" s="678"/>
      <c r="O33" s="678"/>
      <c r="P33" s="678"/>
      <c r="Q33" s="678"/>
      <c r="R33" s="678"/>
      <c r="S33" s="678"/>
    </row>
    <row r="34" spans="1:19" ht="31.2" x14ac:dyDescent="0.3">
      <c r="A34" s="438" t="s">
        <v>183</v>
      </c>
      <c r="B34" s="437">
        <f>B6</f>
        <v>0</v>
      </c>
      <c r="C34" s="437">
        <f t="shared" ref="C34:L34" si="20">C6</f>
        <v>293.1270833333333</v>
      </c>
      <c r="D34" s="437">
        <f t="shared" si="20"/>
        <v>286.93041666666676</v>
      </c>
      <c r="E34" s="437">
        <f>E6</f>
        <v>280.7337500000001</v>
      </c>
      <c r="F34" s="437">
        <f t="shared" si="20"/>
        <v>274.5370833333335</v>
      </c>
      <c r="G34" s="437">
        <f t="shared" si="20"/>
        <v>268.3404166666669</v>
      </c>
      <c r="H34" s="437">
        <f t="shared" si="20"/>
        <v>262.1437500000003</v>
      </c>
      <c r="I34" s="437">
        <f t="shared" si="20"/>
        <v>255.94708333333367</v>
      </c>
      <c r="J34" s="437">
        <f t="shared" si="20"/>
        <v>249.75041666666706</v>
      </c>
      <c r="K34" s="437">
        <f t="shared" si="20"/>
        <v>243.55375000000046</v>
      </c>
      <c r="L34" s="437">
        <f t="shared" si="20"/>
        <v>237.35708333333386</v>
      </c>
      <c r="M34" s="677"/>
      <c r="N34" s="677"/>
      <c r="O34" s="677"/>
      <c r="P34" s="677"/>
      <c r="Q34" s="677"/>
      <c r="R34" s="677"/>
      <c r="S34" s="677"/>
    </row>
    <row r="35" spans="1:19" ht="31.2" x14ac:dyDescent="0.3">
      <c r="A35" s="436" t="s">
        <v>185</v>
      </c>
      <c r="B35" s="437">
        <v>0</v>
      </c>
      <c r="C35" s="437">
        <v>0</v>
      </c>
      <c r="D35" s="437">
        <v>0</v>
      </c>
      <c r="E35" s="437">
        <v>0</v>
      </c>
      <c r="F35" s="437">
        <v>0</v>
      </c>
      <c r="G35" s="437">
        <v>0</v>
      </c>
      <c r="H35" s="437">
        <v>0</v>
      </c>
      <c r="I35" s="437">
        <v>0</v>
      </c>
      <c r="J35" s="437">
        <v>0</v>
      </c>
      <c r="K35" s="437">
        <v>0</v>
      </c>
      <c r="L35" s="437">
        <v>0</v>
      </c>
      <c r="M35" s="678"/>
      <c r="N35" s="678"/>
      <c r="O35" s="678"/>
      <c r="P35" s="678"/>
      <c r="Q35" s="678"/>
      <c r="R35" s="678"/>
      <c r="S35" s="678"/>
    </row>
    <row r="36" spans="1:19" ht="31.2" x14ac:dyDescent="0.3">
      <c r="A36" s="438" t="s">
        <v>183</v>
      </c>
      <c r="B36" s="437">
        <v>0</v>
      </c>
      <c r="C36" s="437">
        <v>0</v>
      </c>
      <c r="D36" s="437">
        <v>0</v>
      </c>
      <c r="E36" s="437">
        <v>0</v>
      </c>
      <c r="F36" s="437">
        <v>0</v>
      </c>
      <c r="G36" s="437">
        <v>0</v>
      </c>
      <c r="H36" s="437">
        <v>0</v>
      </c>
      <c r="I36" s="437">
        <v>0</v>
      </c>
      <c r="J36" s="437">
        <v>0</v>
      </c>
      <c r="K36" s="437">
        <v>0</v>
      </c>
      <c r="L36" s="437">
        <v>0</v>
      </c>
      <c r="M36" s="677"/>
      <c r="N36" s="677"/>
      <c r="O36" s="677"/>
      <c r="P36" s="677"/>
      <c r="Q36" s="172"/>
      <c r="R36" s="172"/>
      <c r="S36" s="172"/>
    </row>
    <row r="37" spans="1:19" ht="31.2" x14ac:dyDescent="0.3">
      <c r="A37" s="436" t="s">
        <v>206</v>
      </c>
      <c r="B37" s="437">
        <f>B38</f>
        <v>0</v>
      </c>
      <c r="C37" s="437">
        <f t="shared" ref="C37:L37" si="21">C38</f>
        <v>0</v>
      </c>
      <c r="D37" s="437">
        <f t="shared" si="21"/>
        <v>0</v>
      </c>
      <c r="E37" s="437">
        <f t="shared" si="21"/>
        <v>0</v>
      </c>
      <c r="F37" s="437">
        <f t="shared" si="21"/>
        <v>0</v>
      </c>
      <c r="G37" s="437">
        <f t="shared" si="21"/>
        <v>0</v>
      </c>
      <c r="H37" s="437">
        <f t="shared" si="21"/>
        <v>0</v>
      </c>
      <c r="I37" s="437">
        <f t="shared" si="21"/>
        <v>0</v>
      </c>
      <c r="J37" s="437">
        <f t="shared" si="21"/>
        <v>0</v>
      </c>
      <c r="K37" s="437">
        <f t="shared" si="21"/>
        <v>0</v>
      </c>
      <c r="L37" s="437">
        <f t="shared" si="21"/>
        <v>0</v>
      </c>
      <c r="M37" s="678"/>
      <c r="N37" s="678"/>
      <c r="O37" s="678"/>
      <c r="P37" s="678"/>
    </row>
    <row r="38" spans="1:19" ht="15.6" x14ac:dyDescent="0.3">
      <c r="A38" s="438" t="s">
        <v>207</v>
      </c>
      <c r="B38" s="437">
        <f>B19</f>
        <v>0</v>
      </c>
      <c r="C38" s="437">
        <f t="shared" ref="C38:L38" si="22">C19</f>
        <v>0</v>
      </c>
      <c r="D38" s="437">
        <f t="shared" si="22"/>
        <v>0</v>
      </c>
      <c r="E38" s="437">
        <f t="shared" si="22"/>
        <v>0</v>
      </c>
      <c r="F38" s="437">
        <f t="shared" si="22"/>
        <v>0</v>
      </c>
      <c r="G38" s="437">
        <f t="shared" si="22"/>
        <v>0</v>
      </c>
      <c r="H38" s="437">
        <f t="shared" si="22"/>
        <v>0</v>
      </c>
      <c r="I38" s="437">
        <f t="shared" si="22"/>
        <v>0</v>
      </c>
      <c r="J38" s="437">
        <f t="shared" si="22"/>
        <v>0</v>
      </c>
      <c r="K38" s="437">
        <f t="shared" si="22"/>
        <v>0</v>
      </c>
      <c r="L38" s="437">
        <f t="shared" si="22"/>
        <v>0</v>
      </c>
      <c r="M38" s="677"/>
      <c r="N38" s="677"/>
      <c r="O38" s="677"/>
      <c r="P38" s="677"/>
    </row>
    <row r="39" spans="1:19" ht="15.6" x14ac:dyDescent="0.3">
      <c r="A39" s="458" t="s">
        <v>186</v>
      </c>
      <c r="B39" s="459">
        <f t="shared" ref="B39:L41" si="23">B10</f>
        <v>0</v>
      </c>
      <c r="C39" s="459">
        <f t="shared" ref="C39:L39" si="24">C10</f>
        <v>1528.8</v>
      </c>
      <c r="D39" s="459">
        <f t="shared" si="24"/>
        <v>1574.6640000000002</v>
      </c>
      <c r="E39" s="459">
        <f t="shared" si="24"/>
        <v>1621.9039200000002</v>
      </c>
      <c r="F39" s="459">
        <f t="shared" si="24"/>
        <v>1670.5610376000004</v>
      </c>
      <c r="G39" s="459">
        <f t="shared" si="24"/>
        <v>1720.677868728</v>
      </c>
      <c r="H39" s="459">
        <f t="shared" si="24"/>
        <v>1772.2982047898404</v>
      </c>
      <c r="I39" s="459">
        <f t="shared" si="24"/>
        <v>1832.7914445349629</v>
      </c>
      <c r="J39" s="459">
        <f t="shared" si="24"/>
        <v>1887.7751878710119</v>
      </c>
      <c r="K39" s="459">
        <f t="shared" si="24"/>
        <v>1944.408443507142</v>
      </c>
      <c r="L39" s="459">
        <f t="shared" si="24"/>
        <v>1944.408443507142</v>
      </c>
      <c r="M39" s="678"/>
      <c r="N39" s="678"/>
      <c r="O39" s="678"/>
      <c r="P39" s="678"/>
    </row>
    <row r="40" spans="1:19" ht="31.2" x14ac:dyDescent="0.3">
      <c r="A40" s="438" t="s">
        <v>183</v>
      </c>
      <c r="B40" s="437">
        <f t="shared" si="23"/>
        <v>0</v>
      </c>
      <c r="C40" s="437">
        <f t="shared" si="23"/>
        <v>1299.48</v>
      </c>
      <c r="D40" s="437">
        <f t="shared" si="23"/>
        <v>1338.4644000000001</v>
      </c>
      <c r="E40" s="437">
        <f t="shared" si="23"/>
        <v>1378.6183320000002</v>
      </c>
      <c r="F40" s="437">
        <f t="shared" si="23"/>
        <v>1419.9768819600004</v>
      </c>
      <c r="G40" s="437">
        <f t="shared" si="23"/>
        <v>1462.5761884188</v>
      </c>
      <c r="H40" s="437">
        <f t="shared" si="23"/>
        <v>1506.4534740713643</v>
      </c>
      <c r="I40" s="437">
        <f t="shared" si="23"/>
        <v>1557.8727278547185</v>
      </c>
      <c r="J40" s="437">
        <f t="shared" si="23"/>
        <v>1604.6089096903602</v>
      </c>
      <c r="K40" s="437">
        <f t="shared" si="23"/>
        <v>1652.7471769810707</v>
      </c>
      <c r="L40" s="437">
        <f t="shared" si="23"/>
        <v>1652.7471769810707</v>
      </c>
      <c r="M40" s="677"/>
      <c r="N40" s="677"/>
      <c r="O40" s="677"/>
      <c r="P40" s="677"/>
    </row>
    <row r="41" spans="1:19" ht="15.6" x14ac:dyDescent="0.3">
      <c r="A41" s="438" t="s">
        <v>208</v>
      </c>
      <c r="B41" s="437">
        <f t="shared" si="23"/>
        <v>0</v>
      </c>
      <c r="C41" s="437">
        <f t="shared" si="23"/>
        <v>229.32</v>
      </c>
      <c r="D41" s="437">
        <f t="shared" si="23"/>
        <v>236.19960000000003</v>
      </c>
      <c r="E41" s="437">
        <f t="shared" si="23"/>
        <v>243.28558800000002</v>
      </c>
      <c r="F41" s="437">
        <f t="shared" si="23"/>
        <v>250.58415564000006</v>
      </c>
      <c r="G41" s="437">
        <f t="shared" si="23"/>
        <v>258.10168030919999</v>
      </c>
      <c r="H41" s="437">
        <f t="shared" si="23"/>
        <v>265.84473071847606</v>
      </c>
      <c r="I41" s="437">
        <f t="shared" si="23"/>
        <v>274.91871668024442</v>
      </c>
      <c r="J41" s="437">
        <f t="shared" si="23"/>
        <v>283.16627818065177</v>
      </c>
      <c r="K41" s="437">
        <f t="shared" si="23"/>
        <v>291.6612665260713</v>
      </c>
      <c r="L41" s="437">
        <f t="shared" si="23"/>
        <v>291.6612665260713</v>
      </c>
      <c r="M41" s="678"/>
      <c r="N41" s="678"/>
      <c r="O41" s="678"/>
      <c r="P41" s="678"/>
    </row>
    <row r="42" spans="1:19" ht="31.2" x14ac:dyDescent="0.3">
      <c r="A42" s="458" t="s">
        <v>189</v>
      </c>
      <c r="B42" s="459">
        <f>B14</f>
        <v>0</v>
      </c>
      <c r="C42" s="459">
        <f t="shared" ref="C42:L42" si="25">C14</f>
        <v>3528</v>
      </c>
      <c r="D42" s="459">
        <f t="shared" si="25"/>
        <v>3633.84</v>
      </c>
      <c r="E42" s="459">
        <f t="shared" si="25"/>
        <v>3742.8552</v>
      </c>
      <c r="F42" s="459">
        <f t="shared" si="25"/>
        <v>3855.140856</v>
      </c>
      <c r="G42" s="459">
        <f t="shared" si="25"/>
        <v>3970.7950816799998</v>
      </c>
      <c r="H42" s="459">
        <f t="shared" si="25"/>
        <v>4089.9189341304009</v>
      </c>
      <c r="I42" s="459">
        <f t="shared" si="25"/>
        <v>4229.5187181576066</v>
      </c>
      <c r="J42" s="459">
        <f t="shared" si="25"/>
        <v>4356.4042797023349</v>
      </c>
      <c r="K42" s="459">
        <f t="shared" si="25"/>
        <v>4487.0964080934045</v>
      </c>
      <c r="L42" s="459">
        <f t="shared" si="25"/>
        <v>4487.0964080934045</v>
      </c>
      <c r="M42" s="677"/>
      <c r="N42" s="677"/>
      <c r="O42" s="677"/>
      <c r="P42" s="677"/>
    </row>
    <row r="43" spans="1:19" ht="31.2" x14ac:dyDescent="0.3">
      <c r="A43" s="438" t="s">
        <v>209</v>
      </c>
      <c r="B43" s="437">
        <v>0</v>
      </c>
      <c r="C43" s="439">
        <f>'Расходы на ЗП ОТ'!C71</f>
        <v>2587.1999999999998</v>
      </c>
      <c r="D43" s="439">
        <f>'Расходы на ЗП ОТ'!D71</f>
        <v>2664.8160000000003</v>
      </c>
      <c r="E43" s="439">
        <f>'Расходы на ЗП ОТ'!E71</f>
        <v>2744.7604800000004</v>
      </c>
      <c r="F43" s="439">
        <f>'Расходы на ЗП ОТ'!F71</f>
        <v>2827.1032944000003</v>
      </c>
      <c r="G43" s="439">
        <f>'Расходы на ЗП ОТ'!G71</f>
        <v>2911.9163932320002</v>
      </c>
      <c r="H43" s="439">
        <f>'Расходы на ЗП ОТ'!H71</f>
        <v>2999.2738850289606</v>
      </c>
      <c r="I43" s="439">
        <f>'Расходы на ЗП ОТ'!I71</f>
        <v>3101.6470599822451</v>
      </c>
      <c r="J43" s="439">
        <f>'Расходы на ЗП ОТ'!J71</f>
        <v>3194.6964717817127</v>
      </c>
      <c r="K43" s="439">
        <f>'Расходы на ЗП ОТ'!K71</f>
        <v>3290.5373659351635</v>
      </c>
      <c r="L43" s="439">
        <f t="shared" ref="L43:L45" si="26">K43</f>
        <v>3290.5373659351635</v>
      </c>
      <c r="M43" s="678"/>
      <c r="N43" s="678"/>
      <c r="O43" s="678"/>
      <c r="P43" s="678"/>
    </row>
    <row r="44" spans="1:19" ht="69" customHeight="1" x14ac:dyDescent="0.3">
      <c r="A44" s="438" t="s">
        <v>210</v>
      </c>
      <c r="B44" s="437">
        <v>0</v>
      </c>
      <c r="C44" s="439">
        <f>'Расходы на ЗП ОТ'!C72</f>
        <v>341.04</v>
      </c>
      <c r="D44" s="439">
        <f>'Расходы на ЗП ОТ'!D72</f>
        <v>351.27120000000002</v>
      </c>
      <c r="E44" s="439">
        <f>'Расходы на ЗП ОТ'!E72</f>
        <v>361.80933600000003</v>
      </c>
      <c r="F44" s="439">
        <f>'Расходы на ЗП ОТ'!F72</f>
        <v>372.66361608000011</v>
      </c>
      <c r="G44" s="439">
        <f>'Расходы на ЗП ОТ'!G72</f>
        <v>383.84352456240003</v>
      </c>
      <c r="H44" s="439">
        <f>'Расходы на ЗП ОТ'!H72</f>
        <v>395.35883029927209</v>
      </c>
      <c r="I44" s="439">
        <f>'Расходы на ЗП ОТ'!I72</f>
        <v>408.8534760885687</v>
      </c>
      <c r="J44" s="439">
        <f>'Расходы на ЗП ОТ'!J72</f>
        <v>421.11908037122578</v>
      </c>
      <c r="K44" s="439">
        <f>'Расходы на ЗП ОТ'!K72</f>
        <v>433.75265278236247</v>
      </c>
      <c r="L44" s="439">
        <f t="shared" si="26"/>
        <v>433.75265278236247</v>
      </c>
      <c r="M44" s="677"/>
      <c r="N44" s="677"/>
      <c r="O44" s="677"/>
      <c r="P44" s="677"/>
    </row>
    <row r="45" spans="1:19" ht="46.8" x14ac:dyDescent="0.3">
      <c r="A45" s="438" t="s">
        <v>211</v>
      </c>
      <c r="B45" s="437">
        <v>0</v>
      </c>
      <c r="C45" s="439">
        <f>'Расходы на ЗП ОТ'!C73</f>
        <v>599.76</v>
      </c>
      <c r="D45" s="439">
        <f>'Расходы на ЗП ОТ'!D73</f>
        <v>617.75279999999998</v>
      </c>
      <c r="E45" s="439">
        <f>'Расходы на ЗП ОТ'!E73</f>
        <v>636.28538400000002</v>
      </c>
      <c r="F45" s="439">
        <f>'Расходы на ЗП ОТ'!F73</f>
        <v>655.37394552000012</v>
      </c>
      <c r="G45" s="439">
        <f>'Расходы на ЗП ОТ'!G73</f>
        <v>675.03516388560001</v>
      </c>
      <c r="H45" s="439">
        <f>'Расходы на ЗП ОТ'!H73</f>
        <v>695.28621880216815</v>
      </c>
      <c r="I45" s="439">
        <f>'Расходы на ЗП ОТ'!I73</f>
        <v>719.0181820867931</v>
      </c>
      <c r="J45" s="439">
        <f>'Расходы на ЗП ОТ'!J73</f>
        <v>740.58872754939694</v>
      </c>
      <c r="K45" s="439">
        <f>'Расходы на ЗП ОТ'!K73</f>
        <v>762.80638937587867</v>
      </c>
      <c r="L45" s="439">
        <f t="shared" si="26"/>
        <v>762.80638937587867</v>
      </c>
      <c r="M45" s="678"/>
      <c r="N45" s="678"/>
      <c r="O45" s="678"/>
      <c r="P45" s="678"/>
    </row>
    <row r="46" spans="1:19" ht="31.2" x14ac:dyDescent="0.3">
      <c r="A46" s="458" t="s">
        <v>190</v>
      </c>
      <c r="B46" s="459">
        <f>B15</f>
        <v>0</v>
      </c>
      <c r="C46" s="459">
        <f t="shared" ref="C46:L46" si="27">C15</f>
        <v>164.64000000000001</v>
      </c>
      <c r="D46" s="459">
        <f t="shared" si="27"/>
        <v>169.57920000000001</v>
      </c>
      <c r="E46" s="459">
        <f t="shared" si="27"/>
        <v>174.66657600000002</v>
      </c>
      <c r="F46" s="459">
        <f t="shared" si="27"/>
        <v>179.90657328000003</v>
      </c>
      <c r="G46" s="459">
        <f t="shared" si="27"/>
        <v>185.3037704784</v>
      </c>
      <c r="H46" s="459">
        <f t="shared" si="27"/>
        <v>190.86288359275204</v>
      </c>
      <c r="I46" s="459">
        <f t="shared" si="27"/>
        <v>197.37754018068833</v>
      </c>
      <c r="J46" s="459">
        <f t="shared" si="27"/>
        <v>203.29886638610898</v>
      </c>
      <c r="K46" s="459">
        <f t="shared" si="27"/>
        <v>209.39783237769223</v>
      </c>
      <c r="L46" s="459">
        <f t="shared" si="27"/>
        <v>209.39783237769223</v>
      </c>
      <c r="M46" s="677"/>
      <c r="N46" s="677"/>
      <c r="O46" s="677"/>
      <c r="P46" s="677"/>
    </row>
    <row r="47" spans="1:19" ht="15.6" x14ac:dyDescent="0.3">
      <c r="A47" s="436" t="s">
        <v>212</v>
      </c>
      <c r="B47" s="440"/>
      <c r="C47" s="441"/>
      <c r="D47" s="441"/>
      <c r="E47" s="441"/>
      <c r="F47" s="441"/>
      <c r="G47" s="441"/>
      <c r="H47" s="441"/>
      <c r="I47" s="441"/>
      <c r="J47" s="441"/>
      <c r="K47" s="441"/>
      <c r="L47" s="441"/>
      <c r="M47" s="678"/>
      <c r="N47" s="678"/>
      <c r="O47" s="678"/>
      <c r="P47" s="678"/>
    </row>
    <row r="48" spans="1:19" x14ac:dyDescent="0.3">
      <c r="M48" s="677"/>
      <c r="N48" s="677"/>
      <c r="O48" s="677"/>
      <c r="P48" s="677"/>
    </row>
    <row r="49" spans="13:16" x14ac:dyDescent="0.3">
      <c r="M49" s="678"/>
      <c r="N49" s="678"/>
      <c r="O49" s="678"/>
      <c r="P49" s="678"/>
    </row>
    <row r="50" spans="13:16" x14ac:dyDescent="0.3">
      <c r="M50" s="677"/>
      <c r="N50" s="677"/>
      <c r="O50" s="677"/>
      <c r="P50" s="677"/>
    </row>
    <row r="51" spans="13:16" x14ac:dyDescent="0.3">
      <c r="M51" s="678"/>
      <c r="N51" s="678"/>
      <c r="O51" s="678"/>
      <c r="P51" s="678"/>
    </row>
    <row r="52" spans="13:16" x14ac:dyDescent="0.3">
      <c r="M52" s="677"/>
      <c r="N52" s="677"/>
      <c r="O52" s="677"/>
      <c r="P52" s="677"/>
    </row>
    <row r="53" spans="13:16" x14ac:dyDescent="0.3">
      <c r="M53" s="678"/>
      <c r="N53" s="678"/>
      <c r="O53" s="678"/>
      <c r="P53" s="678"/>
    </row>
    <row r="54" spans="13:16" x14ac:dyDescent="0.3">
      <c r="M54" s="677"/>
      <c r="N54" s="677"/>
      <c r="O54" s="677"/>
      <c r="P54" s="677"/>
    </row>
    <row r="55" spans="13:16" x14ac:dyDescent="0.3">
      <c r="M55" s="678"/>
      <c r="N55" s="678"/>
      <c r="O55" s="678"/>
      <c r="P55" s="678"/>
    </row>
    <row r="56" spans="13:16" x14ac:dyDescent="0.3">
      <c r="M56" s="677"/>
      <c r="N56" s="677"/>
      <c r="O56" s="677"/>
      <c r="P56" s="677"/>
    </row>
    <row r="57" spans="13:16" x14ac:dyDescent="0.3">
      <c r="M57" s="678"/>
      <c r="N57" s="678"/>
      <c r="O57" s="678"/>
      <c r="P57" s="678"/>
    </row>
    <row r="58" spans="13:16" x14ac:dyDescent="0.3">
      <c r="M58" s="677"/>
      <c r="N58" s="677"/>
      <c r="O58" s="677"/>
      <c r="P58" s="677"/>
    </row>
    <row r="59" spans="13:16" x14ac:dyDescent="0.3">
      <c r="M59" s="678"/>
      <c r="N59" s="678"/>
      <c r="O59" s="678"/>
      <c r="P59" s="678"/>
    </row>
    <row r="60" spans="13:16" x14ac:dyDescent="0.3">
      <c r="M60" s="677"/>
      <c r="N60" s="677"/>
      <c r="O60" s="677"/>
      <c r="P60" s="677"/>
    </row>
    <row r="61" spans="13:16" x14ac:dyDescent="0.3">
      <c r="M61" s="678"/>
      <c r="N61" s="678"/>
      <c r="O61" s="678"/>
      <c r="P61" s="678"/>
    </row>
    <row r="62" spans="13:16" x14ac:dyDescent="0.3">
      <c r="M62" s="677"/>
      <c r="N62" s="677"/>
      <c r="O62" s="677"/>
      <c r="P62" s="677"/>
    </row>
    <row r="63" spans="13:16" x14ac:dyDescent="0.3">
      <c r="M63" s="678"/>
      <c r="N63" s="678"/>
      <c r="O63" s="678"/>
      <c r="P63" s="678"/>
    </row>
    <row r="64" spans="13:16" x14ac:dyDescent="0.3">
      <c r="M64" s="677"/>
      <c r="N64" s="677"/>
      <c r="O64" s="677"/>
      <c r="P64" s="677"/>
    </row>
    <row r="65" spans="13:16" x14ac:dyDescent="0.3">
      <c r="M65" s="678"/>
      <c r="N65" s="678"/>
      <c r="O65" s="678"/>
      <c r="P65" s="678"/>
    </row>
    <row r="66" spans="13:16" x14ac:dyDescent="0.3">
      <c r="M66" s="677"/>
      <c r="N66" s="677"/>
      <c r="O66" s="677"/>
      <c r="P66" s="677"/>
    </row>
    <row r="67" spans="13:16" x14ac:dyDescent="0.3">
      <c r="M67" s="678"/>
      <c r="N67" s="678"/>
      <c r="O67" s="678"/>
      <c r="P67" s="678"/>
    </row>
  </sheetData>
  <mergeCells count="136">
    <mergeCell ref="M62:M63"/>
    <mergeCell ref="N62:N63"/>
    <mergeCell ref="O62:O63"/>
    <mergeCell ref="P62:P63"/>
    <mergeCell ref="M64:M65"/>
    <mergeCell ref="N64:N65"/>
    <mergeCell ref="O64:O65"/>
    <mergeCell ref="P64:P65"/>
    <mergeCell ref="M66:M67"/>
    <mergeCell ref="N66:N67"/>
    <mergeCell ref="O66:O67"/>
    <mergeCell ref="P66:P67"/>
    <mergeCell ref="M56:M57"/>
    <mergeCell ref="N56:N57"/>
    <mergeCell ref="O56:O57"/>
    <mergeCell ref="P56:P57"/>
    <mergeCell ref="M58:M59"/>
    <mergeCell ref="N58:N59"/>
    <mergeCell ref="O58:O59"/>
    <mergeCell ref="P58:P59"/>
    <mergeCell ref="M60:M61"/>
    <mergeCell ref="N60:N61"/>
    <mergeCell ref="O60:O61"/>
    <mergeCell ref="P60:P61"/>
    <mergeCell ref="M50:M51"/>
    <mergeCell ref="N50:N51"/>
    <mergeCell ref="O50:O51"/>
    <mergeCell ref="P50:P51"/>
    <mergeCell ref="M52:M53"/>
    <mergeCell ref="N52:N53"/>
    <mergeCell ref="O52:O53"/>
    <mergeCell ref="P52:P53"/>
    <mergeCell ref="M54:M55"/>
    <mergeCell ref="N54:N55"/>
    <mergeCell ref="O54:O55"/>
    <mergeCell ref="P54:P55"/>
    <mergeCell ref="M44:M45"/>
    <mergeCell ref="N44:N45"/>
    <mergeCell ref="O44:O45"/>
    <mergeCell ref="P44:P45"/>
    <mergeCell ref="M46:M47"/>
    <mergeCell ref="N46:N47"/>
    <mergeCell ref="O46:O47"/>
    <mergeCell ref="P46:P47"/>
    <mergeCell ref="M48:M49"/>
    <mergeCell ref="N48:N49"/>
    <mergeCell ref="O48:O49"/>
    <mergeCell ref="P48:P49"/>
    <mergeCell ref="M38:M39"/>
    <mergeCell ref="N38:N39"/>
    <mergeCell ref="O38:O39"/>
    <mergeCell ref="P38:P39"/>
    <mergeCell ref="M40:M41"/>
    <mergeCell ref="N40:N41"/>
    <mergeCell ref="O40:O41"/>
    <mergeCell ref="P40:P41"/>
    <mergeCell ref="M42:M43"/>
    <mergeCell ref="N42:N43"/>
    <mergeCell ref="O42:O43"/>
    <mergeCell ref="P42:P43"/>
    <mergeCell ref="M34:M35"/>
    <mergeCell ref="N34:N35"/>
    <mergeCell ref="O34:O35"/>
    <mergeCell ref="P34:P35"/>
    <mergeCell ref="Q34:Q35"/>
    <mergeCell ref="R34:R35"/>
    <mergeCell ref="S34:S35"/>
    <mergeCell ref="M36:M37"/>
    <mergeCell ref="N36:N37"/>
    <mergeCell ref="O36:O37"/>
    <mergeCell ref="P36:P37"/>
    <mergeCell ref="M30:M31"/>
    <mergeCell ref="N30:N31"/>
    <mergeCell ref="O30:O31"/>
    <mergeCell ref="P30:P31"/>
    <mergeCell ref="Q30:Q31"/>
    <mergeCell ref="R30:R31"/>
    <mergeCell ref="S30:S31"/>
    <mergeCell ref="M32:M33"/>
    <mergeCell ref="N32:N33"/>
    <mergeCell ref="O32:O33"/>
    <mergeCell ref="P32:P33"/>
    <mergeCell ref="Q32:Q33"/>
    <mergeCell ref="R32:R33"/>
    <mergeCell ref="S32:S33"/>
    <mergeCell ref="P24:P25"/>
    <mergeCell ref="M26:M27"/>
    <mergeCell ref="N26:N27"/>
    <mergeCell ref="O26:O27"/>
    <mergeCell ref="P26:P27"/>
    <mergeCell ref="Q26:Q27"/>
    <mergeCell ref="R26:R27"/>
    <mergeCell ref="S26:S27"/>
    <mergeCell ref="M28:M29"/>
    <mergeCell ref="N28:N29"/>
    <mergeCell ref="O28:O29"/>
    <mergeCell ref="P28:P29"/>
    <mergeCell ref="Q28:Q29"/>
    <mergeCell ref="R28:R29"/>
    <mergeCell ref="S28:S29"/>
    <mergeCell ref="M19:M20"/>
    <mergeCell ref="N19:N20"/>
    <mergeCell ref="O19:O20"/>
    <mergeCell ref="M21:M22"/>
    <mergeCell ref="N21:N22"/>
    <mergeCell ref="O21:O22"/>
    <mergeCell ref="M23:M24"/>
    <mergeCell ref="N23:N24"/>
    <mergeCell ref="O23:O24"/>
    <mergeCell ref="M13:M14"/>
    <mergeCell ref="N13:N14"/>
    <mergeCell ref="O13:O14"/>
    <mergeCell ref="M15:M16"/>
    <mergeCell ref="N15:N16"/>
    <mergeCell ref="O15:O16"/>
    <mergeCell ref="M17:M18"/>
    <mergeCell ref="N17:N18"/>
    <mergeCell ref="O17:O18"/>
    <mergeCell ref="M7:M8"/>
    <mergeCell ref="N7:N8"/>
    <mergeCell ref="O7:O8"/>
    <mergeCell ref="M9:M10"/>
    <mergeCell ref="N9:N10"/>
    <mergeCell ref="O9:O10"/>
    <mergeCell ref="M11:M12"/>
    <mergeCell ref="N11:N12"/>
    <mergeCell ref="O11:O12"/>
    <mergeCell ref="M1:M2"/>
    <mergeCell ref="N1:N2"/>
    <mergeCell ref="O1:O2"/>
    <mergeCell ref="M3:M4"/>
    <mergeCell ref="N3:N4"/>
    <mergeCell ref="O3:O4"/>
    <mergeCell ref="M5:M6"/>
    <mergeCell ref="N5:N6"/>
    <mergeCell ref="O5:O6"/>
  </mergeCells>
  <pageMargins left="0.7" right="0.7" top="0.75" bottom="0.75" header="0.3" footer="0.3"/>
  <pageSetup paperSize="9" firstPageNumber="2147483648"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0"/>
  </sheetPr>
  <dimension ref="A1:AS12"/>
  <sheetViews>
    <sheetView zoomScale="60" workbookViewId="0">
      <selection activeCell="E30" sqref="E30"/>
    </sheetView>
  </sheetViews>
  <sheetFormatPr defaultColWidth="9.109375" defaultRowHeight="13.8" x14ac:dyDescent="0.3"/>
  <cols>
    <col min="1" max="1" width="18.33203125" style="184" customWidth="1"/>
    <col min="2" max="2" width="12.88671875" style="183" customWidth="1"/>
    <col min="3" max="3" width="12.44140625" style="183" customWidth="1"/>
    <col min="4" max="4" width="13.88671875" style="183" customWidth="1"/>
    <col min="5" max="5" width="13.5546875" style="183" customWidth="1"/>
    <col min="6" max="6" width="13.33203125" style="183" customWidth="1"/>
    <col min="7" max="7" width="13.109375" style="183" customWidth="1"/>
    <col min="8" max="8" width="14" style="183" customWidth="1"/>
    <col min="9" max="9" width="13.88671875" style="183" customWidth="1"/>
    <col min="10" max="10" width="13.44140625" style="183" customWidth="1"/>
    <col min="11" max="11" width="15.6640625" style="183" customWidth="1"/>
    <col min="12" max="12" width="14.6640625" style="183" customWidth="1"/>
    <col min="13" max="13" width="13.88671875" style="183" customWidth="1"/>
    <col min="14" max="14" width="13.5546875" style="183" customWidth="1"/>
    <col min="15" max="15" width="13.33203125" style="183" customWidth="1"/>
    <col min="16" max="16" width="13.44140625" style="183" customWidth="1"/>
    <col min="17" max="17" width="12.5546875" style="183" customWidth="1"/>
    <col min="18" max="18" width="12.6640625" style="183" customWidth="1"/>
    <col min="19" max="19" width="13.109375" style="183" customWidth="1"/>
    <col min="20" max="20" width="16.44140625" style="183" customWidth="1"/>
    <col min="21" max="21" width="13.5546875" style="183" customWidth="1"/>
    <col min="22" max="22" width="14.6640625" style="183" customWidth="1"/>
    <col min="23" max="23" width="13.33203125" style="183" customWidth="1"/>
    <col min="24" max="24" width="12.88671875" style="183" customWidth="1"/>
    <col min="25" max="25" width="13.109375" style="183" customWidth="1"/>
    <col min="26" max="26" width="14.33203125" style="183" customWidth="1"/>
    <col min="27" max="27" width="13.5546875" style="183" customWidth="1"/>
    <col min="28" max="29" width="14.109375" style="183" customWidth="1"/>
    <col min="30" max="30" width="14.33203125" style="183" customWidth="1"/>
    <col min="31" max="31" width="15.44140625" style="183" customWidth="1"/>
    <col min="32" max="32" width="14.5546875" style="183" customWidth="1"/>
    <col min="33" max="33" width="13.5546875" style="183" customWidth="1"/>
    <col min="34" max="34" width="15.109375" style="183" customWidth="1"/>
    <col min="35" max="35" width="15.6640625" style="183" customWidth="1"/>
    <col min="36" max="36" width="13.88671875" style="183" customWidth="1"/>
    <col min="37" max="37" width="14.5546875" style="183" customWidth="1"/>
    <col min="38" max="38" width="12.5546875" style="183" customWidth="1"/>
    <col min="39" max="16384" width="9.109375" style="183"/>
  </cols>
  <sheetData>
    <row r="1" spans="1:45" s="464" customFormat="1" ht="27.6" x14ac:dyDescent="0.3">
      <c r="A1" s="352" t="s">
        <v>205</v>
      </c>
      <c r="B1" s="351" t="str">
        <f>'выручка по кв и годам'!D1</f>
        <v>I кв. 1 г.</v>
      </c>
      <c r="C1" s="351" t="str">
        <f>'выручка по кв и годам'!E1</f>
        <v>II кв. 1 г.</v>
      </c>
      <c r="D1" s="351" t="str">
        <f>'выручка по кв и годам'!F1</f>
        <v>III кв. 1 г.</v>
      </c>
      <c r="E1" s="351" t="str">
        <f>'выручка по кв и годам'!G1</f>
        <v>IV кв. 1 г.</v>
      </c>
      <c r="F1" s="351" t="str">
        <f>'выручка по кв и годам'!H1</f>
        <v>I кв. 2 г.</v>
      </c>
      <c r="G1" s="351" t="str">
        <f>'выручка по кв и годам'!I1</f>
        <v>II кв. 2 г.</v>
      </c>
      <c r="H1" s="351" t="str">
        <f>'выручка по кв и годам'!J1</f>
        <v>III кв. 2 г.</v>
      </c>
      <c r="I1" s="351" t="str">
        <f>'выручка по кв и годам'!K1</f>
        <v>IV кв. 2 г.</v>
      </c>
      <c r="J1" s="351" t="str">
        <f>'выручка по кв и годам'!L1</f>
        <v>I кв. 3 г.</v>
      </c>
      <c r="K1" s="351" t="str">
        <f>'выручка по кв и годам'!M1</f>
        <v>II кв. 3 г.</v>
      </c>
      <c r="L1" s="351" t="str">
        <f>'выручка по кв и годам'!N1</f>
        <v>III кв. 3 г.</v>
      </c>
      <c r="M1" s="351" t="str">
        <f>'выручка по кв и годам'!O1</f>
        <v>IV кв. 3 г.</v>
      </c>
      <c r="N1" s="351" t="str">
        <f>'выручка по кв и годам'!P1</f>
        <v>I кв. 4 г.</v>
      </c>
      <c r="O1" s="351" t="str">
        <f>'выручка по кв и годам'!Q1</f>
        <v>II кв. 4 г.</v>
      </c>
      <c r="P1" s="351" t="str">
        <f>'выручка по кв и годам'!R1</f>
        <v>III кв. 4 г.</v>
      </c>
      <c r="Q1" s="351" t="str">
        <f>'выручка по кв и годам'!S1</f>
        <v>IV кв. 4 г.</v>
      </c>
      <c r="R1" s="351" t="str">
        <f>'выручка по кв и годам'!T1</f>
        <v>I кв. 5 г.</v>
      </c>
      <c r="S1" s="351" t="str">
        <f>'выручка по кв и годам'!U1</f>
        <v>II кв. 5 г.</v>
      </c>
      <c r="T1" s="351" t="str">
        <f>'выручка по кв и годам'!V1</f>
        <v>III кв. 5 г.</v>
      </c>
      <c r="U1" s="351" t="str">
        <f>'выручка по кв и годам'!W1</f>
        <v>IV кв. 5 г.</v>
      </c>
      <c r="V1" s="351" t="str">
        <f>'выручка по кв и годам'!X1</f>
        <v>I кв. 6 г.</v>
      </c>
      <c r="W1" s="351" t="str">
        <f>'выручка по кв и годам'!Y1</f>
        <v>II кв. 6 г.</v>
      </c>
      <c r="X1" s="351" t="str">
        <f>'выручка по кв и годам'!Z1</f>
        <v>III кв. 6 г.</v>
      </c>
      <c r="Y1" s="351" t="str">
        <f>'выручка по кв и годам'!AA1</f>
        <v>IV кв. 6 г.</v>
      </c>
      <c r="Z1" s="351" t="str">
        <f>'выручка по кв и годам'!AB1</f>
        <v>I кв. 7 г.</v>
      </c>
      <c r="AA1" s="351" t="str">
        <f>'выручка по кв и годам'!AC1</f>
        <v>II кв. 7 г.</v>
      </c>
      <c r="AB1" s="351" t="str">
        <f>'выручка по кв и годам'!AD1</f>
        <v>III кв. 7 г.</v>
      </c>
      <c r="AC1" s="351" t="str">
        <f>'выручка по кв и годам'!AE1</f>
        <v>IV кв. 7 г.</v>
      </c>
      <c r="AD1" s="351" t="str">
        <f>'выручка по кв и годам'!AF1</f>
        <v>I кв. 8 г.</v>
      </c>
      <c r="AE1" s="351" t="str">
        <f>'выручка по кв и годам'!AG1</f>
        <v>II кв. 8 г.</v>
      </c>
      <c r="AF1" s="351" t="str">
        <f>'выручка по кв и годам'!AH1</f>
        <v>III кв. 8 г.</v>
      </c>
      <c r="AG1" s="351" t="str">
        <f>'выручка по кв и годам'!AI1</f>
        <v>IV кв. 8 г.</v>
      </c>
      <c r="AH1" s="351" t="str">
        <f>'выручка по кв и годам'!AJ1</f>
        <v>I кв. 9 г.</v>
      </c>
      <c r="AI1" s="351" t="str">
        <f>'выручка по кв и годам'!AK1</f>
        <v>II кв. 9 г.</v>
      </c>
      <c r="AJ1" s="351" t="str">
        <f>'выручка по кв и годам'!AL1</f>
        <v>III кв. 9 г.</v>
      </c>
      <c r="AK1" s="351" t="str">
        <f>'выручка по кв и годам'!AM1</f>
        <v>IV кв. 9 г.</v>
      </c>
      <c r="AL1" s="351" t="str">
        <f>'выручка по кв и годам'!AN1</f>
        <v>I кв. 10 г.</v>
      </c>
      <c r="AM1" s="351" t="str">
        <f>'выручка по кв и годам'!AO1</f>
        <v>II кв. 10 г.</v>
      </c>
      <c r="AN1" s="351" t="str">
        <f>'выручка по кв и годам'!AP1</f>
        <v>III кв. 10 г.</v>
      </c>
      <c r="AO1" s="351" t="str">
        <f>'выручка по кв и годам'!AQ1</f>
        <v>IV кв. 10 г.</v>
      </c>
      <c r="AP1" s="351" t="str">
        <f>'выручка по кв и годам'!AR1</f>
        <v>I кв. 11 г.</v>
      </c>
      <c r="AQ1" s="351" t="str">
        <f>'выручка по кв и годам'!AS1</f>
        <v>II кв. 11 г.</v>
      </c>
      <c r="AR1" s="351" t="str">
        <f>'выручка по кв и годам'!AT1</f>
        <v>III кв. 11 г.</v>
      </c>
      <c r="AS1" s="351" t="str">
        <f>'выручка по кв и годам'!AU1</f>
        <v>IV кв. 11 г.</v>
      </c>
    </row>
    <row r="2" spans="1:45" ht="45.75" customHeight="1" x14ac:dyDescent="0.3">
      <c r="A2" s="185" t="s">
        <v>213</v>
      </c>
      <c r="B2" s="187"/>
      <c r="C2" s="187"/>
      <c r="D2" s="188">
        <f>займ!B2</f>
        <v>25500</v>
      </c>
      <c r="E2" s="187"/>
      <c r="F2" s="187"/>
      <c r="G2" s="187"/>
      <c r="H2" s="187"/>
      <c r="I2" s="187"/>
      <c r="J2" s="187"/>
      <c r="K2" s="187"/>
      <c r="L2" s="187"/>
      <c r="M2" s="187"/>
      <c r="N2" s="187"/>
      <c r="O2" s="187"/>
      <c r="P2" s="189"/>
      <c r="Q2" s="187"/>
      <c r="R2" s="187"/>
      <c r="S2" s="187"/>
      <c r="T2" s="187"/>
      <c r="U2" s="187"/>
      <c r="V2" s="187"/>
      <c r="W2" s="187"/>
      <c r="X2" s="187"/>
      <c r="Y2" s="187"/>
      <c r="Z2" s="187"/>
      <c r="AA2" s="187"/>
      <c r="AB2" s="187"/>
      <c r="AC2" s="187"/>
      <c r="AD2" s="187"/>
      <c r="AE2" s="187"/>
      <c r="AF2" s="187"/>
      <c r="AG2" s="187"/>
      <c r="AH2" s="187"/>
      <c r="AI2" s="187"/>
      <c r="AJ2" s="187"/>
      <c r="AK2" s="187"/>
      <c r="AL2" s="187"/>
      <c r="AM2" s="187"/>
      <c r="AN2" s="187"/>
      <c r="AO2" s="187"/>
      <c r="AP2" s="187"/>
      <c r="AQ2" s="187"/>
      <c r="AR2" s="187"/>
      <c r="AS2" s="187"/>
    </row>
    <row r="3" spans="1:45" ht="21" customHeight="1" x14ac:dyDescent="0.3">
      <c r="A3" s="185" t="s">
        <v>214</v>
      </c>
      <c r="B3" s="190"/>
      <c r="C3" s="190"/>
      <c r="D3" s="190">
        <f>займ!B3</f>
        <v>0.18</v>
      </c>
      <c r="E3" s="190">
        <f>D3</f>
        <v>0.18</v>
      </c>
      <c r="F3" s="190">
        <f t="shared" ref="F3:O3" si="0">E3</f>
        <v>0.18</v>
      </c>
      <c r="G3" s="190">
        <f t="shared" si="0"/>
        <v>0.18</v>
      </c>
      <c r="H3" s="190">
        <f t="shared" si="0"/>
        <v>0.18</v>
      </c>
      <c r="I3" s="190">
        <f t="shared" si="0"/>
        <v>0.18</v>
      </c>
      <c r="J3" s="190">
        <f t="shared" si="0"/>
        <v>0.18</v>
      </c>
      <c r="K3" s="190">
        <f t="shared" si="0"/>
        <v>0.18</v>
      </c>
      <c r="L3" s="190">
        <f t="shared" si="0"/>
        <v>0.18</v>
      </c>
      <c r="M3" s="190">
        <f t="shared" si="0"/>
        <v>0.18</v>
      </c>
      <c r="N3" s="190">
        <f t="shared" si="0"/>
        <v>0.18</v>
      </c>
      <c r="O3" s="190">
        <f t="shared" si="0"/>
        <v>0.18</v>
      </c>
      <c r="P3" s="190">
        <f>займ!B3</f>
        <v>0.18</v>
      </c>
      <c r="Q3" s="190">
        <f t="shared" ref="Q3:AL3" si="1">P3</f>
        <v>0.18</v>
      </c>
      <c r="R3" s="190">
        <f t="shared" si="1"/>
        <v>0.18</v>
      </c>
      <c r="S3" s="190">
        <f t="shared" si="1"/>
        <v>0.18</v>
      </c>
      <c r="T3" s="190">
        <f t="shared" si="1"/>
        <v>0.18</v>
      </c>
      <c r="U3" s="190">
        <f t="shared" si="1"/>
        <v>0.18</v>
      </c>
      <c r="V3" s="190">
        <f t="shared" si="1"/>
        <v>0.18</v>
      </c>
      <c r="W3" s="190">
        <f t="shared" si="1"/>
        <v>0.18</v>
      </c>
      <c r="X3" s="190">
        <f t="shared" si="1"/>
        <v>0.18</v>
      </c>
      <c r="Y3" s="190">
        <f t="shared" si="1"/>
        <v>0.18</v>
      </c>
      <c r="Z3" s="190">
        <f t="shared" si="1"/>
        <v>0.18</v>
      </c>
      <c r="AA3" s="190">
        <f t="shared" si="1"/>
        <v>0.18</v>
      </c>
      <c r="AB3" s="190">
        <f t="shared" si="1"/>
        <v>0.18</v>
      </c>
      <c r="AC3" s="190">
        <f t="shared" si="1"/>
        <v>0.18</v>
      </c>
      <c r="AD3" s="190">
        <f t="shared" si="1"/>
        <v>0.18</v>
      </c>
      <c r="AE3" s="190">
        <f t="shared" si="1"/>
        <v>0.18</v>
      </c>
      <c r="AF3" s="190">
        <f t="shared" si="1"/>
        <v>0.18</v>
      </c>
      <c r="AG3" s="190">
        <f t="shared" si="1"/>
        <v>0.18</v>
      </c>
      <c r="AH3" s="190">
        <f t="shared" si="1"/>
        <v>0.18</v>
      </c>
      <c r="AI3" s="190">
        <f t="shared" si="1"/>
        <v>0.18</v>
      </c>
      <c r="AJ3" s="190">
        <f t="shared" si="1"/>
        <v>0.18</v>
      </c>
      <c r="AK3" s="190">
        <f t="shared" si="1"/>
        <v>0.18</v>
      </c>
      <c r="AL3" s="190">
        <f t="shared" si="1"/>
        <v>0.18</v>
      </c>
      <c r="AM3" s="190">
        <f t="shared" ref="AM3:AS3" si="2">AL3</f>
        <v>0.18</v>
      </c>
      <c r="AN3" s="190">
        <f t="shared" si="2"/>
        <v>0.18</v>
      </c>
      <c r="AO3" s="190">
        <f t="shared" si="2"/>
        <v>0.18</v>
      </c>
      <c r="AP3" s="190">
        <f t="shared" si="2"/>
        <v>0.18</v>
      </c>
      <c r="AQ3" s="190">
        <f t="shared" si="2"/>
        <v>0.18</v>
      </c>
      <c r="AR3" s="190">
        <f t="shared" si="2"/>
        <v>0.18</v>
      </c>
      <c r="AS3" s="190">
        <f t="shared" si="2"/>
        <v>0.18</v>
      </c>
    </row>
    <row r="4" spans="1:45" ht="50.25" customHeight="1" x14ac:dyDescent="0.3">
      <c r="A4" s="185" t="s">
        <v>215</v>
      </c>
      <c r="B4" s="191"/>
      <c r="C4" s="191"/>
      <c r="D4" s="189">
        <f>займ!J9</f>
        <v>382.5</v>
      </c>
      <c r="E4" s="189">
        <f>займ!J10</f>
        <v>1123.4076604109846</v>
      </c>
      <c r="F4" s="189">
        <f>займ!J13</f>
        <v>1085.988413508976</v>
      </c>
      <c r="G4" s="189">
        <f>займ!J16</f>
        <v>1046.8599162147598</v>
      </c>
      <c r="H4" s="189">
        <f>займ!J19</f>
        <v>1005.944092747952</v>
      </c>
      <c r="I4" s="189">
        <f>займ!J22</f>
        <v>963.15930095339354</v>
      </c>
      <c r="J4" s="189">
        <f>займ!J25</f>
        <v>918.42016939494647</v>
      </c>
      <c r="K4" s="189">
        <f>займ!J28</f>
        <v>871.63742700799821</v>
      </c>
      <c r="L4" s="189">
        <f>займ!J31</f>
        <v>822.7177249707704</v>
      </c>
      <c r="M4" s="189">
        <f>займ!J34</f>
        <v>771.56345043899796</v>
      </c>
      <c r="N4" s="189">
        <f>займ!J37</f>
        <v>718.07253177231019</v>
      </c>
      <c r="O4" s="189">
        <f>займ!J40</f>
        <v>662.13823486367096</v>
      </c>
      <c r="P4" s="189">
        <f>займ!J43</f>
        <v>603.64895016547769</v>
      </c>
      <c r="Q4" s="189">
        <f>займ!J46</f>
        <v>542.48796998735861</v>
      </c>
      <c r="R4" s="189">
        <f>займ!J49</f>
        <v>478.53325562129567</v>
      </c>
      <c r="S4" s="189">
        <f>займ!J52</f>
        <v>411.65719382940188</v>
      </c>
      <c r="T4" s="189">
        <f>займ!J55</f>
        <v>341.72634220845475</v>
      </c>
      <c r="U4" s="189">
        <f>займ!J58</f>
        <v>268.60116292309669</v>
      </c>
      <c r="V4" s="189">
        <f>займ!J61</f>
        <v>192.13574427639981</v>
      </c>
      <c r="W4" s="189">
        <f>займ!J64</f>
        <v>112.1775095622271</v>
      </c>
      <c r="X4" s="189">
        <f>займ!J67</f>
        <v>28.566912618442039</v>
      </c>
      <c r="Y4" s="189"/>
      <c r="Z4" s="189"/>
      <c r="AA4" s="189"/>
      <c r="AB4" s="189"/>
      <c r="AC4" s="189"/>
      <c r="AD4" s="189"/>
      <c r="AE4" s="189"/>
      <c r="AF4" s="189"/>
      <c r="AG4" s="189"/>
      <c r="AH4" s="189"/>
      <c r="AI4" s="189"/>
      <c r="AJ4" s="189"/>
      <c r="AK4" s="189"/>
      <c r="AL4" s="189"/>
      <c r="AM4" s="189"/>
      <c r="AN4" s="189"/>
      <c r="AO4" s="189"/>
      <c r="AP4" s="189"/>
      <c r="AQ4" s="189"/>
      <c r="AR4" s="189"/>
      <c r="AS4" s="189"/>
    </row>
    <row r="5" spans="1:45" ht="40.5" customHeight="1" x14ac:dyDescent="0.3">
      <c r="A5" s="185" t="s">
        <v>216</v>
      </c>
      <c r="B5" s="188"/>
      <c r="C5" s="188"/>
      <c r="D5" s="188">
        <f>займ!K9</f>
        <v>265.03239939128161</v>
      </c>
      <c r="E5" s="188">
        <f>займ!K10</f>
        <v>819.18953776286025</v>
      </c>
      <c r="F5" s="188">
        <f>займ!K13</f>
        <v>856.60878466486895</v>
      </c>
      <c r="G5" s="188">
        <f>займ!K16</f>
        <v>895.73728195908518</v>
      </c>
      <c r="H5" s="188">
        <f>займ!K19</f>
        <v>936.65310542589282</v>
      </c>
      <c r="I5" s="188">
        <f>займ!K22</f>
        <v>979.4378972204513</v>
      </c>
      <c r="J5" s="188">
        <f>займ!K25</f>
        <v>1024.1770287788984</v>
      </c>
      <c r="K5" s="188">
        <f>займ!K28</f>
        <v>1070.9597711658466</v>
      </c>
      <c r="L5" s="188">
        <f>займ!K31</f>
        <v>1119.8794732030744</v>
      </c>
      <c r="M5" s="188">
        <f>займ!K34</f>
        <v>1171.0337477348469</v>
      </c>
      <c r="N5" s="188">
        <f>займ!K37</f>
        <v>1224.5246664015347</v>
      </c>
      <c r="O5" s="188">
        <f>займ!K40</f>
        <v>1280.4589633101739</v>
      </c>
      <c r="P5" s="188">
        <f>займ!K43</f>
        <v>1338.948248008367</v>
      </c>
      <c r="Q5" s="188">
        <f>займ!K46</f>
        <v>1400.1092281864862</v>
      </c>
      <c r="R5" s="188">
        <f>займ!K49</f>
        <v>1464.0639425525492</v>
      </c>
      <c r="S5" s="188">
        <f>займ!K52</f>
        <v>1530.940004344443</v>
      </c>
      <c r="T5" s="188">
        <f>займ!K55</f>
        <v>1600.8708559653901</v>
      </c>
      <c r="U5" s="188">
        <f>займ!K58</f>
        <v>1673.9960352507483</v>
      </c>
      <c r="V5" s="188">
        <f>займ!K61</f>
        <v>1750.4614538974452</v>
      </c>
      <c r="W5" s="192">
        <f>займ!K64</f>
        <v>1830.4196886116179</v>
      </c>
      <c r="X5" s="192">
        <f>займ!K67</f>
        <v>1266.4978861641207</v>
      </c>
      <c r="Y5" s="193"/>
      <c r="Z5" s="193"/>
      <c r="AA5" s="193"/>
      <c r="AB5" s="193"/>
      <c r="AC5" s="193"/>
      <c r="AD5" s="193"/>
      <c r="AE5" s="193"/>
      <c r="AF5" s="193"/>
      <c r="AG5" s="193"/>
      <c r="AH5" s="193"/>
      <c r="AI5" s="193"/>
      <c r="AJ5" s="193"/>
      <c r="AK5" s="193"/>
      <c r="AL5" s="193"/>
      <c r="AM5" s="193"/>
      <c r="AN5" s="193"/>
      <c r="AO5" s="193"/>
      <c r="AP5" s="193"/>
      <c r="AQ5" s="193"/>
      <c r="AR5" s="193"/>
      <c r="AS5" s="193"/>
    </row>
    <row r="6" spans="1:45" s="463" customFormat="1" ht="27.6" x14ac:dyDescent="0.3">
      <c r="A6" s="460" t="s">
        <v>217</v>
      </c>
      <c r="B6" s="461"/>
      <c r="C6" s="461"/>
      <c r="D6" s="461">
        <f t="shared" ref="D6:X6" si="3">D4+D5</f>
        <v>647.53239939128161</v>
      </c>
      <c r="E6" s="461">
        <f t="shared" si="3"/>
        <v>1942.5971981738448</v>
      </c>
      <c r="F6" s="461">
        <f t="shared" si="3"/>
        <v>1942.5971981738448</v>
      </c>
      <c r="G6" s="461">
        <f t="shared" si="3"/>
        <v>1942.5971981738448</v>
      </c>
      <c r="H6" s="461">
        <f t="shared" si="3"/>
        <v>1942.5971981738448</v>
      </c>
      <c r="I6" s="461">
        <f t="shared" si="3"/>
        <v>1942.5971981738448</v>
      </c>
      <c r="J6" s="461">
        <f t="shared" si="3"/>
        <v>1942.5971981738448</v>
      </c>
      <c r="K6" s="461">
        <f t="shared" si="3"/>
        <v>1942.5971981738448</v>
      </c>
      <c r="L6" s="461">
        <f t="shared" si="3"/>
        <v>1942.5971981738448</v>
      </c>
      <c r="M6" s="461">
        <f t="shared" si="3"/>
        <v>1942.5971981738448</v>
      </c>
      <c r="N6" s="461">
        <f t="shared" si="3"/>
        <v>1942.5971981738448</v>
      </c>
      <c r="O6" s="461">
        <f t="shared" si="3"/>
        <v>1942.5971981738448</v>
      </c>
      <c r="P6" s="461">
        <f t="shared" si="3"/>
        <v>1942.5971981738448</v>
      </c>
      <c r="Q6" s="461">
        <f t="shared" si="3"/>
        <v>1942.5971981738448</v>
      </c>
      <c r="R6" s="461">
        <f t="shared" si="3"/>
        <v>1942.5971981738448</v>
      </c>
      <c r="S6" s="461">
        <f t="shared" si="3"/>
        <v>1942.5971981738448</v>
      </c>
      <c r="T6" s="461">
        <f t="shared" si="3"/>
        <v>1942.5971981738448</v>
      </c>
      <c r="U6" s="461">
        <f t="shared" si="3"/>
        <v>1942.5971981738448</v>
      </c>
      <c r="V6" s="461">
        <f t="shared" si="3"/>
        <v>1942.5971981738448</v>
      </c>
      <c r="W6" s="461">
        <f t="shared" si="3"/>
        <v>1942.5971981738448</v>
      </c>
      <c r="X6" s="461">
        <f t="shared" si="3"/>
        <v>1295.0647987825628</v>
      </c>
      <c r="Y6" s="462"/>
      <c r="Z6" s="462"/>
      <c r="AA6" s="462"/>
      <c r="AB6" s="462"/>
      <c r="AC6" s="462"/>
      <c r="AD6" s="462"/>
      <c r="AE6" s="462"/>
      <c r="AF6" s="462"/>
      <c r="AG6" s="462"/>
      <c r="AH6" s="462"/>
      <c r="AI6" s="462"/>
      <c r="AJ6" s="462"/>
      <c r="AK6" s="462"/>
      <c r="AL6" s="462"/>
      <c r="AM6" s="462"/>
      <c r="AN6" s="462"/>
      <c r="AO6" s="462"/>
      <c r="AP6" s="462"/>
      <c r="AQ6" s="462"/>
      <c r="AR6" s="462"/>
      <c r="AS6" s="462"/>
    </row>
    <row r="7" spans="1:45" ht="27.6" x14ac:dyDescent="0.3">
      <c r="A7" s="185" t="s">
        <v>218</v>
      </c>
      <c r="B7" s="189"/>
      <c r="C7" s="189"/>
      <c r="D7" s="189">
        <f>D2-D5</f>
        <v>25234.967600608717</v>
      </c>
      <c r="E7" s="189">
        <f>D7-E5</f>
        <v>24415.778062845857</v>
      </c>
      <c r="F7" s="189">
        <f t="shared" ref="F7:X7" si="4">E7-F5</f>
        <v>23559.169278180987</v>
      </c>
      <c r="G7" s="189">
        <f t="shared" si="4"/>
        <v>22663.431996221901</v>
      </c>
      <c r="H7" s="189">
        <f t="shared" si="4"/>
        <v>21726.778890796009</v>
      </c>
      <c r="I7" s="189">
        <f t="shared" si="4"/>
        <v>20747.340993575559</v>
      </c>
      <c r="J7" s="189">
        <f t="shared" si="4"/>
        <v>19723.163964796662</v>
      </c>
      <c r="K7" s="189">
        <f t="shared" si="4"/>
        <v>18652.204193630816</v>
      </c>
      <c r="L7" s="189">
        <f t="shared" si="4"/>
        <v>17532.324720427743</v>
      </c>
      <c r="M7" s="189">
        <f t="shared" si="4"/>
        <v>16361.290972692896</v>
      </c>
      <c r="N7" s="189">
        <f t="shared" si="4"/>
        <v>15136.766306291362</v>
      </c>
      <c r="O7" s="189">
        <f t="shared" si="4"/>
        <v>13856.307342981188</v>
      </c>
      <c r="P7" s="189">
        <f t="shared" si="4"/>
        <v>12517.35909497282</v>
      </c>
      <c r="Q7" s="189">
        <f t="shared" si="4"/>
        <v>11117.249866786335</v>
      </c>
      <c r="R7" s="189">
        <f t="shared" si="4"/>
        <v>9653.185924233785</v>
      </c>
      <c r="S7" s="189">
        <f t="shared" si="4"/>
        <v>8122.2459198893421</v>
      </c>
      <c r="T7" s="189">
        <f t="shared" si="4"/>
        <v>6521.3750639239515</v>
      </c>
      <c r="U7" s="189">
        <f t="shared" si="4"/>
        <v>4847.3790286732037</v>
      </c>
      <c r="V7" s="189">
        <f t="shared" si="4"/>
        <v>3096.9175747757586</v>
      </c>
      <c r="W7" s="189">
        <f t="shared" si="4"/>
        <v>1266.4978861641407</v>
      </c>
      <c r="X7" s="189">
        <f t="shared" si="4"/>
        <v>2.0008883439004421E-11</v>
      </c>
      <c r="Y7" s="189">
        <f t="shared" ref="Y7:AS7" si="5">X7-Y6</f>
        <v>2.0008883439004421E-11</v>
      </c>
      <c r="Z7" s="189">
        <f t="shared" si="5"/>
        <v>2.0008883439004421E-11</v>
      </c>
      <c r="AA7" s="189">
        <f t="shared" si="5"/>
        <v>2.0008883439004421E-11</v>
      </c>
      <c r="AB7" s="189">
        <f t="shared" si="5"/>
        <v>2.0008883439004421E-11</v>
      </c>
      <c r="AC7" s="189">
        <f t="shared" si="5"/>
        <v>2.0008883439004421E-11</v>
      </c>
      <c r="AD7" s="189">
        <f t="shared" si="5"/>
        <v>2.0008883439004421E-11</v>
      </c>
      <c r="AE7" s="189">
        <f t="shared" si="5"/>
        <v>2.0008883439004421E-11</v>
      </c>
      <c r="AF7" s="189">
        <f t="shared" si="5"/>
        <v>2.0008883439004421E-11</v>
      </c>
      <c r="AG7" s="189">
        <f t="shared" si="5"/>
        <v>2.0008883439004421E-11</v>
      </c>
      <c r="AH7" s="189">
        <f t="shared" si="5"/>
        <v>2.0008883439004421E-11</v>
      </c>
      <c r="AI7" s="189">
        <f t="shared" si="5"/>
        <v>2.0008883439004421E-11</v>
      </c>
      <c r="AJ7" s="189">
        <f t="shared" si="5"/>
        <v>2.0008883439004421E-11</v>
      </c>
      <c r="AK7" s="189">
        <f t="shared" si="5"/>
        <v>2.0008883439004421E-11</v>
      </c>
      <c r="AL7" s="189">
        <f t="shared" si="5"/>
        <v>2.0008883439004421E-11</v>
      </c>
      <c r="AM7" s="189">
        <f t="shared" si="5"/>
        <v>2.0008883439004421E-11</v>
      </c>
      <c r="AN7" s="189">
        <f t="shared" si="5"/>
        <v>2.0008883439004421E-11</v>
      </c>
      <c r="AO7" s="189">
        <f t="shared" si="5"/>
        <v>2.0008883439004421E-11</v>
      </c>
      <c r="AP7" s="189">
        <f t="shared" si="5"/>
        <v>2.0008883439004421E-11</v>
      </c>
      <c r="AQ7" s="189">
        <f t="shared" si="5"/>
        <v>2.0008883439004421E-11</v>
      </c>
      <c r="AR7" s="189">
        <f t="shared" si="5"/>
        <v>2.0008883439004421E-11</v>
      </c>
      <c r="AS7" s="189">
        <f t="shared" si="5"/>
        <v>2.0008883439004421E-11</v>
      </c>
    </row>
    <row r="10" spans="1:45" x14ac:dyDescent="0.3">
      <c r="D10" s="194"/>
      <c r="E10" s="194"/>
      <c r="F10" s="194"/>
      <c r="G10" s="194"/>
      <c r="H10" s="194"/>
      <c r="I10" s="194"/>
      <c r="J10" s="194"/>
      <c r="K10" s="194"/>
      <c r="L10" s="194"/>
      <c r="M10" s="194"/>
      <c r="N10" s="194"/>
      <c r="O10" s="194"/>
      <c r="P10" s="194"/>
      <c r="Q10" s="194"/>
      <c r="R10" s="194"/>
      <c r="S10" s="194"/>
      <c r="T10" s="194"/>
      <c r="U10" s="194"/>
      <c r="V10" s="194"/>
      <c r="W10" s="194"/>
      <c r="X10" s="194"/>
      <c r="Y10" s="194"/>
      <c r="Z10" s="194"/>
      <c r="AA10" s="194"/>
      <c r="AB10" s="194"/>
      <c r="AC10" s="194"/>
      <c r="AD10" s="194"/>
      <c r="AE10" s="194"/>
      <c r="AF10" s="194"/>
      <c r="AG10" s="194"/>
      <c r="AH10" s="194"/>
      <c r="AI10" s="194"/>
      <c r="AJ10" s="194"/>
      <c r="AK10" s="194"/>
      <c r="AL10" s="194"/>
      <c r="AM10" s="194"/>
    </row>
    <row r="12" spans="1:45" x14ac:dyDescent="0.3">
      <c r="B12" s="195"/>
      <c r="C12" s="195"/>
      <c r="D12" s="195"/>
      <c r="E12" s="195"/>
      <c r="F12" s="195"/>
      <c r="G12" s="195"/>
      <c r="H12" s="195"/>
      <c r="I12" s="195"/>
      <c r="J12" s="195"/>
      <c r="K12" s="195"/>
      <c r="L12" s="195"/>
      <c r="M12" s="195"/>
      <c r="N12" s="195"/>
      <c r="O12" s="195"/>
      <c r="P12" s="195"/>
      <c r="Q12" s="195"/>
      <c r="R12" s="195"/>
      <c r="S12" s="195"/>
      <c r="T12" s="195"/>
      <c r="U12" s="195"/>
      <c r="V12" s="195"/>
      <c r="W12" s="195"/>
      <c r="X12" s="195"/>
      <c r="Y12" s="195"/>
      <c r="Z12" s="195"/>
      <c r="AA12" s="195"/>
      <c r="AB12" s="195"/>
      <c r="AC12" s="195"/>
      <c r="AD12" s="195"/>
      <c r="AE12" s="195"/>
      <c r="AF12" s="195"/>
      <c r="AG12" s="195"/>
      <c r="AH12" s="195"/>
      <c r="AI12" s="195"/>
      <c r="AJ12" s="195"/>
      <c r="AK12" s="195"/>
      <c r="AL12" s="195"/>
      <c r="AM12" s="195"/>
      <c r="AN12" s="195"/>
      <c r="AO12" s="195"/>
    </row>
  </sheetData>
  <pageMargins left="0.7" right="0.7" top="0.75" bottom="0.75" header="0.3" footer="0.3"/>
  <pageSetup paperSize="9" firstPageNumber="2147483648"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AD71"/>
  <sheetViews>
    <sheetView zoomScale="70" workbookViewId="0">
      <pane xSplit="1" topLeftCell="B1" activePane="topRight" state="frozen"/>
      <selection activeCell="H66" sqref="H66"/>
      <selection pane="topRight" activeCell="B4" sqref="B4"/>
    </sheetView>
  </sheetViews>
  <sheetFormatPr defaultColWidth="9.109375" defaultRowHeight="14.4" x14ac:dyDescent="0.3"/>
  <cols>
    <col min="1" max="1" width="26.5546875" style="53" customWidth="1"/>
    <col min="2" max="2" width="19.5546875" style="54" customWidth="1"/>
    <col min="3" max="3" width="18.5546875" style="55" customWidth="1"/>
    <col min="4" max="4" width="30.109375" style="55" customWidth="1"/>
    <col min="5" max="5" width="21" style="55" customWidth="1"/>
    <col min="6" max="6" width="19.5546875" style="55" customWidth="1"/>
    <col min="7" max="7" width="26" style="55" customWidth="1"/>
    <col min="8" max="8" width="23.44140625" customWidth="1"/>
    <col min="9" max="9" width="24.88671875" style="196" customWidth="1"/>
    <col min="10" max="10" width="23.33203125" style="197" customWidth="1"/>
    <col min="11" max="11" width="25.5546875" style="198" customWidth="1"/>
    <col min="12" max="12" width="29.33203125" customWidth="1"/>
    <col min="13" max="13" width="12.88671875" customWidth="1"/>
    <col min="14" max="15" width="10.5546875" bestFit="1" customWidth="1"/>
    <col min="16" max="16" width="13.33203125" customWidth="1"/>
    <col min="17" max="22" width="10.5546875" bestFit="1" customWidth="1"/>
    <col min="23" max="23" width="11.5546875" customWidth="1"/>
    <col min="24" max="24" width="11.44140625" customWidth="1"/>
    <col min="26" max="30" width="13" style="55" customWidth="1"/>
    <col min="31" max="31" width="12.44140625" customWidth="1"/>
    <col min="32" max="32" width="10.6640625" customWidth="1"/>
  </cols>
  <sheetData>
    <row r="1" spans="1:12" ht="19.2" x14ac:dyDescent="0.3">
      <c r="A1" s="679" t="s">
        <v>219</v>
      </c>
      <c r="B1" s="680"/>
      <c r="C1" s="10"/>
      <c r="D1" s="10"/>
      <c r="E1" s="10"/>
      <c r="F1" s="10"/>
      <c r="G1" s="10"/>
      <c r="H1" s="10"/>
    </row>
    <row r="2" spans="1:12" ht="38.4" x14ac:dyDescent="0.3">
      <c r="A2" s="199" t="s">
        <v>220</v>
      </c>
      <c r="B2" s="200">
        <f>'Расходы на П, строит-во, ввод'!W17</f>
        <v>25500</v>
      </c>
      <c r="C2" s="10"/>
      <c r="D2" s="10"/>
      <c r="E2" s="10"/>
      <c r="F2" s="10"/>
      <c r="G2" s="10"/>
      <c r="H2" s="10"/>
    </row>
    <row r="3" spans="1:12" ht="19.2" x14ac:dyDescent="0.3">
      <c r="A3" s="199" t="s">
        <v>221</v>
      </c>
      <c r="B3" s="201">
        <v>0.18</v>
      </c>
      <c r="C3" s="10"/>
      <c r="D3" s="10"/>
      <c r="E3" s="10"/>
      <c r="F3" s="10"/>
      <c r="G3" s="10"/>
      <c r="H3" s="10"/>
    </row>
    <row r="4" spans="1:12" ht="19.2" x14ac:dyDescent="0.3">
      <c r="A4" s="199" t="s">
        <v>222</v>
      </c>
      <c r="B4" s="202">
        <v>60</v>
      </c>
      <c r="C4" s="10"/>
      <c r="D4" s="10"/>
      <c r="E4" s="10"/>
      <c r="F4" s="10"/>
      <c r="G4" s="10"/>
      <c r="H4" s="10"/>
    </row>
    <row r="5" spans="1:12" ht="19.2" x14ac:dyDescent="0.3">
      <c r="A5" s="199" t="s">
        <v>223</v>
      </c>
      <c r="B5" s="203">
        <f>E70-B2</f>
        <v>13351.943963476937</v>
      </c>
      <c r="C5" s="10"/>
      <c r="D5" s="10"/>
      <c r="E5" s="10"/>
      <c r="F5" s="10"/>
      <c r="G5" s="10"/>
      <c r="H5" s="10"/>
    </row>
    <row r="6" spans="1:12" x14ac:dyDescent="0.3">
      <c r="B6" s="11"/>
      <c r="C6" s="10"/>
      <c r="D6" s="10"/>
      <c r="E6" s="10"/>
      <c r="F6" s="10"/>
      <c r="G6" s="10"/>
      <c r="H6" s="10"/>
    </row>
    <row r="7" spans="1:12" x14ac:dyDescent="0.3">
      <c r="B7" s="11"/>
      <c r="C7" s="10"/>
      <c r="D7" s="10"/>
      <c r="E7" s="10"/>
      <c r="F7" s="10"/>
      <c r="G7" s="10"/>
      <c r="H7" s="10"/>
    </row>
    <row r="8" spans="1:12" ht="57.6" x14ac:dyDescent="0.3">
      <c r="A8" s="465" t="s">
        <v>224</v>
      </c>
      <c r="B8" s="465" t="s">
        <v>225</v>
      </c>
      <c r="C8" s="465" t="s">
        <v>226</v>
      </c>
      <c r="D8" s="465" t="s">
        <v>227</v>
      </c>
      <c r="E8" s="465" t="s">
        <v>228</v>
      </c>
      <c r="F8" s="465" t="s">
        <v>229</v>
      </c>
      <c r="G8" s="465" t="s">
        <v>230</v>
      </c>
      <c r="H8" s="465" t="s">
        <v>216</v>
      </c>
      <c r="I8" s="466" t="s">
        <v>231</v>
      </c>
      <c r="J8" s="467" t="str">
        <f t="shared" ref="J8:J9" si="0">C8</f>
        <v>Выплата процентов</v>
      </c>
      <c r="K8" s="468" t="str">
        <f t="shared" ref="K8:L9" si="1">D8</f>
        <v>Выплата осн.долга</v>
      </c>
      <c r="L8" s="469" t="str">
        <f t="shared" si="1"/>
        <v>Итоговый платеж</v>
      </c>
    </row>
    <row r="9" spans="1:12" ht="19.2" x14ac:dyDescent="0.3">
      <c r="A9" s="203">
        <v>1</v>
      </c>
      <c r="B9" s="204">
        <f>$B$2</f>
        <v>25500</v>
      </c>
      <c r="C9" s="204">
        <f>B9*($B$3/12)</f>
        <v>382.5</v>
      </c>
      <c r="D9" s="204">
        <f>E9-C9</f>
        <v>265.03239939128161</v>
      </c>
      <c r="E9" s="204">
        <f>-PMT(B3/12,B4,B2)</f>
        <v>647.53239939128161</v>
      </c>
      <c r="G9" s="204">
        <f>SUM(E9:E11)</f>
        <v>1942.5971981738448</v>
      </c>
      <c r="H9" s="204">
        <f>SUM(D9:D11)</f>
        <v>807.08328843631557</v>
      </c>
      <c r="I9" s="206">
        <v>9</v>
      </c>
      <c r="J9" s="207">
        <f t="shared" si="0"/>
        <v>382.5</v>
      </c>
      <c r="K9" s="207">
        <f t="shared" si="1"/>
        <v>265.03239939128161</v>
      </c>
      <c r="L9" s="205">
        <f>E9</f>
        <v>647.53239939128161</v>
      </c>
    </row>
    <row r="10" spans="1:12" ht="19.2" x14ac:dyDescent="0.3">
      <c r="A10" s="203">
        <f>A9+1</f>
        <v>2</v>
      </c>
      <c r="B10" s="204">
        <f>$B$2-D9</f>
        <v>25234.967600608717</v>
      </c>
      <c r="C10" s="204">
        <f t="shared" ref="C10:C69" si="2">B10*($B$3/12)</f>
        <v>378.52451400913077</v>
      </c>
      <c r="D10" s="204">
        <f t="shared" ref="D10:D70" si="3">E10-C10</f>
        <v>269.00788538215085</v>
      </c>
      <c r="E10" s="204">
        <f>E9</f>
        <v>647.53239939128161</v>
      </c>
      <c r="F10" s="204"/>
      <c r="G10" s="204"/>
      <c r="H10" s="204"/>
      <c r="I10" s="206">
        <f>I9+1</f>
        <v>10</v>
      </c>
      <c r="J10" s="681">
        <f>SUM(C10:C12)</f>
        <v>1123.4076604109846</v>
      </c>
      <c r="K10" s="681">
        <f>SUM(D10:D12)</f>
        <v>819.18953776286025</v>
      </c>
      <c r="L10" s="681">
        <f>SUM(E10:E12)</f>
        <v>1942.5971981738448</v>
      </c>
    </row>
    <row r="11" spans="1:12" ht="19.2" x14ac:dyDescent="0.3">
      <c r="A11" s="203">
        <f t="shared" ref="A11:A68" si="4">A10+1</f>
        <v>3</v>
      </c>
      <c r="B11" s="204">
        <f t="shared" ref="B11:B69" si="5">B10-D10</f>
        <v>24965.959715226567</v>
      </c>
      <c r="C11" s="204">
        <f t="shared" si="2"/>
        <v>374.48939572839851</v>
      </c>
      <c r="D11" s="204">
        <f t="shared" si="3"/>
        <v>273.04300366288311</v>
      </c>
      <c r="E11" s="204">
        <f t="shared" ref="E11:E68" si="6">E10</f>
        <v>647.53239939128161</v>
      </c>
      <c r="F11" s="204"/>
      <c r="G11" s="204"/>
      <c r="H11" s="204"/>
      <c r="I11" s="206">
        <f t="shared" ref="I11:I68" si="7">I10+1</f>
        <v>11</v>
      </c>
      <c r="J11" s="682"/>
      <c r="K11" s="682"/>
      <c r="L11" s="682"/>
    </row>
    <row r="12" spans="1:12" ht="19.2" x14ac:dyDescent="0.3">
      <c r="A12" s="203">
        <f t="shared" si="4"/>
        <v>4</v>
      </c>
      <c r="B12" s="204">
        <f t="shared" si="5"/>
        <v>24692.916711563685</v>
      </c>
      <c r="C12" s="204">
        <f t="shared" si="2"/>
        <v>370.39375067345526</v>
      </c>
      <c r="D12" s="204">
        <f t="shared" si="3"/>
        <v>277.13864871782636</v>
      </c>
      <c r="E12" s="204">
        <f t="shared" si="6"/>
        <v>647.53239939128161</v>
      </c>
      <c r="F12" s="204">
        <f>SUM(E9:E12)</f>
        <v>2590.1295975651265</v>
      </c>
      <c r="G12" s="204">
        <f t="shared" ref="G12:G66" si="8">SUM(E12:E14)</f>
        <v>1942.5971981738448</v>
      </c>
      <c r="H12" s="204">
        <f>SUM(D12:D14)</f>
        <v>843.94954154174275</v>
      </c>
      <c r="I12" s="206">
        <f t="shared" si="7"/>
        <v>12</v>
      </c>
      <c r="J12" s="683"/>
      <c r="K12" s="683"/>
      <c r="L12" s="683"/>
    </row>
    <row r="13" spans="1:12" ht="19.2" x14ac:dyDescent="0.3">
      <c r="A13" s="203">
        <f t="shared" si="4"/>
        <v>5</v>
      </c>
      <c r="B13" s="204">
        <f t="shared" si="5"/>
        <v>24415.778062845857</v>
      </c>
      <c r="C13" s="204">
        <f t="shared" si="2"/>
        <v>366.23667094268785</v>
      </c>
      <c r="D13" s="204">
        <f t="shared" si="3"/>
        <v>281.29572844859376</v>
      </c>
      <c r="E13" s="204">
        <f t="shared" si="6"/>
        <v>647.53239939128161</v>
      </c>
      <c r="F13" s="204"/>
      <c r="G13" s="204"/>
      <c r="H13" s="204"/>
      <c r="I13" s="206">
        <v>1</v>
      </c>
      <c r="J13" s="681">
        <f>SUM(C13:C15)</f>
        <v>1085.988413508976</v>
      </c>
      <c r="K13" s="681">
        <f>SUM(D13:D15)</f>
        <v>856.60878466486895</v>
      </c>
      <c r="L13" s="681">
        <f>SUM(E13:E15)</f>
        <v>1942.5971981738448</v>
      </c>
    </row>
    <row r="14" spans="1:12" ht="23.25" customHeight="1" x14ac:dyDescent="0.3">
      <c r="A14" s="203">
        <f t="shared" si="4"/>
        <v>6</v>
      </c>
      <c r="B14" s="204">
        <f t="shared" si="5"/>
        <v>24134.482334397264</v>
      </c>
      <c r="C14" s="204">
        <f t="shared" si="2"/>
        <v>362.01723501595893</v>
      </c>
      <c r="D14" s="204">
        <f t="shared" si="3"/>
        <v>285.51516437532268</v>
      </c>
      <c r="E14" s="204">
        <f t="shared" si="6"/>
        <v>647.53239939128161</v>
      </c>
      <c r="F14" s="204"/>
      <c r="G14" s="204"/>
      <c r="H14" s="204"/>
      <c r="I14" s="206">
        <f t="shared" si="7"/>
        <v>2</v>
      </c>
      <c r="J14" s="682"/>
      <c r="K14" s="682"/>
      <c r="L14" s="682"/>
    </row>
    <row r="15" spans="1:12" ht="19.2" x14ac:dyDescent="0.3">
      <c r="A15" s="203">
        <f t="shared" si="4"/>
        <v>7</v>
      </c>
      <c r="B15" s="204">
        <f t="shared" si="5"/>
        <v>23848.967170021941</v>
      </c>
      <c r="C15" s="204">
        <f t="shared" si="2"/>
        <v>357.73450755032911</v>
      </c>
      <c r="D15" s="204">
        <f t="shared" si="3"/>
        <v>289.7978918409525</v>
      </c>
      <c r="E15" s="204">
        <f t="shared" si="6"/>
        <v>647.53239939128161</v>
      </c>
      <c r="F15" s="204"/>
      <c r="G15" s="204">
        <f t="shared" si="8"/>
        <v>1942.5971981738448</v>
      </c>
      <c r="H15" s="204">
        <f>SUM(D15:D17)</f>
        <v>882.49978518136459</v>
      </c>
      <c r="I15" s="206">
        <f t="shared" si="7"/>
        <v>3</v>
      </c>
      <c r="J15" s="683"/>
      <c r="K15" s="683"/>
      <c r="L15" s="683"/>
    </row>
    <row r="16" spans="1:12" ht="19.2" x14ac:dyDescent="0.3">
      <c r="A16" s="203">
        <f t="shared" si="4"/>
        <v>8</v>
      </c>
      <c r="B16" s="204">
        <f t="shared" si="5"/>
        <v>23559.169278180987</v>
      </c>
      <c r="C16" s="204">
        <f t="shared" si="2"/>
        <v>353.38753917271481</v>
      </c>
      <c r="D16" s="204">
        <f t="shared" si="3"/>
        <v>294.14486021856681</v>
      </c>
      <c r="E16" s="204">
        <f t="shared" si="6"/>
        <v>647.53239939128161</v>
      </c>
      <c r="F16" s="204"/>
      <c r="G16" s="204"/>
      <c r="H16" s="204"/>
      <c r="I16" s="206">
        <f t="shared" si="7"/>
        <v>4</v>
      </c>
      <c r="J16" s="681">
        <f>SUM(C16:C18)</f>
        <v>1046.8599162147598</v>
      </c>
      <c r="K16" s="681">
        <f>SUM(D16:D18)</f>
        <v>895.73728195908518</v>
      </c>
      <c r="L16" s="681">
        <f>SUM(E16:E18)</f>
        <v>1942.5971981738448</v>
      </c>
    </row>
    <row r="17" spans="1:12" ht="19.2" x14ac:dyDescent="0.3">
      <c r="A17" s="203">
        <f t="shared" si="4"/>
        <v>9</v>
      </c>
      <c r="B17" s="204">
        <f t="shared" si="5"/>
        <v>23265.024417962421</v>
      </c>
      <c r="C17" s="204">
        <f t="shared" si="2"/>
        <v>348.97536626943628</v>
      </c>
      <c r="D17" s="204">
        <f t="shared" si="3"/>
        <v>298.55703312184534</v>
      </c>
      <c r="E17" s="204">
        <f t="shared" si="6"/>
        <v>647.53239939128161</v>
      </c>
      <c r="F17" s="204"/>
      <c r="G17" s="204"/>
      <c r="H17" s="204"/>
      <c r="I17" s="206">
        <f t="shared" si="7"/>
        <v>5</v>
      </c>
      <c r="J17" s="682"/>
      <c r="K17" s="682"/>
      <c r="L17" s="682"/>
    </row>
    <row r="18" spans="1:12" ht="19.2" x14ac:dyDescent="0.3">
      <c r="A18" s="203">
        <f t="shared" si="4"/>
        <v>10</v>
      </c>
      <c r="B18" s="204">
        <f t="shared" si="5"/>
        <v>22966.467384840576</v>
      </c>
      <c r="C18" s="204">
        <f t="shared" si="2"/>
        <v>344.49701077260863</v>
      </c>
      <c r="D18" s="204">
        <f t="shared" si="3"/>
        <v>303.03538861867298</v>
      </c>
      <c r="E18" s="204">
        <f t="shared" si="6"/>
        <v>647.53239939128161</v>
      </c>
      <c r="F18" s="204"/>
      <c r="G18" s="204">
        <f t="shared" si="8"/>
        <v>1942.5971981738448</v>
      </c>
      <c r="H18" s="204">
        <f>SUM(D18:D20)</f>
        <v>922.81094130629845</v>
      </c>
      <c r="I18" s="206">
        <f t="shared" si="7"/>
        <v>6</v>
      </c>
      <c r="J18" s="682"/>
      <c r="K18" s="683"/>
      <c r="L18" s="683"/>
    </row>
    <row r="19" spans="1:12" ht="19.2" x14ac:dyDescent="0.3">
      <c r="A19" s="203">
        <f t="shared" si="4"/>
        <v>11</v>
      </c>
      <c r="B19" s="204">
        <f t="shared" si="5"/>
        <v>22663.431996221905</v>
      </c>
      <c r="C19" s="204">
        <f t="shared" si="2"/>
        <v>339.95147994332854</v>
      </c>
      <c r="D19" s="204">
        <f t="shared" si="3"/>
        <v>307.58091944795308</v>
      </c>
      <c r="E19" s="204">
        <f t="shared" si="6"/>
        <v>647.53239939128161</v>
      </c>
      <c r="F19" s="204"/>
      <c r="G19" s="204"/>
      <c r="H19" s="204"/>
      <c r="I19" s="206">
        <f t="shared" si="7"/>
        <v>7</v>
      </c>
      <c r="J19" s="681">
        <f>SUM(C19:C21)</f>
        <v>1005.944092747952</v>
      </c>
      <c r="K19" s="681">
        <f>SUM(D19:D21)</f>
        <v>936.65310542589282</v>
      </c>
      <c r="L19" s="681">
        <f>SUM(E19:E21)</f>
        <v>1942.5971981738448</v>
      </c>
    </row>
    <row r="20" spans="1:12" ht="19.2" x14ac:dyDescent="0.3">
      <c r="A20" s="203">
        <f t="shared" si="4"/>
        <v>12</v>
      </c>
      <c r="B20" s="204">
        <f t="shared" si="5"/>
        <v>22355.851076773954</v>
      </c>
      <c r="C20" s="204">
        <f t="shared" si="2"/>
        <v>335.33776615160929</v>
      </c>
      <c r="D20" s="204">
        <f t="shared" si="3"/>
        <v>312.19463323967233</v>
      </c>
      <c r="E20" s="204">
        <f t="shared" si="6"/>
        <v>647.53239939128161</v>
      </c>
      <c r="F20" s="81"/>
      <c r="G20" s="204"/>
      <c r="H20" s="204"/>
      <c r="I20" s="206">
        <f t="shared" si="7"/>
        <v>8</v>
      </c>
      <c r="J20" s="682"/>
      <c r="K20" s="682"/>
      <c r="L20" s="682"/>
    </row>
    <row r="21" spans="1:12" ht="19.2" x14ac:dyDescent="0.3">
      <c r="A21" s="203">
        <v>1</v>
      </c>
      <c r="B21" s="204">
        <f t="shared" si="5"/>
        <v>22043.656443534281</v>
      </c>
      <c r="C21" s="204">
        <f t="shared" si="2"/>
        <v>330.6548466530142</v>
      </c>
      <c r="D21" s="204">
        <f t="shared" si="3"/>
        <v>316.87755273826741</v>
      </c>
      <c r="E21" s="204">
        <f t="shared" si="6"/>
        <v>647.53239939128161</v>
      </c>
      <c r="F21" s="81"/>
      <c r="G21" s="204">
        <f t="shared" si="8"/>
        <v>1942.5971981738448</v>
      </c>
      <c r="H21" s="204">
        <f t="shared" ref="H21:H66" si="9">SUM(D21:D23)</f>
        <v>964.96344553739027</v>
      </c>
      <c r="I21" s="206">
        <f t="shared" si="7"/>
        <v>9</v>
      </c>
      <c r="J21" s="683"/>
      <c r="K21" s="683"/>
      <c r="L21" s="683"/>
    </row>
    <row r="22" spans="1:12" ht="19.2" x14ac:dyDescent="0.3">
      <c r="A22" s="203">
        <f t="shared" si="4"/>
        <v>2</v>
      </c>
      <c r="B22" s="204">
        <f t="shared" si="5"/>
        <v>21726.778890796013</v>
      </c>
      <c r="C22" s="204">
        <f t="shared" si="2"/>
        <v>325.90168336194017</v>
      </c>
      <c r="D22" s="204">
        <f t="shared" si="3"/>
        <v>321.63071602934144</v>
      </c>
      <c r="E22" s="204">
        <f t="shared" si="6"/>
        <v>647.53239939128161</v>
      </c>
      <c r="F22" s="204"/>
      <c r="G22" s="204"/>
      <c r="H22" s="204"/>
      <c r="I22" s="206">
        <f t="shared" si="7"/>
        <v>10</v>
      </c>
      <c r="J22" s="681">
        <f>SUM(C22:C24)</f>
        <v>963.15930095339354</v>
      </c>
      <c r="K22" s="681">
        <f>SUM(D22:D24)</f>
        <v>979.4378972204513</v>
      </c>
      <c r="L22" s="681">
        <f>SUM(E22:E24)</f>
        <v>1942.5971981738448</v>
      </c>
    </row>
    <row r="23" spans="1:12" ht="19.2" x14ac:dyDescent="0.3">
      <c r="A23" s="203">
        <f t="shared" si="4"/>
        <v>3</v>
      </c>
      <c r="B23" s="204">
        <f t="shared" si="5"/>
        <v>21405.148174766673</v>
      </c>
      <c r="C23" s="204">
        <f t="shared" si="2"/>
        <v>321.07722262150008</v>
      </c>
      <c r="D23" s="204">
        <f t="shared" si="3"/>
        <v>326.45517676978153</v>
      </c>
      <c r="E23" s="204">
        <f t="shared" si="6"/>
        <v>647.53239939128161</v>
      </c>
      <c r="F23" s="204"/>
      <c r="G23" s="204"/>
      <c r="H23" s="204"/>
      <c r="I23" s="206">
        <f t="shared" si="7"/>
        <v>11</v>
      </c>
      <c r="J23" s="682"/>
      <c r="K23" s="682"/>
      <c r="L23" s="682"/>
    </row>
    <row r="24" spans="1:12" ht="19.2" x14ac:dyDescent="0.3">
      <c r="A24" s="203">
        <f t="shared" si="4"/>
        <v>4</v>
      </c>
      <c r="B24" s="204">
        <f t="shared" si="5"/>
        <v>21078.692997996892</v>
      </c>
      <c r="C24" s="204">
        <f t="shared" si="2"/>
        <v>316.18039496995334</v>
      </c>
      <c r="D24" s="204">
        <f t="shared" si="3"/>
        <v>331.35200442132827</v>
      </c>
      <c r="E24" s="204">
        <f t="shared" si="6"/>
        <v>647.53239939128161</v>
      </c>
      <c r="F24" s="204">
        <f>SUM(E13:E24)</f>
        <v>7770.3887926953794</v>
      </c>
      <c r="G24" s="204">
        <f t="shared" si="8"/>
        <v>1942.5971981738448</v>
      </c>
      <c r="H24" s="204">
        <f t="shared" si="9"/>
        <v>1009.0414076639394</v>
      </c>
      <c r="I24" s="206">
        <f t="shared" si="7"/>
        <v>12</v>
      </c>
      <c r="J24" s="683"/>
      <c r="K24" s="683"/>
      <c r="L24" s="682"/>
    </row>
    <row r="25" spans="1:12" ht="19.2" x14ac:dyDescent="0.3">
      <c r="A25" s="203">
        <f t="shared" si="4"/>
        <v>5</v>
      </c>
      <c r="B25" s="204">
        <f t="shared" si="5"/>
        <v>20747.340993575563</v>
      </c>
      <c r="C25" s="204">
        <f t="shared" si="2"/>
        <v>311.21011490363344</v>
      </c>
      <c r="D25" s="204">
        <f t="shared" si="3"/>
        <v>336.32228448764818</v>
      </c>
      <c r="E25" s="204">
        <f t="shared" si="6"/>
        <v>647.53239939128161</v>
      </c>
      <c r="F25" s="204"/>
      <c r="G25" s="204"/>
      <c r="H25" s="204"/>
      <c r="I25" s="206">
        <v>1</v>
      </c>
      <c r="J25" s="681">
        <f>SUM(C25:C27)</f>
        <v>918.42016939494647</v>
      </c>
      <c r="K25" s="681">
        <f>SUM(D25:D27)</f>
        <v>1024.1770287788984</v>
      </c>
      <c r="L25" s="681">
        <f>SUM(E25:E27)</f>
        <v>1942.5971981738448</v>
      </c>
    </row>
    <row r="26" spans="1:12" ht="19.2" x14ac:dyDescent="0.3">
      <c r="A26" s="203">
        <f t="shared" si="4"/>
        <v>6</v>
      </c>
      <c r="B26" s="204">
        <f t="shared" si="5"/>
        <v>20411.018709087915</v>
      </c>
      <c r="C26" s="204">
        <f t="shared" si="2"/>
        <v>306.1652806363187</v>
      </c>
      <c r="D26" s="204">
        <f t="shared" si="3"/>
        <v>341.36711875496292</v>
      </c>
      <c r="E26" s="204">
        <f t="shared" si="6"/>
        <v>647.53239939128161</v>
      </c>
      <c r="F26" s="204"/>
      <c r="G26" s="204"/>
      <c r="H26" s="204"/>
      <c r="I26" s="206">
        <f t="shared" si="7"/>
        <v>2</v>
      </c>
      <c r="J26" s="682"/>
      <c r="K26" s="682"/>
      <c r="L26" s="682"/>
    </row>
    <row r="27" spans="1:12" ht="19.2" x14ac:dyDescent="0.3">
      <c r="A27" s="203">
        <f t="shared" si="4"/>
        <v>7</v>
      </c>
      <c r="B27" s="204">
        <f t="shared" si="5"/>
        <v>20069.651590332953</v>
      </c>
      <c r="C27" s="204">
        <f t="shared" si="2"/>
        <v>301.04477385499428</v>
      </c>
      <c r="D27" s="204">
        <f t="shared" si="3"/>
        <v>346.48762553628734</v>
      </c>
      <c r="E27" s="204">
        <f t="shared" si="6"/>
        <v>647.53239939128161</v>
      </c>
      <c r="F27" s="204"/>
      <c r="G27" s="204">
        <f t="shared" si="8"/>
        <v>1942.5971981738448</v>
      </c>
      <c r="H27" s="204">
        <f t="shared" si="9"/>
        <v>1055.1327794737406</v>
      </c>
      <c r="I27" s="206">
        <f t="shared" si="7"/>
        <v>3</v>
      </c>
      <c r="J27" s="683"/>
      <c r="K27" s="683"/>
      <c r="L27" s="683"/>
    </row>
    <row r="28" spans="1:12" ht="19.2" x14ac:dyDescent="0.3">
      <c r="A28" s="203">
        <f t="shared" si="4"/>
        <v>8</v>
      </c>
      <c r="B28" s="204">
        <f t="shared" si="5"/>
        <v>19723.163964796666</v>
      </c>
      <c r="C28" s="204">
        <f t="shared" si="2"/>
        <v>295.84745947195</v>
      </c>
      <c r="D28" s="204">
        <f t="shared" si="3"/>
        <v>351.68493991933161</v>
      </c>
      <c r="E28" s="204">
        <f t="shared" si="6"/>
        <v>647.53239939128161</v>
      </c>
      <c r="F28" s="204"/>
      <c r="G28" s="204"/>
      <c r="H28" s="204"/>
      <c r="I28" s="206">
        <f t="shared" si="7"/>
        <v>4</v>
      </c>
      <c r="J28" s="681">
        <f>SUM(C28:C30)</f>
        <v>871.63742700799821</v>
      </c>
      <c r="K28" s="681">
        <f>SUM(D28:D30)</f>
        <v>1070.9597711658466</v>
      </c>
      <c r="L28" s="681">
        <f>SUM(E28:E30)</f>
        <v>1942.5971981738448</v>
      </c>
    </row>
    <row r="29" spans="1:12" ht="19.2" x14ac:dyDescent="0.3">
      <c r="A29" s="203">
        <f t="shared" si="4"/>
        <v>9</v>
      </c>
      <c r="B29" s="204">
        <f t="shared" si="5"/>
        <v>19371.479024877335</v>
      </c>
      <c r="C29" s="204">
        <f t="shared" si="2"/>
        <v>290.57218537316004</v>
      </c>
      <c r="D29" s="204">
        <f t="shared" si="3"/>
        <v>356.96021401812158</v>
      </c>
      <c r="E29" s="204">
        <f t="shared" si="6"/>
        <v>647.53239939128161</v>
      </c>
      <c r="F29" s="204"/>
      <c r="G29" s="204"/>
      <c r="H29" s="204"/>
      <c r="I29" s="206">
        <f t="shared" si="7"/>
        <v>5</v>
      </c>
      <c r="J29" s="682"/>
      <c r="K29" s="682"/>
      <c r="L29" s="682"/>
    </row>
    <row r="30" spans="1:12" ht="19.2" x14ac:dyDescent="0.3">
      <c r="A30" s="203">
        <f t="shared" si="4"/>
        <v>10</v>
      </c>
      <c r="B30" s="204">
        <f t="shared" si="5"/>
        <v>19014.518810859212</v>
      </c>
      <c r="C30" s="204">
        <f t="shared" si="2"/>
        <v>285.21778216288817</v>
      </c>
      <c r="D30" s="204">
        <f t="shared" si="3"/>
        <v>362.31461722839344</v>
      </c>
      <c r="E30" s="204">
        <f t="shared" si="6"/>
        <v>647.53239939128161</v>
      </c>
      <c r="F30" s="204"/>
      <c r="G30" s="204">
        <f t="shared" si="8"/>
        <v>1942.5971981738448</v>
      </c>
      <c r="H30" s="204">
        <f t="shared" si="9"/>
        <v>1103.3295302493345</v>
      </c>
      <c r="I30" s="206">
        <f t="shared" si="7"/>
        <v>6</v>
      </c>
      <c r="J30" s="683"/>
      <c r="K30" s="683"/>
      <c r="L30" s="683"/>
    </row>
    <row r="31" spans="1:12" ht="19.2" x14ac:dyDescent="0.3">
      <c r="A31" s="203">
        <f t="shared" si="4"/>
        <v>11</v>
      </c>
      <c r="B31" s="204">
        <f t="shared" si="5"/>
        <v>18652.20419363082</v>
      </c>
      <c r="C31" s="204">
        <f t="shared" si="2"/>
        <v>279.78306290446227</v>
      </c>
      <c r="D31" s="204">
        <f t="shared" si="3"/>
        <v>367.74933648681935</v>
      </c>
      <c r="E31" s="204">
        <f t="shared" si="6"/>
        <v>647.53239939128161</v>
      </c>
      <c r="F31" s="204"/>
      <c r="G31" s="204"/>
      <c r="H31" s="204"/>
      <c r="I31" s="206">
        <f t="shared" si="7"/>
        <v>7</v>
      </c>
      <c r="J31" s="681">
        <f>SUM(C31:C33)</f>
        <v>822.7177249707704</v>
      </c>
      <c r="K31" s="681">
        <f>SUM(D31:D33)</f>
        <v>1119.8794732030744</v>
      </c>
      <c r="L31" s="681">
        <f>SUM(E31:E33)</f>
        <v>1942.5971981738448</v>
      </c>
    </row>
    <row r="32" spans="1:12" ht="19.2" x14ac:dyDescent="0.3">
      <c r="A32" s="203">
        <f t="shared" si="4"/>
        <v>12</v>
      </c>
      <c r="B32" s="204">
        <f t="shared" si="5"/>
        <v>18284.454857143999</v>
      </c>
      <c r="C32" s="204">
        <f t="shared" si="2"/>
        <v>274.26682285715998</v>
      </c>
      <c r="D32" s="204">
        <f t="shared" si="3"/>
        <v>373.26557653412164</v>
      </c>
      <c r="E32" s="204">
        <f t="shared" si="6"/>
        <v>647.53239939128161</v>
      </c>
      <c r="F32" s="204"/>
      <c r="G32" s="204"/>
      <c r="H32" s="204"/>
      <c r="I32" s="206">
        <f t="shared" si="7"/>
        <v>8</v>
      </c>
      <c r="J32" s="682"/>
      <c r="K32" s="682"/>
      <c r="L32" s="682"/>
    </row>
    <row r="33" spans="1:12" ht="19.2" x14ac:dyDescent="0.3">
      <c r="A33" s="203">
        <v>1</v>
      </c>
      <c r="B33" s="204">
        <f t="shared" si="5"/>
        <v>17911.189280609877</v>
      </c>
      <c r="C33" s="204">
        <f t="shared" si="2"/>
        <v>268.66783920914816</v>
      </c>
      <c r="D33" s="204">
        <f t="shared" si="3"/>
        <v>378.86456018213346</v>
      </c>
      <c r="E33" s="204">
        <f t="shared" si="6"/>
        <v>647.53239939128161</v>
      </c>
      <c r="G33" s="204">
        <f t="shared" si="8"/>
        <v>1942.5971981738448</v>
      </c>
      <c r="H33" s="204">
        <f t="shared" si="9"/>
        <v>1153.7278302806374</v>
      </c>
      <c r="I33" s="206">
        <f t="shared" si="7"/>
        <v>9</v>
      </c>
      <c r="J33" s="683"/>
      <c r="K33" s="682"/>
      <c r="L33" s="683"/>
    </row>
    <row r="34" spans="1:12" ht="19.2" x14ac:dyDescent="0.3">
      <c r="A34" s="203">
        <f t="shared" si="4"/>
        <v>2</v>
      </c>
      <c r="B34" s="204">
        <f t="shared" si="5"/>
        <v>17532.324720427743</v>
      </c>
      <c r="C34" s="204">
        <f t="shared" si="2"/>
        <v>262.98487080641615</v>
      </c>
      <c r="D34" s="204">
        <f t="shared" si="3"/>
        <v>384.54752858486546</v>
      </c>
      <c r="E34" s="204">
        <f t="shared" si="6"/>
        <v>647.53239939128161</v>
      </c>
      <c r="F34" s="204"/>
      <c r="G34" s="204"/>
      <c r="H34" s="204"/>
      <c r="I34" s="206">
        <f t="shared" si="7"/>
        <v>10</v>
      </c>
      <c r="J34" s="681">
        <f>SUM(C34:C36)</f>
        <v>771.56345043899796</v>
      </c>
      <c r="K34" s="681">
        <f>SUM(D34:D36)</f>
        <v>1171.0337477348469</v>
      </c>
      <c r="L34" s="681">
        <f>SUM(E34:E36)</f>
        <v>1942.5971981738448</v>
      </c>
    </row>
    <row r="35" spans="1:12" ht="19.2" x14ac:dyDescent="0.3">
      <c r="A35" s="203">
        <f t="shared" si="4"/>
        <v>3</v>
      </c>
      <c r="B35" s="204">
        <f t="shared" si="5"/>
        <v>17147.777191842877</v>
      </c>
      <c r="C35" s="204">
        <f t="shared" si="2"/>
        <v>257.21665787764317</v>
      </c>
      <c r="D35" s="204">
        <f t="shared" si="3"/>
        <v>390.31574151363844</v>
      </c>
      <c r="E35" s="204">
        <f t="shared" si="6"/>
        <v>647.53239939128161</v>
      </c>
      <c r="F35" s="204"/>
      <c r="G35" s="204"/>
      <c r="H35" s="204"/>
      <c r="I35" s="208">
        <f t="shared" si="7"/>
        <v>11</v>
      </c>
      <c r="J35" s="682"/>
      <c r="K35" s="682"/>
      <c r="L35" s="682"/>
    </row>
    <row r="36" spans="1:12" ht="19.2" x14ac:dyDescent="0.3">
      <c r="A36" s="203">
        <f t="shared" si="4"/>
        <v>4</v>
      </c>
      <c r="B36" s="204">
        <f t="shared" si="5"/>
        <v>16757.46145032924</v>
      </c>
      <c r="C36" s="204">
        <f t="shared" si="2"/>
        <v>251.36192175493858</v>
      </c>
      <c r="D36" s="204">
        <f t="shared" si="3"/>
        <v>396.17047763634304</v>
      </c>
      <c r="E36" s="204">
        <f t="shared" si="6"/>
        <v>647.53239939128161</v>
      </c>
      <c r="F36" s="204">
        <f>SUM(E25:E36)</f>
        <v>7770.3887926953794</v>
      </c>
      <c r="G36" s="204">
        <f t="shared" si="8"/>
        <v>1942.5971981738448</v>
      </c>
      <c r="H36" s="204">
        <f t="shared" si="9"/>
        <v>1206.4282427601327</v>
      </c>
      <c r="I36" s="208">
        <f t="shared" si="7"/>
        <v>12</v>
      </c>
      <c r="J36" s="683"/>
      <c r="K36" s="683"/>
      <c r="L36" s="683"/>
    </row>
    <row r="37" spans="1:12" ht="19.2" x14ac:dyDescent="0.3">
      <c r="A37" s="203">
        <f t="shared" si="4"/>
        <v>5</v>
      </c>
      <c r="B37" s="204">
        <f t="shared" si="5"/>
        <v>16361.290972692897</v>
      </c>
      <c r="C37" s="204">
        <f t="shared" si="2"/>
        <v>245.41936459039346</v>
      </c>
      <c r="D37" s="204">
        <f t="shared" si="3"/>
        <v>402.11303480088816</v>
      </c>
      <c r="E37" s="204">
        <f t="shared" si="6"/>
        <v>647.53239939128161</v>
      </c>
      <c r="F37" s="204"/>
      <c r="G37" s="204"/>
      <c r="H37" s="204"/>
      <c r="I37" s="208">
        <v>1</v>
      </c>
      <c r="J37" s="681">
        <f>SUM(C37:C39)</f>
        <v>718.07253177231019</v>
      </c>
      <c r="K37" s="684">
        <f>SUM(D37:D39)</f>
        <v>1224.5246664015347</v>
      </c>
      <c r="L37" s="681">
        <f>SUM(E37:E39)</f>
        <v>1942.5971981738448</v>
      </c>
    </row>
    <row r="38" spans="1:12" ht="19.2" x14ac:dyDescent="0.3">
      <c r="A38" s="203">
        <f t="shared" si="4"/>
        <v>6</v>
      </c>
      <c r="B38" s="204">
        <f t="shared" si="5"/>
        <v>15959.177937892009</v>
      </c>
      <c r="C38" s="204">
        <f t="shared" si="2"/>
        <v>239.38766906838012</v>
      </c>
      <c r="D38" s="204">
        <f t="shared" si="3"/>
        <v>408.14473032290152</v>
      </c>
      <c r="E38" s="204">
        <f t="shared" si="6"/>
        <v>647.53239939128161</v>
      </c>
      <c r="F38" s="204"/>
      <c r="G38" s="204"/>
      <c r="H38" s="204"/>
      <c r="I38" s="208">
        <f t="shared" si="7"/>
        <v>2</v>
      </c>
      <c r="J38" s="682"/>
      <c r="K38" s="685"/>
      <c r="L38" s="682"/>
    </row>
    <row r="39" spans="1:12" ht="19.2" x14ac:dyDescent="0.3">
      <c r="A39" s="203">
        <f t="shared" si="4"/>
        <v>7</v>
      </c>
      <c r="B39" s="204">
        <f t="shared" si="5"/>
        <v>15551.033207569108</v>
      </c>
      <c r="C39" s="204">
        <f t="shared" si="2"/>
        <v>233.26549811353661</v>
      </c>
      <c r="D39" s="204">
        <f t="shared" si="3"/>
        <v>414.26690127774498</v>
      </c>
      <c r="E39" s="204">
        <f t="shared" si="6"/>
        <v>647.53239939128161</v>
      </c>
      <c r="F39" s="204"/>
      <c r="G39" s="204">
        <f t="shared" si="8"/>
        <v>1942.5971981738448</v>
      </c>
      <c r="H39" s="204">
        <f t="shared" si="9"/>
        <v>1261.535924443521</v>
      </c>
      <c r="I39" s="208">
        <f t="shared" si="7"/>
        <v>3</v>
      </c>
      <c r="J39" s="683"/>
      <c r="K39" s="685"/>
      <c r="L39" s="683"/>
    </row>
    <row r="40" spans="1:12" ht="19.2" x14ac:dyDescent="0.3">
      <c r="A40" s="203">
        <f t="shared" si="4"/>
        <v>8</v>
      </c>
      <c r="B40" s="204">
        <f t="shared" si="5"/>
        <v>15136.766306291363</v>
      </c>
      <c r="C40" s="204">
        <f t="shared" si="2"/>
        <v>227.05149459437044</v>
      </c>
      <c r="D40" s="204">
        <f t="shared" si="3"/>
        <v>420.4809047969112</v>
      </c>
      <c r="E40" s="204">
        <f t="shared" si="6"/>
        <v>647.53239939128161</v>
      </c>
      <c r="F40" s="204"/>
      <c r="G40" s="204"/>
      <c r="H40" s="204"/>
      <c r="I40" s="208">
        <f t="shared" si="7"/>
        <v>4</v>
      </c>
      <c r="J40" s="681">
        <f>SUM(C40:C42)</f>
        <v>662.13823486367096</v>
      </c>
      <c r="K40" s="684">
        <f>SUM(D40:D42)</f>
        <v>1280.4589633101739</v>
      </c>
      <c r="L40" s="681">
        <f>SUM(E40:E42)</f>
        <v>1942.5971981738448</v>
      </c>
    </row>
    <row r="41" spans="1:12" ht="19.2" x14ac:dyDescent="0.3">
      <c r="A41" s="203">
        <f t="shared" si="4"/>
        <v>9</v>
      </c>
      <c r="B41" s="204">
        <f t="shared" si="5"/>
        <v>14716.285401494451</v>
      </c>
      <c r="C41" s="204">
        <f t="shared" si="2"/>
        <v>220.74428102241677</v>
      </c>
      <c r="D41" s="204">
        <f t="shared" si="3"/>
        <v>426.78811836886484</v>
      </c>
      <c r="E41" s="204">
        <f t="shared" si="6"/>
        <v>647.53239939128161</v>
      </c>
      <c r="F41" s="204"/>
      <c r="G41" s="204"/>
      <c r="H41" s="204"/>
      <c r="I41" s="208">
        <f t="shared" si="7"/>
        <v>5</v>
      </c>
      <c r="J41" s="682"/>
      <c r="K41" s="685"/>
      <c r="L41" s="682"/>
    </row>
    <row r="42" spans="1:12" ht="19.2" x14ac:dyDescent="0.3">
      <c r="A42" s="203">
        <f t="shared" si="4"/>
        <v>10</v>
      </c>
      <c r="B42" s="204">
        <f t="shared" si="5"/>
        <v>14289.497283125587</v>
      </c>
      <c r="C42" s="204">
        <f t="shared" si="2"/>
        <v>214.34245924688381</v>
      </c>
      <c r="D42" s="204">
        <f t="shared" si="3"/>
        <v>433.18994014439784</v>
      </c>
      <c r="E42" s="204">
        <f t="shared" si="6"/>
        <v>647.53239939128161</v>
      </c>
      <c r="F42" s="204"/>
      <c r="G42" s="204">
        <f t="shared" si="8"/>
        <v>1942.5971981738448</v>
      </c>
      <c r="H42" s="204">
        <f t="shared" si="9"/>
        <v>1319.1608354762238</v>
      </c>
      <c r="I42" s="208">
        <f t="shared" si="7"/>
        <v>6</v>
      </c>
      <c r="J42" s="683"/>
      <c r="K42" s="686"/>
      <c r="L42" s="683"/>
    </row>
    <row r="43" spans="1:12" ht="19.2" x14ac:dyDescent="0.3">
      <c r="A43" s="203">
        <f t="shared" si="4"/>
        <v>11</v>
      </c>
      <c r="B43" s="204">
        <f t="shared" si="5"/>
        <v>13856.30734298119</v>
      </c>
      <c r="C43" s="204">
        <f t="shared" si="2"/>
        <v>207.84461014471785</v>
      </c>
      <c r="D43" s="204">
        <f t="shared" si="3"/>
        <v>439.68778924656374</v>
      </c>
      <c r="E43" s="204">
        <f t="shared" si="6"/>
        <v>647.53239939128161</v>
      </c>
      <c r="F43" s="204"/>
      <c r="G43" s="204"/>
      <c r="H43" s="204"/>
      <c r="I43" s="208">
        <f t="shared" si="7"/>
        <v>7</v>
      </c>
      <c r="J43" s="681">
        <f>SUM(C43:C45)</f>
        <v>603.64895016547769</v>
      </c>
      <c r="K43" s="684">
        <f>SUM(D43:D45)</f>
        <v>1338.948248008367</v>
      </c>
      <c r="L43" s="681">
        <f>SUM(E43:E45)</f>
        <v>1942.5971981738448</v>
      </c>
    </row>
    <row r="44" spans="1:12" ht="19.2" x14ac:dyDescent="0.3">
      <c r="A44" s="203">
        <f t="shared" si="4"/>
        <v>12</v>
      </c>
      <c r="B44" s="204">
        <f t="shared" si="5"/>
        <v>13416.619553734627</v>
      </c>
      <c r="C44" s="204">
        <f t="shared" si="2"/>
        <v>201.24929330601938</v>
      </c>
      <c r="D44" s="204">
        <f t="shared" si="3"/>
        <v>446.28310608526226</v>
      </c>
      <c r="E44" s="204">
        <f t="shared" si="6"/>
        <v>647.53239939128161</v>
      </c>
      <c r="F44" s="204"/>
      <c r="G44" s="204"/>
      <c r="H44" s="204"/>
      <c r="I44" s="208">
        <f t="shared" si="7"/>
        <v>8</v>
      </c>
      <c r="J44" s="682"/>
      <c r="K44" s="685"/>
      <c r="L44" s="682"/>
    </row>
    <row r="45" spans="1:12" ht="19.2" x14ac:dyDescent="0.3">
      <c r="A45" s="203">
        <v>1</v>
      </c>
      <c r="B45" s="204">
        <f t="shared" si="5"/>
        <v>12970.336447649364</v>
      </c>
      <c r="C45" s="204">
        <f t="shared" si="2"/>
        <v>194.55504671474046</v>
      </c>
      <c r="D45" s="204">
        <f t="shared" si="3"/>
        <v>452.97735267654116</v>
      </c>
      <c r="E45" s="204">
        <f t="shared" si="6"/>
        <v>647.53239939128161</v>
      </c>
      <c r="G45" s="204">
        <f t="shared" si="8"/>
        <v>1942.5971981738448</v>
      </c>
      <c r="H45" s="204">
        <f t="shared" si="9"/>
        <v>1379.4179588044201</v>
      </c>
      <c r="I45" s="208">
        <f t="shared" si="7"/>
        <v>9</v>
      </c>
      <c r="J45" s="683"/>
      <c r="K45" s="686"/>
      <c r="L45" s="683"/>
    </row>
    <row r="46" spans="1:12" ht="19.2" x14ac:dyDescent="0.3">
      <c r="A46" s="203">
        <f t="shared" si="4"/>
        <v>2</v>
      </c>
      <c r="B46" s="204">
        <f t="shared" si="5"/>
        <v>12517.359094972824</v>
      </c>
      <c r="C46" s="204">
        <f t="shared" si="2"/>
        <v>187.76038642459235</v>
      </c>
      <c r="D46" s="204">
        <f t="shared" si="3"/>
        <v>459.77201296668926</v>
      </c>
      <c r="E46" s="204">
        <f t="shared" si="6"/>
        <v>647.53239939128161</v>
      </c>
      <c r="F46" s="204"/>
      <c r="G46" s="204"/>
      <c r="H46" s="204"/>
      <c r="I46" s="208">
        <f t="shared" si="7"/>
        <v>10</v>
      </c>
      <c r="J46" s="681">
        <f>SUM(C46:C48)</f>
        <v>542.48796998735861</v>
      </c>
      <c r="K46" s="684">
        <f>SUM(D46:D48)</f>
        <v>1400.1092281864862</v>
      </c>
      <c r="L46" s="681">
        <f>SUM(E46:E48)</f>
        <v>1942.5971981738448</v>
      </c>
    </row>
    <row r="47" spans="1:12" ht="19.2" x14ac:dyDescent="0.3">
      <c r="A47" s="203">
        <f t="shared" si="4"/>
        <v>3</v>
      </c>
      <c r="B47" s="204">
        <f t="shared" si="5"/>
        <v>12057.587082006135</v>
      </c>
      <c r="C47" s="204">
        <f t="shared" si="2"/>
        <v>180.86380623009202</v>
      </c>
      <c r="D47" s="204">
        <f t="shared" si="3"/>
        <v>466.66859316118962</v>
      </c>
      <c r="E47" s="204">
        <f t="shared" si="6"/>
        <v>647.53239939128161</v>
      </c>
      <c r="F47" s="204"/>
      <c r="G47" s="204"/>
      <c r="H47" s="204"/>
      <c r="I47" s="208">
        <f t="shared" si="7"/>
        <v>11</v>
      </c>
      <c r="J47" s="682"/>
      <c r="K47" s="685"/>
      <c r="L47" s="682"/>
    </row>
    <row r="48" spans="1:12" ht="19.2" x14ac:dyDescent="0.3">
      <c r="A48" s="203">
        <f t="shared" si="4"/>
        <v>4</v>
      </c>
      <c r="B48" s="204">
        <f t="shared" si="5"/>
        <v>11590.918488844945</v>
      </c>
      <c r="C48" s="204">
        <f t="shared" si="2"/>
        <v>173.86377733267418</v>
      </c>
      <c r="D48" s="204">
        <f t="shared" si="3"/>
        <v>473.66862205860741</v>
      </c>
      <c r="E48" s="204">
        <f t="shared" si="6"/>
        <v>647.53239939128161</v>
      </c>
      <c r="F48" s="204">
        <f>SUM(E37:E48)</f>
        <v>7770.3887926953794</v>
      </c>
      <c r="G48" s="204">
        <f t="shared" si="8"/>
        <v>1942.5971981738448</v>
      </c>
      <c r="H48" s="204">
        <f t="shared" si="9"/>
        <v>1442.4275296084229</v>
      </c>
      <c r="I48" s="208">
        <f t="shared" si="7"/>
        <v>12</v>
      </c>
      <c r="J48" s="683"/>
      <c r="K48" s="686"/>
      <c r="L48" s="682"/>
    </row>
    <row r="49" spans="1:12" ht="19.2" x14ac:dyDescent="0.3">
      <c r="A49" s="203">
        <f t="shared" si="4"/>
        <v>5</v>
      </c>
      <c r="B49" s="204">
        <f t="shared" si="5"/>
        <v>11117.249866786338</v>
      </c>
      <c r="C49" s="204">
        <f t="shared" si="2"/>
        <v>166.75874800179506</v>
      </c>
      <c r="D49" s="204">
        <f t="shared" si="3"/>
        <v>480.77365138948653</v>
      </c>
      <c r="E49" s="204">
        <f t="shared" si="6"/>
        <v>647.53239939128161</v>
      </c>
      <c r="F49" s="204"/>
      <c r="G49" s="204"/>
      <c r="H49" s="204"/>
      <c r="I49" s="208">
        <v>1</v>
      </c>
      <c r="J49" s="681">
        <f>SUM(C49:C51)</f>
        <v>478.53325562129567</v>
      </c>
      <c r="K49" s="684">
        <f>SUM(D49:D51)</f>
        <v>1464.0639425525492</v>
      </c>
      <c r="L49" s="681">
        <f>SUM(E49:E51)</f>
        <v>1942.5971981738448</v>
      </c>
    </row>
    <row r="50" spans="1:12" ht="19.2" x14ac:dyDescent="0.3">
      <c r="A50" s="203">
        <f t="shared" si="4"/>
        <v>6</v>
      </c>
      <c r="B50" s="204">
        <f t="shared" si="5"/>
        <v>10636.476215396851</v>
      </c>
      <c r="C50" s="204">
        <f t="shared" si="2"/>
        <v>159.54714323095277</v>
      </c>
      <c r="D50" s="204">
        <f t="shared" si="3"/>
        <v>487.98525616032884</v>
      </c>
      <c r="E50" s="204">
        <f t="shared" si="6"/>
        <v>647.53239939128161</v>
      </c>
      <c r="F50" s="204"/>
      <c r="G50" s="204"/>
      <c r="H50" s="204"/>
      <c r="I50" s="208">
        <f t="shared" si="7"/>
        <v>2</v>
      </c>
      <c r="J50" s="682"/>
      <c r="K50" s="685"/>
      <c r="L50" s="682"/>
    </row>
    <row r="51" spans="1:12" ht="19.2" x14ac:dyDescent="0.3">
      <c r="A51" s="203">
        <f t="shared" si="4"/>
        <v>7</v>
      </c>
      <c r="B51" s="204">
        <f t="shared" si="5"/>
        <v>10148.490959236522</v>
      </c>
      <c r="C51" s="204">
        <f t="shared" si="2"/>
        <v>152.22736438854781</v>
      </c>
      <c r="D51" s="204">
        <f t="shared" si="3"/>
        <v>495.3050350027338</v>
      </c>
      <c r="E51" s="204">
        <f t="shared" si="6"/>
        <v>647.53239939128161</v>
      </c>
      <c r="F51" s="204"/>
      <c r="G51" s="204">
        <f t="shared" si="8"/>
        <v>1942.5971981738448</v>
      </c>
      <c r="H51" s="204">
        <f t="shared" si="9"/>
        <v>1508.3152752162</v>
      </c>
      <c r="I51" s="208">
        <f t="shared" si="7"/>
        <v>3</v>
      </c>
      <c r="J51" s="683"/>
      <c r="K51" s="686"/>
      <c r="L51" s="683"/>
    </row>
    <row r="52" spans="1:12" ht="19.2" x14ac:dyDescent="0.3">
      <c r="A52" s="203">
        <f t="shared" si="4"/>
        <v>8</v>
      </c>
      <c r="B52" s="204">
        <f t="shared" si="5"/>
        <v>9653.1859242337887</v>
      </c>
      <c r="C52" s="204">
        <f t="shared" si="2"/>
        <v>144.79778886350684</v>
      </c>
      <c r="D52" s="204">
        <f t="shared" si="3"/>
        <v>502.73461052777475</v>
      </c>
      <c r="E52" s="204">
        <f t="shared" si="6"/>
        <v>647.53239939128161</v>
      </c>
      <c r="F52" s="204"/>
      <c r="G52" s="204"/>
      <c r="H52" s="204"/>
      <c r="I52" s="208">
        <f t="shared" si="7"/>
        <v>4</v>
      </c>
      <c r="J52" s="681">
        <f>SUM(C52:C54)</f>
        <v>411.65719382940188</v>
      </c>
      <c r="K52" s="684">
        <f>SUM(D52:D54)</f>
        <v>1530.940004344443</v>
      </c>
      <c r="L52" s="681">
        <f>SUM(E52:E54)</f>
        <v>1942.5971981738448</v>
      </c>
    </row>
    <row r="53" spans="1:12" ht="19.2" x14ac:dyDescent="0.3">
      <c r="A53" s="203">
        <f t="shared" si="4"/>
        <v>9</v>
      </c>
      <c r="B53" s="204">
        <f t="shared" si="5"/>
        <v>9150.451313706013</v>
      </c>
      <c r="C53" s="204">
        <f t="shared" si="2"/>
        <v>137.25676970559019</v>
      </c>
      <c r="D53" s="204">
        <f t="shared" si="3"/>
        <v>510.27562968569146</v>
      </c>
      <c r="E53" s="204">
        <f t="shared" si="6"/>
        <v>647.53239939128161</v>
      </c>
      <c r="F53" s="204"/>
      <c r="G53" s="204"/>
      <c r="H53" s="204"/>
      <c r="I53" s="208">
        <f t="shared" si="7"/>
        <v>5</v>
      </c>
      <c r="J53" s="682"/>
      <c r="K53" s="685"/>
      <c r="L53" s="682"/>
    </row>
    <row r="54" spans="1:12" ht="19.2" x14ac:dyDescent="0.3">
      <c r="A54" s="203">
        <f t="shared" si="4"/>
        <v>10</v>
      </c>
      <c r="B54" s="204">
        <f t="shared" si="5"/>
        <v>8640.1756840203216</v>
      </c>
      <c r="C54" s="204">
        <f t="shared" si="2"/>
        <v>129.60263526030482</v>
      </c>
      <c r="D54" s="204">
        <f t="shared" si="3"/>
        <v>517.92976413097676</v>
      </c>
      <c r="E54" s="204">
        <f t="shared" si="6"/>
        <v>647.53239939128161</v>
      </c>
      <c r="F54" s="204"/>
      <c r="G54" s="204">
        <f t="shared" si="8"/>
        <v>1942.5971981738448</v>
      </c>
      <c r="H54" s="204">
        <f t="shared" si="9"/>
        <v>1577.2126659757539</v>
      </c>
      <c r="I54" s="208">
        <f t="shared" si="7"/>
        <v>6</v>
      </c>
      <c r="J54" s="683"/>
      <c r="K54" s="686"/>
      <c r="L54" s="683"/>
    </row>
    <row r="55" spans="1:12" ht="19.2" x14ac:dyDescent="0.3">
      <c r="A55" s="203">
        <f t="shared" si="4"/>
        <v>11</v>
      </c>
      <c r="B55" s="204">
        <f t="shared" si="5"/>
        <v>8122.2459198893448</v>
      </c>
      <c r="C55" s="204">
        <f t="shared" si="2"/>
        <v>121.83368879834016</v>
      </c>
      <c r="D55" s="204">
        <f t="shared" si="3"/>
        <v>525.69871059294144</v>
      </c>
      <c r="E55" s="204">
        <f t="shared" si="6"/>
        <v>647.53239939128161</v>
      </c>
      <c r="F55" s="204"/>
      <c r="G55" s="204"/>
      <c r="H55" s="204"/>
      <c r="I55" s="208">
        <f t="shared" si="7"/>
        <v>7</v>
      </c>
      <c r="J55" s="681">
        <f>SUM(C55:C57)</f>
        <v>341.72634220845475</v>
      </c>
      <c r="K55" s="684">
        <f>SUM(D55:D57)</f>
        <v>1600.8708559653901</v>
      </c>
      <c r="L55" s="681">
        <f>SUM(E55:E57)</f>
        <v>1942.5971981738448</v>
      </c>
    </row>
    <row r="56" spans="1:12" ht="19.2" x14ac:dyDescent="0.3">
      <c r="A56" s="203">
        <f t="shared" si="4"/>
        <v>12</v>
      </c>
      <c r="B56" s="204">
        <f t="shared" si="5"/>
        <v>7596.5472092964037</v>
      </c>
      <c r="C56" s="204">
        <f t="shared" si="2"/>
        <v>113.94820813944605</v>
      </c>
      <c r="D56" s="204">
        <f t="shared" si="3"/>
        <v>533.58419125183559</v>
      </c>
      <c r="E56" s="204">
        <f t="shared" si="6"/>
        <v>647.53239939128161</v>
      </c>
      <c r="F56" s="204"/>
      <c r="G56" s="204"/>
      <c r="H56" s="204"/>
      <c r="I56" s="208">
        <f t="shared" si="7"/>
        <v>8</v>
      </c>
      <c r="J56" s="682"/>
      <c r="K56" s="685"/>
      <c r="L56" s="682"/>
    </row>
    <row r="57" spans="1:12" ht="19.2" x14ac:dyDescent="0.3">
      <c r="A57" s="203">
        <v>1</v>
      </c>
      <c r="B57" s="204">
        <f t="shared" si="5"/>
        <v>7062.9630180445683</v>
      </c>
      <c r="C57" s="204">
        <f t="shared" si="2"/>
        <v>105.94444527066852</v>
      </c>
      <c r="D57" s="204">
        <f t="shared" si="3"/>
        <v>541.58795412061306</v>
      </c>
      <c r="E57" s="204">
        <f t="shared" si="6"/>
        <v>647.53239939128161</v>
      </c>
      <c r="G57" s="204">
        <f t="shared" si="8"/>
        <v>1942.5971981738448</v>
      </c>
      <c r="H57" s="204">
        <f t="shared" si="9"/>
        <v>1649.257177586944</v>
      </c>
      <c r="I57" s="208">
        <f t="shared" si="7"/>
        <v>9</v>
      </c>
      <c r="J57" s="683"/>
      <c r="K57" s="685"/>
      <c r="L57" s="683"/>
    </row>
    <row r="58" spans="1:12" ht="19.2" x14ac:dyDescent="0.3">
      <c r="A58" s="203">
        <f t="shared" si="4"/>
        <v>2</v>
      </c>
      <c r="B58" s="204">
        <f t="shared" si="5"/>
        <v>6521.3750639239552</v>
      </c>
      <c r="C58" s="204">
        <f t="shared" si="2"/>
        <v>97.820625958859324</v>
      </c>
      <c r="D58" s="204">
        <f t="shared" si="3"/>
        <v>549.71177343242232</v>
      </c>
      <c r="E58" s="204">
        <f t="shared" si="6"/>
        <v>647.53239939128161</v>
      </c>
      <c r="F58" s="204"/>
      <c r="G58" s="204"/>
      <c r="H58" s="204"/>
      <c r="I58" s="208">
        <f t="shared" si="7"/>
        <v>10</v>
      </c>
      <c r="J58" s="681">
        <f>SUM(C58:C60)</f>
        <v>268.60116292309669</v>
      </c>
      <c r="K58" s="684">
        <f>SUM(D58:D60)</f>
        <v>1673.9960352507483</v>
      </c>
      <c r="L58" s="681">
        <f>SUM(E58:E60)</f>
        <v>1942.5971981738448</v>
      </c>
    </row>
    <row r="59" spans="1:12" ht="19.2" x14ac:dyDescent="0.3">
      <c r="A59" s="203">
        <f t="shared" si="4"/>
        <v>3</v>
      </c>
      <c r="B59" s="204">
        <f t="shared" si="5"/>
        <v>5971.6632904915332</v>
      </c>
      <c r="C59" s="204">
        <f t="shared" si="2"/>
        <v>89.574949357373001</v>
      </c>
      <c r="D59" s="204">
        <f t="shared" si="3"/>
        <v>557.95745003390857</v>
      </c>
      <c r="E59" s="204">
        <f t="shared" si="6"/>
        <v>647.53239939128161</v>
      </c>
      <c r="F59" s="204"/>
      <c r="G59" s="204"/>
      <c r="H59" s="204"/>
      <c r="I59" s="208">
        <f t="shared" si="7"/>
        <v>11</v>
      </c>
      <c r="J59" s="682"/>
      <c r="K59" s="685"/>
      <c r="L59" s="682"/>
    </row>
    <row r="60" spans="1:12" ht="19.2" x14ac:dyDescent="0.3">
      <c r="A60" s="203">
        <f t="shared" si="4"/>
        <v>4</v>
      </c>
      <c r="B60" s="204">
        <f t="shared" si="5"/>
        <v>5413.7058404576246</v>
      </c>
      <c r="C60" s="204">
        <f t="shared" si="2"/>
        <v>81.20558760686437</v>
      </c>
      <c r="D60" s="204">
        <f t="shared" si="3"/>
        <v>566.32681178441726</v>
      </c>
      <c r="E60" s="204">
        <f t="shared" si="6"/>
        <v>647.53239939128161</v>
      </c>
      <c r="F60" s="204">
        <f>SUM(E49:E60)</f>
        <v>7770.3887926953794</v>
      </c>
      <c r="G60" s="204">
        <f t="shared" si="8"/>
        <v>1942.5971981738448</v>
      </c>
      <c r="H60" s="204">
        <f t="shared" si="9"/>
        <v>1724.592565416202</v>
      </c>
      <c r="I60" s="208">
        <f t="shared" si="7"/>
        <v>12</v>
      </c>
      <c r="J60" s="683"/>
      <c r="K60" s="686"/>
      <c r="L60" s="683"/>
    </row>
    <row r="61" spans="1:12" ht="19.2" x14ac:dyDescent="0.3">
      <c r="A61" s="203">
        <f t="shared" si="4"/>
        <v>5</v>
      </c>
      <c r="B61" s="204">
        <f t="shared" si="5"/>
        <v>4847.3790286732074</v>
      </c>
      <c r="C61" s="204">
        <f t="shared" si="2"/>
        <v>72.71068543009811</v>
      </c>
      <c r="D61" s="204">
        <f t="shared" si="3"/>
        <v>574.82171396118349</v>
      </c>
      <c r="E61" s="204">
        <f t="shared" si="6"/>
        <v>647.53239939128161</v>
      </c>
      <c r="F61" s="204"/>
      <c r="G61" s="204"/>
      <c r="H61" s="204"/>
      <c r="I61" s="208">
        <v>1</v>
      </c>
      <c r="J61" s="681">
        <f>SUM(C61:C63)</f>
        <v>192.13574427639981</v>
      </c>
      <c r="K61" s="684">
        <f>SUM(D61:D63)</f>
        <v>1750.4614538974452</v>
      </c>
      <c r="L61" s="681">
        <f>SUM(E61:E63)</f>
        <v>1942.5971981738448</v>
      </c>
    </row>
    <row r="62" spans="1:12" ht="19.2" x14ac:dyDescent="0.3">
      <c r="A62" s="203">
        <f t="shared" si="4"/>
        <v>6</v>
      </c>
      <c r="B62" s="204">
        <f t="shared" si="5"/>
        <v>4272.557314712024</v>
      </c>
      <c r="C62" s="204">
        <f t="shared" si="2"/>
        <v>64.088359720680359</v>
      </c>
      <c r="D62" s="204">
        <f t="shared" si="3"/>
        <v>583.44403967060123</v>
      </c>
      <c r="E62" s="204">
        <f t="shared" si="6"/>
        <v>647.53239939128161</v>
      </c>
      <c r="F62" s="204"/>
      <c r="G62" s="204"/>
      <c r="H62" s="204"/>
      <c r="I62" s="208">
        <f t="shared" si="7"/>
        <v>2</v>
      </c>
      <c r="J62" s="682"/>
      <c r="K62" s="685"/>
      <c r="L62" s="682"/>
    </row>
    <row r="63" spans="1:12" ht="19.2" x14ac:dyDescent="0.3">
      <c r="A63" s="203">
        <f t="shared" si="4"/>
        <v>7</v>
      </c>
      <c r="B63" s="204">
        <f t="shared" si="5"/>
        <v>3689.1132750414226</v>
      </c>
      <c r="C63" s="204">
        <f t="shared" si="2"/>
        <v>55.336699125621337</v>
      </c>
      <c r="D63" s="204">
        <f t="shared" si="3"/>
        <v>592.19570026566032</v>
      </c>
      <c r="E63" s="204">
        <f t="shared" si="6"/>
        <v>647.53239939128161</v>
      </c>
      <c r="F63" s="204"/>
      <c r="G63" s="204">
        <f t="shared" si="8"/>
        <v>1942.5971981738448</v>
      </c>
      <c r="H63" s="204">
        <f t="shared" si="9"/>
        <v>1803.3691513414956</v>
      </c>
      <c r="I63" s="208">
        <f t="shared" si="7"/>
        <v>3</v>
      </c>
      <c r="J63" s="683"/>
      <c r="K63" s="686"/>
      <c r="L63" s="683"/>
    </row>
    <row r="64" spans="1:12" ht="19.2" x14ac:dyDescent="0.3">
      <c r="A64" s="203">
        <f t="shared" si="4"/>
        <v>8</v>
      </c>
      <c r="B64" s="204">
        <f t="shared" si="5"/>
        <v>3096.9175747757622</v>
      </c>
      <c r="C64" s="204">
        <f t="shared" si="2"/>
        <v>46.453763621636433</v>
      </c>
      <c r="D64" s="204">
        <f t="shared" si="3"/>
        <v>601.07863576964519</v>
      </c>
      <c r="E64" s="204">
        <f t="shared" si="6"/>
        <v>647.53239939128161</v>
      </c>
      <c r="F64" s="204"/>
      <c r="G64" s="204"/>
      <c r="H64" s="204"/>
      <c r="I64" s="208">
        <f t="shared" si="7"/>
        <v>4</v>
      </c>
      <c r="J64" s="681">
        <f>SUM(C64:C66)</f>
        <v>112.1775095622271</v>
      </c>
      <c r="K64" s="684">
        <f>SUM(D64:D66)</f>
        <v>1830.4196886116179</v>
      </c>
      <c r="L64" s="681">
        <f>SUM(E64:E66)</f>
        <v>1942.5971981738448</v>
      </c>
    </row>
    <row r="65" spans="1:12" ht="19.2" x14ac:dyDescent="0.3">
      <c r="A65" s="203">
        <f t="shared" si="4"/>
        <v>9</v>
      </c>
      <c r="B65" s="204">
        <f t="shared" si="5"/>
        <v>2495.838939006117</v>
      </c>
      <c r="C65" s="204">
        <f t="shared" si="2"/>
        <v>37.437584085091757</v>
      </c>
      <c r="D65" s="204">
        <f t="shared" si="3"/>
        <v>610.09481530618984</v>
      </c>
      <c r="E65" s="204">
        <f t="shared" si="6"/>
        <v>647.53239939128161</v>
      </c>
      <c r="F65" s="204"/>
      <c r="G65" s="204"/>
      <c r="H65" s="204"/>
      <c r="I65" s="208">
        <f t="shared" si="7"/>
        <v>5</v>
      </c>
      <c r="J65" s="682"/>
      <c r="K65" s="685"/>
      <c r="L65" s="682"/>
    </row>
    <row r="66" spans="1:12" ht="19.2" x14ac:dyDescent="0.3">
      <c r="A66" s="203">
        <f t="shared" si="4"/>
        <v>10</v>
      </c>
      <c r="B66" s="204">
        <f t="shared" si="5"/>
        <v>1885.7441236999271</v>
      </c>
      <c r="C66" s="204">
        <f t="shared" si="2"/>
        <v>28.286161855498904</v>
      </c>
      <c r="D66" s="204">
        <f t="shared" si="3"/>
        <v>619.24623753578271</v>
      </c>
      <c r="E66" s="204">
        <f t="shared" si="6"/>
        <v>647.53239939128161</v>
      </c>
      <c r="F66" s="204"/>
      <c r="G66" s="204">
        <f t="shared" si="8"/>
        <v>1942.5971981738448</v>
      </c>
      <c r="H66" s="204">
        <f t="shared" si="9"/>
        <v>1885.7441236999039</v>
      </c>
      <c r="I66" s="208">
        <f t="shared" si="7"/>
        <v>6</v>
      </c>
      <c r="J66" s="683"/>
      <c r="K66" s="686"/>
      <c r="L66" s="683"/>
    </row>
    <row r="67" spans="1:12" ht="19.2" x14ac:dyDescent="0.3">
      <c r="A67" s="203">
        <f t="shared" si="4"/>
        <v>11</v>
      </c>
      <c r="B67" s="204">
        <f t="shared" si="5"/>
        <v>1266.4978861641443</v>
      </c>
      <c r="C67" s="204">
        <f t="shared" si="2"/>
        <v>18.997468292462166</v>
      </c>
      <c r="D67" s="204">
        <f t="shared" si="3"/>
        <v>628.53493109881947</v>
      </c>
      <c r="E67" s="204">
        <f t="shared" si="6"/>
        <v>647.53239939128161</v>
      </c>
      <c r="F67" s="204"/>
      <c r="G67" s="204"/>
      <c r="H67" s="204"/>
      <c r="I67" s="208">
        <f t="shared" si="7"/>
        <v>7</v>
      </c>
      <c r="J67" s="687">
        <f>SUM(C67:C68)</f>
        <v>28.566912618442039</v>
      </c>
      <c r="K67" s="684">
        <f>SUM(D67:D69)</f>
        <v>1266.4978861641207</v>
      </c>
      <c r="L67" s="681">
        <f>SUM(E67:E69)</f>
        <v>1295.0647987825632</v>
      </c>
    </row>
    <row r="68" spans="1:12" ht="19.2" x14ac:dyDescent="0.3">
      <c r="A68" s="203">
        <f t="shared" si="4"/>
        <v>12</v>
      </c>
      <c r="B68" s="204">
        <f t="shared" si="5"/>
        <v>637.96295506532488</v>
      </c>
      <c r="C68" s="204">
        <f t="shared" si="2"/>
        <v>9.5694443259798732</v>
      </c>
      <c r="D68" s="204">
        <f t="shared" si="3"/>
        <v>637.96295506530168</v>
      </c>
      <c r="E68" s="204">
        <f t="shared" si="6"/>
        <v>647.53239939128161</v>
      </c>
      <c r="F68" s="204">
        <f>SUM(E61:E68)</f>
        <v>5180.2591951302529</v>
      </c>
      <c r="G68" s="204"/>
      <c r="H68" s="204"/>
      <c r="I68" s="208">
        <f t="shared" si="7"/>
        <v>8</v>
      </c>
      <c r="J68" s="688"/>
      <c r="K68" s="686"/>
      <c r="L68" s="683"/>
    </row>
    <row r="69" spans="1:12" ht="19.2" x14ac:dyDescent="0.3">
      <c r="A69" s="203"/>
      <c r="B69" s="204">
        <f t="shared" si="5"/>
        <v>2.319211489520967E-11</v>
      </c>
      <c r="C69" s="204">
        <f t="shared" si="2"/>
        <v>3.4788172342814506E-13</v>
      </c>
      <c r="D69" s="204">
        <f t="shared" si="3"/>
        <v>-3.4788172342814506E-13</v>
      </c>
      <c r="E69" s="204"/>
      <c r="F69" s="81"/>
      <c r="G69" s="204">
        <f>SUM(E69:E69)</f>
        <v>0</v>
      </c>
      <c r="H69" s="204">
        <f>SUM(D69:D69)</f>
        <v>-3.4788172342814506E-13</v>
      </c>
      <c r="I69" s="208"/>
      <c r="J69" s="209">
        <f>SUM(J9:J68)</f>
        <v>13351.943963476913</v>
      </c>
      <c r="K69" s="209">
        <f t="shared" ref="K69:L69" si="10">SUM(K9:K68)</f>
        <v>25499.999999999985</v>
      </c>
      <c r="L69" s="209">
        <f t="shared" si="10"/>
        <v>38851.943963476893</v>
      </c>
    </row>
    <row r="70" spans="1:12" ht="19.2" x14ac:dyDescent="0.3">
      <c r="A70" s="203"/>
      <c r="B70" s="204"/>
      <c r="C70" s="204"/>
      <c r="D70" s="204">
        <f t="shared" si="3"/>
        <v>38851.943963476937</v>
      </c>
      <c r="E70" s="204">
        <f>SUM(E9:E69)</f>
        <v>38851.943963476937</v>
      </c>
      <c r="F70" s="204">
        <f t="shared" ref="F70:H70" si="11">SUM(F9:F69)</f>
        <v>38851.943963476901</v>
      </c>
      <c r="G70" s="204">
        <f t="shared" si="11"/>
        <v>38851.943963476893</v>
      </c>
      <c r="H70" s="204">
        <f t="shared" si="11"/>
        <v>25499.999999999982</v>
      </c>
      <c r="I70" s="210"/>
      <c r="J70" s="211"/>
      <c r="K70" s="212"/>
      <c r="L70" s="11"/>
    </row>
    <row r="71" spans="1:12" x14ac:dyDescent="0.3">
      <c r="L71" s="11"/>
    </row>
  </sheetData>
  <mergeCells count="61">
    <mergeCell ref="J64:J66"/>
    <mergeCell ref="K64:K66"/>
    <mergeCell ref="L64:L66"/>
    <mergeCell ref="J67:J68"/>
    <mergeCell ref="K67:K68"/>
    <mergeCell ref="L67:L68"/>
    <mergeCell ref="J58:J60"/>
    <mergeCell ref="K58:K60"/>
    <mergeCell ref="L58:L60"/>
    <mergeCell ref="J61:J63"/>
    <mergeCell ref="K61:K63"/>
    <mergeCell ref="L61:L63"/>
    <mergeCell ref="J52:J54"/>
    <mergeCell ref="K52:K54"/>
    <mergeCell ref="L52:L54"/>
    <mergeCell ref="J55:J57"/>
    <mergeCell ref="K55:K57"/>
    <mergeCell ref="L55:L57"/>
    <mergeCell ref="J46:J48"/>
    <mergeCell ref="K46:K48"/>
    <mergeCell ref="L46:L48"/>
    <mergeCell ref="J49:J51"/>
    <mergeCell ref="K49:K51"/>
    <mergeCell ref="L49:L51"/>
    <mergeCell ref="J40:J42"/>
    <mergeCell ref="K40:K42"/>
    <mergeCell ref="L40:L42"/>
    <mergeCell ref="J43:J45"/>
    <mergeCell ref="K43:K45"/>
    <mergeCell ref="L43:L45"/>
    <mergeCell ref="J34:J36"/>
    <mergeCell ref="K34:K36"/>
    <mergeCell ref="L34:L36"/>
    <mergeCell ref="J37:J39"/>
    <mergeCell ref="K37:K39"/>
    <mergeCell ref="L37:L39"/>
    <mergeCell ref="J28:J30"/>
    <mergeCell ref="K28:K30"/>
    <mergeCell ref="L28:L30"/>
    <mergeCell ref="J31:J33"/>
    <mergeCell ref="K31:K33"/>
    <mergeCell ref="L31:L33"/>
    <mergeCell ref="J22:J24"/>
    <mergeCell ref="K22:K24"/>
    <mergeCell ref="L22:L24"/>
    <mergeCell ref="J25:J27"/>
    <mergeCell ref="K25:K27"/>
    <mergeCell ref="L25:L27"/>
    <mergeCell ref="J16:J18"/>
    <mergeCell ref="K16:K18"/>
    <mergeCell ref="L16:L18"/>
    <mergeCell ref="J19:J21"/>
    <mergeCell ref="K19:K21"/>
    <mergeCell ref="L19:L21"/>
    <mergeCell ref="A1:B1"/>
    <mergeCell ref="J10:J12"/>
    <mergeCell ref="K10:K12"/>
    <mergeCell ref="L10:L12"/>
    <mergeCell ref="J13:J15"/>
    <mergeCell ref="K13:K15"/>
    <mergeCell ref="L13:L15"/>
  </mergeCells>
  <pageMargins left="0.7" right="0.7" top="0.75" bottom="0.75" header="0.3" footer="0.3"/>
  <pageSetup paperSize="8" scale="62" firstPageNumber="2147483648"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0"/>
    <pageSetUpPr fitToPage="1"/>
  </sheetPr>
  <dimension ref="A1:AD34"/>
  <sheetViews>
    <sheetView topLeftCell="A9" zoomScale="70" zoomScaleNormal="70" workbookViewId="0">
      <selection activeCell="B26" sqref="B26"/>
    </sheetView>
  </sheetViews>
  <sheetFormatPr defaultColWidth="9.109375" defaultRowHeight="14.4" x14ac:dyDescent="0.3"/>
  <cols>
    <col min="1" max="1" width="21.88671875" style="288" customWidth="1"/>
    <col min="2" max="2" width="19.88671875" style="288" customWidth="1"/>
    <col min="3" max="5" width="14.33203125" style="288" customWidth="1"/>
    <col min="6" max="6" width="16.44140625" style="288" customWidth="1"/>
    <col min="7" max="7" width="16" style="288" customWidth="1"/>
    <col min="8" max="8" width="17.109375" style="288" customWidth="1"/>
    <col min="9" max="9" width="17.33203125" style="288" customWidth="1"/>
    <col min="10" max="10" width="16.5546875" style="288" customWidth="1"/>
    <col min="11" max="11" width="17.44140625" style="288" customWidth="1"/>
    <col min="12" max="12" width="18.33203125" style="288" customWidth="1"/>
    <col min="13" max="14" width="24.33203125" style="288" customWidth="1"/>
    <col min="15" max="15" width="23.5546875" style="288" customWidth="1"/>
    <col min="16" max="16" width="16.88671875" style="288" customWidth="1"/>
    <col min="17" max="18" width="13.44140625" style="288" customWidth="1"/>
    <col min="19" max="19" width="14" style="288" customWidth="1"/>
    <col min="20" max="20" width="12.6640625" style="288" customWidth="1"/>
    <col min="21" max="21" width="13.88671875" style="288" customWidth="1"/>
    <col min="22" max="22" width="12.33203125" style="288" customWidth="1"/>
    <col min="23" max="23" width="13.44140625" style="288" customWidth="1"/>
    <col min="24" max="24" width="12.44140625" style="288" customWidth="1"/>
    <col min="25" max="25" width="14.109375" style="288" customWidth="1"/>
    <col min="26" max="26" width="12.44140625" style="288" customWidth="1"/>
    <col min="27" max="27" width="13.109375" style="288" customWidth="1"/>
    <col min="28" max="28" width="12.6640625" style="288" customWidth="1"/>
    <col min="29" max="16384" width="9.109375" style="288"/>
  </cols>
  <sheetData>
    <row r="1" spans="1:20" ht="25.8" x14ac:dyDescent="0.5">
      <c r="A1" s="689"/>
      <c r="B1" s="689"/>
      <c r="C1" s="689"/>
      <c r="D1" s="689"/>
      <c r="E1" s="689"/>
      <c r="F1" s="689"/>
      <c r="G1" s="689"/>
    </row>
    <row r="2" spans="1:20" x14ac:dyDescent="0.3">
      <c r="A2" s="493" t="s">
        <v>377</v>
      </c>
      <c r="B2" s="492">
        <f>допущения!C44</f>
        <v>0.16415094339622635</v>
      </c>
      <c r="C2" s="303"/>
      <c r="D2" s="304"/>
      <c r="E2" s="304"/>
      <c r="F2" s="304"/>
    </row>
    <row r="3" spans="1:20" ht="24.75" customHeight="1" x14ac:dyDescent="0.3">
      <c r="A3" s="336" t="s">
        <v>378</v>
      </c>
      <c r="B3" s="305">
        <v>0</v>
      </c>
      <c r="C3" s="305">
        <f>B3+1</f>
        <v>1</v>
      </c>
      <c r="D3" s="305">
        <f t="shared" ref="D3:L3" si="0">C3+1</f>
        <v>2</v>
      </c>
      <c r="E3" s="305">
        <f t="shared" si="0"/>
        <v>3</v>
      </c>
      <c r="F3" s="305">
        <f t="shared" si="0"/>
        <v>4</v>
      </c>
      <c r="G3" s="305">
        <f t="shared" si="0"/>
        <v>5</v>
      </c>
      <c r="H3" s="305">
        <f t="shared" si="0"/>
        <v>6</v>
      </c>
      <c r="I3" s="305">
        <f t="shared" si="0"/>
        <v>7</v>
      </c>
      <c r="J3" s="305">
        <f t="shared" si="0"/>
        <v>8</v>
      </c>
      <c r="K3" s="305">
        <f t="shared" si="0"/>
        <v>9</v>
      </c>
      <c r="L3" s="305">
        <f t="shared" si="0"/>
        <v>10</v>
      </c>
      <c r="M3" s="304" t="s">
        <v>266</v>
      </c>
      <c r="N3" s="304" t="s">
        <v>266</v>
      </c>
    </row>
    <row r="4" spans="1:20" x14ac:dyDescent="0.3">
      <c r="A4" s="488" t="s">
        <v>51</v>
      </c>
      <c r="B4" s="489" t="str">
        <f>'Расходы ТОР'!B25</f>
        <v>1 год</v>
      </c>
      <c r="C4" s="489" t="str">
        <f>'Фин результат ТОР'!C18</f>
        <v>2 год</v>
      </c>
      <c r="D4" s="489" t="str">
        <f>'Фин результат ТОР'!D18</f>
        <v>3 год</v>
      </c>
      <c r="E4" s="489" t="str">
        <f>'Фин результат ТОР'!E18</f>
        <v>4 год</v>
      </c>
      <c r="F4" s="489" t="str">
        <f>'Фин результат ТОР'!F18</f>
        <v>5 год</v>
      </c>
      <c r="G4" s="489" t="str">
        <f>'Фин результат ТОР'!G18</f>
        <v>6 год</v>
      </c>
      <c r="H4" s="489" t="str">
        <f>'Фин результат ТОР'!H18</f>
        <v>7 год</v>
      </c>
      <c r="I4" s="489" t="str">
        <f>'Фин результат ТОР'!I18</f>
        <v>8 год</v>
      </c>
      <c r="J4" s="489" t="str">
        <f>'Фин результат ТОР'!J18</f>
        <v>9 год</v>
      </c>
      <c r="K4" s="489" t="str">
        <f>'Фин результат ТОР'!K18</f>
        <v>10 год</v>
      </c>
      <c r="L4" s="489" t="str">
        <f>'Фин результат ТОР'!L18</f>
        <v>11 год</v>
      </c>
      <c r="M4" s="490" t="s">
        <v>19</v>
      </c>
      <c r="N4" s="491" t="s">
        <v>267</v>
      </c>
    </row>
    <row r="5" spans="1:20" x14ac:dyDescent="0.3">
      <c r="A5" s="302" t="str">
        <f>'Фин результат ТОР'!A19</f>
        <v>Выручка</v>
      </c>
      <c r="B5" s="306">
        <f>'Фин результат ТОР'!B19</f>
        <v>0</v>
      </c>
      <c r="C5" s="306">
        <f>'Фин результат ТОР'!C19</f>
        <v>64821.120000000003</v>
      </c>
      <c r="D5" s="306">
        <f>'Фин результат ТОР'!D19</f>
        <v>84135.16800000002</v>
      </c>
      <c r="E5" s="306">
        <f>'Фин результат ТОР'!E19</f>
        <v>107019.93369600002</v>
      </c>
      <c r="F5" s="306">
        <f>'Фин результат ТОР'!F19</f>
        <v>120531.20032512002</v>
      </c>
      <c r="G5" s="307">
        <f>'Фин результат ТОР'!G19</f>
        <v>135278.54718842887</v>
      </c>
      <c r="H5" s="306">
        <f>'Фин результат ТОР'!H19</f>
        <v>151361.66335416431</v>
      </c>
      <c r="I5" s="306">
        <f>'Фин результат ТОР'!I19</f>
        <v>168887.75068990968</v>
      </c>
      <c r="J5" s="306">
        <f>'Фин результат ТОР'!J19</f>
        <v>179021.01573130427</v>
      </c>
      <c r="K5" s="306">
        <f>'Фин результат ТОР'!K19</f>
        <v>189762.27667518248</v>
      </c>
      <c r="L5" s="307">
        <f>'Фин результат ТОР'!L19</f>
        <v>201148.01327569343</v>
      </c>
      <c r="M5" s="308">
        <f t="shared" ref="M5:M12" si="1">SUM(B5:K5)</f>
        <v>1200818.6756601096</v>
      </c>
      <c r="N5" s="308">
        <f t="shared" ref="N5:N12" si="2">AVERAGE(B5:K5)</f>
        <v>120081.86756601096</v>
      </c>
    </row>
    <row r="6" spans="1:20" ht="28.8" x14ac:dyDescent="0.3">
      <c r="A6" s="302" t="str">
        <f>'Фин результат ТОР'!A20</f>
        <v>Расходы основной деятельности</v>
      </c>
      <c r="B6" s="306">
        <f>'Фин результат ТОР'!B20</f>
        <v>256.99927836249998</v>
      </c>
      <c r="C6" s="306">
        <f>'Фин результат ТОР'!C20</f>
        <v>50202.689936784271</v>
      </c>
      <c r="D6" s="306">
        <f>'Фин результат ТОР'!D20</f>
        <v>65782.781538217998</v>
      </c>
      <c r="E6" s="306">
        <f>'Фин результат ТОР'!E20</f>
        <v>76784.558202548593</v>
      </c>
      <c r="F6" s="306">
        <f>'Фин результат ТОР'!F20</f>
        <v>82212.62710206394</v>
      </c>
      <c r="G6" s="307">
        <f>'Фин результат ТОР'!G20</f>
        <v>87969.347602304493</v>
      </c>
      <c r="H6" s="306">
        <f>'Фин результат ТОР'!H20</f>
        <v>94137.736708534445</v>
      </c>
      <c r="I6" s="306">
        <f>'Фин результат ТОР'!I20</f>
        <v>100483.64459403646</v>
      </c>
      <c r="J6" s="306">
        <f>'Фин результат ТОР'!J20</f>
        <v>103066.52880032943</v>
      </c>
      <c r="K6" s="306">
        <f>'Фин результат ТОР'!K20</f>
        <v>105787.8850230595</v>
      </c>
      <c r="L6" s="306">
        <f>'Фин результат ТОР'!L20</f>
        <v>108058.83567649501</v>
      </c>
      <c r="M6" s="308">
        <f t="shared" si="1"/>
        <v>766684.79878624156</v>
      </c>
      <c r="N6" s="308">
        <f t="shared" si="2"/>
        <v>76668.479878624159</v>
      </c>
    </row>
    <row r="7" spans="1:20" ht="30.75" customHeight="1" x14ac:dyDescent="0.3">
      <c r="A7" s="302" t="str">
        <f>'Фин результат ТОР'!A26</f>
        <v>Чистая прибыль (убыток)</v>
      </c>
      <c r="B7" s="306">
        <f>'Фин результат ТОР'!B26</f>
        <v>-1762.9069387734844</v>
      </c>
      <c r="C7" s="307">
        <f>'Фин результат ТОР'!C26</f>
        <v>10516.478339790647</v>
      </c>
      <c r="D7" s="307">
        <f>'Фин результат ТОР'!D26</f>
        <v>14968.047689969308</v>
      </c>
      <c r="E7" s="307">
        <f>'Фин результат ТОР'!E26</f>
        <v>27709.027806662612</v>
      </c>
      <c r="F7" s="306">
        <f>'Фин результат ТОР'!F26</f>
        <v>36818.055268473836</v>
      </c>
      <c r="G7" s="307">
        <f>'Фин результат ТОР'!G26</f>
        <v>46976.319419667307</v>
      </c>
      <c r="H7" s="306">
        <f>'Фин результат ТОР'!H26</f>
        <v>51527.748356066862</v>
      </c>
      <c r="I7" s="306">
        <f>'Фин результат ТОР'!I26</f>
        <v>61589.290194619221</v>
      </c>
      <c r="J7" s="306">
        <f>'Фин результат ТОР'!J26</f>
        <v>68384.013279544044</v>
      </c>
      <c r="K7" s="306">
        <f>'Фин результат ТОР'!K26</f>
        <v>75601.307861910682</v>
      </c>
      <c r="L7" s="306">
        <f>'Фин результат ТОР'!L26</f>
        <v>83803.995547611892</v>
      </c>
      <c r="M7" s="308">
        <f t="shared" si="1"/>
        <v>392327.38127793104</v>
      </c>
      <c r="N7" s="308">
        <f t="shared" si="2"/>
        <v>39232.738127793105</v>
      </c>
      <c r="T7" s="309"/>
    </row>
    <row r="8" spans="1:20" ht="33" customHeight="1" x14ac:dyDescent="0.3">
      <c r="A8" s="302" t="str">
        <f>'Фин результат ТОР'!A27</f>
        <v>На выплату основного долга</v>
      </c>
      <c r="B8" s="306">
        <f>'Фин результат ТОР'!B27</f>
        <v>1084.2219371541419</v>
      </c>
      <c r="C8" s="306">
        <f>'Фин результат ТОР'!C27</f>
        <v>3668.4370692702983</v>
      </c>
      <c r="D8" s="307">
        <f>'Фин результат ТОР'!D27</f>
        <v>4386.050020882667</v>
      </c>
      <c r="E8" s="307">
        <f>'Фин результат ТОР'!E27</f>
        <v>5244.0411059065618</v>
      </c>
      <c r="F8" s="307">
        <f>'Фин результат ТОР'!F27</f>
        <v>6269.87083811313</v>
      </c>
      <c r="G8" s="307">
        <f>'Фин результат ТОР'!G27</f>
        <v>4847.3790286731837</v>
      </c>
      <c r="H8" s="306">
        <f>'Фин результат ТОР'!H27</f>
        <v>0</v>
      </c>
      <c r="I8" s="306">
        <f>'Фин результат ТОР'!I27</f>
        <v>0</v>
      </c>
      <c r="J8" s="306">
        <f>'Фин результат ТОР'!J27</f>
        <v>0</v>
      </c>
      <c r="K8" s="306">
        <f>'Фин результат ТОР'!K27</f>
        <v>0</v>
      </c>
      <c r="L8" s="306">
        <f>'Фин результат ТОР'!L27</f>
        <v>0</v>
      </c>
      <c r="M8" s="308">
        <f t="shared" si="1"/>
        <v>25499.999999999985</v>
      </c>
      <c r="N8" s="308">
        <f t="shared" si="2"/>
        <v>2549.9999999999986</v>
      </c>
    </row>
    <row r="9" spans="1:20" ht="29.25" customHeight="1" x14ac:dyDescent="0.3">
      <c r="A9" s="302" t="str">
        <f>'Фин результат ТОР'!A21</f>
        <v>Расходование инвестиций</v>
      </c>
      <c r="B9" s="306">
        <f>'Фин результат ТОР'!B21</f>
        <v>34280</v>
      </c>
      <c r="C9" s="306">
        <f>'Фин результат ТОР'!C21</f>
        <v>0</v>
      </c>
      <c r="D9" s="306">
        <f>'Фин результат ТОР'!D21</f>
        <v>0</v>
      </c>
      <c r="E9" s="306">
        <f>'Фин результат ТОР'!E21</f>
        <v>0</v>
      </c>
      <c r="F9" s="306">
        <f>'Фин результат ТОР'!F21</f>
        <v>0</v>
      </c>
      <c r="G9" s="307">
        <f>'Фин результат ТОР'!G21</f>
        <v>0</v>
      </c>
      <c r="H9" s="306">
        <f>'Фин результат ТОР'!H21</f>
        <v>0</v>
      </c>
      <c r="I9" s="306">
        <f>'Фин результат ТОР'!I21</f>
        <v>0</v>
      </c>
      <c r="J9" s="306">
        <f>'Фин результат ТОР'!J21</f>
        <v>0</v>
      </c>
      <c r="K9" s="306">
        <f>'Фин результат ТОР'!K21</f>
        <v>0</v>
      </c>
      <c r="L9" s="306">
        <f>'Фин результат ТОР'!L21</f>
        <v>0</v>
      </c>
      <c r="M9" s="308">
        <f t="shared" si="1"/>
        <v>34280</v>
      </c>
      <c r="N9" s="308">
        <f t="shared" si="2"/>
        <v>3428</v>
      </c>
      <c r="T9" s="309"/>
    </row>
    <row r="10" spans="1:20" ht="29.25" customHeight="1" x14ac:dyDescent="0.3">
      <c r="A10" s="497" t="s">
        <v>268</v>
      </c>
      <c r="B10" s="498"/>
      <c r="C10" s="498"/>
      <c r="D10" s="498"/>
      <c r="E10" s="498"/>
      <c r="F10" s="498"/>
      <c r="G10" s="499"/>
      <c r="H10" s="498"/>
      <c r="I10" s="498"/>
      <c r="J10" s="498"/>
      <c r="K10" s="498"/>
      <c r="L10" s="498"/>
      <c r="M10" s="308"/>
      <c r="N10" s="308"/>
      <c r="T10" s="309"/>
    </row>
    <row r="11" spans="1:20" ht="30.6" customHeight="1" x14ac:dyDescent="0.3">
      <c r="A11" s="302" t="s">
        <v>269</v>
      </c>
      <c r="B11" s="306">
        <f>B9</f>
        <v>34280</v>
      </c>
      <c r="C11" s="306">
        <f>C9</f>
        <v>0</v>
      </c>
      <c r="D11" s="306">
        <f t="shared" ref="D11:L11" si="3">D9/(1+$B$2)^C3</f>
        <v>0</v>
      </c>
      <c r="E11" s="306">
        <f t="shared" si="3"/>
        <v>0</v>
      </c>
      <c r="F11" s="306">
        <f t="shared" si="3"/>
        <v>0</v>
      </c>
      <c r="G11" s="307">
        <f t="shared" si="3"/>
        <v>0</v>
      </c>
      <c r="H11" s="306">
        <f t="shared" si="3"/>
        <v>0</v>
      </c>
      <c r="I11" s="306">
        <f t="shared" si="3"/>
        <v>0</v>
      </c>
      <c r="J11" s="306">
        <f t="shared" si="3"/>
        <v>0</v>
      </c>
      <c r="K11" s="306">
        <f t="shared" si="3"/>
        <v>0</v>
      </c>
      <c r="L11" s="306">
        <f t="shared" si="3"/>
        <v>0</v>
      </c>
      <c r="M11" s="308">
        <f t="shared" si="1"/>
        <v>34280</v>
      </c>
      <c r="N11" s="308">
        <f t="shared" si="2"/>
        <v>3428</v>
      </c>
    </row>
    <row r="12" spans="1:20" ht="29.25" customHeight="1" x14ac:dyDescent="0.3">
      <c r="A12" s="497" t="s">
        <v>270</v>
      </c>
      <c r="B12" s="498">
        <f>B7</f>
        <v>-1762.9069387734844</v>
      </c>
      <c r="C12" s="498">
        <f>C7/(1+$B$2)^C3</f>
        <v>9033.6037602739761</v>
      </c>
      <c r="D12" s="498">
        <f>D7/(1+$B$2)^D3</f>
        <v>11044.512964946136</v>
      </c>
      <c r="E12" s="498">
        <f>E7/(1+$B$2)^E3</f>
        <v>17562.785823606075</v>
      </c>
      <c r="F12" s="498">
        <f>F7/(1+$B$2)^F3</f>
        <v>20045.812673213219</v>
      </c>
      <c r="G12" s="499">
        <f>(G7+G10)/(1+$B$2)^G3</f>
        <v>21970.124337624726</v>
      </c>
      <c r="H12" s="498">
        <f>H7/(1+$B$2)^H3</f>
        <v>20700.717498679194</v>
      </c>
      <c r="I12" s="498">
        <f>I7/(1+$B$2)^I3</f>
        <v>21253.973655300411</v>
      </c>
      <c r="J12" s="498">
        <f>J7/(1+$B$2)^J3</f>
        <v>20271.23598045528</v>
      </c>
      <c r="K12" s="498">
        <f>K7/(1+$B$2)^K3</f>
        <v>19250.661553590937</v>
      </c>
      <c r="L12" s="498">
        <f>L7/(1+$B$2)^L3</f>
        <v>18330.393191393778</v>
      </c>
      <c r="M12" s="308">
        <f t="shared" si="1"/>
        <v>159370.52130891648</v>
      </c>
      <c r="N12" s="308">
        <f t="shared" si="2"/>
        <v>15937.052130891647</v>
      </c>
    </row>
    <row r="13" spans="1:20" ht="29.25" customHeight="1" x14ac:dyDescent="0.3">
      <c r="A13" s="640" t="s">
        <v>504</v>
      </c>
      <c r="B13" s="641">
        <f>B7-B9</f>
        <v>-36042.906938773485</v>
      </c>
      <c r="C13" s="641">
        <f>C7-C9</f>
        <v>10516.478339790647</v>
      </c>
      <c r="D13" s="641">
        <f t="shared" ref="D13:L13" si="4">D7-D9</f>
        <v>14968.047689969308</v>
      </c>
      <c r="E13" s="641">
        <f t="shared" si="4"/>
        <v>27709.027806662612</v>
      </c>
      <c r="F13" s="641">
        <f t="shared" si="4"/>
        <v>36818.055268473836</v>
      </c>
      <c r="G13" s="641">
        <f t="shared" si="4"/>
        <v>46976.319419667307</v>
      </c>
      <c r="H13" s="641">
        <f t="shared" si="4"/>
        <v>51527.748356066862</v>
      </c>
      <c r="I13" s="641">
        <f t="shared" si="4"/>
        <v>61589.290194619221</v>
      </c>
      <c r="J13" s="641">
        <f t="shared" si="4"/>
        <v>68384.013279544044</v>
      </c>
      <c r="K13" s="641">
        <f t="shared" si="4"/>
        <v>75601.307861910682</v>
      </c>
      <c r="L13" s="641">
        <f t="shared" si="4"/>
        <v>83803.995547611892</v>
      </c>
      <c r="M13" s="639"/>
      <c r="N13" s="639"/>
    </row>
    <row r="14" spans="1:20" ht="29.25" customHeight="1" x14ac:dyDescent="0.3">
      <c r="A14" s="640" t="s">
        <v>505</v>
      </c>
      <c r="B14" s="641">
        <v>1</v>
      </c>
      <c r="C14" s="641">
        <f>B14/(1+$B$2)</f>
        <v>0.85899513776337122</v>
      </c>
      <c r="D14" s="641">
        <f>C14/(1+$B$2)</f>
        <v>0.73787264670111319</v>
      </c>
      <c r="E14" s="641">
        <f>D14/(1+$B$2)</f>
        <v>0.63382901580484607</v>
      </c>
      <c r="F14" s="641">
        <f t="shared" ref="F14:K14" si="5">E14/(1+$B$2)</f>
        <v>0.54445604274970583</v>
      </c>
      <c r="G14" s="641">
        <f t="shared" si="5"/>
        <v>0.4676850934478835</v>
      </c>
      <c r="H14" s="641">
        <f>G14/(1+$B$2)</f>
        <v>0.40173922127613987</v>
      </c>
      <c r="I14" s="641">
        <f t="shared" si="5"/>
        <v>0.34509203772504726</v>
      </c>
      <c r="J14" s="641">
        <f t="shared" si="5"/>
        <v>0.29643238248666948</v>
      </c>
      <c r="K14" s="641">
        <f t="shared" si="5"/>
        <v>0.25463397523166104</v>
      </c>
      <c r="L14" s="641">
        <f>K14/(1+$B$2)</f>
        <v>0.21872934663335553</v>
      </c>
      <c r="M14" s="639"/>
      <c r="N14" s="639"/>
    </row>
    <row r="15" spans="1:20" ht="29.25" customHeight="1" x14ac:dyDescent="0.3">
      <c r="A15" s="640" t="s">
        <v>506</v>
      </c>
      <c r="B15" s="641">
        <f>B13*B14</f>
        <v>-36042.906938773485</v>
      </c>
      <c r="C15" s="641">
        <f>C13*C14</f>
        <v>9033.6037602739761</v>
      </c>
      <c r="D15" s="641">
        <f t="shared" ref="D15:L15" si="6">D13*D14</f>
        <v>11044.512964946136</v>
      </c>
      <c r="E15" s="641">
        <f t="shared" si="6"/>
        <v>17562.785823606075</v>
      </c>
      <c r="F15" s="641">
        <f t="shared" si="6"/>
        <v>20045.812673213222</v>
      </c>
      <c r="G15" s="641">
        <f t="shared" si="6"/>
        <v>21970.124337624729</v>
      </c>
      <c r="H15" s="641">
        <f t="shared" si="6"/>
        <v>20700.717498679198</v>
      </c>
      <c r="I15" s="641">
        <f t="shared" si="6"/>
        <v>21253.973655300419</v>
      </c>
      <c r="J15" s="641">
        <f t="shared" si="6"/>
        <v>20271.235980455283</v>
      </c>
      <c r="K15" s="641">
        <f t="shared" si="6"/>
        <v>19250.661553590944</v>
      </c>
      <c r="L15" s="641">
        <f t="shared" si="6"/>
        <v>18330.393191393785</v>
      </c>
      <c r="M15" s="639"/>
      <c r="N15" s="639"/>
    </row>
    <row r="16" spans="1:20" ht="43.5" customHeight="1" x14ac:dyDescent="0.3">
      <c r="A16" s="302" t="s">
        <v>271</v>
      </c>
      <c r="B16" s="306">
        <f>B12</f>
        <v>-1762.9069387734844</v>
      </c>
      <c r="C16" s="306">
        <f>C12</f>
        <v>9033.6037602739761</v>
      </c>
      <c r="D16" s="306">
        <f>D12+C16</f>
        <v>20078.116725220112</v>
      </c>
      <c r="E16" s="306">
        <f t="shared" ref="E16:K16" si="7">E12+D16</f>
        <v>37640.902548826183</v>
      </c>
      <c r="F16" s="306">
        <f t="shared" si="7"/>
        <v>57686.715222039405</v>
      </c>
      <c r="G16" s="307">
        <f>G12+F16</f>
        <v>79656.839559664135</v>
      </c>
      <c r="H16" s="307">
        <f t="shared" si="7"/>
        <v>100357.55705834333</v>
      </c>
      <c r="I16" s="306">
        <f t="shared" si="7"/>
        <v>121611.53071364373</v>
      </c>
      <c r="J16" s="306">
        <f t="shared" si="7"/>
        <v>141882.766694099</v>
      </c>
      <c r="K16" s="306">
        <f t="shared" si="7"/>
        <v>161133.42824768994</v>
      </c>
      <c r="L16" s="306">
        <f>L12+K16</f>
        <v>179463.82143908372</v>
      </c>
    </row>
    <row r="17" spans="1:30" ht="29.25" customHeight="1" x14ac:dyDescent="0.3">
      <c r="A17" s="302" t="s">
        <v>272</v>
      </c>
      <c r="B17" s="306">
        <f>B12-B11</f>
        <v>-36042.906938773485</v>
      </c>
      <c r="C17" s="306">
        <f>C12-C11</f>
        <v>9033.6037602739761</v>
      </c>
      <c r="D17" s="306">
        <f t="shared" ref="D17:L17" si="8">D12-D11</f>
        <v>11044.512964946136</v>
      </c>
      <c r="E17" s="306">
        <f t="shared" si="8"/>
        <v>17562.785823606075</v>
      </c>
      <c r="F17" s="307">
        <f t="shared" si="8"/>
        <v>20045.812673213219</v>
      </c>
      <c r="G17" s="307">
        <f>G12-G11</f>
        <v>21970.124337624726</v>
      </c>
      <c r="H17" s="306">
        <f t="shared" si="8"/>
        <v>20700.717498679194</v>
      </c>
      <c r="I17" s="306">
        <f t="shared" si="8"/>
        <v>21253.973655300411</v>
      </c>
      <c r="J17" s="306">
        <f t="shared" si="8"/>
        <v>20271.23598045528</v>
      </c>
      <c r="K17" s="306">
        <f t="shared" si="8"/>
        <v>19250.661553590937</v>
      </c>
      <c r="L17" s="306">
        <f t="shared" si="8"/>
        <v>18330.393191393778</v>
      </c>
      <c r="P17" s="310"/>
      <c r="Q17" s="310"/>
      <c r="R17" s="310"/>
      <c r="S17" s="310"/>
      <c r="T17" s="310"/>
      <c r="U17" s="310"/>
      <c r="V17" s="310"/>
      <c r="W17" s="310"/>
      <c r="X17" s="310"/>
      <c r="Y17" s="310"/>
      <c r="Z17" s="310"/>
      <c r="AA17" s="310"/>
      <c r="AB17" s="310"/>
    </row>
    <row r="18" spans="1:30" ht="28.8" x14ac:dyDescent="0.3">
      <c r="A18" s="302" t="s">
        <v>273</v>
      </c>
      <c r="B18" s="306">
        <f>B7-B8-B9</f>
        <v>-37127.128875927629</v>
      </c>
      <c r="C18" s="306">
        <f>C7-C8-C9</f>
        <v>6848.0412705203489</v>
      </c>
      <c r="D18" s="307">
        <f t="shared" ref="D18:L18" si="9">D7-D8-D9</f>
        <v>10581.997669086641</v>
      </c>
      <c r="E18" s="307">
        <f t="shared" si="9"/>
        <v>22464.98670075605</v>
      </c>
      <c r="F18" s="307">
        <f t="shared" si="9"/>
        <v>30548.184430360707</v>
      </c>
      <c r="G18" s="307">
        <f>G10+G7-G8-G9</f>
        <v>42128.940390994125</v>
      </c>
      <c r="H18" s="311">
        <f t="shared" si="9"/>
        <v>51527.748356066862</v>
      </c>
      <c r="I18" s="306">
        <f t="shared" si="9"/>
        <v>61589.290194619221</v>
      </c>
      <c r="J18" s="306">
        <f>J7-J8-J9</f>
        <v>68384.013279544044</v>
      </c>
      <c r="K18" s="306">
        <f t="shared" si="9"/>
        <v>75601.307861910682</v>
      </c>
      <c r="L18" s="306">
        <f t="shared" si="9"/>
        <v>83803.995547611892</v>
      </c>
      <c r="P18" s="310"/>
      <c r="Q18" s="310"/>
      <c r="R18" s="310"/>
      <c r="S18" s="310"/>
      <c r="T18" s="310"/>
      <c r="U18" s="310"/>
      <c r="V18" s="310"/>
      <c r="W18" s="310"/>
      <c r="X18" s="310"/>
      <c r="Y18" s="310"/>
      <c r="Z18" s="310"/>
      <c r="AA18" s="310"/>
      <c r="AB18" s="310"/>
      <c r="AC18" s="309"/>
      <c r="AD18" s="309"/>
    </row>
    <row r="19" spans="1:30" ht="46.5" customHeight="1" x14ac:dyDescent="0.3">
      <c r="A19" s="302" t="s">
        <v>274</v>
      </c>
      <c r="B19" s="306">
        <f>B18</f>
        <v>-37127.128875927629</v>
      </c>
      <c r="C19" s="306">
        <f>C18+B19</f>
        <v>-30279.08760540728</v>
      </c>
      <c r="D19" s="306">
        <f>C19+D18</f>
        <v>-19697.089936320641</v>
      </c>
      <c r="E19" s="644">
        <f>D19+E18</f>
        <v>2767.8967644354088</v>
      </c>
      <c r="F19" s="311">
        <f>E19+F18</f>
        <v>33316.081194796119</v>
      </c>
      <c r="G19" s="307">
        <f>F19+G18</f>
        <v>75445.021585790237</v>
      </c>
      <c r="H19" s="307">
        <f t="shared" ref="H19:L19" si="10">G19+H18</f>
        <v>126972.7699418571</v>
      </c>
      <c r="I19" s="311">
        <f t="shared" si="10"/>
        <v>188562.06013647633</v>
      </c>
      <c r="J19" s="307">
        <f t="shared" si="10"/>
        <v>256946.07341602037</v>
      </c>
      <c r="K19" s="307">
        <f>J19+K18</f>
        <v>332547.38127793104</v>
      </c>
      <c r="L19" s="307">
        <f t="shared" si="10"/>
        <v>416351.37682554295</v>
      </c>
    </row>
    <row r="20" spans="1:30" ht="43.2" x14ac:dyDescent="0.3">
      <c r="A20" s="302" t="s">
        <v>275</v>
      </c>
      <c r="B20" s="306">
        <f>B18</f>
        <v>-37127.128875927629</v>
      </c>
      <c r="C20" s="306">
        <f>C18</f>
        <v>6848.0412705203489</v>
      </c>
      <c r="D20" s="306">
        <f t="shared" ref="D20:L20" si="11">D18/(1+$B$2)^C3</f>
        <v>9089.8845455687515</v>
      </c>
      <c r="E20" s="306">
        <f t="shared" si="11"/>
        <v>16576.299194992174</v>
      </c>
      <c r="F20" s="306">
        <f t="shared" si="11"/>
        <v>19362.325672120449</v>
      </c>
      <c r="G20" s="307">
        <f t="shared" si="11"/>
        <v>22937.356170518902</v>
      </c>
      <c r="H20" s="306">
        <f t="shared" si="11"/>
        <v>24098.759805066155</v>
      </c>
      <c r="I20" s="307">
        <f t="shared" si="11"/>
        <v>24742.833481736518</v>
      </c>
      <c r="J20" s="306">
        <f t="shared" si="11"/>
        <v>23598.778490454537</v>
      </c>
      <c r="K20" s="307">
        <f t="shared" si="11"/>
        <v>22410.675808614353</v>
      </c>
      <c r="L20" s="307">
        <f t="shared" si="11"/>
        <v>21339.344526584828</v>
      </c>
    </row>
    <row r="21" spans="1:30" ht="28.8" x14ac:dyDescent="0.3">
      <c r="A21" s="495" t="s">
        <v>276</v>
      </c>
      <c r="B21" s="306">
        <f>NPV(B2,C15:L15)+B15</f>
        <v>42758.510917173997</v>
      </c>
      <c r="C21" s="306"/>
      <c r="D21" s="642"/>
      <c r="E21" s="642"/>
      <c r="F21" s="642"/>
      <c r="G21" s="643"/>
      <c r="H21" s="642"/>
      <c r="I21" s="643"/>
      <c r="J21" s="642"/>
      <c r="K21" s="643"/>
      <c r="L21" s="643"/>
    </row>
    <row r="22" spans="1:30" ht="32.25" customHeight="1" x14ac:dyDescent="0.3">
      <c r="A22" s="495" t="s">
        <v>276</v>
      </c>
      <c r="B22" s="312">
        <f>NPV(B2,C17:L17)+(B17)</f>
        <v>42758.510917173982</v>
      </c>
      <c r="C22" s="314" t="s">
        <v>277</v>
      </c>
      <c r="D22" s="315"/>
      <c r="E22" s="309"/>
      <c r="F22" s="317"/>
      <c r="G22" s="316"/>
      <c r="H22" s="316"/>
      <c r="I22" s="317"/>
      <c r="J22" s="316"/>
      <c r="K22" s="316"/>
      <c r="L22" s="316"/>
    </row>
    <row r="23" spans="1:30" ht="28.8" x14ac:dyDescent="0.3">
      <c r="A23" s="313" t="s">
        <v>278</v>
      </c>
      <c r="B23" s="318">
        <f>M7/M5</f>
        <v>0.32671658863255293</v>
      </c>
      <c r="C23" s="319"/>
    </row>
    <row r="24" spans="1:30" ht="28.8" x14ac:dyDescent="0.3">
      <c r="A24" s="313" t="s">
        <v>279</v>
      </c>
      <c r="B24" s="318">
        <f>M7/M6</f>
        <v>0.51171926442135618</v>
      </c>
      <c r="C24" s="319"/>
    </row>
    <row r="25" spans="1:30" ht="33" customHeight="1" x14ac:dyDescent="0.3">
      <c r="A25" s="494" t="s">
        <v>280</v>
      </c>
      <c r="B25" s="320">
        <f>B22/M11</f>
        <v>1.2473311236048419</v>
      </c>
      <c r="C25" s="314" t="s">
        <v>281</v>
      </c>
    </row>
    <row r="26" spans="1:30" ht="28.5" customHeight="1" x14ac:dyDescent="0.3">
      <c r="A26" s="496" t="s">
        <v>282</v>
      </c>
      <c r="B26" s="321">
        <f>IRR(B18:K18,B2)</f>
        <v>0.52826263743749968</v>
      </c>
      <c r="C26" s="288" t="s">
        <v>283</v>
      </c>
    </row>
    <row r="27" spans="1:30" ht="45" customHeight="1" x14ac:dyDescent="0.3">
      <c r="A27" s="496" t="s">
        <v>518</v>
      </c>
      <c r="B27" s="322">
        <f>M9/N7+E3</f>
        <v>3.873760069672922</v>
      </c>
    </row>
    <row r="28" spans="1:30" x14ac:dyDescent="0.3">
      <c r="A28" s="302"/>
      <c r="B28" s="323">
        <f>E3+(-F20+M11)/F19</f>
        <v>3.4477619753853177</v>
      </c>
      <c r="D28" s="309"/>
      <c r="F28" s="309"/>
    </row>
    <row r="29" spans="1:30" ht="30" customHeight="1" x14ac:dyDescent="0.3">
      <c r="A29" s="313" t="s">
        <v>284</v>
      </c>
      <c r="B29" s="324">
        <f>SUM(C18:L18)</f>
        <v>453478.5057014706</v>
      </c>
    </row>
    <row r="30" spans="1:30" ht="43.2" x14ac:dyDescent="0.3">
      <c r="A30" s="313" t="s">
        <v>285</v>
      </c>
      <c r="B30" s="318">
        <f>N7/M9</f>
        <v>1.1444789418842796</v>
      </c>
    </row>
    <row r="31" spans="1:30" ht="31.5" customHeight="1" x14ac:dyDescent="0.3">
      <c r="A31" s="313" t="s">
        <v>286</v>
      </c>
      <c r="B31" s="318">
        <f>M7/M9</f>
        <v>11.444789418842795</v>
      </c>
    </row>
    <row r="32" spans="1:30" ht="42.75" customHeight="1" x14ac:dyDescent="0.3"/>
    <row r="33" spans="1:12" x14ac:dyDescent="0.3">
      <c r="A33" s="326"/>
      <c r="B33" s="327" t="str">
        <f>B4</f>
        <v>1 год</v>
      </c>
      <c r="C33" s="327" t="str">
        <f t="shared" ref="C33:L33" si="12">C4</f>
        <v>2 год</v>
      </c>
      <c r="D33" s="327" t="str">
        <f t="shared" si="12"/>
        <v>3 год</v>
      </c>
      <c r="E33" s="327" t="str">
        <f t="shared" si="12"/>
        <v>4 год</v>
      </c>
      <c r="F33" s="327" t="str">
        <f t="shared" si="12"/>
        <v>5 год</v>
      </c>
      <c r="G33" s="327" t="str">
        <f t="shared" si="12"/>
        <v>6 год</v>
      </c>
      <c r="H33" s="327" t="str">
        <f t="shared" si="12"/>
        <v>7 год</v>
      </c>
      <c r="I33" s="327" t="str">
        <f t="shared" si="12"/>
        <v>8 год</v>
      </c>
      <c r="J33" s="327" t="str">
        <f t="shared" si="12"/>
        <v>9 год</v>
      </c>
      <c r="K33" s="327" t="str">
        <f t="shared" si="12"/>
        <v>10 год</v>
      </c>
      <c r="L33" s="327" t="str">
        <f t="shared" si="12"/>
        <v>11 год</v>
      </c>
    </row>
    <row r="34" spans="1:12" ht="28.8" x14ac:dyDescent="0.3">
      <c r="A34" s="325" t="s">
        <v>360</v>
      </c>
      <c r="B34" s="328">
        <f>B18/1000</f>
        <v>-37.127128875927632</v>
      </c>
      <c r="C34" s="328">
        <f t="shared" ref="C34:L34" si="13">C18/1000</f>
        <v>6.8480412705203486</v>
      </c>
      <c r="D34" s="328">
        <f t="shared" si="13"/>
        <v>10.58199766908664</v>
      </c>
      <c r="E34" s="328">
        <f t="shared" si="13"/>
        <v>22.46498670075605</v>
      </c>
      <c r="F34" s="328">
        <f t="shared" si="13"/>
        <v>30.548184430360706</v>
      </c>
      <c r="G34" s="328">
        <f t="shared" si="13"/>
        <v>42.128940390994124</v>
      </c>
      <c r="H34" s="328">
        <f t="shared" si="13"/>
        <v>51.527748356066866</v>
      </c>
      <c r="I34" s="328">
        <f t="shared" si="13"/>
        <v>61.589290194619224</v>
      </c>
      <c r="J34" s="328">
        <f t="shared" si="13"/>
        <v>68.38401327954405</v>
      </c>
      <c r="K34" s="328">
        <f t="shared" si="13"/>
        <v>75.601307861910684</v>
      </c>
      <c r="L34" s="328">
        <f t="shared" si="13"/>
        <v>83.803995547611891</v>
      </c>
    </row>
  </sheetData>
  <mergeCells count="1">
    <mergeCell ref="A1:G1"/>
  </mergeCells>
  <pageMargins left="0.7" right="0.7" top="0.75" bottom="0.75" header="0.3" footer="0.3"/>
  <pageSetup paperSize="9" firstPageNumber="2147483648"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2">
    <pageSetUpPr fitToPage="1"/>
  </sheetPr>
  <dimension ref="A1:J26"/>
  <sheetViews>
    <sheetView zoomScale="70" workbookViewId="0">
      <pane xSplit="1" topLeftCell="B1" activePane="topRight" state="frozen"/>
      <selection pane="topRight"/>
    </sheetView>
  </sheetViews>
  <sheetFormatPr defaultRowHeight="14.4" x14ac:dyDescent="0.3"/>
  <cols>
    <col min="1" max="1" width="26.5546875" style="53" customWidth="1"/>
    <col min="2" max="2" width="11.88671875" style="54" customWidth="1"/>
    <col min="3" max="3" width="13" style="55" customWidth="1"/>
    <col min="4" max="6" width="12.88671875" style="72" customWidth="1"/>
    <col min="10" max="10" width="11.109375" bestFit="1" customWidth="1"/>
  </cols>
  <sheetData>
    <row r="1" spans="1:10" x14ac:dyDescent="0.3">
      <c r="A1" s="93"/>
      <c r="B1" s="93"/>
      <c r="C1" s="93"/>
      <c r="D1" s="273"/>
      <c r="E1" s="273"/>
      <c r="F1" s="273"/>
      <c r="G1" s="274"/>
      <c r="H1" s="274"/>
      <c r="I1" s="274"/>
      <c r="J1" s="274"/>
    </row>
    <row r="2" spans="1:10" x14ac:dyDescent="0.3">
      <c r="A2" s="93"/>
      <c r="B2" s="93"/>
      <c r="C2" s="93"/>
      <c r="D2" s="275">
        <v>0.3</v>
      </c>
      <c r="E2" s="275"/>
      <c r="F2" s="275"/>
      <c r="G2" s="276"/>
      <c r="H2" s="276"/>
      <c r="I2" s="276"/>
      <c r="J2" s="276"/>
    </row>
    <row r="3" spans="1:10" s="63" customFormat="1" ht="55.2" x14ac:dyDescent="0.3">
      <c r="A3" s="184" t="s">
        <v>61</v>
      </c>
      <c r="B3" s="277" t="s">
        <v>37</v>
      </c>
      <c r="C3" s="213" t="s">
        <v>287</v>
      </c>
      <c r="D3" s="278" t="s">
        <v>288</v>
      </c>
      <c r="E3" s="278" t="s">
        <v>289</v>
      </c>
      <c r="F3" s="278" t="s">
        <v>290</v>
      </c>
      <c r="G3" s="278" t="s">
        <v>291</v>
      </c>
    </row>
    <row r="4" spans="1:10" x14ac:dyDescent="0.3">
      <c r="A4" s="184" t="s">
        <v>292</v>
      </c>
      <c r="B4" s="277" t="s">
        <v>293</v>
      </c>
      <c r="C4" s="213">
        <f>'объем работ 100% загр'!C4</f>
        <v>1.6E-2</v>
      </c>
      <c r="D4" s="72">
        <f>'объем работ 100% загр'!V4</f>
        <v>617500.00000000012</v>
      </c>
      <c r="E4" s="72">
        <f t="shared" ref="E4:E23" si="0">C4*D4</f>
        <v>9880.0000000000018</v>
      </c>
      <c r="F4" s="72">
        <f t="shared" ref="F4:F23" si="1">E4*3</f>
        <v>29640.000000000007</v>
      </c>
      <c r="G4">
        <f t="shared" ref="G4:G25" si="2">E4*3</f>
        <v>29640.000000000007</v>
      </c>
    </row>
    <row r="5" spans="1:10" ht="124.2" x14ac:dyDescent="0.3">
      <c r="A5" s="184" t="s">
        <v>294</v>
      </c>
      <c r="B5" s="277" t="s">
        <v>295</v>
      </c>
      <c r="C5" s="213">
        <f>'объем работ 100% загр'!C5</f>
        <v>0</v>
      </c>
      <c r="D5" s="72">
        <f>'объем работ 100% загр'!V5</f>
        <v>0</v>
      </c>
      <c r="E5" s="72">
        <f t="shared" si="0"/>
        <v>0</v>
      </c>
      <c r="F5" s="72">
        <f t="shared" si="1"/>
        <v>0</v>
      </c>
      <c r="G5">
        <f t="shared" si="2"/>
        <v>0</v>
      </c>
    </row>
    <row r="6" spans="1:10" ht="123.75" customHeight="1" x14ac:dyDescent="0.3">
      <c r="A6" s="184" t="s">
        <v>296</v>
      </c>
      <c r="B6" s="277" t="s">
        <v>295</v>
      </c>
      <c r="C6" s="213">
        <f>'объем работ 100% загр'!C6</f>
        <v>0</v>
      </c>
      <c r="D6" s="72">
        <f>'объем работ 100% загр'!V6</f>
        <v>0</v>
      </c>
      <c r="E6" s="72">
        <f t="shared" si="0"/>
        <v>0</v>
      </c>
      <c r="F6" s="72">
        <f t="shared" si="1"/>
        <v>0</v>
      </c>
      <c r="G6">
        <f t="shared" si="2"/>
        <v>0</v>
      </c>
    </row>
    <row r="7" spans="1:10" ht="55.2" x14ac:dyDescent="0.3">
      <c r="A7" s="184" t="s">
        <v>297</v>
      </c>
      <c r="B7" s="277" t="s">
        <v>298</v>
      </c>
      <c r="C7" s="213" t="e">
        <f t="shared" ref="C7:C25" si="3">'объем работ 100% загр'!#REF!</f>
        <v>#REF!</v>
      </c>
      <c r="D7" s="72" t="e">
        <f t="shared" ref="D7:D25" si="4">'объем работ 100% загр'!#REF!</f>
        <v>#REF!</v>
      </c>
      <c r="E7" s="72" t="e">
        <f t="shared" si="0"/>
        <v>#REF!</v>
      </c>
      <c r="F7" s="72" t="e">
        <f t="shared" si="1"/>
        <v>#REF!</v>
      </c>
      <c r="G7" t="e">
        <f t="shared" si="2"/>
        <v>#REF!</v>
      </c>
    </row>
    <row r="8" spans="1:10" ht="27.6" x14ac:dyDescent="0.3">
      <c r="A8" s="184" t="s">
        <v>299</v>
      </c>
      <c r="B8" s="277" t="s">
        <v>300</v>
      </c>
      <c r="C8" s="213" t="e">
        <f t="shared" si="3"/>
        <v>#REF!</v>
      </c>
      <c r="D8" s="72" t="e">
        <f t="shared" si="4"/>
        <v>#REF!</v>
      </c>
      <c r="E8" s="72" t="e">
        <f t="shared" si="0"/>
        <v>#REF!</v>
      </c>
      <c r="F8" s="72" t="e">
        <f t="shared" si="1"/>
        <v>#REF!</v>
      </c>
      <c r="G8" t="e">
        <f t="shared" si="2"/>
        <v>#REF!</v>
      </c>
    </row>
    <row r="9" spans="1:10" ht="27.6" x14ac:dyDescent="0.3">
      <c r="A9" s="184" t="s">
        <v>301</v>
      </c>
      <c r="B9" s="277" t="s">
        <v>302</v>
      </c>
      <c r="C9" s="213" t="e">
        <f t="shared" si="3"/>
        <v>#REF!</v>
      </c>
      <c r="D9" s="72" t="e">
        <f t="shared" si="4"/>
        <v>#REF!</v>
      </c>
      <c r="E9" s="72" t="e">
        <f t="shared" si="0"/>
        <v>#REF!</v>
      </c>
      <c r="F9" s="72" t="e">
        <f t="shared" si="1"/>
        <v>#REF!</v>
      </c>
      <c r="G9" t="e">
        <f t="shared" si="2"/>
        <v>#REF!</v>
      </c>
    </row>
    <row r="10" spans="1:10" ht="69" x14ac:dyDescent="0.3">
      <c r="A10" s="184" t="s">
        <v>303</v>
      </c>
      <c r="B10" s="277" t="s">
        <v>304</v>
      </c>
      <c r="C10" s="213" t="e">
        <f t="shared" si="3"/>
        <v>#REF!</v>
      </c>
      <c r="D10" s="72" t="e">
        <f t="shared" si="4"/>
        <v>#REF!</v>
      </c>
      <c r="E10" s="72" t="e">
        <f t="shared" si="0"/>
        <v>#REF!</v>
      </c>
      <c r="F10" s="72" t="e">
        <f t="shared" si="1"/>
        <v>#REF!</v>
      </c>
      <c r="G10" t="e">
        <f t="shared" si="2"/>
        <v>#REF!</v>
      </c>
    </row>
    <row r="11" spans="1:10" ht="69" x14ac:dyDescent="0.3">
      <c r="A11" s="184" t="s">
        <v>305</v>
      </c>
      <c r="B11" s="277" t="s">
        <v>306</v>
      </c>
      <c r="C11" s="213" t="e">
        <f t="shared" si="3"/>
        <v>#REF!</v>
      </c>
      <c r="D11" s="72" t="e">
        <f t="shared" si="4"/>
        <v>#REF!</v>
      </c>
      <c r="E11" s="72" t="e">
        <f t="shared" si="0"/>
        <v>#REF!</v>
      </c>
      <c r="F11" s="72" t="e">
        <f t="shared" si="1"/>
        <v>#REF!</v>
      </c>
      <c r="G11" t="e">
        <f t="shared" si="2"/>
        <v>#REF!</v>
      </c>
    </row>
    <row r="12" spans="1:10" ht="72" x14ac:dyDescent="0.3">
      <c r="A12" s="53" t="s">
        <v>307</v>
      </c>
      <c r="B12" s="277" t="s">
        <v>304</v>
      </c>
      <c r="C12" s="213" t="e">
        <f t="shared" si="3"/>
        <v>#REF!</v>
      </c>
      <c r="D12" s="72" t="e">
        <f t="shared" si="4"/>
        <v>#REF!</v>
      </c>
      <c r="E12" s="72" t="e">
        <f t="shared" si="0"/>
        <v>#REF!</v>
      </c>
      <c r="F12" s="72" t="e">
        <f t="shared" si="1"/>
        <v>#REF!</v>
      </c>
      <c r="G12" t="e">
        <f t="shared" si="2"/>
        <v>#REF!</v>
      </c>
    </row>
    <row r="13" spans="1:10" ht="72" x14ac:dyDescent="0.3">
      <c r="A13" s="53" t="s">
        <v>308</v>
      </c>
      <c r="B13" s="277" t="s">
        <v>306</v>
      </c>
      <c r="C13" s="213" t="e">
        <f t="shared" si="3"/>
        <v>#REF!</v>
      </c>
      <c r="D13" s="72" t="e">
        <f t="shared" si="4"/>
        <v>#REF!</v>
      </c>
      <c r="E13" s="72" t="e">
        <f t="shared" si="0"/>
        <v>#REF!</v>
      </c>
      <c r="F13" s="72" t="e">
        <f t="shared" si="1"/>
        <v>#REF!</v>
      </c>
      <c r="G13" t="e">
        <f t="shared" si="2"/>
        <v>#REF!</v>
      </c>
    </row>
    <row r="14" spans="1:10" ht="86.4" x14ac:dyDescent="0.3">
      <c r="A14" s="53" t="s">
        <v>309</v>
      </c>
      <c r="B14" s="277" t="s">
        <v>304</v>
      </c>
      <c r="C14" s="213" t="e">
        <f t="shared" si="3"/>
        <v>#REF!</v>
      </c>
      <c r="D14" s="72" t="e">
        <f t="shared" si="4"/>
        <v>#REF!</v>
      </c>
      <c r="E14" s="72" t="e">
        <f t="shared" si="0"/>
        <v>#REF!</v>
      </c>
      <c r="F14" s="72" t="e">
        <f t="shared" si="1"/>
        <v>#REF!</v>
      </c>
      <c r="G14" t="e">
        <f t="shared" si="2"/>
        <v>#REF!</v>
      </c>
    </row>
    <row r="15" spans="1:10" ht="86.4" x14ac:dyDescent="0.3">
      <c r="A15" s="53" t="s">
        <v>310</v>
      </c>
      <c r="B15" s="277" t="s">
        <v>306</v>
      </c>
      <c r="C15" s="213" t="e">
        <f t="shared" si="3"/>
        <v>#REF!</v>
      </c>
      <c r="D15" s="72" t="e">
        <f t="shared" si="4"/>
        <v>#REF!</v>
      </c>
      <c r="E15" s="72" t="e">
        <f t="shared" si="0"/>
        <v>#REF!</v>
      </c>
      <c r="F15" s="72" t="e">
        <f t="shared" si="1"/>
        <v>#REF!</v>
      </c>
      <c r="G15" t="e">
        <f t="shared" si="2"/>
        <v>#REF!</v>
      </c>
    </row>
    <row r="16" spans="1:10" ht="72" x14ac:dyDescent="0.3">
      <c r="A16" s="53" t="s">
        <v>311</v>
      </c>
      <c r="B16" s="277" t="s">
        <v>304</v>
      </c>
      <c r="C16" s="213" t="e">
        <f t="shared" si="3"/>
        <v>#REF!</v>
      </c>
      <c r="D16" s="72" t="e">
        <f t="shared" si="4"/>
        <v>#REF!</v>
      </c>
      <c r="E16" s="72" t="e">
        <f t="shared" si="0"/>
        <v>#REF!</v>
      </c>
      <c r="F16" s="72" t="e">
        <f t="shared" si="1"/>
        <v>#REF!</v>
      </c>
      <c r="G16" t="e">
        <f t="shared" si="2"/>
        <v>#REF!</v>
      </c>
    </row>
    <row r="17" spans="1:9" ht="72" x14ac:dyDescent="0.3">
      <c r="A17" s="53" t="s">
        <v>312</v>
      </c>
      <c r="B17" s="277" t="s">
        <v>306</v>
      </c>
      <c r="C17" s="213" t="e">
        <f t="shared" si="3"/>
        <v>#REF!</v>
      </c>
      <c r="D17" s="72" t="e">
        <f t="shared" si="4"/>
        <v>#REF!</v>
      </c>
      <c r="E17" s="72" t="e">
        <f t="shared" si="0"/>
        <v>#REF!</v>
      </c>
      <c r="F17" s="72" t="e">
        <f t="shared" si="1"/>
        <v>#REF!</v>
      </c>
      <c r="G17" t="e">
        <f t="shared" si="2"/>
        <v>#REF!</v>
      </c>
    </row>
    <row r="18" spans="1:9" ht="27.6" x14ac:dyDescent="0.3">
      <c r="A18" s="53" t="s">
        <v>313</v>
      </c>
      <c r="B18" s="277" t="s">
        <v>304</v>
      </c>
      <c r="C18" s="213" t="e">
        <f t="shared" si="3"/>
        <v>#REF!</v>
      </c>
      <c r="D18" s="72" t="e">
        <f t="shared" si="4"/>
        <v>#REF!</v>
      </c>
      <c r="E18" s="72" t="e">
        <f t="shared" si="0"/>
        <v>#REF!</v>
      </c>
      <c r="F18" s="72" t="e">
        <f t="shared" si="1"/>
        <v>#REF!</v>
      </c>
      <c r="G18" t="e">
        <f t="shared" si="2"/>
        <v>#REF!</v>
      </c>
    </row>
    <row r="19" spans="1:9" ht="72" x14ac:dyDescent="0.3">
      <c r="A19" s="53" t="s">
        <v>314</v>
      </c>
      <c r="B19" s="277" t="s">
        <v>315</v>
      </c>
      <c r="C19" s="213" t="e">
        <f t="shared" si="3"/>
        <v>#REF!</v>
      </c>
      <c r="D19" s="72" t="e">
        <f t="shared" si="4"/>
        <v>#REF!</v>
      </c>
      <c r="E19" s="72" t="e">
        <f t="shared" si="0"/>
        <v>#REF!</v>
      </c>
      <c r="F19" s="72" t="e">
        <f t="shared" si="1"/>
        <v>#REF!</v>
      </c>
      <c r="G19" t="e">
        <f t="shared" si="2"/>
        <v>#REF!</v>
      </c>
    </row>
    <row r="20" spans="1:9" ht="72" x14ac:dyDescent="0.3">
      <c r="A20" s="53" t="s">
        <v>316</v>
      </c>
      <c r="B20" s="277" t="s">
        <v>315</v>
      </c>
      <c r="C20" s="213" t="e">
        <f t="shared" si="3"/>
        <v>#REF!</v>
      </c>
      <c r="D20" s="72" t="e">
        <f t="shared" si="4"/>
        <v>#REF!</v>
      </c>
      <c r="E20" s="72" t="e">
        <f t="shared" si="0"/>
        <v>#REF!</v>
      </c>
      <c r="F20" s="72" t="e">
        <f t="shared" si="1"/>
        <v>#REF!</v>
      </c>
      <c r="G20" t="e">
        <f t="shared" si="2"/>
        <v>#REF!</v>
      </c>
    </row>
    <row r="21" spans="1:9" x14ac:dyDescent="0.3">
      <c r="A21" s="53" t="s">
        <v>317</v>
      </c>
      <c r="B21" s="54" t="s">
        <v>315</v>
      </c>
      <c r="C21" s="213" t="e">
        <f t="shared" si="3"/>
        <v>#REF!</v>
      </c>
      <c r="D21" s="72" t="e">
        <f t="shared" si="4"/>
        <v>#REF!</v>
      </c>
      <c r="E21" s="72" t="e">
        <f t="shared" si="0"/>
        <v>#REF!</v>
      </c>
      <c r="F21" s="72" t="e">
        <f t="shared" si="1"/>
        <v>#REF!</v>
      </c>
      <c r="G21" t="e">
        <f t="shared" si="2"/>
        <v>#REF!</v>
      </c>
    </row>
    <row r="22" spans="1:9" ht="28.8" x14ac:dyDescent="0.3">
      <c r="A22" s="53" t="s">
        <v>318</v>
      </c>
      <c r="B22" s="54" t="s">
        <v>315</v>
      </c>
      <c r="C22" s="213" t="e">
        <f t="shared" si="3"/>
        <v>#REF!</v>
      </c>
      <c r="D22" s="72" t="e">
        <f t="shared" si="4"/>
        <v>#REF!</v>
      </c>
      <c r="E22" s="72" t="e">
        <f t="shared" si="0"/>
        <v>#REF!</v>
      </c>
      <c r="F22" s="72" t="e">
        <f t="shared" si="1"/>
        <v>#REF!</v>
      </c>
      <c r="G22" t="e">
        <f t="shared" si="2"/>
        <v>#REF!</v>
      </c>
    </row>
    <row r="23" spans="1:9" ht="56.25" customHeight="1" x14ac:dyDescent="0.3">
      <c r="A23" s="53" t="s">
        <v>319</v>
      </c>
      <c r="B23" s="54" t="s">
        <v>320</v>
      </c>
      <c r="C23" s="213" t="e">
        <f t="shared" si="3"/>
        <v>#REF!</v>
      </c>
      <c r="D23" s="72" t="e">
        <f t="shared" si="4"/>
        <v>#REF!</v>
      </c>
      <c r="E23" s="72" t="e">
        <f t="shared" si="0"/>
        <v>#REF!</v>
      </c>
      <c r="F23" s="72" t="e">
        <f t="shared" si="1"/>
        <v>#REF!</v>
      </c>
      <c r="G23" t="e">
        <f t="shared" si="2"/>
        <v>#REF!</v>
      </c>
    </row>
    <row r="24" spans="1:9" s="53" customFormat="1" ht="56.25" customHeight="1" x14ac:dyDescent="0.3">
      <c r="A24" s="53" t="s">
        <v>321</v>
      </c>
      <c r="B24" s="53" t="s">
        <v>315</v>
      </c>
      <c r="C24" s="53" t="e">
        <f t="shared" si="3"/>
        <v>#REF!</v>
      </c>
      <c r="D24" s="72" t="e">
        <f t="shared" si="4"/>
        <v>#REF!</v>
      </c>
      <c r="E24" s="53" t="e">
        <f t="shared" ref="E24:E25" si="5">C24*D24</f>
        <v>#REF!</v>
      </c>
      <c r="F24" s="53" t="e">
        <f t="shared" ref="F24:F25" si="6">E24*3</f>
        <v>#REF!</v>
      </c>
      <c r="G24" t="e">
        <f t="shared" si="2"/>
        <v>#REF!</v>
      </c>
    </row>
    <row r="25" spans="1:9" s="53" customFormat="1" ht="56.25" customHeight="1" x14ac:dyDescent="0.3">
      <c r="A25" s="53" t="s">
        <v>322</v>
      </c>
      <c r="B25" s="53" t="s">
        <v>315</v>
      </c>
      <c r="C25" s="53" t="e">
        <f t="shared" si="3"/>
        <v>#REF!</v>
      </c>
      <c r="D25" s="72" t="e">
        <f t="shared" si="4"/>
        <v>#REF!</v>
      </c>
      <c r="E25" s="53" t="e">
        <f t="shared" si="5"/>
        <v>#REF!</v>
      </c>
      <c r="F25" s="53" t="e">
        <f t="shared" si="6"/>
        <v>#REF!</v>
      </c>
      <c r="G25" t="e">
        <f t="shared" si="2"/>
        <v>#REF!</v>
      </c>
      <c r="I25" s="279"/>
    </row>
    <row r="26" spans="1:9" x14ac:dyDescent="0.3">
      <c r="F26" s="72" t="e">
        <f>SUM(F4:F25)</f>
        <v>#REF!</v>
      </c>
      <c r="G26" t="e">
        <f>SUM(G4:G25)</f>
        <v>#REF!</v>
      </c>
    </row>
  </sheetData>
  <pageMargins left="0.7" right="0.7" top="0.75" bottom="0.75" header="0.3" footer="0.3"/>
  <pageSetup paperSize="8" scale="68" firstPageNumber="2147483648"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Лист3"/>
  <dimension ref="A1:J26"/>
  <sheetViews>
    <sheetView zoomScale="70" workbookViewId="0">
      <pane xSplit="1" topLeftCell="B1" activePane="topRight" state="frozen"/>
      <selection pane="topRight"/>
    </sheetView>
  </sheetViews>
  <sheetFormatPr defaultRowHeight="14.4" x14ac:dyDescent="0.3"/>
  <cols>
    <col min="1" max="1" width="26.5546875" style="53" customWidth="1"/>
    <col min="2" max="2" width="11.88671875" style="54" customWidth="1"/>
    <col min="3" max="3" width="13" style="55" customWidth="1"/>
    <col min="4" max="6" width="12.88671875" style="72" customWidth="1"/>
  </cols>
  <sheetData>
    <row r="1" spans="1:10" x14ac:dyDescent="0.3">
      <c r="A1" s="93"/>
      <c r="B1" s="93"/>
      <c r="C1" s="93"/>
      <c r="D1" s="273"/>
      <c r="E1" s="273"/>
      <c r="F1" s="273"/>
      <c r="G1" s="274"/>
      <c r="H1" s="274"/>
      <c r="I1" s="274"/>
      <c r="J1" s="274"/>
    </row>
    <row r="2" spans="1:10" x14ac:dyDescent="0.3">
      <c r="A2" s="93"/>
      <c r="B2" s="93"/>
      <c r="C2" s="93"/>
      <c r="D2" s="275">
        <v>0.3</v>
      </c>
      <c r="E2" s="275"/>
      <c r="F2" s="275"/>
      <c r="G2" s="276"/>
      <c r="H2" s="276"/>
      <c r="I2" s="276"/>
      <c r="J2" s="276"/>
    </row>
    <row r="3" spans="1:10" s="63" customFormat="1" ht="55.2" x14ac:dyDescent="0.3">
      <c r="A3" s="184" t="s">
        <v>61</v>
      </c>
      <c r="B3" s="277" t="s">
        <v>37</v>
      </c>
      <c r="C3" s="213" t="s">
        <v>287</v>
      </c>
      <c r="D3" s="278" t="s">
        <v>288</v>
      </c>
      <c r="E3" s="278" t="s">
        <v>289</v>
      </c>
      <c r="F3" s="278" t="s">
        <v>290</v>
      </c>
      <c r="G3" s="278" t="s">
        <v>291</v>
      </c>
    </row>
    <row r="4" spans="1:10" x14ac:dyDescent="0.3">
      <c r="A4" s="184" t="s">
        <v>292</v>
      </c>
      <c r="B4" s="277" t="s">
        <v>293</v>
      </c>
      <c r="C4" s="280">
        <f>'объем работ 100% загр'!D4</f>
        <v>1.6960000000000003E-2</v>
      </c>
      <c r="D4" s="72">
        <f>'объем работ 100% загр'!U4</f>
        <v>585000.00000000012</v>
      </c>
      <c r="E4" s="72">
        <f t="shared" ref="E4:E23" si="0">C4*D4</f>
        <v>9921.600000000004</v>
      </c>
      <c r="F4" s="72">
        <f t="shared" ref="F4:F23" si="1">E4*3</f>
        <v>29764.80000000001</v>
      </c>
      <c r="G4">
        <f t="shared" ref="G4:G25" si="2">E4*12</f>
        <v>119059.20000000004</v>
      </c>
    </row>
    <row r="5" spans="1:10" ht="124.2" x14ac:dyDescent="0.3">
      <c r="A5" s="184" t="s">
        <v>294</v>
      </c>
      <c r="B5" s="277" t="s">
        <v>295</v>
      </c>
      <c r="C5" s="280">
        <f>'объем работ 100% загр'!D5</f>
        <v>0</v>
      </c>
      <c r="D5" s="72">
        <f>'объем работ 100% загр'!U5</f>
        <v>0</v>
      </c>
      <c r="E5" s="72">
        <f t="shared" si="0"/>
        <v>0</v>
      </c>
      <c r="F5" s="72">
        <f t="shared" si="1"/>
        <v>0</v>
      </c>
      <c r="G5">
        <f t="shared" si="2"/>
        <v>0</v>
      </c>
    </row>
    <row r="6" spans="1:10" ht="123.75" customHeight="1" x14ac:dyDescent="0.3">
      <c r="A6" s="184" t="s">
        <v>296</v>
      </c>
      <c r="B6" s="277" t="s">
        <v>295</v>
      </c>
      <c r="C6" s="280">
        <f>'объем работ 100% загр'!D6</f>
        <v>0</v>
      </c>
      <c r="D6" s="72">
        <f>'объем работ 100% загр'!U6</f>
        <v>0</v>
      </c>
      <c r="E6" s="72">
        <f t="shared" si="0"/>
        <v>0</v>
      </c>
      <c r="F6" s="72">
        <f t="shared" si="1"/>
        <v>0</v>
      </c>
      <c r="G6">
        <f t="shared" si="2"/>
        <v>0</v>
      </c>
    </row>
    <row r="7" spans="1:10" ht="55.2" x14ac:dyDescent="0.3">
      <c r="A7" s="184" t="s">
        <v>297</v>
      </c>
      <c r="B7" s="277" t="s">
        <v>298</v>
      </c>
      <c r="C7" s="280" t="e">
        <f t="shared" ref="C7:C25" si="3">'объем работ 100% загр'!#REF!</f>
        <v>#REF!</v>
      </c>
      <c r="D7" s="72" t="e">
        <f t="shared" ref="D7:D25" si="4">'объем работ 100% загр'!#REF!</f>
        <v>#REF!</v>
      </c>
      <c r="E7" s="72" t="e">
        <f t="shared" si="0"/>
        <v>#REF!</v>
      </c>
      <c r="F7" s="72" t="e">
        <f t="shared" si="1"/>
        <v>#REF!</v>
      </c>
      <c r="G7" t="e">
        <f t="shared" si="2"/>
        <v>#REF!</v>
      </c>
    </row>
    <row r="8" spans="1:10" ht="27.6" x14ac:dyDescent="0.3">
      <c r="A8" s="184" t="s">
        <v>299</v>
      </c>
      <c r="B8" s="277" t="s">
        <v>300</v>
      </c>
      <c r="C8" s="280" t="e">
        <f t="shared" si="3"/>
        <v>#REF!</v>
      </c>
      <c r="D8" s="72" t="e">
        <f t="shared" si="4"/>
        <v>#REF!</v>
      </c>
      <c r="E8" s="72" t="e">
        <f t="shared" si="0"/>
        <v>#REF!</v>
      </c>
      <c r="F8" s="72" t="e">
        <f t="shared" si="1"/>
        <v>#REF!</v>
      </c>
      <c r="G8" t="e">
        <f t="shared" si="2"/>
        <v>#REF!</v>
      </c>
    </row>
    <row r="9" spans="1:10" ht="27.6" x14ac:dyDescent="0.3">
      <c r="A9" s="184" t="s">
        <v>301</v>
      </c>
      <c r="B9" s="277" t="s">
        <v>302</v>
      </c>
      <c r="C9" s="280" t="e">
        <f t="shared" si="3"/>
        <v>#REF!</v>
      </c>
      <c r="D9" s="72" t="e">
        <f t="shared" si="4"/>
        <v>#REF!</v>
      </c>
      <c r="E9" s="72" t="e">
        <f t="shared" si="0"/>
        <v>#REF!</v>
      </c>
      <c r="F9" s="72" t="e">
        <f t="shared" si="1"/>
        <v>#REF!</v>
      </c>
      <c r="G9" t="e">
        <f t="shared" si="2"/>
        <v>#REF!</v>
      </c>
    </row>
    <row r="10" spans="1:10" ht="69" x14ac:dyDescent="0.3">
      <c r="A10" s="184" t="s">
        <v>303</v>
      </c>
      <c r="B10" s="277" t="s">
        <v>304</v>
      </c>
      <c r="C10" s="280" t="e">
        <f t="shared" si="3"/>
        <v>#REF!</v>
      </c>
      <c r="D10" s="72" t="e">
        <f t="shared" si="4"/>
        <v>#REF!</v>
      </c>
      <c r="E10" s="72" t="e">
        <f t="shared" si="0"/>
        <v>#REF!</v>
      </c>
      <c r="F10" s="72" t="e">
        <f t="shared" si="1"/>
        <v>#REF!</v>
      </c>
      <c r="G10" t="e">
        <f t="shared" si="2"/>
        <v>#REF!</v>
      </c>
    </row>
    <row r="11" spans="1:10" ht="69" x14ac:dyDescent="0.3">
      <c r="A11" s="184" t="s">
        <v>305</v>
      </c>
      <c r="B11" s="277" t="s">
        <v>306</v>
      </c>
      <c r="C11" s="280" t="e">
        <f t="shared" si="3"/>
        <v>#REF!</v>
      </c>
      <c r="D11" s="72" t="e">
        <f t="shared" si="4"/>
        <v>#REF!</v>
      </c>
      <c r="E11" s="72" t="e">
        <f t="shared" si="0"/>
        <v>#REF!</v>
      </c>
      <c r="F11" s="72" t="e">
        <f t="shared" si="1"/>
        <v>#REF!</v>
      </c>
      <c r="G11" t="e">
        <f t="shared" si="2"/>
        <v>#REF!</v>
      </c>
    </row>
    <row r="12" spans="1:10" ht="72" x14ac:dyDescent="0.3">
      <c r="A12" s="53" t="s">
        <v>307</v>
      </c>
      <c r="B12" s="277" t="s">
        <v>304</v>
      </c>
      <c r="C12" s="280" t="e">
        <f t="shared" si="3"/>
        <v>#REF!</v>
      </c>
      <c r="D12" s="72" t="e">
        <f t="shared" si="4"/>
        <v>#REF!</v>
      </c>
      <c r="E12" s="72" t="e">
        <f t="shared" si="0"/>
        <v>#REF!</v>
      </c>
      <c r="F12" s="72" t="e">
        <f t="shared" si="1"/>
        <v>#REF!</v>
      </c>
      <c r="G12" t="e">
        <f t="shared" si="2"/>
        <v>#REF!</v>
      </c>
    </row>
    <row r="13" spans="1:10" ht="72" x14ac:dyDescent="0.3">
      <c r="A13" s="53" t="s">
        <v>308</v>
      </c>
      <c r="B13" s="277" t="s">
        <v>306</v>
      </c>
      <c r="C13" s="280" t="e">
        <f t="shared" si="3"/>
        <v>#REF!</v>
      </c>
      <c r="D13" s="72" t="e">
        <f t="shared" si="4"/>
        <v>#REF!</v>
      </c>
      <c r="E13" s="72" t="e">
        <f t="shared" si="0"/>
        <v>#REF!</v>
      </c>
      <c r="F13" s="72" t="e">
        <f t="shared" si="1"/>
        <v>#REF!</v>
      </c>
      <c r="G13" t="e">
        <f t="shared" si="2"/>
        <v>#REF!</v>
      </c>
    </row>
    <row r="14" spans="1:10" ht="86.4" x14ac:dyDescent="0.3">
      <c r="A14" s="53" t="s">
        <v>309</v>
      </c>
      <c r="B14" s="277" t="s">
        <v>304</v>
      </c>
      <c r="C14" s="280" t="e">
        <f t="shared" si="3"/>
        <v>#REF!</v>
      </c>
      <c r="D14" s="72" t="e">
        <f t="shared" si="4"/>
        <v>#REF!</v>
      </c>
      <c r="E14" s="72" t="e">
        <f t="shared" si="0"/>
        <v>#REF!</v>
      </c>
      <c r="F14" s="72" t="e">
        <f t="shared" si="1"/>
        <v>#REF!</v>
      </c>
      <c r="G14" t="e">
        <f t="shared" si="2"/>
        <v>#REF!</v>
      </c>
    </row>
    <row r="15" spans="1:10" ht="86.4" x14ac:dyDescent="0.3">
      <c r="A15" s="53" t="s">
        <v>310</v>
      </c>
      <c r="B15" s="277" t="s">
        <v>306</v>
      </c>
      <c r="C15" s="280" t="e">
        <f t="shared" si="3"/>
        <v>#REF!</v>
      </c>
      <c r="D15" s="72" t="e">
        <f t="shared" si="4"/>
        <v>#REF!</v>
      </c>
      <c r="E15" s="72" t="e">
        <f>C15*D15</f>
        <v>#REF!</v>
      </c>
      <c r="F15" s="72" t="e">
        <f t="shared" si="1"/>
        <v>#REF!</v>
      </c>
      <c r="G15" t="e">
        <f t="shared" si="2"/>
        <v>#REF!</v>
      </c>
    </row>
    <row r="16" spans="1:10" ht="72" x14ac:dyDescent="0.3">
      <c r="A16" s="53" t="s">
        <v>311</v>
      </c>
      <c r="B16" s="277" t="s">
        <v>304</v>
      </c>
      <c r="C16" s="280" t="e">
        <f t="shared" si="3"/>
        <v>#REF!</v>
      </c>
      <c r="D16" s="72" t="e">
        <f t="shared" si="4"/>
        <v>#REF!</v>
      </c>
      <c r="E16" s="72" t="e">
        <f t="shared" si="0"/>
        <v>#REF!</v>
      </c>
      <c r="F16" s="72" t="e">
        <f t="shared" si="1"/>
        <v>#REF!</v>
      </c>
      <c r="G16" t="e">
        <f t="shared" si="2"/>
        <v>#REF!</v>
      </c>
    </row>
    <row r="17" spans="1:10" ht="72" x14ac:dyDescent="0.3">
      <c r="A17" s="53" t="s">
        <v>312</v>
      </c>
      <c r="B17" s="277" t="s">
        <v>306</v>
      </c>
      <c r="C17" s="280" t="e">
        <f t="shared" si="3"/>
        <v>#REF!</v>
      </c>
      <c r="D17" s="72" t="e">
        <f t="shared" si="4"/>
        <v>#REF!</v>
      </c>
      <c r="E17" s="72" t="e">
        <f t="shared" si="0"/>
        <v>#REF!</v>
      </c>
      <c r="F17" s="72" t="e">
        <f t="shared" si="1"/>
        <v>#REF!</v>
      </c>
      <c r="G17" t="e">
        <f t="shared" si="2"/>
        <v>#REF!</v>
      </c>
    </row>
    <row r="18" spans="1:10" ht="27.6" x14ac:dyDescent="0.3">
      <c r="A18" s="53" t="s">
        <v>313</v>
      </c>
      <c r="B18" s="277" t="s">
        <v>304</v>
      </c>
      <c r="C18" s="280" t="e">
        <f t="shared" si="3"/>
        <v>#REF!</v>
      </c>
      <c r="D18" s="72" t="e">
        <f t="shared" si="4"/>
        <v>#REF!</v>
      </c>
      <c r="E18" s="72" t="e">
        <f t="shared" si="0"/>
        <v>#REF!</v>
      </c>
      <c r="F18" s="72" t="e">
        <f t="shared" si="1"/>
        <v>#REF!</v>
      </c>
      <c r="G18" t="e">
        <f t="shared" si="2"/>
        <v>#REF!</v>
      </c>
    </row>
    <row r="19" spans="1:10" ht="72" x14ac:dyDescent="0.3">
      <c r="A19" s="53" t="s">
        <v>314</v>
      </c>
      <c r="B19" s="277" t="s">
        <v>315</v>
      </c>
      <c r="C19" s="280" t="e">
        <f t="shared" si="3"/>
        <v>#REF!</v>
      </c>
      <c r="D19" s="72" t="e">
        <f t="shared" si="4"/>
        <v>#REF!</v>
      </c>
      <c r="E19" s="72" t="e">
        <f t="shared" si="0"/>
        <v>#REF!</v>
      </c>
      <c r="F19" s="72" t="e">
        <f t="shared" si="1"/>
        <v>#REF!</v>
      </c>
      <c r="G19" t="e">
        <f t="shared" si="2"/>
        <v>#REF!</v>
      </c>
    </row>
    <row r="20" spans="1:10" ht="72" x14ac:dyDescent="0.3">
      <c r="A20" s="53" t="s">
        <v>316</v>
      </c>
      <c r="B20" s="277" t="s">
        <v>315</v>
      </c>
      <c r="C20" s="280" t="e">
        <f t="shared" si="3"/>
        <v>#REF!</v>
      </c>
      <c r="D20" s="72" t="e">
        <f t="shared" si="4"/>
        <v>#REF!</v>
      </c>
      <c r="E20" s="72" t="e">
        <f t="shared" si="0"/>
        <v>#REF!</v>
      </c>
      <c r="F20" s="72" t="e">
        <f t="shared" si="1"/>
        <v>#REF!</v>
      </c>
      <c r="G20" t="e">
        <f t="shared" si="2"/>
        <v>#REF!</v>
      </c>
    </row>
    <row r="21" spans="1:10" x14ac:dyDescent="0.3">
      <c r="A21" s="53" t="s">
        <v>317</v>
      </c>
      <c r="B21" s="54" t="s">
        <v>315</v>
      </c>
      <c r="C21" s="280" t="e">
        <f t="shared" si="3"/>
        <v>#REF!</v>
      </c>
      <c r="D21" s="72" t="e">
        <f t="shared" si="4"/>
        <v>#REF!</v>
      </c>
      <c r="E21" s="72" t="e">
        <f t="shared" si="0"/>
        <v>#REF!</v>
      </c>
      <c r="F21" s="72" t="e">
        <f t="shared" si="1"/>
        <v>#REF!</v>
      </c>
      <c r="G21" t="e">
        <f t="shared" si="2"/>
        <v>#REF!</v>
      </c>
    </row>
    <row r="22" spans="1:10" ht="28.8" x14ac:dyDescent="0.3">
      <c r="A22" s="53" t="s">
        <v>318</v>
      </c>
      <c r="B22" s="54" t="s">
        <v>315</v>
      </c>
      <c r="C22" s="280" t="e">
        <f t="shared" si="3"/>
        <v>#REF!</v>
      </c>
      <c r="D22" s="72" t="e">
        <f t="shared" si="4"/>
        <v>#REF!</v>
      </c>
      <c r="E22" s="72" t="e">
        <f t="shared" si="0"/>
        <v>#REF!</v>
      </c>
      <c r="F22" s="72" t="e">
        <f t="shared" si="1"/>
        <v>#REF!</v>
      </c>
      <c r="G22" t="e">
        <f t="shared" si="2"/>
        <v>#REF!</v>
      </c>
    </row>
    <row r="23" spans="1:10" ht="56.25" customHeight="1" x14ac:dyDescent="0.3">
      <c r="A23" s="53" t="s">
        <v>319</v>
      </c>
      <c r="B23" s="54" t="s">
        <v>320</v>
      </c>
      <c r="C23" s="280" t="e">
        <f t="shared" si="3"/>
        <v>#REF!</v>
      </c>
      <c r="D23" s="72" t="e">
        <f t="shared" si="4"/>
        <v>#REF!</v>
      </c>
      <c r="E23" s="72" t="e">
        <f t="shared" si="0"/>
        <v>#REF!</v>
      </c>
      <c r="F23" s="72" t="e">
        <f t="shared" si="1"/>
        <v>#REF!</v>
      </c>
      <c r="G23" t="e">
        <f t="shared" si="2"/>
        <v>#REF!</v>
      </c>
    </row>
    <row r="24" spans="1:10" ht="56.25" customHeight="1" x14ac:dyDescent="0.3">
      <c r="A24" s="53" t="s">
        <v>321</v>
      </c>
      <c r="B24" s="53" t="s">
        <v>315</v>
      </c>
      <c r="C24" s="53" t="e">
        <f t="shared" si="3"/>
        <v>#REF!</v>
      </c>
      <c r="D24" s="279" t="e">
        <f t="shared" si="4"/>
        <v>#REF!</v>
      </c>
      <c r="E24" s="53" t="e">
        <f t="shared" ref="E24:E25" si="5">C24*D24</f>
        <v>#REF!</v>
      </c>
      <c r="F24" s="53" t="e">
        <f t="shared" ref="F24:F25" si="6">E24*3</f>
        <v>#REF!</v>
      </c>
      <c r="G24" t="e">
        <f t="shared" si="2"/>
        <v>#REF!</v>
      </c>
    </row>
    <row r="25" spans="1:10" ht="56.25" customHeight="1" x14ac:dyDescent="0.3">
      <c r="A25" s="53" t="s">
        <v>322</v>
      </c>
      <c r="B25" s="53" t="s">
        <v>315</v>
      </c>
      <c r="C25" s="53" t="e">
        <f t="shared" si="3"/>
        <v>#REF!</v>
      </c>
      <c r="D25" s="279" t="e">
        <f t="shared" si="4"/>
        <v>#REF!</v>
      </c>
      <c r="E25" s="53" t="e">
        <f t="shared" si="5"/>
        <v>#REF!</v>
      </c>
      <c r="F25" s="53" t="e">
        <f t="shared" si="6"/>
        <v>#REF!</v>
      </c>
      <c r="G25" t="e">
        <f t="shared" si="2"/>
        <v>#REF!</v>
      </c>
    </row>
    <row r="26" spans="1:10" x14ac:dyDescent="0.3">
      <c r="F26" s="72" t="e">
        <f>SUM(F4:F25)</f>
        <v>#REF!</v>
      </c>
      <c r="G26" t="e">
        <f>SUM(G4:G25)</f>
        <v>#REF!</v>
      </c>
      <c r="I26" s="72"/>
      <c r="J26">
        <f>I26*4</f>
        <v>0</v>
      </c>
    </row>
  </sheetData>
  <pageMargins left="0.7" right="0.7" top="0.75" bottom="0.75" header="0.3" footer="0.3"/>
  <pageSetup paperSize="9" firstPageNumber="2147483648"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Лист4"/>
  <dimension ref="A1:J26"/>
  <sheetViews>
    <sheetView zoomScale="70" workbookViewId="0">
      <pane xSplit="1" topLeftCell="B1" activePane="topRight" state="frozen"/>
      <selection pane="topRight"/>
    </sheetView>
  </sheetViews>
  <sheetFormatPr defaultRowHeight="14.4" x14ac:dyDescent="0.3"/>
  <cols>
    <col min="1" max="1" width="26.5546875" style="53" customWidth="1"/>
    <col min="2" max="2" width="11.88671875" style="54" customWidth="1"/>
    <col min="3" max="3" width="13" style="55" customWidth="1"/>
    <col min="4" max="6" width="12.88671875" style="72" customWidth="1"/>
  </cols>
  <sheetData>
    <row r="1" spans="1:10" x14ac:dyDescent="0.3">
      <c r="A1" s="93"/>
      <c r="B1" s="93"/>
      <c r="C1" s="93"/>
      <c r="D1" s="273"/>
      <c r="E1" s="273"/>
      <c r="F1" s="273"/>
      <c r="G1" s="274"/>
      <c r="H1" s="274"/>
      <c r="I1" s="274"/>
      <c r="J1" s="274"/>
    </row>
    <row r="2" spans="1:10" x14ac:dyDescent="0.3">
      <c r="A2" s="93"/>
      <c r="B2" s="93"/>
      <c r="C2" s="93"/>
      <c r="D2" s="275">
        <v>0.3</v>
      </c>
      <c r="E2" s="275"/>
      <c r="F2" s="275"/>
      <c r="G2" s="276"/>
      <c r="H2" s="276"/>
      <c r="I2" s="276"/>
      <c r="J2" s="276"/>
    </row>
    <row r="3" spans="1:10" s="63" customFormat="1" ht="55.2" x14ac:dyDescent="0.3">
      <c r="A3" s="184" t="s">
        <v>61</v>
      </c>
      <c r="B3" s="277" t="s">
        <v>37</v>
      </c>
      <c r="C3" s="213" t="s">
        <v>287</v>
      </c>
      <c r="D3" s="278" t="s">
        <v>288</v>
      </c>
      <c r="E3" s="278" t="s">
        <v>289</v>
      </c>
      <c r="F3" s="278" t="s">
        <v>290</v>
      </c>
      <c r="G3" s="278" t="s">
        <v>291</v>
      </c>
    </row>
    <row r="4" spans="1:10" x14ac:dyDescent="0.3">
      <c r="A4" s="184" t="s">
        <v>292</v>
      </c>
      <c r="B4" s="277" t="s">
        <v>293</v>
      </c>
      <c r="C4" s="280">
        <f>'объем работ 100% загр'!E4</f>
        <v>1.7977600000000003E-2</v>
      </c>
      <c r="D4" s="72">
        <f>'объем работ 100% загр'!T4</f>
        <v>552500</v>
      </c>
      <c r="E4" s="72">
        <f t="shared" ref="E4:E22" si="0">C4*D4</f>
        <v>9932.6240000000016</v>
      </c>
      <c r="F4" s="72">
        <f t="shared" ref="F4:F22" si="1">E4*3</f>
        <v>29797.872000000003</v>
      </c>
      <c r="G4">
        <f t="shared" ref="G4:G25" si="2">E4*12</f>
        <v>119191.48800000001</v>
      </c>
    </row>
    <row r="5" spans="1:10" ht="124.2" x14ac:dyDescent="0.3">
      <c r="A5" s="184" t="s">
        <v>294</v>
      </c>
      <c r="B5" s="277" t="s">
        <v>295</v>
      </c>
      <c r="C5" s="280">
        <f>'объем работ 100% загр'!E5</f>
        <v>0</v>
      </c>
      <c r="D5" s="72">
        <f>'объем работ 100% загр'!T5</f>
        <v>0</v>
      </c>
      <c r="E5" s="72">
        <f t="shared" si="0"/>
        <v>0</v>
      </c>
      <c r="F5" s="72">
        <f t="shared" si="1"/>
        <v>0</v>
      </c>
      <c r="G5">
        <f t="shared" si="2"/>
        <v>0</v>
      </c>
    </row>
    <row r="6" spans="1:10" ht="123.75" customHeight="1" x14ac:dyDescent="0.3">
      <c r="A6" s="184" t="s">
        <v>296</v>
      </c>
      <c r="B6" s="277" t="s">
        <v>295</v>
      </c>
      <c r="C6" s="280">
        <f>'объем работ 100% загр'!E6</f>
        <v>0</v>
      </c>
      <c r="D6" s="72">
        <f>'объем работ 100% загр'!T6</f>
        <v>0</v>
      </c>
      <c r="E6" s="72">
        <f t="shared" si="0"/>
        <v>0</v>
      </c>
      <c r="F6" s="72">
        <f t="shared" si="1"/>
        <v>0</v>
      </c>
      <c r="G6">
        <f t="shared" si="2"/>
        <v>0</v>
      </c>
    </row>
    <row r="7" spans="1:10" ht="55.2" x14ac:dyDescent="0.3">
      <c r="A7" s="184" t="s">
        <v>297</v>
      </c>
      <c r="B7" s="277" t="s">
        <v>298</v>
      </c>
      <c r="C7" s="280" t="e">
        <f t="shared" ref="C7:C25" si="3">'объем работ 100% загр'!#REF!</f>
        <v>#REF!</v>
      </c>
      <c r="D7" s="72" t="e">
        <f t="shared" ref="D7:D25" si="4">'объем работ 100% загр'!#REF!</f>
        <v>#REF!</v>
      </c>
      <c r="E7" s="72" t="e">
        <f t="shared" si="0"/>
        <v>#REF!</v>
      </c>
      <c r="F7" s="72" t="e">
        <f t="shared" si="1"/>
        <v>#REF!</v>
      </c>
      <c r="G7" t="e">
        <f t="shared" si="2"/>
        <v>#REF!</v>
      </c>
    </row>
    <row r="8" spans="1:10" ht="27.6" x14ac:dyDescent="0.3">
      <c r="A8" s="184" t="s">
        <v>299</v>
      </c>
      <c r="B8" s="277" t="s">
        <v>300</v>
      </c>
      <c r="C8" s="280" t="e">
        <f t="shared" si="3"/>
        <v>#REF!</v>
      </c>
      <c r="D8" s="72" t="e">
        <f t="shared" si="4"/>
        <v>#REF!</v>
      </c>
      <c r="E8" s="72" t="e">
        <f t="shared" si="0"/>
        <v>#REF!</v>
      </c>
      <c r="F8" s="72" t="e">
        <f t="shared" si="1"/>
        <v>#REF!</v>
      </c>
      <c r="G8" t="e">
        <f t="shared" si="2"/>
        <v>#REF!</v>
      </c>
    </row>
    <row r="9" spans="1:10" ht="27.6" x14ac:dyDescent="0.3">
      <c r="A9" s="184" t="s">
        <v>301</v>
      </c>
      <c r="B9" s="277" t="s">
        <v>302</v>
      </c>
      <c r="C9" s="280" t="e">
        <f t="shared" si="3"/>
        <v>#REF!</v>
      </c>
      <c r="D9" s="72" t="e">
        <f t="shared" si="4"/>
        <v>#REF!</v>
      </c>
      <c r="E9" s="72" t="e">
        <f t="shared" si="0"/>
        <v>#REF!</v>
      </c>
      <c r="F9" s="72" t="e">
        <f t="shared" si="1"/>
        <v>#REF!</v>
      </c>
      <c r="G9" t="e">
        <f t="shared" si="2"/>
        <v>#REF!</v>
      </c>
    </row>
    <row r="10" spans="1:10" ht="69" x14ac:dyDescent="0.3">
      <c r="A10" s="184" t="s">
        <v>303</v>
      </c>
      <c r="B10" s="277" t="s">
        <v>304</v>
      </c>
      <c r="C10" s="280" t="e">
        <f t="shared" si="3"/>
        <v>#REF!</v>
      </c>
      <c r="D10" s="72" t="e">
        <f t="shared" si="4"/>
        <v>#REF!</v>
      </c>
      <c r="E10" s="72" t="e">
        <f t="shared" si="0"/>
        <v>#REF!</v>
      </c>
      <c r="F10" s="72" t="e">
        <f t="shared" si="1"/>
        <v>#REF!</v>
      </c>
      <c r="G10" t="e">
        <f t="shared" si="2"/>
        <v>#REF!</v>
      </c>
    </row>
    <row r="11" spans="1:10" ht="69" x14ac:dyDescent="0.3">
      <c r="A11" s="184" t="s">
        <v>305</v>
      </c>
      <c r="B11" s="277" t="s">
        <v>306</v>
      </c>
      <c r="C11" s="280" t="e">
        <f t="shared" si="3"/>
        <v>#REF!</v>
      </c>
      <c r="D11" s="72" t="e">
        <f t="shared" si="4"/>
        <v>#REF!</v>
      </c>
      <c r="E11" s="72" t="e">
        <f t="shared" si="0"/>
        <v>#REF!</v>
      </c>
      <c r="F11" s="72" t="e">
        <f t="shared" si="1"/>
        <v>#REF!</v>
      </c>
      <c r="G11" t="e">
        <f t="shared" si="2"/>
        <v>#REF!</v>
      </c>
    </row>
    <row r="12" spans="1:10" ht="72" x14ac:dyDescent="0.3">
      <c r="A12" s="53" t="s">
        <v>307</v>
      </c>
      <c r="B12" s="277" t="s">
        <v>304</v>
      </c>
      <c r="C12" s="280" t="e">
        <f t="shared" si="3"/>
        <v>#REF!</v>
      </c>
      <c r="D12" s="72" t="e">
        <f t="shared" si="4"/>
        <v>#REF!</v>
      </c>
      <c r="E12" s="72" t="e">
        <f t="shared" si="0"/>
        <v>#REF!</v>
      </c>
      <c r="F12" s="72" t="e">
        <f t="shared" si="1"/>
        <v>#REF!</v>
      </c>
      <c r="G12" t="e">
        <f t="shared" si="2"/>
        <v>#REF!</v>
      </c>
    </row>
    <row r="13" spans="1:10" ht="72" x14ac:dyDescent="0.3">
      <c r="A13" s="53" t="s">
        <v>308</v>
      </c>
      <c r="B13" s="277" t="s">
        <v>306</v>
      </c>
      <c r="C13" s="280" t="e">
        <f t="shared" si="3"/>
        <v>#REF!</v>
      </c>
      <c r="D13" s="72" t="e">
        <f t="shared" si="4"/>
        <v>#REF!</v>
      </c>
      <c r="E13" s="72" t="e">
        <f t="shared" si="0"/>
        <v>#REF!</v>
      </c>
      <c r="F13" s="72" t="e">
        <f t="shared" si="1"/>
        <v>#REF!</v>
      </c>
      <c r="G13" t="e">
        <f t="shared" si="2"/>
        <v>#REF!</v>
      </c>
    </row>
    <row r="14" spans="1:10" ht="86.4" x14ac:dyDescent="0.3">
      <c r="A14" s="53" t="s">
        <v>309</v>
      </c>
      <c r="B14" s="277" t="s">
        <v>304</v>
      </c>
      <c r="C14" s="280" t="e">
        <f t="shared" si="3"/>
        <v>#REF!</v>
      </c>
      <c r="D14" s="72" t="e">
        <f t="shared" si="4"/>
        <v>#REF!</v>
      </c>
      <c r="E14" s="72" t="e">
        <f t="shared" si="0"/>
        <v>#REF!</v>
      </c>
      <c r="F14" s="72" t="e">
        <f t="shared" si="1"/>
        <v>#REF!</v>
      </c>
      <c r="G14" t="e">
        <f t="shared" si="2"/>
        <v>#REF!</v>
      </c>
    </row>
    <row r="15" spans="1:10" ht="86.4" x14ac:dyDescent="0.3">
      <c r="A15" s="53" t="s">
        <v>310</v>
      </c>
      <c r="B15" s="277" t="s">
        <v>306</v>
      </c>
      <c r="C15" s="280" t="e">
        <f t="shared" si="3"/>
        <v>#REF!</v>
      </c>
      <c r="D15" s="72" t="e">
        <f t="shared" si="4"/>
        <v>#REF!</v>
      </c>
      <c r="E15" s="72" t="e">
        <f t="shared" si="0"/>
        <v>#REF!</v>
      </c>
      <c r="F15" s="72" t="e">
        <f t="shared" si="1"/>
        <v>#REF!</v>
      </c>
      <c r="G15" t="e">
        <f t="shared" si="2"/>
        <v>#REF!</v>
      </c>
    </row>
    <row r="16" spans="1:10" ht="72" x14ac:dyDescent="0.3">
      <c r="A16" s="53" t="s">
        <v>311</v>
      </c>
      <c r="B16" s="277" t="s">
        <v>304</v>
      </c>
      <c r="C16" s="280" t="e">
        <f t="shared" si="3"/>
        <v>#REF!</v>
      </c>
      <c r="D16" s="72" t="e">
        <f t="shared" si="4"/>
        <v>#REF!</v>
      </c>
      <c r="E16" s="72" t="e">
        <f t="shared" si="0"/>
        <v>#REF!</v>
      </c>
      <c r="F16" s="72" t="e">
        <f t="shared" si="1"/>
        <v>#REF!</v>
      </c>
      <c r="G16" t="e">
        <f t="shared" si="2"/>
        <v>#REF!</v>
      </c>
    </row>
    <row r="17" spans="1:9" ht="72" x14ac:dyDescent="0.3">
      <c r="A17" s="53" t="s">
        <v>312</v>
      </c>
      <c r="B17" s="277" t="s">
        <v>306</v>
      </c>
      <c r="C17" s="280" t="e">
        <f t="shared" si="3"/>
        <v>#REF!</v>
      </c>
      <c r="D17" s="72" t="e">
        <f t="shared" si="4"/>
        <v>#REF!</v>
      </c>
      <c r="E17" s="72" t="e">
        <f t="shared" si="0"/>
        <v>#REF!</v>
      </c>
      <c r="F17" s="72" t="e">
        <f t="shared" si="1"/>
        <v>#REF!</v>
      </c>
      <c r="G17" t="e">
        <f t="shared" si="2"/>
        <v>#REF!</v>
      </c>
    </row>
    <row r="18" spans="1:9" ht="27.6" x14ac:dyDescent="0.3">
      <c r="A18" s="53" t="s">
        <v>313</v>
      </c>
      <c r="B18" s="277" t="s">
        <v>304</v>
      </c>
      <c r="C18" s="280" t="e">
        <f t="shared" si="3"/>
        <v>#REF!</v>
      </c>
      <c r="D18" s="72" t="e">
        <f t="shared" si="4"/>
        <v>#REF!</v>
      </c>
      <c r="E18" s="72" t="e">
        <f t="shared" si="0"/>
        <v>#REF!</v>
      </c>
      <c r="F18" s="72" t="e">
        <f t="shared" si="1"/>
        <v>#REF!</v>
      </c>
      <c r="G18" t="e">
        <f t="shared" si="2"/>
        <v>#REF!</v>
      </c>
    </row>
    <row r="19" spans="1:9" ht="72" x14ac:dyDescent="0.3">
      <c r="A19" s="53" t="s">
        <v>314</v>
      </c>
      <c r="B19" s="277" t="s">
        <v>315</v>
      </c>
      <c r="C19" s="280" t="e">
        <f t="shared" si="3"/>
        <v>#REF!</v>
      </c>
      <c r="D19" s="72" t="e">
        <f t="shared" si="4"/>
        <v>#REF!</v>
      </c>
      <c r="E19" s="72" t="e">
        <f t="shared" si="0"/>
        <v>#REF!</v>
      </c>
      <c r="F19" s="72" t="e">
        <f t="shared" si="1"/>
        <v>#REF!</v>
      </c>
      <c r="G19" t="e">
        <f t="shared" si="2"/>
        <v>#REF!</v>
      </c>
    </row>
    <row r="20" spans="1:9" ht="72" x14ac:dyDescent="0.3">
      <c r="A20" s="53" t="s">
        <v>316</v>
      </c>
      <c r="B20" s="277" t="s">
        <v>315</v>
      </c>
      <c r="C20" s="280" t="e">
        <f t="shared" si="3"/>
        <v>#REF!</v>
      </c>
      <c r="D20" s="72" t="e">
        <f t="shared" si="4"/>
        <v>#REF!</v>
      </c>
      <c r="E20" s="72" t="e">
        <f t="shared" si="0"/>
        <v>#REF!</v>
      </c>
      <c r="F20" s="72" t="e">
        <f t="shared" si="1"/>
        <v>#REF!</v>
      </c>
      <c r="G20" t="e">
        <f t="shared" si="2"/>
        <v>#REF!</v>
      </c>
    </row>
    <row r="21" spans="1:9" x14ac:dyDescent="0.3">
      <c r="A21" s="53" t="s">
        <v>317</v>
      </c>
      <c r="B21" s="54" t="s">
        <v>315</v>
      </c>
      <c r="C21" s="280" t="e">
        <f t="shared" si="3"/>
        <v>#REF!</v>
      </c>
      <c r="D21" s="72" t="e">
        <f t="shared" si="4"/>
        <v>#REF!</v>
      </c>
      <c r="E21" s="72" t="e">
        <f t="shared" si="0"/>
        <v>#REF!</v>
      </c>
      <c r="F21" s="72" t="e">
        <f t="shared" si="1"/>
        <v>#REF!</v>
      </c>
      <c r="G21" t="e">
        <f t="shared" si="2"/>
        <v>#REF!</v>
      </c>
    </row>
    <row r="22" spans="1:9" ht="28.8" x14ac:dyDescent="0.3">
      <c r="A22" s="53" t="s">
        <v>318</v>
      </c>
      <c r="B22" s="54" t="s">
        <v>315</v>
      </c>
      <c r="C22" s="280" t="e">
        <f t="shared" si="3"/>
        <v>#REF!</v>
      </c>
      <c r="D22" s="72" t="e">
        <f t="shared" si="4"/>
        <v>#REF!</v>
      </c>
      <c r="E22" s="72" t="e">
        <f t="shared" si="0"/>
        <v>#REF!</v>
      </c>
      <c r="F22" s="72" t="e">
        <f t="shared" si="1"/>
        <v>#REF!</v>
      </c>
      <c r="G22" t="e">
        <f t="shared" si="2"/>
        <v>#REF!</v>
      </c>
    </row>
    <row r="23" spans="1:9" ht="28.8" x14ac:dyDescent="0.3">
      <c r="A23" s="53" t="s">
        <v>319</v>
      </c>
      <c r="B23" s="54" t="s">
        <v>320</v>
      </c>
      <c r="C23" s="280" t="e">
        <f t="shared" si="3"/>
        <v>#REF!</v>
      </c>
      <c r="D23" s="72" t="e">
        <f t="shared" si="4"/>
        <v>#REF!</v>
      </c>
      <c r="E23" s="72" t="e">
        <f t="shared" ref="E23:E25" si="5">C23*D23</f>
        <v>#REF!</v>
      </c>
      <c r="F23" s="72" t="e">
        <f t="shared" ref="F23:F25" si="6">E23*3</f>
        <v>#REF!</v>
      </c>
      <c r="G23" t="e">
        <f t="shared" si="2"/>
        <v>#REF!</v>
      </c>
    </row>
    <row r="24" spans="1:9" ht="56.25" customHeight="1" x14ac:dyDescent="0.3">
      <c r="A24" s="53" t="s">
        <v>321</v>
      </c>
      <c r="B24" s="53" t="s">
        <v>315</v>
      </c>
      <c r="C24" s="53" t="e">
        <f t="shared" si="3"/>
        <v>#REF!</v>
      </c>
      <c r="D24" s="279" t="e">
        <f t="shared" si="4"/>
        <v>#REF!</v>
      </c>
      <c r="E24" s="53" t="e">
        <f t="shared" si="5"/>
        <v>#REF!</v>
      </c>
      <c r="F24" s="53" t="e">
        <f t="shared" si="6"/>
        <v>#REF!</v>
      </c>
      <c r="G24" t="e">
        <f t="shared" si="2"/>
        <v>#REF!</v>
      </c>
    </row>
    <row r="25" spans="1:9" ht="56.25" customHeight="1" x14ac:dyDescent="0.3">
      <c r="A25" s="53" t="s">
        <v>322</v>
      </c>
      <c r="B25" s="53" t="s">
        <v>315</v>
      </c>
      <c r="C25" s="53" t="e">
        <f t="shared" si="3"/>
        <v>#REF!</v>
      </c>
      <c r="D25" s="279" t="e">
        <f t="shared" si="4"/>
        <v>#REF!</v>
      </c>
      <c r="E25" s="53" t="e">
        <f t="shared" si="5"/>
        <v>#REF!</v>
      </c>
      <c r="F25" s="53" t="e">
        <f t="shared" si="6"/>
        <v>#REF!</v>
      </c>
      <c r="G25" t="e">
        <f t="shared" si="2"/>
        <v>#REF!</v>
      </c>
    </row>
    <row r="26" spans="1:9" x14ac:dyDescent="0.3">
      <c r="F26" s="72" t="e">
        <f>SUM(F4:F25)</f>
        <v>#REF!</v>
      </c>
      <c r="G26" t="e">
        <f>SUM(G4:G25)</f>
        <v>#REF!</v>
      </c>
      <c r="I26" s="72"/>
    </row>
  </sheetData>
  <pageMargins left="0.7" right="0.7" top="0.75" bottom="0.75" header="0.3" footer="0.3"/>
  <pageSetup paperSize="9" firstPageNumber="2147483648"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A1:F93"/>
  <sheetViews>
    <sheetView topLeftCell="A82" zoomScale="90" zoomScaleNormal="90" workbookViewId="0">
      <selection activeCell="C22" sqref="C22"/>
    </sheetView>
  </sheetViews>
  <sheetFormatPr defaultRowHeight="14.4" x14ac:dyDescent="0.3"/>
  <cols>
    <col min="1" max="1" width="23.109375" customWidth="1"/>
    <col min="2" max="2" width="29.109375" customWidth="1"/>
    <col min="3" max="3" width="21.5546875" customWidth="1"/>
    <col min="4" max="4" width="19" customWidth="1"/>
    <col min="5" max="5" width="25.88671875" customWidth="1"/>
    <col min="6" max="6" width="21.6640625" customWidth="1"/>
    <col min="7" max="7" width="21.44140625" customWidth="1"/>
    <col min="8" max="8" width="18.5546875" customWidth="1"/>
    <col min="9" max="9" width="13.6640625" customWidth="1"/>
  </cols>
  <sheetData>
    <row r="1" spans="1:4" x14ac:dyDescent="0.3">
      <c r="A1" t="s">
        <v>342</v>
      </c>
      <c r="B1" s="290" t="s">
        <v>352</v>
      </c>
      <c r="C1" s="289"/>
    </row>
    <row r="2" spans="1:4" x14ac:dyDescent="0.3">
      <c r="A2" t="s">
        <v>343</v>
      </c>
      <c r="B2" s="288" t="s">
        <v>353</v>
      </c>
      <c r="C2" s="631" t="s">
        <v>413</v>
      </c>
    </row>
    <row r="4" spans="1:4" x14ac:dyDescent="0.3">
      <c r="A4" t="s">
        <v>344</v>
      </c>
      <c r="C4" s="334">
        <v>2</v>
      </c>
    </row>
    <row r="6" spans="1:4" x14ac:dyDescent="0.3">
      <c r="A6" t="s">
        <v>382</v>
      </c>
      <c r="C6" s="359">
        <v>7794.17</v>
      </c>
    </row>
    <row r="7" spans="1:4" x14ac:dyDescent="0.3">
      <c r="C7" s="334"/>
    </row>
    <row r="8" spans="1:4" x14ac:dyDescent="0.3">
      <c r="C8" s="334"/>
    </row>
    <row r="9" spans="1:4" ht="31.5" customHeight="1" x14ac:dyDescent="0.3">
      <c r="A9" s="652"/>
      <c r="B9" s="652"/>
      <c r="C9" s="354"/>
    </row>
    <row r="10" spans="1:4" ht="30" customHeight="1" x14ac:dyDescent="0.3">
      <c r="A10" s="652"/>
      <c r="B10" s="652"/>
      <c r="C10" s="334"/>
    </row>
    <row r="11" spans="1:4" x14ac:dyDescent="0.3">
      <c r="A11" s="288"/>
      <c r="C11" s="334"/>
    </row>
    <row r="12" spans="1:4" ht="29.25" customHeight="1" x14ac:dyDescent="0.3">
      <c r="A12" s="652"/>
      <c r="B12" s="652"/>
      <c r="C12" s="334"/>
    </row>
    <row r="14" spans="1:4" x14ac:dyDescent="0.3">
      <c r="A14" s="2" t="s">
        <v>0</v>
      </c>
      <c r="B14" s="2"/>
      <c r="C14" s="2"/>
    </row>
    <row r="15" spans="1:4" ht="42.75" customHeight="1" x14ac:dyDescent="0.3">
      <c r="A15" s="655" t="s">
        <v>474</v>
      </c>
      <c r="B15" s="655"/>
      <c r="C15" s="547">
        <v>6.5</v>
      </c>
      <c r="D15" s="627"/>
    </row>
    <row r="16" spans="1:4" x14ac:dyDescent="0.3">
      <c r="A16" s="288" t="s">
        <v>354</v>
      </c>
      <c r="C16" s="547">
        <v>15</v>
      </c>
    </row>
    <row r="17" spans="1:3" ht="30" customHeight="1" x14ac:dyDescent="0.3">
      <c r="A17" s="652" t="s">
        <v>355</v>
      </c>
      <c r="B17" s="652"/>
      <c r="C17" s="547">
        <v>30</v>
      </c>
    </row>
    <row r="18" spans="1:3" x14ac:dyDescent="0.3">
      <c r="A18" t="s">
        <v>516</v>
      </c>
      <c r="C18" s="547">
        <v>1300</v>
      </c>
    </row>
    <row r="19" spans="1:3" x14ac:dyDescent="0.3">
      <c r="A19" s="2" t="s">
        <v>1</v>
      </c>
    </row>
    <row r="20" spans="1:3" x14ac:dyDescent="0.3">
      <c r="A20" s="288" t="s">
        <v>345</v>
      </c>
      <c r="C20" s="5">
        <v>2.1999999999999999E-2</v>
      </c>
    </row>
    <row r="21" spans="1:3" x14ac:dyDescent="0.3">
      <c r="A21" s="637" t="s">
        <v>503</v>
      </c>
      <c r="C21" s="5">
        <v>0.2</v>
      </c>
    </row>
    <row r="22" spans="1:3" x14ac:dyDescent="0.3">
      <c r="A22" s="288" t="s">
        <v>346</v>
      </c>
      <c r="C22" s="5">
        <v>0.13</v>
      </c>
    </row>
    <row r="23" spans="1:3" x14ac:dyDescent="0.3">
      <c r="A23" s="288" t="s">
        <v>347</v>
      </c>
      <c r="C23" s="5">
        <v>0.3</v>
      </c>
    </row>
    <row r="24" spans="1:3" x14ac:dyDescent="0.3">
      <c r="A24" s="288" t="s">
        <v>348</v>
      </c>
      <c r="C24" s="5">
        <v>1.4E-2</v>
      </c>
    </row>
    <row r="25" spans="1:3" x14ac:dyDescent="0.3">
      <c r="A25" s="288" t="s">
        <v>349</v>
      </c>
      <c r="C25" s="5">
        <v>0.22</v>
      </c>
    </row>
    <row r="26" spans="1:3" ht="30" customHeight="1" x14ac:dyDescent="0.3">
      <c r="A26" s="652" t="s">
        <v>350</v>
      </c>
      <c r="B26" s="652"/>
      <c r="C26" s="5">
        <v>2.9000000000000001E-2</v>
      </c>
    </row>
    <row r="27" spans="1:3" ht="30.75" customHeight="1" x14ac:dyDescent="0.3">
      <c r="A27" s="652" t="s">
        <v>351</v>
      </c>
      <c r="B27" s="652"/>
      <c r="C27" s="5">
        <v>5.0999999999999997E-2</v>
      </c>
    </row>
    <row r="28" spans="1:3" x14ac:dyDescent="0.3">
      <c r="A28" s="290" t="s">
        <v>358</v>
      </c>
    </row>
    <row r="29" spans="1:3" ht="27.75" customHeight="1" x14ac:dyDescent="0.3">
      <c r="A29" s="652" t="s">
        <v>379</v>
      </c>
      <c r="B29" s="652"/>
      <c r="C29" s="621">
        <v>1E-4</v>
      </c>
    </row>
    <row r="30" spans="1:3" x14ac:dyDescent="0.3">
      <c r="A30" t="s">
        <v>2</v>
      </c>
      <c r="C30" s="607">
        <v>117165</v>
      </c>
    </row>
    <row r="31" spans="1:3" x14ac:dyDescent="0.3">
      <c r="A31" s="525" t="s">
        <v>390</v>
      </c>
      <c r="C31" s="607">
        <v>64985.56725</v>
      </c>
    </row>
    <row r="32" spans="1:3" x14ac:dyDescent="0.3">
      <c r="A32" s="502" t="s">
        <v>387</v>
      </c>
      <c r="C32" s="334">
        <v>0</v>
      </c>
    </row>
    <row r="34" spans="1:4" x14ac:dyDescent="0.3">
      <c r="B34" s="288"/>
      <c r="C34" s="329"/>
    </row>
    <row r="35" spans="1:4" x14ac:dyDescent="0.3">
      <c r="A35" s="336" t="s">
        <v>368</v>
      </c>
      <c r="C35" s="354">
        <v>0.01</v>
      </c>
    </row>
    <row r="37" spans="1:4" x14ac:dyDescent="0.3">
      <c r="A37" s="288" t="s">
        <v>356</v>
      </c>
      <c r="C37" s="354">
        <v>0.03</v>
      </c>
    </row>
    <row r="38" spans="1:4" x14ac:dyDescent="0.3">
      <c r="A38" s="525" t="s">
        <v>393</v>
      </c>
      <c r="C38" s="354">
        <v>0.06</v>
      </c>
    </row>
    <row r="39" spans="1:4" x14ac:dyDescent="0.3">
      <c r="A39" s="289" t="s">
        <v>3</v>
      </c>
      <c r="B39" s="289"/>
      <c r="C39" s="289"/>
    </row>
    <row r="40" spans="1:4" x14ac:dyDescent="0.3">
      <c r="A40" s="288" t="s">
        <v>338</v>
      </c>
      <c r="C40" s="4">
        <v>0.06</v>
      </c>
      <c r="D40" t="s">
        <v>339</v>
      </c>
    </row>
    <row r="41" spans="1:4" x14ac:dyDescent="0.3">
      <c r="A41" s="288" t="s">
        <v>341</v>
      </c>
      <c r="C41" s="5">
        <v>7.4999999999999997E-2</v>
      </c>
      <c r="D41" t="s">
        <v>340</v>
      </c>
    </row>
    <row r="43" spans="1:4" ht="29.25" customHeight="1" x14ac:dyDescent="0.3">
      <c r="A43" s="652" t="s">
        <v>5</v>
      </c>
      <c r="B43" s="654"/>
      <c r="C43" s="354">
        <v>0.15</v>
      </c>
    </row>
    <row r="44" spans="1:4" x14ac:dyDescent="0.3">
      <c r="A44" t="s">
        <v>6</v>
      </c>
      <c r="C44" s="358">
        <f>(1+C41)/(1+C40)-1+C43</f>
        <v>0.16415094339622635</v>
      </c>
    </row>
    <row r="45" spans="1:4" x14ac:dyDescent="0.3">
      <c r="A45" t="s">
        <v>4</v>
      </c>
    </row>
    <row r="52" spans="1:6" x14ac:dyDescent="0.3">
      <c r="A52" s="288" t="s">
        <v>357</v>
      </c>
      <c r="C52" s="354">
        <v>0.15</v>
      </c>
    </row>
    <row r="55" spans="1:6" ht="17.25" customHeight="1" x14ac:dyDescent="0.3">
      <c r="A55" s="289" t="s">
        <v>361</v>
      </c>
      <c r="B55" s="289"/>
      <c r="C55" s="356"/>
      <c r="D55" s="54"/>
      <c r="F55" s="92"/>
    </row>
    <row r="56" spans="1:6" x14ac:dyDescent="0.3">
      <c r="A56" s="337" t="s">
        <v>362</v>
      </c>
      <c r="C56" s="54"/>
      <c r="D56" s="54"/>
      <c r="F56" s="92"/>
    </row>
    <row r="57" spans="1:6" x14ac:dyDescent="0.3">
      <c r="A57" s="653" t="s">
        <v>402</v>
      </c>
      <c r="B57" s="654" t="s">
        <v>51</v>
      </c>
      <c r="C57" s="333">
        <v>5.5169999999999997E-2</v>
      </c>
      <c r="D57" s="330"/>
    </row>
    <row r="58" spans="1:6" x14ac:dyDescent="0.3">
      <c r="A58" s="653" t="s">
        <v>403</v>
      </c>
      <c r="B58" s="654" t="s">
        <v>51</v>
      </c>
      <c r="C58" s="501">
        <v>0</v>
      </c>
      <c r="D58" s="331"/>
    </row>
    <row r="59" spans="1:6" x14ac:dyDescent="0.3">
      <c r="A59" s="653" t="s">
        <v>401</v>
      </c>
      <c r="B59" s="654" t="s">
        <v>51</v>
      </c>
      <c r="C59" s="333">
        <v>4.2610000000000002E-2</v>
      </c>
      <c r="D59" s="331"/>
    </row>
    <row r="60" spans="1:6" x14ac:dyDescent="0.3">
      <c r="A60" s="653" t="s">
        <v>400</v>
      </c>
      <c r="B60" s="654" t="s">
        <v>51</v>
      </c>
      <c r="C60" s="620">
        <v>4.0000000000000001E-3</v>
      </c>
      <c r="D60" s="332"/>
    </row>
    <row r="61" spans="1:6" x14ac:dyDescent="0.3">
      <c r="A61" s="652" t="s">
        <v>363</v>
      </c>
      <c r="B61" s="654" t="s">
        <v>51</v>
      </c>
      <c r="C61" s="501">
        <v>0</v>
      </c>
      <c r="D61" s="332"/>
    </row>
    <row r="62" spans="1:6" x14ac:dyDescent="0.3">
      <c r="A62" s="656" t="s">
        <v>383</v>
      </c>
      <c r="B62" s="656"/>
      <c r="C62" s="333">
        <v>0.69098000000000004</v>
      </c>
      <c r="D62" s="332"/>
    </row>
    <row r="64" spans="1:6" x14ac:dyDescent="0.3">
      <c r="A64" s="355" t="s">
        <v>367</v>
      </c>
    </row>
    <row r="65" spans="1:6" x14ac:dyDescent="0.3">
      <c r="A65" s="657" t="s">
        <v>366</v>
      </c>
      <c r="B65" s="658"/>
      <c r="C65" s="354">
        <v>0.06</v>
      </c>
    </row>
    <row r="66" spans="1:6" x14ac:dyDescent="0.3">
      <c r="A66" s="649"/>
      <c r="B66" s="650"/>
      <c r="C66" s="357"/>
      <c r="E66" s="502"/>
    </row>
    <row r="67" spans="1:6" ht="35.25" customHeight="1" x14ac:dyDescent="0.3">
      <c r="A67" s="659" t="s">
        <v>491</v>
      </c>
      <c r="B67" s="650"/>
      <c r="C67" s="354">
        <v>0.12</v>
      </c>
    </row>
    <row r="68" spans="1:6" ht="15" customHeight="1" x14ac:dyDescent="0.3">
      <c r="A68" s="650" t="s">
        <v>236</v>
      </c>
      <c r="B68" s="650"/>
      <c r="C68" s="354">
        <v>0.02</v>
      </c>
    </row>
    <row r="69" spans="1:6" ht="30.75" customHeight="1" x14ac:dyDescent="0.3">
      <c r="A69" s="650"/>
      <c r="B69" s="650"/>
      <c r="C69" s="354"/>
    </row>
    <row r="70" spans="1:6" x14ac:dyDescent="0.3">
      <c r="A70" s="651" t="s">
        <v>424</v>
      </c>
      <c r="B70" s="650"/>
      <c r="C70" s="618">
        <v>0.25</v>
      </c>
    </row>
    <row r="71" spans="1:6" ht="15" customHeight="1" x14ac:dyDescent="0.3">
      <c r="A71" s="651" t="s">
        <v>425</v>
      </c>
      <c r="B71" s="650"/>
      <c r="C71" s="619">
        <v>0.02</v>
      </c>
    </row>
    <row r="72" spans="1:6" x14ac:dyDescent="0.3">
      <c r="A72" s="651" t="s">
        <v>426</v>
      </c>
      <c r="B72" s="650"/>
      <c r="C72" s="357">
        <v>25</v>
      </c>
    </row>
    <row r="73" spans="1:6" x14ac:dyDescent="0.3">
      <c r="A73" s="651" t="s">
        <v>427</v>
      </c>
      <c r="B73" s="650"/>
      <c r="C73" s="357">
        <v>60</v>
      </c>
    </row>
    <row r="74" spans="1:6" x14ac:dyDescent="0.3">
      <c r="A74" s="660" t="s">
        <v>517</v>
      </c>
      <c r="B74" s="650"/>
      <c r="C74" s="357">
        <v>19</v>
      </c>
    </row>
    <row r="75" spans="1:6" x14ac:dyDescent="0.3">
      <c r="A75" s="651" t="s">
        <v>428</v>
      </c>
      <c r="B75" s="650"/>
      <c r="C75" s="357">
        <v>3</v>
      </c>
      <c r="D75" s="502"/>
      <c r="F75" s="502"/>
    </row>
    <row r="76" spans="1:6" x14ac:dyDescent="0.3">
      <c r="A76" s="651" t="s">
        <v>429</v>
      </c>
      <c r="B76" s="650"/>
      <c r="C76" s="357">
        <v>30</v>
      </c>
    </row>
    <row r="77" spans="1:6" x14ac:dyDescent="0.3">
      <c r="A77" s="503" t="s">
        <v>384</v>
      </c>
    </row>
    <row r="78" spans="1:6" ht="29.25" customHeight="1" x14ac:dyDescent="0.3">
      <c r="A78" s="651" t="s">
        <v>410</v>
      </c>
      <c r="B78" s="650"/>
      <c r="C78" s="333">
        <v>6500</v>
      </c>
    </row>
    <row r="79" spans="1:6" ht="33" customHeight="1" x14ac:dyDescent="0.3">
      <c r="A79" s="651" t="s">
        <v>411</v>
      </c>
      <c r="B79" s="650"/>
      <c r="C79" s="333">
        <v>13500</v>
      </c>
    </row>
    <row r="80" spans="1:6" ht="35.25" customHeight="1" x14ac:dyDescent="0.3">
      <c r="A80" s="651" t="s">
        <v>412</v>
      </c>
      <c r="B80" s="650"/>
      <c r="C80" s="333">
        <v>4500</v>
      </c>
    </row>
    <row r="81" spans="1:4" ht="33" customHeight="1" x14ac:dyDescent="0.3">
      <c r="A81" s="651" t="s">
        <v>394</v>
      </c>
      <c r="B81" s="650"/>
      <c r="C81" s="333">
        <v>3500</v>
      </c>
    </row>
    <row r="82" spans="1:4" ht="31.5" customHeight="1" x14ac:dyDescent="0.3">
      <c r="A82" s="651" t="s">
        <v>395</v>
      </c>
      <c r="B82" s="650"/>
      <c r="C82" s="333">
        <v>6000</v>
      </c>
    </row>
    <row r="83" spans="1:4" ht="15" customHeight="1" x14ac:dyDescent="0.3">
      <c r="A83" s="651" t="s">
        <v>396</v>
      </c>
      <c r="B83" s="650"/>
      <c r="C83" s="333">
        <v>280</v>
      </c>
    </row>
    <row r="84" spans="1:4" ht="35.25" customHeight="1" x14ac:dyDescent="0.3">
      <c r="A84" s="649"/>
      <c r="B84" s="650"/>
    </row>
    <row r="85" spans="1:4" ht="18" customHeight="1" x14ac:dyDescent="0.3">
      <c r="A85" s="632" t="s">
        <v>485</v>
      </c>
      <c r="B85" s="626"/>
    </row>
    <row r="86" spans="1:4" x14ac:dyDescent="0.3">
      <c r="A86" s="627" t="s">
        <v>475</v>
      </c>
      <c r="C86" s="627" t="s">
        <v>493</v>
      </c>
    </row>
    <row r="87" spans="1:4" ht="28.8" x14ac:dyDescent="0.3">
      <c r="A87" s="628" t="s">
        <v>476</v>
      </c>
      <c r="B87" s="628" t="s">
        <v>482</v>
      </c>
      <c r="C87">
        <f>300*10.5</f>
        <v>3150</v>
      </c>
    </row>
    <row r="88" spans="1:4" ht="28.8" x14ac:dyDescent="0.3">
      <c r="A88" s="627" t="s">
        <v>479</v>
      </c>
      <c r="B88" s="628" t="s">
        <v>481</v>
      </c>
      <c r="C88">
        <f>60*10.5</f>
        <v>630</v>
      </c>
    </row>
    <row r="89" spans="1:4" ht="43.2" x14ac:dyDescent="0.3">
      <c r="A89" s="636" t="s">
        <v>498</v>
      </c>
      <c r="B89" s="628" t="s">
        <v>480</v>
      </c>
      <c r="C89">
        <f>1000*4.5</f>
        <v>4500</v>
      </c>
    </row>
    <row r="90" spans="1:4" ht="28.8" x14ac:dyDescent="0.3">
      <c r="A90" s="628" t="s">
        <v>477</v>
      </c>
      <c r="B90" s="629" t="s">
        <v>487</v>
      </c>
      <c r="C90">
        <v>2220</v>
      </c>
    </row>
    <row r="91" spans="1:4" ht="42" x14ac:dyDescent="0.3">
      <c r="A91" s="628" t="s">
        <v>478</v>
      </c>
      <c r="B91" s="629" t="s">
        <v>486</v>
      </c>
      <c r="C91">
        <v>3000</v>
      </c>
    </row>
    <row r="92" spans="1:4" x14ac:dyDescent="0.3">
      <c r="A92" s="627" t="s">
        <v>484</v>
      </c>
      <c r="C92">
        <f>SUM(C87:C91)</f>
        <v>13500</v>
      </c>
    </row>
    <row r="93" spans="1:4" x14ac:dyDescent="0.3">
      <c r="A93" s="627" t="s">
        <v>483</v>
      </c>
      <c r="C93" s="7">
        <f>C92/2070</f>
        <v>6.5217391304347823</v>
      </c>
      <c r="D93" s="627" t="s">
        <v>492</v>
      </c>
    </row>
  </sheetData>
  <mergeCells count="34">
    <mergeCell ref="A76:B76"/>
    <mergeCell ref="A70:B70"/>
    <mergeCell ref="A72:B72"/>
    <mergeCell ref="A73:B73"/>
    <mergeCell ref="A74:B74"/>
    <mergeCell ref="A75:B75"/>
    <mergeCell ref="A60:B60"/>
    <mergeCell ref="A12:B12"/>
    <mergeCell ref="A17:B17"/>
    <mergeCell ref="A29:B29"/>
    <mergeCell ref="A78:B78"/>
    <mergeCell ref="A71:B71"/>
    <mergeCell ref="A26:B26"/>
    <mergeCell ref="A27:B27"/>
    <mergeCell ref="A43:B43"/>
    <mergeCell ref="A61:B61"/>
    <mergeCell ref="A62:B62"/>
    <mergeCell ref="A65:B65"/>
    <mergeCell ref="A67:B67"/>
    <mergeCell ref="A68:B68"/>
    <mergeCell ref="A69:B69"/>
    <mergeCell ref="A66:B66"/>
    <mergeCell ref="A9:B9"/>
    <mergeCell ref="A10:B10"/>
    <mergeCell ref="A57:B57"/>
    <mergeCell ref="A58:B58"/>
    <mergeCell ref="A59:B59"/>
    <mergeCell ref="A15:B15"/>
    <mergeCell ref="A84:B84"/>
    <mergeCell ref="A79:B79"/>
    <mergeCell ref="A80:B80"/>
    <mergeCell ref="A81:B81"/>
    <mergeCell ref="A82:B82"/>
    <mergeCell ref="A83:B83"/>
  </mergeCells>
  <pageMargins left="0.7" right="0.7" top="0.75" bottom="0.75" header="0.3" footer="0.3"/>
  <pageSetup paperSize="9" firstPageNumber="2147483648"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Лист5"/>
  <dimension ref="A1:J26"/>
  <sheetViews>
    <sheetView zoomScale="70" workbookViewId="0">
      <pane xSplit="1" topLeftCell="B1" activePane="topRight" state="frozen"/>
      <selection pane="topRight"/>
    </sheetView>
  </sheetViews>
  <sheetFormatPr defaultRowHeight="14.4" x14ac:dyDescent="0.3"/>
  <cols>
    <col min="1" max="1" width="26.5546875" style="53" customWidth="1"/>
    <col min="2" max="2" width="11.88671875" style="54" customWidth="1"/>
    <col min="3" max="3" width="13" style="55" customWidth="1"/>
    <col min="4" max="6" width="12.88671875" style="72" customWidth="1"/>
  </cols>
  <sheetData>
    <row r="1" spans="1:10" x14ac:dyDescent="0.3">
      <c r="A1" s="93"/>
      <c r="B1" s="93"/>
      <c r="C1" s="93"/>
      <c r="D1" s="273"/>
      <c r="E1" s="273"/>
      <c r="F1" s="273"/>
      <c r="G1" s="274"/>
      <c r="H1" s="274"/>
      <c r="I1" s="274"/>
      <c r="J1" s="274"/>
    </row>
    <row r="2" spans="1:10" x14ac:dyDescent="0.3">
      <c r="A2" s="93"/>
      <c r="B2" s="93"/>
      <c r="C2" s="93"/>
      <c r="D2" s="275">
        <v>0.3</v>
      </c>
      <c r="E2" s="275"/>
      <c r="F2" s="275"/>
      <c r="G2" s="276"/>
      <c r="H2" s="276"/>
      <c r="I2" s="276"/>
      <c r="J2" s="276"/>
    </row>
    <row r="3" spans="1:10" s="63" customFormat="1" ht="55.2" x14ac:dyDescent="0.3">
      <c r="A3" s="184" t="s">
        <v>61</v>
      </c>
      <c r="B3" s="277" t="s">
        <v>37</v>
      </c>
      <c r="C3" s="213" t="s">
        <v>287</v>
      </c>
      <c r="D3" s="278" t="s">
        <v>288</v>
      </c>
      <c r="E3" s="278" t="s">
        <v>289</v>
      </c>
      <c r="F3" s="278" t="s">
        <v>290</v>
      </c>
      <c r="G3" s="278" t="s">
        <v>291</v>
      </c>
    </row>
    <row r="4" spans="1:10" x14ac:dyDescent="0.3">
      <c r="A4" s="184" t="s">
        <v>292</v>
      </c>
      <c r="B4" s="277" t="s">
        <v>293</v>
      </c>
      <c r="C4" s="280">
        <f>'объем работ 100% загр'!F4</f>
        <v>1.9056256000000004E-2</v>
      </c>
      <c r="D4" s="72">
        <f>'объем работ 100% загр'!S4</f>
        <v>520000</v>
      </c>
      <c r="E4" s="72">
        <f t="shared" ref="E4:E23" si="0">C4*D4</f>
        <v>9909.2531200000012</v>
      </c>
      <c r="F4" s="72">
        <f t="shared" ref="F4:F23" si="1">E4*3</f>
        <v>29727.759360000004</v>
      </c>
      <c r="G4">
        <f t="shared" ref="G4:G23" si="2">E4*12</f>
        <v>118911.03744000001</v>
      </c>
    </row>
    <row r="5" spans="1:10" ht="124.2" x14ac:dyDescent="0.3">
      <c r="A5" s="184" t="s">
        <v>294</v>
      </c>
      <c r="B5" s="277" t="s">
        <v>295</v>
      </c>
      <c r="C5" s="280">
        <f>'объем работ 100% загр'!F5</f>
        <v>0</v>
      </c>
      <c r="D5" s="72">
        <f>'объем работ 100% загр'!S5</f>
        <v>0</v>
      </c>
      <c r="E5" s="72">
        <f t="shared" si="0"/>
        <v>0</v>
      </c>
      <c r="F5" s="72">
        <f t="shared" si="1"/>
        <v>0</v>
      </c>
      <c r="G5">
        <f t="shared" si="2"/>
        <v>0</v>
      </c>
    </row>
    <row r="6" spans="1:10" ht="123.75" customHeight="1" x14ac:dyDescent="0.3">
      <c r="A6" s="184" t="s">
        <v>296</v>
      </c>
      <c r="B6" s="277" t="s">
        <v>295</v>
      </c>
      <c r="C6" s="280">
        <f>'объем работ 100% загр'!F6</f>
        <v>0</v>
      </c>
      <c r="D6" s="72">
        <f>'объем работ 100% загр'!S6</f>
        <v>0</v>
      </c>
      <c r="E6" s="72">
        <f t="shared" si="0"/>
        <v>0</v>
      </c>
      <c r="F6" s="72">
        <f t="shared" si="1"/>
        <v>0</v>
      </c>
      <c r="G6">
        <f t="shared" si="2"/>
        <v>0</v>
      </c>
    </row>
    <row r="7" spans="1:10" ht="55.2" x14ac:dyDescent="0.3">
      <c r="A7" s="184" t="s">
        <v>297</v>
      </c>
      <c r="B7" s="277" t="s">
        <v>298</v>
      </c>
      <c r="C7" s="280" t="e">
        <f t="shared" ref="C7:C25" si="3">'объем работ 100% загр'!#REF!</f>
        <v>#REF!</v>
      </c>
      <c r="D7" s="72" t="e">
        <f t="shared" ref="D7:D25" si="4">'объем работ 100% загр'!#REF!</f>
        <v>#REF!</v>
      </c>
      <c r="E7" s="72" t="e">
        <f t="shared" si="0"/>
        <v>#REF!</v>
      </c>
      <c r="F7" s="72" t="e">
        <f t="shared" si="1"/>
        <v>#REF!</v>
      </c>
      <c r="G7" t="e">
        <f t="shared" si="2"/>
        <v>#REF!</v>
      </c>
    </row>
    <row r="8" spans="1:10" ht="27.6" x14ac:dyDescent="0.3">
      <c r="A8" s="184" t="s">
        <v>299</v>
      </c>
      <c r="B8" s="277" t="s">
        <v>300</v>
      </c>
      <c r="C8" s="280" t="e">
        <f t="shared" si="3"/>
        <v>#REF!</v>
      </c>
      <c r="D8" s="72" t="e">
        <f t="shared" si="4"/>
        <v>#REF!</v>
      </c>
      <c r="E8" s="72" t="e">
        <f t="shared" si="0"/>
        <v>#REF!</v>
      </c>
      <c r="F8" s="72" t="e">
        <f t="shared" si="1"/>
        <v>#REF!</v>
      </c>
      <c r="G8" t="e">
        <f t="shared" si="2"/>
        <v>#REF!</v>
      </c>
    </row>
    <row r="9" spans="1:10" ht="27.6" x14ac:dyDescent="0.3">
      <c r="A9" s="184" t="s">
        <v>301</v>
      </c>
      <c r="B9" s="277" t="s">
        <v>302</v>
      </c>
      <c r="C9" s="280" t="e">
        <f t="shared" si="3"/>
        <v>#REF!</v>
      </c>
      <c r="D9" s="72" t="e">
        <f t="shared" si="4"/>
        <v>#REF!</v>
      </c>
      <c r="E9" s="72" t="e">
        <f t="shared" si="0"/>
        <v>#REF!</v>
      </c>
      <c r="F9" s="72" t="e">
        <f t="shared" si="1"/>
        <v>#REF!</v>
      </c>
      <c r="G9" t="e">
        <f t="shared" si="2"/>
        <v>#REF!</v>
      </c>
    </row>
    <row r="10" spans="1:10" ht="69" x14ac:dyDescent="0.3">
      <c r="A10" s="184" t="s">
        <v>303</v>
      </c>
      <c r="B10" s="277" t="s">
        <v>304</v>
      </c>
      <c r="C10" s="280" t="e">
        <f t="shared" si="3"/>
        <v>#REF!</v>
      </c>
      <c r="D10" s="72" t="e">
        <f t="shared" si="4"/>
        <v>#REF!</v>
      </c>
      <c r="E10" s="72" t="e">
        <f t="shared" si="0"/>
        <v>#REF!</v>
      </c>
      <c r="F10" s="72" t="e">
        <f t="shared" si="1"/>
        <v>#REF!</v>
      </c>
      <c r="G10" t="e">
        <f t="shared" si="2"/>
        <v>#REF!</v>
      </c>
    </row>
    <row r="11" spans="1:10" ht="69" x14ac:dyDescent="0.3">
      <c r="A11" s="184" t="s">
        <v>305</v>
      </c>
      <c r="B11" s="277" t="s">
        <v>306</v>
      </c>
      <c r="C11" s="280" t="e">
        <f t="shared" si="3"/>
        <v>#REF!</v>
      </c>
      <c r="D11" s="72" t="e">
        <f t="shared" si="4"/>
        <v>#REF!</v>
      </c>
      <c r="E11" s="72" t="e">
        <f t="shared" si="0"/>
        <v>#REF!</v>
      </c>
      <c r="F11" s="72" t="e">
        <f t="shared" si="1"/>
        <v>#REF!</v>
      </c>
      <c r="G11" t="e">
        <f t="shared" si="2"/>
        <v>#REF!</v>
      </c>
    </row>
    <row r="12" spans="1:10" ht="72" x14ac:dyDescent="0.3">
      <c r="A12" s="53" t="s">
        <v>307</v>
      </c>
      <c r="B12" s="277" t="s">
        <v>304</v>
      </c>
      <c r="C12" s="280" t="e">
        <f t="shared" si="3"/>
        <v>#REF!</v>
      </c>
      <c r="D12" s="72" t="e">
        <f t="shared" si="4"/>
        <v>#REF!</v>
      </c>
      <c r="E12" s="72" t="e">
        <f t="shared" si="0"/>
        <v>#REF!</v>
      </c>
      <c r="F12" s="72" t="e">
        <f t="shared" si="1"/>
        <v>#REF!</v>
      </c>
      <c r="G12" t="e">
        <f t="shared" si="2"/>
        <v>#REF!</v>
      </c>
    </row>
    <row r="13" spans="1:10" ht="72" x14ac:dyDescent="0.3">
      <c r="A13" s="53" t="s">
        <v>308</v>
      </c>
      <c r="B13" s="277" t="s">
        <v>306</v>
      </c>
      <c r="C13" s="280" t="e">
        <f t="shared" si="3"/>
        <v>#REF!</v>
      </c>
      <c r="D13" s="72" t="e">
        <f t="shared" si="4"/>
        <v>#REF!</v>
      </c>
      <c r="E13" s="72" t="e">
        <f t="shared" si="0"/>
        <v>#REF!</v>
      </c>
      <c r="F13" s="72" t="e">
        <f t="shared" si="1"/>
        <v>#REF!</v>
      </c>
      <c r="G13" t="e">
        <f t="shared" si="2"/>
        <v>#REF!</v>
      </c>
    </row>
    <row r="14" spans="1:10" ht="86.4" x14ac:dyDescent="0.3">
      <c r="A14" s="53" t="s">
        <v>309</v>
      </c>
      <c r="B14" s="277" t="s">
        <v>304</v>
      </c>
      <c r="C14" s="280" t="e">
        <f t="shared" si="3"/>
        <v>#REF!</v>
      </c>
      <c r="D14" s="72" t="e">
        <f t="shared" si="4"/>
        <v>#REF!</v>
      </c>
      <c r="E14" s="72" t="e">
        <f t="shared" si="0"/>
        <v>#REF!</v>
      </c>
      <c r="F14" s="72" t="e">
        <f t="shared" si="1"/>
        <v>#REF!</v>
      </c>
      <c r="G14" t="e">
        <f t="shared" si="2"/>
        <v>#REF!</v>
      </c>
    </row>
    <row r="15" spans="1:10" ht="86.4" x14ac:dyDescent="0.3">
      <c r="A15" s="53" t="s">
        <v>310</v>
      </c>
      <c r="B15" s="277" t="s">
        <v>306</v>
      </c>
      <c r="C15" s="280" t="e">
        <f t="shared" si="3"/>
        <v>#REF!</v>
      </c>
      <c r="D15" s="72" t="e">
        <f t="shared" si="4"/>
        <v>#REF!</v>
      </c>
      <c r="E15" s="72" t="e">
        <f t="shared" si="0"/>
        <v>#REF!</v>
      </c>
      <c r="F15" s="72" t="e">
        <f t="shared" si="1"/>
        <v>#REF!</v>
      </c>
      <c r="G15" t="e">
        <f t="shared" si="2"/>
        <v>#REF!</v>
      </c>
    </row>
    <row r="16" spans="1:10" ht="72" x14ac:dyDescent="0.3">
      <c r="A16" s="53" t="s">
        <v>311</v>
      </c>
      <c r="B16" s="277" t="s">
        <v>304</v>
      </c>
      <c r="C16" s="280" t="e">
        <f t="shared" si="3"/>
        <v>#REF!</v>
      </c>
      <c r="D16" s="72" t="e">
        <f t="shared" si="4"/>
        <v>#REF!</v>
      </c>
      <c r="E16" s="72" t="e">
        <f t="shared" si="0"/>
        <v>#REF!</v>
      </c>
      <c r="F16" s="72" t="e">
        <f t="shared" si="1"/>
        <v>#REF!</v>
      </c>
      <c r="G16" t="e">
        <f t="shared" si="2"/>
        <v>#REF!</v>
      </c>
    </row>
    <row r="17" spans="1:9" ht="72" x14ac:dyDescent="0.3">
      <c r="A17" s="53" t="s">
        <v>312</v>
      </c>
      <c r="B17" s="277" t="s">
        <v>306</v>
      </c>
      <c r="C17" s="280" t="e">
        <f t="shared" si="3"/>
        <v>#REF!</v>
      </c>
      <c r="D17" s="72" t="e">
        <f t="shared" si="4"/>
        <v>#REF!</v>
      </c>
      <c r="E17" s="72" t="e">
        <f t="shared" si="0"/>
        <v>#REF!</v>
      </c>
      <c r="F17" s="72" t="e">
        <f t="shared" si="1"/>
        <v>#REF!</v>
      </c>
      <c r="G17" t="e">
        <f t="shared" si="2"/>
        <v>#REF!</v>
      </c>
    </row>
    <row r="18" spans="1:9" ht="27.6" x14ac:dyDescent="0.3">
      <c r="A18" s="53" t="s">
        <v>313</v>
      </c>
      <c r="B18" s="277" t="s">
        <v>304</v>
      </c>
      <c r="C18" s="280" t="e">
        <f t="shared" si="3"/>
        <v>#REF!</v>
      </c>
      <c r="D18" s="72" t="e">
        <f t="shared" si="4"/>
        <v>#REF!</v>
      </c>
      <c r="E18" s="72" t="e">
        <f t="shared" si="0"/>
        <v>#REF!</v>
      </c>
      <c r="F18" s="72" t="e">
        <f t="shared" si="1"/>
        <v>#REF!</v>
      </c>
      <c r="G18" t="e">
        <f t="shared" si="2"/>
        <v>#REF!</v>
      </c>
    </row>
    <row r="19" spans="1:9" ht="72" x14ac:dyDescent="0.3">
      <c r="A19" s="53" t="s">
        <v>314</v>
      </c>
      <c r="B19" s="277" t="s">
        <v>315</v>
      </c>
      <c r="C19" s="280" t="e">
        <f t="shared" si="3"/>
        <v>#REF!</v>
      </c>
      <c r="D19" s="72" t="e">
        <f t="shared" si="4"/>
        <v>#REF!</v>
      </c>
      <c r="E19" s="72" t="e">
        <f t="shared" si="0"/>
        <v>#REF!</v>
      </c>
      <c r="F19" s="72" t="e">
        <f t="shared" si="1"/>
        <v>#REF!</v>
      </c>
      <c r="G19" t="e">
        <f t="shared" si="2"/>
        <v>#REF!</v>
      </c>
    </row>
    <row r="20" spans="1:9" ht="72" x14ac:dyDescent="0.3">
      <c r="A20" s="53" t="s">
        <v>316</v>
      </c>
      <c r="B20" s="277" t="s">
        <v>315</v>
      </c>
      <c r="C20" s="280" t="e">
        <f t="shared" si="3"/>
        <v>#REF!</v>
      </c>
      <c r="D20" s="72" t="e">
        <f t="shared" si="4"/>
        <v>#REF!</v>
      </c>
      <c r="E20" s="72" t="e">
        <f t="shared" si="0"/>
        <v>#REF!</v>
      </c>
      <c r="F20" s="72" t="e">
        <f t="shared" si="1"/>
        <v>#REF!</v>
      </c>
      <c r="G20" t="e">
        <f t="shared" si="2"/>
        <v>#REF!</v>
      </c>
    </row>
    <row r="21" spans="1:9" x14ac:dyDescent="0.3">
      <c r="A21" s="53" t="s">
        <v>317</v>
      </c>
      <c r="B21" s="54" t="s">
        <v>315</v>
      </c>
      <c r="C21" s="280" t="e">
        <f t="shared" si="3"/>
        <v>#REF!</v>
      </c>
      <c r="D21" s="72" t="e">
        <f t="shared" si="4"/>
        <v>#REF!</v>
      </c>
      <c r="E21" s="72" t="e">
        <f t="shared" si="0"/>
        <v>#REF!</v>
      </c>
      <c r="F21" s="72" t="e">
        <f t="shared" si="1"/>
        <v>#REF!</v>
      </c>
      <c r="G21" t="e">
        <f t="shared" si="2"/>
        <v>#REF!</v>
      </c>
    </row>
    <row r="22" spans="1:9" ht="28.8" x14ac:dyDescent="0.3">
      <c r="A22" s="53" t="s">
        <v>318</v>
      </c>
      <c r="B22" s="54" t="s">
        <v>315</v>
      </c>
      <c r="C22" s="280" t="e">
        <f t="shared" si="3"/>
        <v>#REF!</v>
      </c>
      <c r="D22" s="72" t="e">
        <f t="shared" si="4"/>
        <v>#REF!</v>
      </c>
      <c r="E22" s="72" t="e">
        <f t="shared" si="0"/>
        <v>#REF!</v>
      </c>
      <c r="F22" s="72" t="e">
        <f t="shared" si="1"/>
        <v>#REF!</v>
      </c>
      <c r="G22" t="e">
        <f t="shared" si="2"/>
        <v>#REF!</v>
      </c>
    </row>
    <row r="23" spans="1:9" ht="56.25" customHeight="1" x14ac:dyDescent="0.3">
      <c r="A23" s="53" t="s">
        <v>319</v>
      </c>
      <c r="B23" s="54" t="s">
        <v>320</v>
      </c>
      <c r="C23" s="280" t="e">
        <f t="shared" si="3"/>
        <v>#REF!</v>
      </c>
      <c r="D23" s="72" t="e">
        <f t="shared" si="4"/>
        <v>#REF!</v>
      </c>
      <c r="E23" s="72" t="e">
        <f t="shared" si="0"/>
        <v>#REF!</v>
      </c>
      <c r="F23" s="72" t="e">
        <f t="shared" si="1"/>
        <v>#REF!</v>
      </c>
      <c r="G23" t="e">
        <f t="shared" si="2"/>
        <v>#REF!</v>
      </c>
    </row>
    <row r="24" spans="1:9" ht="56.25" customHeight="1" x14ac:dyDescent="0.3">
      <c r="A24" s="53" t="s">
        <v>321</v>
      </c>
      <c r="B24" s="53" t="s">
        <v>315</v>
      </c>
      <c r="C24" s="53" t="e">
        <f t="shared" si="3"/>
        <v>#REF!</v>
      </c>
      <c r="D24" s="279" t="e">
        <f t="shared" si="4"/>
        <v>#REF!</v>
      </c>
      <c r="E24" s="53" t="e">
        <f t="shared" ref="E24:E25" si="5">C24*D24</f>
        <v>#REF!</v>
      </c>
      <c r="F24" s="53" t="e">
        <f t="shared" ref="F24:F25" si="6">E24*3</f>
        <v>#REF!</v>
      </c>
      <c r="G24" s="53" t="e">
        <f t="shared" ref="G24:G25" si="7">E24*12</f>
        <v>#REF!</v>
      </c>
    </row>
    <row r="25" spans="1:9" ht="56.25" customHeight="1" x14ac:dyDescent="0.3">
      <c r="A25" s="53" t="s">
        <v>322</v>
      </c>
      <c r="B25" s="53" t="s">
        <v>315</v>
      </c>
      <c r="C25" s="53" t="e">
        <f t="shared" si="3"/>
        <v>#REF!</v>
      </c>
      <c r="D25" s="279" t="e">
        <f t="shared" si="4"/>
        <v>#REF!</v>
      </c>
      <c r="E25" s="53" t="e">
        <f t="shared" si="5"/>
        <v>#REF!</v>
      </c>
      <c r="F25" s="53" t="e">
        <f t="shared" si="6"/>
        <v>#REF!</v>
      </c>
      <c r="G25" s="53" t="e">
        <f t="shared" si="7"/>
        <v>#REF!</v>
      </c>
    </row>
    <row r="26" spans="1:9" x14ac:dyDescent="0.3">
      <c r="F26" s="72" t="e">
        <f>SUM(F4:F25)</f>
        <v>#REF!</v>
      </c>
      <c r="G26" t="e">
        <f>SUM(G4:G25)</f>
        <v>#REF!</v>
      </c>
      <c r="I26" s="72"/>
    </row>
  </sheetData>
  <pageMargins left="0.7" right="0.7" top="0.75" bottom="0.75" header="0.3" footer="0.3"/>
  <pageSetup paperSize="9" firstPageNumber="2147483648"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Лист6"/>
  <dimension ref="A1:J27"/>
  <sheetViews>
    <sheetView zoomScale="70" workbookViewId="0">
      <pane xSplit="1" topLeftCell="B1" activePane="topRight" state="frozen"/>
      <selection pane="topRight"/>
    </sheetView>
  </sheetViews>
  <sheetFormatPr defaultRowHeight="14.4" x14ac:dyDescent="0.3"/>
  <cols>
    <col min="1" max="1" width="26.5546875" style="53" customWidth="1"/>
    <col min="2" max="2" width="11.88671875" style="54" customWidth="1"/>
    <col min="3" max="3" width="13" style="55" customWidth="1"/>
    <col min="4" max="6" width="12.88671875" style="72" customWidth="1"/>
  </cols>
  <sheetData>
    <row r="1" spans="1:10" x14ac:dyDescent="0.3">
      <c r="A1" s="93"/>
      <c r="B1" s="93"/>
      <c r="C1" s="93"/>
      <c r="D1" s="273"/>
      <c r="E1" s="273"/>
      <c r="F1" s="273"/>
      <c r="G1" s="274"/>
      <c r="H1" s="274"/>
      <c r="I1" s="274"/>
      <c r="J1" s="274"/>
    </row>
    <row r="2" spans="1:10" x14ac:dyDescent="0.3">
      <c r="A2" s="93"/>
      <c r="B2" s="93"/>
      <c r="C2" s="93"/>
      <c r="D2" s="275">
        <v>0.3</v>
      </c>
      <c r="E2" s="275"/>
      <c r="F2" s="275"/>
      <c r="G2" s="276"/>
      <c r="H2" s="276"/>
      <c r="I2" s="276"/>
      <c r="J2" s="276"/>
    </row>
    <row r="3" spans="1:10" s="63" customFormat="1" ht="55.2" x14ac:dyDescent="0.3">
      <c r="A3" s="184" t="s">
        <v>61</v>
      </c>
      <c r="B3" s="277" t="s">
        <v>37</v>
      </c>
      <c r="C3" s="213" t="s">
        <v>287</v>
      </c>
      <c r="D3" s="278" t="s">
        <v>288</v>
      </c>
      <c r="E3" s="278" t="s">
        <v>289</v>
      </c>
      <c r="F3" s="278" t="s">
        <v>290</v>
      </c>
      <c r="G3" s="278" t="s">
        <v>291</v>
      </c>
    </row>
    <row r="4" spans="1:10" x14ac:dyDescent="0.3">
      <c r="A4" s="184" t="s">
        <v>292</v>
      </c>
      <c r="B4" s="277" t="s">
        <v>293</v>
      </c>
      <c r="C4" s="280">
        <f>'объем работ 100% загр'!G4</f>
        <v>2.0199631360000005E-2</v>
      </c>
      <c r="D4" s="72">
        <f>'объем работ 100% загр'!S4</f>
        <v>520000</v>
      </c>
      <c r="E4" s="72">
        <f t="shared" ref="E4:E22" si="0">C4*D4</f>
        <v>10503.808307200003</v>
      </c>
      <c r="F4" s="72">
        <f t="shared" ref="F4:F22" si="1">E4*3</f>
        <v>31511.42492160001</v>
      </c>
      <c r="G4">
        <f t="shared" ref="G4:G22" si="2">E4*12</f>
        <v>126045.69968640004</v>
      </c>
    </row>
    <row r="5" spans="1:10" ht="124.2" x14ac:dyDescent="0.3">
      <c r="A5" s="184" t="s">
        <v>294</v>
      </c>
      <c r="B5" s="277" t="s">
        <v>295</v>
      </c>
      <c r="C5" s="280">
        <f>'объем работ 100% загр'!G5</f>
        <v>0</v>
      </c>
      <c r="D5" s="72">
        <f>'объем работ 100% загр'!S5</f>
        <v>0</v>
      </c>
      <c r="E5" s="72">
        <f t="shared" si="0"/>
        <v>0</v>
      </c>
      <c r="F5" s="72">
        <f t="shared" si="1"/>
        <v>0</v>
      </c>
      <c r="G5">
        <f t="shared" si="2"/>
        <v>0</v>
      </c>
    </row>
    <row r="6" spans="1:10" ht="123.75" customHeight="1" x14ac:dyDescent="0.3">
      <c r="A6" s="184" t="s">
        <v>296</v>
      </c>
      <c r="B6" s="277" t="s">
        <v>295</v>
      </c>
      <c r="C6" s="280">
        <f>'объем работ 100% загр'!G6</f>
        <v>0</v>
      </c>
      <c r="D6" s="72">
        <f>'объем работ 100% загр'!S6</f>
        <v>0</v>
      </c>
      <c r="E6" s="72">
        <f t="shared" si="0"/>
        <v>0</v>
      </c>
      <c r="F6" s="72">
        <f t="shared" si="1"/>
        <v>0</v>
      </c>
      <c r="G6">
        <f t="shared" si="2"/>
        <v>0</v>
      </c>
    </row>
    <row r="7" spans="1:10" ht="55.2" x14ac:dyDescent="0.3">
      <c r="A7" s="184" t="s">
        <v>297</v>
      </c>
      <c r="B7" s="277" t="s">
        <v>298</v>
      </c>
      <c r="C7" s="280" t="e">
        <f t="shared" ref="C7:C25" si="3">'объем работ 100% загр'!#REF!</f>
        <v>#REF!</v>
      </c>
      <c r="D7" s="72" t="e">
        <f t="shared" ref="D7:D25" si="4">'объем работ 100% загр'!#REF!</f>
        <v>#REF!</v>
      </c>
      <c r="E7" s="72" t="e">
        <f t="shared" si="0"/>
        <v>#REF!</v>
      </c>
      <c r="F7" s="72" t="e">
        <f t="shared" si="1"/>
        <v>#REF!</v>
      </c>
      <c r="G7" t="e">
        <f t="shared" si="2"/>
        <v>#REF!</v>
      </c>
    </row>
    <row r="8" spans="1:10" ht="27.6" x14ac:dyDescent="0.3">
      <c r="A8" s="184" t="s">
        <v>299</v>
      </c>
      <c r="B8" s="277" t="s">
        <v>300</v>
      </c>
      <c r="C8" s="280" t="e">
        <f t="shared" si="3"/>
        <v>#REF!</v>
      </c>
      <c r="D8" s="72" t="e">
        <f t="shared" si="4"/>
        <v>#REF!</v>
      </c>
      <c r="E8" s="72" t="e">
        <f t="shared" si="0"/>
        <v>#REF!</v>
      </c>
      <c r="F8" s="72" t="e">
        <f t="shared" si="1"/>
        <v>#REF!</v>
      </c>
      <c r="G8" t="e">
        <f t="shared" si="2"/>
        <v>#REF!</v>
      </c>
    </row>
    <row r="9" spans="1:10" ht="27.6" x14ac:dyDescent="0.3">
      <c r="A9" s="184" t="s">
        <v>301</v>
      </c>
      <c r="B9" s="277" t="s">
        <v>302</v>
      </c>
      <c r="C9" s="280" t="e">
        <f t="shared" si="3"/>
        <v>#REF!</v>
      </c>
      <c r="D9" s="72" t="e">
        <f t="shared" si="4"/>
        <v>#REF!</v>
      </c>
      <c r="E9" s="72" t="e">
        <f t="shared" si="0"/>
        <v>#REF!</v>
      </c>
      <c r="F9" s="72" t="e">
        <f t="shared" si="1"/>
        <v>#REF!</v>
      </c>
      <c r="G9" t="e">
        <f t="shared" si="2"/>
        <v>#REF!</v>
      </c>
    </row>
    <row r="10" spans="1:10" ht="69" x14ac:dyDescent="0.3">
      <c r="A10" s="184" t="s">
        <v>303</v>
      </c>
      <c r="B10" s="277" t="s">
        <v>304</v>
      </c>
      <c r="C10" s="280" t="e">
        <f t="shared" si="3"/>
        <v>#REF!</v>
      </c>
      <c r="D10" s="72" t="e">
        <f t="shared" si="4"/>
        <v>#REF!</v>
      </c>
      <c r="E10" s="72" t="e">
        <f t="shared" si="0"/>
        <v>#REF!</v>
      </c>
      <c r="F10" s="72" t="e">
        <f t="shared" si="1"/>
        <v>#REF!</v>
      </c>
      <c r="G10" t="e">
        <f t="shared" si="2"/>
        <v>#REF!</v>
      </c>
    </row>
    <row r="11" spans="1:10" ht="69" x14ac:dyDescent="0.3">
      <c r="A11" s="184" t="s">
        <v>305</v>
      </c>
      <c r="B11" s="277" t="s">
        <v>306</v>
      </c>
      <c r="C11" s="280" t="e">
        <f t="shared" si="3"/>
        <v>#REF!</v>
      </c>
      <c r="D11" s="72" t="e">
        <f t="shared" si="4"/>
        <v>#REF!</v>
      </c>
      <c r="E11" s="72" t="e">
        <f t="shared" si="0"/>
        <v>#REF!</v>
      </c>
      <c r="F11" s="72" t="e">
        <f t="shared" si="1"/>
        <v>#REF!</v>
      </c>
      <c r="G11" t="e">
        <f t="shared" si="2"/>
        <v>#REF!</v>
      </c>
    </row>
    <row r="12" spans="1:10" ht="72" x14ac:dyDescent="0.3">
      <c r="A12" s="53" t="s">
        <v>307</v>
      </c>
      <c r="B12" s="277" t="s">
        <v>304</v>
      </c>
      <c r="C12" s="280" t="e">
        <f t="shared" si="3"/>
        <v>#REF!</v>
      </c>
      <c r="D12" s="72" t="e">
        <f t="shared" si="4"/>
        <v>#REF!</v>
      </c>
      <c r="E12" s="72" t="e">
        <f t="shared" si="0"/>
        <v>#REF!</v>
      </c>
      <c r="F12" s="72" t="e">
        <f t="shared" si="1"/>
        <v>#REF!</v>
      </c>
      <c r="G12" t="e">
        <f t="shared" si="2"/>
        <v>#REF!</v>
      </c>
    </row>
    <row r="13" spans="1:10" ht="72" x14ac:dyDescent="0.3">
      <c r="A13" s="53" t="s">
        <v>308</v>
      </c>
      <c r="B13" s="277" t="s">
        <v>306</v>
      </c>
      <c r="C13" s="280" t="e">
        <f t="shared" si="3"/>
        <v>#REF!</v>
      </c>
      <c r="D13" s="72" t="e">
        <f t="shared" si="4"/>
        <v>#REF!</v>
      </c>
      <c r="E13" s="72" t="e">
        <f t="shared" si="0"/>
        <v>#REF!</v>
      </c>
      <c r="F13" s="72" t="e">
        <f t="shared" si="1"/>
        <v>#REF!</v>
      </c>
      <c r="G13" t="e">
        <f t="shared" si="2"/>
        <v>#REF!</v>
      </c>
    </row>
    <row r="14" spans="1:10" ht="86.4" x14ac:dyDescent="0.3">
      <c r="A14" s="53" t="s">
        <v>309</v>
      </c>
      <c r="B14" s="277" t="s">
        <v>304</v>
      </c>
      <c r="C14" s="280" t="e">
        <f t="shared" si="3"/>
        <v>#REF!</v>
      </c>
      <c r="D14" s="72" t="e">
        <f t="shared" si="4"/>
        <v>#REF!</v>
      </c>
      <c r="E14" s="72" t="e">
        <f t="shared" si="0"/>
        <v>#REF!</v>
      </c>
      <c r="F14" s="72" t="e">
        <f t="shared" si="1"/>
        <v>#REF!</v>
      </c>
      <c r="G14" t="e">
        <f t="shared" si="2"/>
        <v>#REF!</v>
      </c>
    </row>
    <row r="15" spans="1:10" ht="86.4" x14ac:dyDescent="0.3">
      <c r="A15" s="53" t="s">
        <v>310</v>
      </c>
      <c r="B15" s="277" t="s">
        <v>306</v>
      </c>
      <c r="C15" s="280" t="e">
        <f t="shared" si="3"/>
        <v>#REF!</v>
      </c>
      <c r="D15" s="72" t="e">
        <f t="shared" si="4"/>
        <v>#REF!</v>
      </c>
      <c r="E15" s="72" t="e">
        <f t="shared" si="0"/>
        <v>#REF!</v>
      </c>
      <c r="F15" s="72" t="e">
        <f t="shared" si="1"/>
        <v>#REF!</v>
      </c>
      <c r="G15" t="e">
        <f t="shared" si="2"/>
        <v>#REF!</v>
      </c>
    </row>
    <row r="16" spans="1:10" ht="72" x14ac:dyDescent="0.3">
      <c r="A16" s="53" t="s">
        <v>311</v>
      </c>
      <c r="B16" s="277" t="s">
        <v>304</v>
      </c>
      <c r="C16" s="280" t="e">
        <f t="shared" si="3"/>
        <v>#REF!</v>
      </c>
      <c r="D16" s="72" t="e">
        <f t="shared" si="4"/>
        <v>#REF!</v>
      </c>
      <c r="E16" s="72" t="e">
        <f t="shared" si="0"/>
        <v>#REF!</v>
      </c>
      <c r="F16" s="72" t="e">
        <f t="shared" si="1"/>
        <v>#REF!</v>
      </c>
      <c r="G16" t="e">
        <f t="shared" si="2"/>
        <v>#REF!</v>
      </c>
    </row>
    <row r="17" spans="1:9" ht="72" x14ac:dyDescent="0.3">
      <c r="A17" s="53" t="s">
        <v>312</v>
      </c>
      <c r="B17" s="277" t="s">
        <v>306</v>
      </c>
      <c r="C17" s="280" t="e">
        <f t="shared" si="3"/>
        <v>#REF!</v>
      </c>
      <c r="D17" s="72" t="e">
        <f t="shared" si="4"/>
        <v>#REF!</v>
      </c>
      <c r="E17" s="72" t="e">
        <f t="shared" si="0"/>
        <v>#REF!</v>
      </c>
      <c r="F17" s="72" t="e">
        <f t="shared" si="1"/>
        <v>#REF!</v>
      </c>
      <c r="G17" t="e">
        <f t="shared" si="2"/>
        <v>#REF!</v>
      </c>
    </row>
    <row r="18" spans="1:9" ht="27.6" x14ac:dyDescent="0.3">
      <c r="A18" s="53" t="s">
        <v>313</v>
      </c>
      <c r="B18" s="277" t="s">
        <v>304</v>
      </c>
      <c r="C18" s="280" t="e">
        <f t="shared" si="3"/>
        <v>#REF!</v>
      </c>
      <c r="D18" s="72" t="e">
        <f t="shared" si="4"/>
        <v>#REF!</v>
      </c>
      <c r="E18" s="72" t="e">
        <f t="shared" si="0"/>
        <v>#REF!</v>
      </c>
      <c r="F18" s="72" t="e">
        <f t="shared" si="1"/>
        <v>#REF!</v>
      </c>
      <c r="G18" t="e">
        <f t="shared" si="2"/>
        <v>#REF!</v>
      </c>
    </row>
    <row r="19" spans="1:9" ht="72" x14ac:dyDescent="0.3">
      <c r="A19" s="53" t="s">
        <v>314</v>
      </c>
      <c r="B19" s="277" t="s">
        <v>315</v>
      </c>
      <c r="C19" s="280" t="e">
        <f t="shared" si="3"/>
        <v>#REF!</v>
      </c>
      <c r="D19" s="72" t="e">
        <f t="shared" si="4"/>
        <v>#REF!</v>
      </c>
      <c r="E19" s="72" t="e">
        <f t="shared" si="0"/>
        <v>#REF!</v>
      </c>
      <c r="F19" s="72" t="e">
        <f t="shared" si="1"/>
        <v>#REF!</v>
      </c>
      <c r="G19" t="e">
        <f t="shared" si="2"/>
        <v>#REF!</v>
      </c>
    </row>
    <row r="20" spans="1:9" ht="72" x14ac:dyDescent="0.3">
      <c r="A20" s="53" t="s">
        <v>316</v>
      </c>
      <c r="B20" s="277" t="s">
        <v>315</v>
      </c>
      <c r="C20" s="280" t="e">
        <f t="shared" si="3"/>
        <v>#REF!</v>
      </c>
      <c r="D20" s="72" t="e">
        <f t="shared" si="4"/>
        <v>#REF!</v>
      </c>
      <c r="E20" s="72" t="e">
        <f t="shared" si="0"/>
        <v>#REF!</v>
      </c>
      <c r="F20" s="72" t="e">
        <f t="shared" si="1"/>
        <v>#REF!</v>
      </c>
      <c r="G20" t="e">
        <f t="shared" si="2"/>
        <v>#REF!</v>
      </c>
    </row>
    <row r="21" spans="1:9" x14ac:dyDescent="0.3">
      <c r="A21" s="53" t="s">
        <v>317</v>
      </c>
      <c r="B21" s="54" t="s">
        <v>315</v>
      </c>
      <c r="C21" s="280" t="e">
        <f t="shared" si="3"/>
        <v>#REF!</v>
      </c>
      <c r="D21" s="72" t="e">
        <f t="shared" si="4"/>
        <v>#REF!</v>
      </c>
      <c r="E21" s="72" t="e">
        <f t="shared" si="0"/>
        <v>#REF!</v>
      </c>
      <c r="F21" s="72" t="e">
        <f t="shared" si="1"/>
        <v>#REF!</v>
      </c>
      <c r="G21" t="e">
        <f t="shared" si="2"/>
        <v>#REF!</v>
      </c>
    </row>
    <row r="22" spans="1:9" ht="28.8" x14ac:dyDescent="0.3">
      <c r="A22" s="53" t="s">
        <v>318</v>
      </c>
      <c r="B22" s="54" t="s">
        <v>315</v>
      </c>
      <c r="C22" s="280" t="e">
        <f t="shared" si="3"/>
        <v>#REF!</v>
      </c>
      <c r="D22" s="72" t="e">
        <f t="shared" si="4"/>
        <v>#REF!</v>
      </c>
      <c r="E22" s="72" t="e">
        <f t="shared" si="0"/>
        <v>#REF!</v>
      </c>
      <c r="F22" s="72" t="e">
        <f t="shared" si="1"/>
        <v>#REF!</v>
      </c>
      <c r="G22" t="e">
        <f t="shared" si="2"/>
        <v>#REF!</v>
      </c>
    </row>
    <row r="23" spans="1:9" ht="28.8" x14ac:dyDescent="0.3">
      <c r="A23" s="53" t="s">
        <v>319</v>
      </c>
      <c r="B23" s="54" t="s">
        <v>320</v>
      </c>
      <c r="C23" s="280" t="e">
        <f t="shared" si="3"/>
        <v>#REF!</v>
      </c>
      <c r="D23" s="72" t="e">
        <f t="shared" si="4"/>
        <v>#REF!</v>
      </c>
      <c r="E23" s="72" t="e">
        <f t="shared" ref="E23:E25" si="5">C23*D23</f>
        <v>#REF!</v>
      </c>
      <c r="F23" s="72" t="e">
        <f t="shared" ref="F23:F25" si="6">E23*3</f>
        <v>#REF!</v>
      </c>
      <c r="G23" t="e">
        <f t="shared" ref="G23:G25" si="7">E23*12</f>
        <v>#REF!</v>
      </c>
    </row>
    <row r="24" spans="1:9" ht="56.25" customHeight="1" x14ac:dyDescent="0.3">
      <c r="A24" s="53" t="s">
        <v>321</v>
      </c>
      <c r="B24" s="53" t="s">
        <v>315</v>
      </c>
      <c r="C24" s="53" t="e">
        <f t="shared" si="3"/>
        <v>#REF!</v>
      </c>
      <c r="D24" s="279" t="e">
        <f t="shared" si="4"/>
        <v>#REF!</v>
      </c>
      <c r="E24" s="53" t="e">
        <f t="shared" si="5"/>
        <v>#REF!</v>
      </c>
      <c r="F24" s="53" t="e">
        <f t="shared" si="6"/>
        <v>#REF!</v>
      </c>
      <c r="G24" s="53" t="e">
        <f t="shared" si="7"/>
        <v>#REF!</v>
      </c>
    </row>
    <row r="25" spans="1:9" ht="56.25" customHeight="1" x14ac:dyDescent="0.3">
      <c r="A25" s="53" t="s">
        <v>322</v>
      </c>
      <c r="B25" s="53" t="s">
        <v>315</v>
      </c>
      <c r="C25" s="53" t="e">
        <f t="shared" si="3"/>
        <v>#REF!</v>
      </c>
      <c r="D25" s="279" t="e">
        <f t="shared" si="4"/>
        <v>#REF!</v>
      </c>
      <c r="E25" s="53" t="e">
        <f t="shared" si="5"/>
        <v>#REF!</v>
      </c>
      <c r="F25" s="53" t="e">
        <f t="shared" si="6"/>
        <v>#REF!</v>
      </c>
      <c r="G25" s="53" t="e">
        <f t="shared" si="7"/>
        <v>#REF!</v>
      </c>
    </row>
    <row r="27" spans="1:9" x14ac:dyDescent="0.3">
      <c r="F27" s="72" t="e">
        <f>SUM(F4:F26)</f>
        <v>#REF!</v>
      </c>
      <c r="G27" t="e">
        <f>SUM(G4:G26)</f>
        <v>#REF!</v>
      </c>
      <c r="I27" s="72"/>
    </row>
  </sheetData>
  <pageMargins left="0.7" right="0.7" top="0.75" bottom="0.75" header="0.3" footer="0.3"/>
  <pageSetup paperSize="9" firstPageNumber="2147483648"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J27"/>
  <sheetViews>
    <sheetView zoomScale="70" workbookViewId="0">
      <pane xSplit="1" topLeftCell="B1" activePane="topRight" state="frozen"/>
      <selection pane="topRight"/>
    </sheetView>
  </sheetViews>
  <sheetFormatPr defaultRowHeight="14.4" x14ac:dyDescent="0.3"/>
  <cols>
    <col min="1" max="1" width="26.5546875" style="53" customWidth="1"/>
    <col min="2" max="2" width="11.88671875" style="54" customWidth="1"/>
    <col min="3" max="3" width="13" style="55" customWidth="1"/>
    <col min="4" max="6" width="12.88671875" style="72" customWidth="1"/>
    <col min="7" max="7" width="10.109375" bestFit="1" customWidth="1"/>
  </cols>
  <sheetData>
    <row r="1" spans="1:10" x14ac:dyDescent="0.3">
      <c r="A1" s="93"/>
      <c r="B1" s="93"/>
      <c r="C1" s="93"/>
      <c r="D1" s="273"/>
      <c r="E1" s="273"/>
      <c r="F1" s="273"/>
      <c r="G1" s="274"/>
      <c r="H1" s="274"/>
      <c r="I1" s="274"/>
      <c r="J1" s="274"/>
    </row>
    <row r="2" spans="1:10" ht="30" customHeight="1" x14ac:dyDescent="0.3">
      <c r="A2" s="93"/>
      <c r="B2" s="93"/>
      <c r="C2" s="93"/>
      <c r="D2" s="275">
        <v>0.3</v>
      </c>
      <c r="E2" s="275"/>
      <c r="F2" s="275"/>
      <c r="G2" s="276"/>
      <c r="H2" s="276"/>
      <c r="I2" s="276"/>
      <c r="J2" s="276"/>
    </row>
    <row r="3" spans="1:10" s="63" customFormat="1" ht="55.2" x14ac:dyDescent="0.3">
      <c r="A3" s="184" t="s">
        <v>61</v>
      </c>
      <c r="B3" s="277" t="s">
        <v>37</v>
      </c>
      <c r="C3" s="213" t="s">
        <v>287</v>
      </c>
      <c r="D3" s="278" t="s">
        <v>288</v>
      </c>
      <c r="E3" s="278" t="s">
        <v>289</v>
      </c>
      <c r="F3" s="278" t="s">
        <v>290</v>
      </c>
      <c r="G3" s="278" t="s">
        <v>291</v>
      </c>
    </row>
    <row r="4" spans="1:10" x14ac:dyDescent="0.3">
      <c r="A4" s="184" t="s">
        <v>292</v>
      </c>
      <c r="B4" s="277" t="s">
        <v>293</v>
      </c>
      <c r="C4" s="280">
        <f>'объем работ 100% загр'!H4</f>
        <v>2.1411609241600005E-2</v>
      </c>
      <c r="D4" s="160">
        <f>'объем работ 100% загр'!S4</f>
        <v>520000</v>
      </c>
      <c r="E4" s="160">
        <f t="shared" ref="E4:E22" si="0">C4*D4</f>
        <v>11134.036805632002</v>
      </c>
      <c r="F4" s="160">
        <f t="shared" ref="F4:F22" si="1">E4*3</f>
        <v>33402.110416896008</v>
      </c>
      <c r="G4" s="160">
        <f t="shared" ref="G4:G22" si="2">E4*12</f>
        <v>133608.44166758403</v>
      </c>
    </row>
    <row r="5" spans="1:10" ht="124.2" x14ac:dyDescent="0.3">
      <c r="A5" s="184" t="s">
        <v>294</v>
      </c>
      <c r="B5" s="277" t="s">
        <v>295</v>
      </c>
      <c r="C5" s="280">
        <f>'объем работ 100% загр'!H5</f>
        <v>0</v>
      </c>
      <c r="D5" s="160">
        <f>'объем работ 100% загр'!S5</f>
        <v>0</v>
      </c>
      <c r="E5" s="160">
        <f t="shared" si="0"/>
        <v>0</v>
      </c>
      <c r="F5" s="160">
        <f t="shared" si="1"/>
        <v>0</v>
      </c>
      <c r="G5" s="160">
        <f t="shared" si="2"/>
        <v>0</v>
      </c>
    </row>
    <row r="6" spans="1:10" ht="123.75" customHeight="1" x14ac:dyDescent="0.3">
      <c r="A6" s="184" t="s">
        <v>296</v>
      </c>
      <c r="B6" s="277" t="s">
        <v>295</v>
      </c>
      <c r="C6" s="280">
        <f>'объем работ 100% загр'!H6</f>
        <v>0</v>
      </c>
      <c r="D6" s="160">
        <f>'объем работ 100% загр'!S6</f>
        <v>0</v>
      </c>
      <c r="E6" s="160">
        <f t="shared" si="0"/>
        <v>0</v>
      </c>
      <c r="F6" s="160">
        <f t="shared" si="1"/>
        <v>0</v>
      </c>
      <c r="G6" s="160">
        <f t="shared" si="2"/>
        <v>0</v>
      </c>
    </row>
    <row r="7" spans="1:10" ht="55.2" x14ac:dyDescent="0.3">
      <c r="A7" s="184" t="s">
        <v>297</v>
      </c>
      <c r="B7" s="277" t="s">
        <v>298</v>
      </c>
      <c r="C7" s="280" t="e">
        <f t="shared" ref="C7:C25" si="3">'объем работ 100% загр'!#REF!</f>
        <v>#REF!</v>
      </c>
      <c r="D7" s="160" t="e">
        <f t="shared" ref="D7:D25" si="4">'объем работ 100% загр'!#REF!</f>
        <v>#REF!</v>
      </c>
      <c r="E7" s="160" t="e">
        <f t="shared" si="0"/>
        <v>#REF!</v>
      </c>
      <c r="F7" s="160" t="e">
        <f t="shared" si="1"/>
        <v>#REF!</v>
      </c>
      <c r="G7" s="160" t="e">
        <f t="shared" si="2"/>
        <v>#REF!</v>
      </c>
    </row>
    <row r="8" spans="1:10" ht="27.6" x14ac:dyDescent="0.3">
      <c r="A8" s="184" t="s">
        <v>299</v>
      </c>
      <c r="B8" s="277" t="s">
        <v>300</v>
      </c>
      <c r="C8" s="280" t="e">
        <f t="shared" si="3"/>
        <v>#REF!</v>
      </c>
      <c r="D8" s="160" t="e">
        <f t="shared" si="4"/>
        <v>#REF!</v>
      </c>
      <c r="E8" s="160" t="e">
        <f t="shared" si="0"/>
        <v>#REF!</v>
      </c>
      <c r="F8" s="160" t="e">
        <f t="shared" si="1"/>
        <v>#REF!</v>
      </c>
      <c r="G8" s="160" t="e">
        <f t="shared" si="2"/>
        <v>#REF!</v>
      </c>
    </row>
    <row r="9" spans="1:10" ht="27.6" x14ac:dyDescent="0.3">
      <c r="A9" s="184" t="s">
        <v>301</v>
      </c>
      <c r="B9" s="277" t="s">
        <v>302</v>
      </c>
      <c r="C9" s="280" t="e">
        <f t="shared" si="3"/>
        <v>#REF!</v>
      </c>
      <c r="D9" s="160" t="e">
        <f t="shared" si="4"/>
        <v>#REF!</v>
      </c>
      <c r="E9" s="160" t="e">
        <f t="shared" si="0"/>
        <v>#REF!</v>
      </c>
      <c r="F9" s="160" t="e">
        <f t="shared" si="1"/>
        <v>#REF!</v>
      </c>
      <c r="G9" s="160" t="e">
        <f t="shared" si="2"/>
        <v>#REF!</v>
      </c>
    </row>
    <row r="10" spans="1:10" ht="69" x14ac:dyDescent="0.3">
      <c r="A10" s="184" t="s">
        <v>303</v>
      </c>
      <c r="B10" s="277" t="s">
        <v>304</v>
      </c>
      <c r="C10" s="280" t="e">
        <f t="shared" si="3"/>
        <v>#REF!</v>
      </c>
      <c r="D10" s="160" t="e">
        <f t="shared" si="4"/>
        <v>#REF!</v>
      </c>
      <c r="E10" s="160" t="e">
        <f t="shared" si="0"/>
        <v>#REF!</v>
      </c>
      <c r="F10" s="160" t="e">
        <f t="shared" si="1"/>
        <v>#REF!</v>
      </c>
      <c r="G10" s="160" t="e">
        <f t="shared" si="2"/>
        <v>#REF!</v>
      </c>
    </row>
    <row r="11" spans="1:10" ht="69" x14ac:dyDescent="0.3">
      <c r="A11" s="184" t="s">
        <v>305</v>
      </c>
      <c r="B11" s="277" t="s">
        <v>306</v>
      </c>
      <c r="C11" s="280" t="e">
        <f t="shared" si="3"/>
        <v>#REF!</v>
      </c>
      <c r="D11" s="160" t="e">
        <f t="shared" si="4"/>
        <v>#REF!</v>
      </c>
      <c r="E11" s="160" t="e">
        <f t="shared" si="0"/>
        <v>#REF!</v>
      </c>
      <c r="F11" s="160" t="e">
        <f t="shared" si="1"/>
        <v>#REF!</v>
      </c>
      <c r="G11" s="160" t="e">
        <f t="shared" si="2"/>
        <v>#REF!</v>
      </c>
    </row>
    <row r="12" spans="1:10" ht="72" x14ac:dyDescent="0.3">
      <c r="A12" s="53" t="s">
        <v>307</v>
      </c>
      <c r="B12" s="277" t="s">
        <v>304</v>
      </c>
      <c r="C12" s="280" t="e">
        <f t="shared" si="3"/>
        <v>#REF!</v>
      </c>
      <c r="D12" s="160" t="e">
        <f t="shared" si="4"/>
        <v>#REF!</v>
      </c>
      <c r="E12" s="160" t="e">
        <f t="shared" si="0"/>
        <v>#REF!</v>
      </c>
      <c r="F12" s="160" t="e">
        <f t="shared" si="1"/>
        <v>#REF!</v>
      </c>
      <c r="G12" s="160" t="e">
        <f t="shared" si="2"/>
        <v>#REF!</v>
      </c>
    </row>
    <row r="13" spans="1:10" ht="72" x14ac:dyDescent="0.3">
      <c r="A13" s="53" t="s">
        <v>308</v>
      </c>
      <c r="B13" s="277" t="s">
        <v>306</v>
      </c>
      <c r="C13" s="280" t="e">
        <f t="shared" si="3"/>
        <v>#REF!</v>
      </c>
      <c r="D13" s="160" t="e">
        <f t="shared" si="4"/>
        <v>#REF!</v>
      </c>
      <c r="E13" s="160" t="e">
        <f t="shared" si="0"/>
        <v>#REF!</v>
      </c>
      <c r="F13" s="160" t="e">
        <f t="shared" si="1"/>
        <v>#REF!</v>
      </c>
      <c r="G13" s="160" t="e">
        <f t="shared" si="2"/>
        <v>#REF!</v>
      </c>
    </row>
    <row r="14" spans="1:10" ht="86.4" x14ac:dyDescent="0.3">
      <c r="A14" s="53" t="s">
        <v>309</v>
      </c>
      <c r="B14" s="277" t="s">
        <v>304</v>
      </c>
      <c r="C14" s="280" t="e">
        <f t="shared" si="3"/>
        <v>#REF!</v>
      </c>
      <c r="D14" s="160" t="e">
        <f t="shared" si="4"/>
        <v>#REF!</v>
      </c>
      <c r="E14" s="160" t="e">
        <f t="shared" si="0"/>
        <v>#REF!</v>
      </c>
      <c r="F14" s="160" t="e">
        <f t="shared" si="1"/>
        <v>#REF!</v>
      </c>
      <c r="G14" s="160" t="e">
        <f t="shared" si="2"/>
        <v>#REF!</v>
      </c>
    </row>
    <row r="15" spans="1:10" ht="86.4" x14ac:dyDescent="0.3">
      <c r="A15" s="53" t="s">
        <v>310</v>
      </c>
      <c r="B15" s="277" t="s">
        <v>306</v>
      </c>
      <c r="C15" s="280" t="e">
        <f t="shared" si="3"/>
        <v>#REF!</v>
      </c>
      <c r="D15" s="160" t="e">
        <f t="shared" si="4"/>
        <v>#REF!</v>
      </c>
      <c r="E15" s="160" t="e">
        <f t="shared" si="0"/>
        <v>#REF!</v>
      </c>
      <c r="F15" s="160" t="e">
        <f t="shared" si="1"/>
        <v>#REF!</v>
      </c>
      <c r="G15" s="160" t="e">
        <f t="shared" si="2"/>
        <v>#REF!</v>
      </c>
    </row>
    <row r="16" spans="1:10" ht="72" x14ac:dyDescent="0.3">
      <c r="A16" s="53" t="s">
        <v>311</v>
      </c>
      <c r="B16" s="277" t="s">
        <v>304</v>
      </c>
      <c r="C16" s="280" t="e">
        <f t="shared" si="3"/>
        <v>#REF!</v>
      </c>
      <c r="D16" s="160" t="e">
        <f t="shared" si="4"/>
        <v>#REF!</v>
      </c>
      <c r="E16" s="160" t="e">
        <f t="shared" si="0"/>
        <v>#REF!</v>
      </c>
      <c r="F16" s="160" t="e">
        <f t="shared" si="1"/>
        <v>#REF!</v>
      </c>
      <c r="G16" s="160" t="e">
        <f t="shared" si="2"/>
        <v>#REF!</v>
      </c>
    </row>
    <row r="17" spans="1:9" ht="72" x14ac:dyDescent="0.3">
      <c r="A17" s="53" t="s">
        <v>312</v>
      </c>
      <c r="B17" s="277" t="s">
        <v>306</v>
      </c>
      <c r="C17" s="280" t="e">
        <f t="shared" si="3"/>
        <v>#REF!</v>
      </c>
      <c r="D17" s="160" t="e">
        <f t="shared" si="4"/>
        <v>#REF!</v>
      </c>
      <c r="E17" s="160" t="e">
        <f t="shared" si="0"/>
        <v>#REF!</v>
      </c>
      <c r="F17" s="160" t="e">
        <f t="shared" si="1"/>
        <v>#REF!</v>
      </c>
      <c r="G17" s="160" t="e">
        <f t="shared" si="2"/>
        <v>#REF!</v>
      </c>
    </row>
    <row r="18" spans="1:9" ht="27.6" x14ac:dyDescent="0.3">
      <c r="A18" s="53" t="s">
        <v>313</v>
      </c>
      <c r="B18" s="277" t="s">
        <v>304</v>
      </c>
      <c r="C18" s="280" t="e">
        <f t="shared" si="3"/>
        <v>#REF!</v>
      </c>
      <c r="D18" s="160" t="e">
        <f t="shared" si="4"/>
        <v>#REF!</v>
      </c>
      <c r="E18" s="160" t="e">
        <f t="shared" si="0"/>
        <v>#REF!</v>
      </c>
      <c r="F18" s="160" t="e">
        <f t="shared" si="1"/>
        <v>#REF!</v>
      </c>
      <c r="G18" s="160" t="e">
        <f t="shared" si="2"/>
        <v>#REF!</v>
      </c>
    </row>
    <row r="19" spans="1:9" ht="72" x14ac:dyDescent="0.3">
      <c r="A19" s="53" t="s">
        <v>314</v>
      </c>
      <c r="B19" s="277" t="s">
        <v>315</v>
      </c>
      <c r="C19" s="280" t="e">
        <f t="shared" si="3"/>
        <v>#REF!</v>
      </c>
      <c r="D19" s="160" t="e">
        <f t="shared" si="4"/>
        <v>#REF!</v>
      </c>
      <c r="E19" s="160" t="e">
        <f t="shared" si="0"/>
        <v>#REF!</v>
      </c>
      <c r="F19" s="160" t="e">
        <f t="shared" si="1"/>
        <v>#REF!</v>
      </c>
      <c r="G19" s="160" t="e">
        <f t="shared" si="2"/>
        <v>#REF!</v>
      </c>
    </row>
    <row r="20" spans="1:9" ht="72" x14ac:dyDescent="0.3">
      <c r="A20" s="53" t="s">
        <v>316</v>
      </c>
      <c r="B20" s="277" t="s">
        <v>315</v>
      </c>
      <c r="C20" s="280" t="e">
        <f t="shared" si="3"/>
        <v>#REF!</v>
      </c>
      <c r="D20" s="160" t="e">
        <f t="shared" si="4"/>
        <v>#REF!</v>
      </c>
      <c r="E20" s="160" t="e">
        <f t="shared" si="0"/>
        <v>#REF!</v>
      </c>
      <c r="F20" s="160" t="e">
        <f t="shared" si="1"/>
        <v>#REF!</v>
      </c>
      <c r="G20" s="160" t="e">
        <f t="shared" si="2"/>
        <v>#REF!</v>
      </c>
    </row>
    <row r="21" spans="1:9" x14ac:dyDescent="0.3">
      <c r="A21" s="53" t="s">
        <v>317</v>
      </c>
      <c r="B21" s="54" t="s">
        <v>315</v>
      </c>
      <c r="C21" s="280" t="e">
        <f t="shared" si="3"/>
        <v>#REF!</v>
      </c>
      <c r="D21" s="160" t="e">
        <f t="shared" si="4"/>
        <v>#REF!</v>
      </c>
      <c r="E21" s="160" t="e">
        <f t="shared" si="0"/>
        <v>#REF!</v>
      </c>
      <c r="F21" s="160" t="e">
        <f t="shared" si="1"/>
        <v>#REF!</v>
      </c>
      <c r="G21" s="160" t="e">
        <f t="shared" si="2"/>
        <v>#REF!</v>
      </c>
    </row>
    <row r="22" spans="1:9" ht="28.8" x14ac:dyDescent="0.3">
      <c r="A22" s="53" t="s">
        <v>318</v>
      </c>
      <c r="B22" s="54" t="s">
        <v>315</v>
      </c>
      <c r="C22" s="280" t="e">
        <f t="shared" si="3"/>
        <v>#REF!</v>
      </c>
      <c r="D22" s="160" t="e">
        <f t="shared" si="4"/>
        <v>#REF!</v>
      </c>
      <c r="E22" s="160" t="e">
        <f t="shared" si="0"/>
        <v>#REF!</v>
      </c>
      <c r="F22" s="160" t="e">
        <f t="shared" si="1"/>
        <v>#REF!</v>
      </c>
      <c r="G22" s="160" t="e">
        <f t="shared" si="2"/>
        <v>#REF!</v>
      </c>
    </row>
    <row r="23" spans="1:9" ht="28.8" x14ac:dyDescent="0.3">
      <c r="A23" s="53" t="s">
        <v>319</v>
      </c>
      <c r="B23" s="54" t="s">
        <v>320</v>
      </c>
      <c r="C23" s="280" t="e">
        <f t="shared" si="3"/>
        <v>#REF!</v>
      </c>
      <c r="D23" s="160" t="e">
        <f t="shared" si="4"/>
        <v>#REF!</v>
      </c>
      <c r="E23" s="160" t="e">
        <f t="shared" ref="E23:E25" si="5">C23*D23</f>
        <v>#REF!</v>
      </c>
      <c r="F23" s="160" t="e">
        <f t="shared" ref="F23:F25" si="6">E23*3</f>
        <v>#REF!</v>
      </c>
      <c r="G23" s="160" t="e">
        <f t="shared" ref="G23:G25" si="7">E23*12</f>
        <v>#REF!</v>
      </c>
    </row>
    <row r="24" spans="1:9" ht="56.25" customHeight="1" x14ac:dyDescent="0.3">
      <c r="A24" s="53" t="s">
        <v>321</v>
      </c>
      <c r="B24" s="53" t="s">
        <v>315</v>
      </c>
      <c r="C24" s="280" t="e">
        <f t="shared" si="3"/>
        <v>#REF!</v>
      </c>
      <c r="D24" s="281" t="e">
        <f t="shared" si="4"/>
        <v>#REF!</v>
      </c>
      <c r="E24" s="281" t="e">
        <f t="shared" si="5"/>
        <v>#REF!</v>
      </c>
      <c r="F24" s="281" t="e">
        <f t="shared" si="6"/>
        <v>#REF!</v>
      </c>
      <c r="G24" s="281" t="e">
        <f t="shared" si="7"/>
        <v>#REF!</v>
      </c>
    </row>
    <row r="25" spans="1:9" ht="56.25" customHeight="1" x14ac:dyDescent="0.3">
      <c r="A25" s="53" t="s">
        <v>322</v>
      </c>
      <c r="B25" s="53" t="s">
        <v>315</v>
      </c>
      <c r="C25" s="280" t="e">
        <f t="shared" si="3"/>
        <v>#REF!</v>
      </c>
      <c r="D25" s="281" t="e">
        <f t="shared" si="4"/>
        <v>#REF!</v>
      </c>
      <c r="E25" s="281" t="e">
        <f t="shared" si="5"/>
        <v>#REF!</v>
      </c>
      <c r="F25" s="281" t="e">
        <f t="shared" si="6"/>
        <v>#REF!</v>
      </c>
      <c r="G25" s="281" t="e">
        <f t="shared" si="7"/>
        <v>#REF!</v>
      </c>
    </row>
    <row r="27" spans="1:9" x14ac:dyDescent="0.3">
      <c r="F27" s="72" t="e">
        <f>SUM(F4:F26)</f>
        <v>#REF!</v>
      </c>
      <c r="G27" t="e">
        <f>SUM(G4:G26)</f>
        <v>#REF!</v>
      </c>
      <c r="I27" s="72"/>
    </row>
  </sheetData>
  <pageMargins left="0.7" right="0.7" top="0.75" bottom="0.75" header="0.3" footer="0.3"/>
  <pageSetup paperSize="9" firstPageNumber="2147483648"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J27"/>
  <sheetViews>
    <sheetView zoomScale="70" workbookViewId="0">
      <pane xSplit="1" topLeftCell="B1" activePane="topRight" state="frozen"/>
      <selection pane="topRight"/>
    </sheetView>
  </sheetViews>
  <sheetFormatPr defaultRowHeight="14.4" x14ac:dyDescent="0.3"/>
  <cols>
    <col min="1" max="1" width="26.5546875" style="53" customWidth="1"/>
    <col min="2" max="2" width="11.88671875" style="54" customWidth="1"/>
    <col min="3" max="3" width="13" style="55" customWidth="1"/>
    <col min="4" max="6" width="12.88671875" style="72" customWidth="1"/>
    <col min="7" max="7" width="10.109375" bestFit="1" customWidth="1"/>
  </cols>
  <sheetData>
    <row r="1" spans="1:10" x14ac:dyDescent="0.3">
      <c r="A1" s="93"/>
      <c r="B1" s="93"/>
      <c r="C1" s="93"/>
      <c r="D1" s="273"/>
      <c r="E1" s="273"/>
      <c r="F1" s="273"/>
      <c r="G1" s="274"/>
      <c r="H1" s="274"/>
      <c r="I1" s="274"/>
      <c r="J1" s="274"/>
    </row>
    <row r="2" spans="1:10" ht="30" customHeight="1" x14ac:dyDescent="0.3">
      <c r="A2" s="93"/>
      <c r="B2" s="93"/>
      <c r="C2" s="93"/>
      <c r="D2" s="275">
        <v>0.3</v>
      </c>
      <c r="E2" s="275"/>
      <c r="F2" s="275"/>
      <c r="G2" s="276"/>
      <c r="H2" s="276"/>
      <c r="I2" s="276"/>
      <c r="J2" s="276"/>
    </row>
    <row r="3" spans="1:10" s="63" customFormat="1" ht="55.2" x14ac:dyDescent="0.3">
      <c r="A3" s="184" t="s">
        <v>61</v>
      </c>
      <c r="B3" s="277" t="s">
        <v>37</v>
      </c>
      <c r="C3" s="213" t="s">
        <v>287</v>
      </c>
      <c r="D3" s="278" t="s">
        <v>288</v>
      </c>
      <c r="E3" s="278" t="s">
        <v>289</v>
      </c>
      <c r="F3" s="278" t="s">
        <v>290</v>
      </c>
      <c r="G3" s="278" t="s">
        <v>291</v>
      </c>
    </row>
    <row r="4" spans="1:10" x14ac:dyDescent="0.3">
      <c r="A4" s="184" t="s">
        <v>292</v>
      </c>
      <c r="B4" s="277" t="s">
        <v>293</v>
      </c>
      <c r="C4" s="280">
        <f>'объем работ 100% загр'!I4</f>
        <v>2.2696305796096009E-2</v>
      </c>
      <c r="D4" s="160">
        <f>'объем работ 100% загр'!S4</f>
        <v>520000</v>
      </c>
      <c r="E4" s="160">
        <f t="shared" ref="E4:E22" si="0">C4*D4</f>
        <v>11802.079013969924</v>
      </c>
      <c r="F4" s="160">
        <f t="shared" ref="F4:F22" si="1">E4*3</f>
        <v>35406.237041909772</v>
      </c>
      <c r="G4" s="160">
        <f t="shared" ref="G4:G22" si="2">E4*12</f>
        <v>141624.94816763909</v>
      </c>
    </row>
    <row r="5" spans="1:10" ht="124.2" x14ac:dyDescent="0.3">
      <c r="A5" s="184" t="s">
        <v>294</v>
      </c>
      <c r="B5" s="277" t="s">
        <v>295</v>
      </c>
      <c r="C5" s="280">
        <f>'объем работ 100% загр'!I5</f>
        <v>0</v>
      </c>
      <c r="D5" s="160">
        <f>'объем работ 100% загр'!S5</f>
        <v>0</v>
      </c>
      <c r="E5" s="160">
        <f t="shared" si="0"/>
        <v>0</v>
      </c>
      <c r="F5" s="160">
        <f t="shared" si="1"/>
        <v>0</v>
      </c>
      <c r="G5" s="160">
        <f t="shared" si="2"/>
        <v>0</v>
      </c>
    </row>
    <row r="6" spans="1:10" ht="123.75" customHeight="1" x14ac:dyDescent="0.3">
      <c r="A6" s="184" t="s">
        <v>296</v>
      </c>
      <c r="B6" s="277" t="s">
        <v>295</v>
      </c>
      <c r="C6" s="280">
        <f>'объем работ 100% загр'!I6</f>
        <v>0</v>
      </c>
      <c r="D6" s="160">
        <f>'объем работ 100% загр'!S6</f>
        <v>0</v>
      </c>
      <c r="E6" s="160">
        <f t="shared" si="0"/>
        <v>0</v>
      </c>
      <c r="F6" s="160">
        <f t="shared" si="1"/>
        <v>0</v>
      </c>
      <c r="G6" s="160">
        <f t="shared" si="2"/>
        <v>0</v>
      </c>
    </row>
    <row r="7" spans="1:10" ht="55.2" x14ac:dyDescent="0.3">
      <c r="A7" s="184" t="s">
        <v>297</v>
      </c>
      <c r="B7" s="277" t="s">
        <v>298</v>
      </c>
      <c r="C7" s="280" t="e">
        <f t="shared" ref="C7:C25" si="3">'объем работ 100% загр'!#REF!</f>
        <v>#REF!</v>
      </c>
      <c r="D7" s="160" t="e">
        <f t="shared" ref="D7:D25" si="4">'объем работ 100% загр'!#REF!</f>
        <v>#REF!</v>
      </c>
      <c r="E7" s="160" t="e">
        <f t="shared" si="0"/>
        <v>#REF!</v>
      </c>
      <c r="F7" s="160" t="e">
        <f t="shared" si="1"/>
        <v>#REF!</v>
      </c>
      <c r="G7" s="160" t="e">
        <f t="shared" si="2"/>
        <v>#REF!</v>
      </c>
    </row>
    <row r="8" spans="1:10" ht="27.6" x14ac:dyDescent="0.3">
      <c r="A8" s="184" t="s">
        <v>299</v>
      </c>
      <c r="B8" s="277" t="s">
        <v>300</v>
      </c>
      <c r="C8" s="280" t="e">
        <f t="shared" si="3"/>
        <v>#REF!</v>
      </c>
      <c r="D8" s="160" t="e">
        <f t="shared" si="4"/>
        <v>#REF!</v>
      </c>
      <c r="E8" s="160" t="e">
        <f t="shared" si="0"/>
        <v>#REF!</v>
      </c>
      <c r="F8" s="160" t="e">
        <f t="shared" si="1"/>
        <v>#REF!</v>
      </c>
      <c r="G8" s="160" t="e">
        <f t="shared" si="2"/>
        <v>#REF!</v>
      </c>
    </row>
    <row r="9" spans="1:10" ht="27.6" x14ac:dyDescent="0.3">
      <c r="A9" s="184" t="s">
        <v>301</v>
      </c>
      <c r="B9" s="277" t="s">
        <v>302</v>
      </c>
      <c r="C9" s="280" t="e">
        <f t="shared" si="3"/>
        <v>#REF!</v>
      </c>
      <c r="D9" s="160" t="e">
        <f t="shared" si="4"/>
        <v>#REF!</v>
      </c>
      <c r="E9" s="160" t="e">
        <f t="shared" si="0"/>
        <v>#REF!</v>
      </c>
      <c r="F9" s="160" t="e">
        <f t="shared" si="1"/>
        <v>#REF!</v>
      </c>
      <c r="G9" s="160" t="e">
        <f t="shared" si="2"/>
        <v>#REF!</v>
      </c>
    </row>
    <row r="10" spans="1:10" ht="69" x14ac:dyDescent="0.3">
      <c r="A10" s="184" t="s">
        <v>303</v>
      </c>
      <c r="B10" s="277" t="s">
        <v>304</v>
      </c>
      <c r="C10" s="280" t="e">
        <f t="shared" si="3"/>
        <v>#REF!</v>
      </c>
      <c r="D10" s="160" t="e">
        <f t="shared" si="4"/>
        <v>#REF!</v>
      </c>
      <c r="E10" s="160" t="e">
        <f t="shared" si="0"/>
        <v>#REF!</v>
      </c>
      <c r="F10" s="160" t="e">
        <f t="shared" si="1"/>
        <v>#REF!</v>
      </c>
      <c r="G10" s="160" t="e">
        <f t="shared" si="2"/>
        <v>#REF!</v>
      </c>
    </row>
    <row r="11" spans="1:10" ht="69" x14ac:dyDescent="0.3">
      <c r="A11" s="184" t="s">
        <v>305</v>
      </c>
      <c r="B11" s="277" t="s">
        <v>306</v>
      </c>
      <c r="C11" s="280" t="e">
        <f t="shared" si="3"/>
        <v>#REF!</v>
      </c>
      <c r="D11" s="160" t="e">
        <f t="shared" si="4"/>
        <v>#REF!</v>
      </c>
      <c r="E11" s="160" t="e">
        <f t="shared" si="0"/>
        <v>#REF!</v>
      </c>
      <c r="F11" s="160" t="e">
        <f t="shared" si="1"/>
        <v>#REF!</v>
      </c>
      <c r="G11" s="160" t="e">
        <f t="shared" si="2"/>
        <v>#REF!</v>
      </c>
    </row>
    <row r="12" spans="1:10" ht="72" x14ac:dyDescent="0.3">
      <c r="A12" s="53" t="s">
        <v>307</v>
      </c>
      <c r="B12" s="277" t="s">
        <v>304</v>
      </c>
      <c r="C12" s="280" t="e">
        <f t="shared" si="3"/>
        <v>#REF!</v>
      </c>
      <c r="D12" s="160" t="e">
        <f t="shared" si="4"/>
        <v>#REF!</v>
      </c>
      <c r="E12" s="160" t="e">
        <f t="shared" si="0"/>
        <v>#REF!</v>
      </c>
      <c r="F12" s="160" t="e">
        <f t="shared" si="1"/>
        <v>#REF!</v>
      </c>
      <c r="G12" s="160" t="e">
        <f t="shared" si="2"/>
        <v>#REF!</v>
      </c>
    </row>
    <row r="13" spans="1:10" ht="72" x14ac:dyDescent="0.3">
      <c r="A13" s="53" t="s">
        <v>308</v>
      </c>
      <c r="B13" s="277" t="s">
        <v>306</v>
      </c>
      <c r="C13" s="280" t="e">
        <f t="shared" si="3"/>
        <v>#REF!</v>
      </c>
      <c r="D13" s="160" t="e">
        <f t="shared" si="4"/>
        <v>#REF!</v>
      </c>
      <c r="E13" s="160" t="e">
        <f t="shared" si="0"/>
        <v>#REF!</v>
      </c>
      <c r="F13" s="160" t="e">
        <f t="shared" si="1"/>
        <v>#REF!</v>
      </c>
      <c r="G13" s="160" t="e">
        <f t="shared" si="2"/>
        <v>#REF!</v>
      </c>
    </row>
    <row r="14" spans="1:10" ht="86.4" x14ac:dyDescent="0.3">
      <c r="A14" s="53" t="s">
        <v>309</v>
      </c>
      <c r="B14" s="277" t="s">
        <v>304</v>
      </c>
      <c r="C14" s="280" t="e">
        <f t="shared" si="3"/>
        <v>#REF!</v>
      </c>
      <c r="D14" s="160" t="e">
        <f t="shared" si="4"/>
        <v>#REF!</v>
      </c>
      <c r="E14" s="160" t="e">
        <f t="shared" si="0"/>
        <v>#REF!</v>
      </c>
      <c r="F14" s="160" t="e">
        <f t="shared" si="1"/>
        <v>#REF!</v>
      </c>
      <c r="G14" s="160" t="e">
        <f t="shared" si="2"/>
        <v>#REF!</v>
      </c>
    </row>
    <row r="15" spans="1:10" ht="86.4" x14ac:dyDescent="0.3">
      <c r="A15" s="53" t="s">
        <v>310</v>
      </c>
      <c r="B15" s="277" t="s">
        <v>306</v>
      </c>
      <c r="C15" s="280" t="e">
        <f t="shared" si="3"/>
        <v>#REF!</v>
      </c>
      <c r="D15" s="160" t="e">
        <f t="shared" si="4"/>
        <v>#REF!</v>
      </c>
      <c r="E15" s="160" t="e">
        <f t="shared" si="0"/>
        <v>#REF!</v>
      </c>
      <c r="F15" s="160" t="e">
        <f t="shared" si="1"/>
        <v>#REF!</v>
      </c>
      <c r="G15" s="160" t="e">
        <f t="shared" si="2"/>
        <v>#REF!</v>
      </c>
    </row>
    <row r="16" spans="1:10" ht="72" x14ac:dyDescent="0.3">
      <c r="A16" s="53" t="s">
        <v>311</v>
      </c>
      <c r="B16" s="277" t="s">
        <v>304</v>
      </c>
      <c r="C16" s="280" t="e">
        <f t="shared" si="3"/>
        <v>#REF!</v>
      </c>
      <c r="D16" s="160" t="e">
        <f t="shared" si="4"/>
        <v>#REF!</v>
      </c>
      <c r="E16" s="160" t="e">
        <f t="shared" si="0"/>
        <v>#REF!</v>
      </c>
      <c r="F16" s="160" t="e">
        <f t="shared" si="1"/>
        <v>#REF!</v>
      </c>
      <c r="G16" s="160" t="e">
        <f t="shared" si="2"/>
        <v>#REF!</v>
      </c>
    </row>
    <row r="17" spans="1:9" ht="72" x14ac:dyDescent="0.3">
      <c r="A17" s="53" t="s">
        <v>312</v>
      </c>
      <c r="B17" s="277" t="s">
        <v>306</v>
      </c>
      <c r="C17" s="280" t="e">
        <f t="shared" si="3"/>
        <v>#REF!</v>
      </c>
      <c r="D17" s="160" t="e">
        <f t="shared" si="4"/>
        <v>#REF!</v>
      </c>
      <c r="E17" s="160" t="e">
        <f t="shared" si="0"/>
        <v>#REF!</v>
      </c>
      <c r="F17" s="160" t="e">
        <f t="shared" si="1"/>
        <v>#REF!</v>
      </c>
      <c r="G17" s="160" t="e">
        <f t="shared" si="2"/>
        <v>#REF!</v>
      </c>
    </row>
    <row r="18" spans="1:9" ht="27.6" x14ac:dyDescent="0.3">
      <c r="A18" s="53" t="s">
        <v>313</v>
      </c>
      <c r="B18" s="277" t="s">
        <v>304</v>
      </c>
      <c r="C18" s="280" t="e">
        <f t="shared" si="3"/>
        <v>#REF!</v>
      </c>
      <c r="D18" s="160" t="e">
        <f t="shared" si="4"/>
        <v>#REF!</v>
      </c>
      <c r="E18" s="160" t="e">
        <f t="shared" si="0"/>
        <v>#REF!</v>
      </c>
      <c r="F18" s="160" t="e">
        <f t="shared" si="1"/>
        <v>#REF!</v>
      </c>
      <c r="G18" s="160" t="e">
        <f t="shared" si="2"/>
        <v>#REF!</v>
      </c>
    </row>
    <row r="19" spans="1:9" ht="72" x14ac:dyDescent="0.3">
      <c r="A19" s="53" t="s">
        <v>314</v>
      </c>
      <c r="B19" s="277" t="s">
        <v>315</v>
      </c>
      <c r="C19" s="280" t="e">
        <f t="shared" si="3"/>
        <v>#REF!</v>
      </c>
      <c r="D19" s="160" t="e">
        <f t="shared" si="4"/>
        <v>#REF!</v>
      </c>
      <c r="E19" s="160" t="e">
        <f t="shared" si="0"/>
        <v>#REF!</v>
      </c>
      <c r="F19" s="160" t="e">
        <f t="shared" si="1"/>
        <v>#REF!</v>
      </c>
      <c r="G19" s="160" t="e">
        <f t="shared" si="2"/>
        <v>#REF!</v>
      </c>
    </row>
    <row r="20" spans="1:9" ht="72" x14ac:dyDescent="0.3">
      <c r="A20" s="53" t="s">
        <v>316</v>
      </c>
      <c r="B20" s="277" t="s">
        <v>315</v>
      </c>
      <c r="C20" s="280" t="e">
        <f t="shared" si="3"/>
        <v>#REF!</v>
      </c>
      <c r="D20" s="160" t="e">
        <f t="shared" si="4"/>
        <v>#REF!</v>
      </c>
      <c r="E20" s="160" t="e">
        <f t="shared" si="0"/>
        <v>#REF!</v>
      </c>
      <c r="F20" s="160" t="e">
        <f t="shared" si="1"/>
        <v>#REF!</v>
      </c>
      <c r="G20" s="160" t="e">
        <f t="shared" si="2"/>
        <v>#REF!</v>
      </c>
    </row>
    <row r="21" spans="1:9" x14ac:dyDescent="0.3">
      <c r="A21" s="53" t="s">
        <v>317</v>
      </c>
      <c r="B21" s="54" t="s">
        <v>315</v>
      </c>
      <c r="C21" s="280" t="e">
        <f t="shared" si="3"/>
        <v>#REF!</v>
      </c>
      <c r="D21" s="160" t="e">
        <f t="shared" si="4"/>
        <v>#REF!</v>
      </c>
      <c r="E21" s="160" t="e">
        <f t="shared" si="0"/>
        <v>#REF!</v>
      </c>
      <c r="F21" s="160" t="e">
        <f t="shared" si="1"/>
        <v>#REF!</v>
      </c>
      <c r="G21" s="160" t="e">
        <f t="shared" si="2"/>
        <v>#REF!</v>
      </c>
    </row>
    <row r="22" spans="1:9" ht="28.8" x14ac:dyDescent="0.3">
      <c r="A22" s="53" t="s">
        <v>318</v>
      </c>
      <c r="B22" s="54" t="s">
        <v>315</v>
      </c>
      <c r="C22" s="280" t="e">
        <f t="shared" si="3"/>
        <v>#REF!</v>
      </c>
      <c r="D22" s="160" t="e">
        <f t="shared" si="4"/>
        <v>#REF!</v>
      </c>
      <c r="E22" s="160" t="e">
        <f t="shared" si="0"/>
        <v>#REF!</v>
      </c>
      <c r="F22" s="160" t="e">
        <f t="shared" si="1"/>
        <v>#REF!</v>
      </c>
      <c r="G22" s="160" t="e">
        <f t="shared" si="2"/>
        <v>#REF!</v>
      </c>
    </row>
    <row r="23" spans="1:9" ht="28.8" x14ac:dyDescent="0.3">
      <c r="A23" s="53" t="s">
        <v>319</v>
      </c>
      <c r="B23" s="54" t="s">
        <v>320</v>
      </c>
      <c r="C23" s="280" t="e">
        <f t="shared" si="3"/>
        <v>#REF!</v>
      </c>
      <c r="D23" s="160" t="e">
        <f t="shared" si="4"/>
        <v>#REF!</v>
      </c>
      <c r="E23" s="160" t="e">
        <f t="shared" ref="E23:E25" si="5">C23*D23</f>
        <v>#REF!</v>
      </c>
      <c r="F23" s="160" t="e">
        <f t="shared" ref="F23:F25" si="6">E23*3</f>
        <v>#REF!</v>
      </c>
      <c r="G23" s="160" t="e">
        <f t="shared" ref="G23:G25" si="7">E23*12</f>
        <v>#REF!</v>
      </c>
    </row>
    <row r="24" spans="1:9" ht="56.25" customHeight="1" x14ac:dyDescent="0.3">
      <c r="A24" s="53" t="s">
        <v>321</v>
      </c>
      <c r="B24" s="53" t="s">
        <v>315</v>
      </c>
      <c r="C24" s="280" t="e">
        <f t="shared" si="3"/>
        <v>#REF!</v>
      </c>
      <c r="D24" s="281" t="e">
        <f t="shared" si="4"/>
        <v>#REF!</v>
      </c>
      <c r="E24" s="281" t="e">
        <f t="shared" si="5"/>
        <v>#REF!</v>
      </c>
      <c r="F24" s="281" t="e">
        <f t="shared" si="6"/>
        <v>#REF!</v>
      </c>
      <c r="G24" s="281" t="e">
        <f t="shared" si="7"/>
        <v>#REF!</v>
      </c>
    </row>
    <row r="25" spans="1:9" ht="56.25" customHeight="1" x14ac:dyDescent="0.3">
      <c r="A25" s="53" t="s">
        <v>322</v>
      </c>
      <c r="B25" s="53" t="s">
        <v>315</v>
      </c>
      <c r="C25" s="280" t="e">
        <f t="shared" si="3"/>
        <v>#REF!</v>
      </c>
      <c r="D25" s="281" t="e">
        <f t="shared" si="4"/>
        <v>#REF!</v>
      </c>
      <c r="E25" s="281" t="e">
        <f t="shared" si="5"/>
        <v>#REF!</v>
      </c>
      <c r="F25" s="281" t="e">
        <f t="shared" si="6"/>
        <v>#REF!</v>
      </c>
      <c r="G25" s="281" t="e">
        <f t="shared" si="7"/>
        <v>#REF!</v>
      </c>
    </row>
    <row r="27" spans="1:9" x14ac:dyDescent="0.3">
      <c r="F27" s="72" t="e">
        <f>SUM(F4:F26)</f>
        <v>#REF!</v>
      </c>
      <c r="G27" t="e">
        <f>SUM(G4:G26)</f>
        <v>#REF!</v>
      </c>
      <c r="I27" s="72"/>
    </row>
  </sheetData>
  <pageMargins left="0.7" right="0.7" top="0.75" bottom="0.75" header="0.3" footer="0.3"/>
  <pageSetup paperSize="9" firstPageNumber="2147483648"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J27"/>
  <sheetViews>
    <sheetView zoomScale="70" workbookViewId="0">
      <pane xSplit="1" topLeftCell="B1" activePane="topRight" state="frozen"/>
      <selection pane="topRight"/>
    </sheetView>
  </sheetViews>
  <sheetFormatPr defaultRowHeight="14.4" x14ac:dyDescent="0.3"/>
  <cols>
    <col min="1" max="1" width="26.5546875" style="53" customWidth="1"/>
    <col min="2" max="2" width="11.88671875" style="54" customWidth="1"/>
    <col min="3" max="3" width="13" style="55" customWidth="1"/>
    <col min="4" max="6" width="12.88671875" style="72" customWidth="1"/>
    <col min="7" max="7" width="10.109375" bestFit="1" customWidth="1"/>
  </cols>
  <sheetData>
    <row r="1" spans="1:10" x14ac:dyDescent="0.3">
      <c r="A1" s="93"/>
      <c r="B1" s="93"/>
      <c r="C1" s="93"/>
      <c r="D1" s="273"/>
      <c r="E1" s="273"/>
      <c r="F1" s="273"/>
      <c r="G1" s="274"/>
      <c r="H1" s="274"/>
      <c r="I1" s="274"/>
      <c r="J1" s="274"/>
    </row>
    <row r="2" spans="1:10" ht="30" customHeight="1" x14ac:dyDescent="0.3">
      <c r="A2" s="93"/>
      <c r="B2" s="93"/>
      <c r="C2" s="93"/>
      <c r="D2" s="275">
        <v>0.3</v>
      </c>
      <c r="E2" s="275"/>
      <c r="F2" s="275"/>
      <c r="G2" s="276"/>
      <c r="H2" s="276"/>
      <c r="I2" s="276"/>
      <c r="J2" s="276"/>
    </row>
    <row r="3" spans="1:10" s="63" customFormat="1" ht="55.2" x14ac:dyDescent="0.3">
      <c r="A3" s="184" t="s">
        <v>61</v>
      </c>
      <c r="B3" s="277" t="s">
        <v>37</v>
      </c>
      <c r="C3" s="213" t="s">
        <v>287</v>
      </c>
      <c r="D3" s="278" t="s">
        <v>288</v>
      </c>
      <c r="E3" s="278" t="s">
        <v>289</v>
      </c>
      <c r="F3" s="278" t="s">
        <v>290</v>
      </c>
      <c r="G3" s="278" t="s">
        <v>291</v>
      </c>
    </row>
    <row r="4" spans="1:10" x14ac:dyDescent="0.3">
      <c r="A4" s="184" t="s">
        <v>292</v>
      </c>
      <c r="B4" s="277" t="s">
        <v>293</v>
      </c>
      <c r="C4" s="280">
        <f>'объем работ 100% загр'!J4</f>
        <v>2.405808414386177E-2</v>
      </c>
      <c r="D4" s="160">
        <f>'объем работ 100% загр'!S4</f>
        <v>520000</v>
      </c>
      <c r="E4" s="160">
        <f t="shared" ref="E4:E22" si="0">C4*D4</f>
        <v>12510.203754808121</v>
      </c>
      <c r="F4" s="160">
        <f t="shared" ref="F4:F22" si="1">E4*3</f>
        <v>37530.611264424362</v>
      </c>
      <c r="G4" s="160">
        <f t="shared" ref="G4:G22" si="2">E4*12</f>
        <v>150122.44505769745</v>
      </c>
    </row>
    <row r="5" spans="1:10" ht="124.2" x14ac:dyDescent="0.3">
      <c r="A5" s="184" t="s">
        <v>294</v>
      </c>
      <c r="B5" s="277" t="s">
        <v>295</v>
      </c>
      <c r="C5" s="280">
        <f>'объем работ 100% загр'!J5</f>
        <v>0</v>
      </c>
      <c r="D5" s="160">
        <f>'объем работ 100% загр'!S5</f>
        <v>0</v>
      </c>
      <c r="E5" s="160">
        <f t="shared" si="0"/>
        <v>0</v>
      </c>
      <c r="F5" s="160">
        <f t="shared" si="1"/>
        <v>0</v>
      </c>
      <c r="G5" s="160">
        <f t="shared" si="2"/>
        <v>0</v>
      </c>
    </row>
    <row r="6" spans="1:10" ht="123.75" customHeight="1" x14ac:dyDescent="0.3">
      <c r="A6" s="184" t="s">
        <v>296</v>
      </c>
      <c r="B6" s="277" t="s">
        <v>295</v>
      </c>
      <c r="C6" s="280">
        <f>'объем работ 100% загр'!J6</f>
        <v>0</v>
      </c>
      <c r="D6" s="160">
        <f>'объем работ 100% загр'!S6</f>
        <v>0</v>
      </c>
      <c r="E6" s="160">
        <f t="shared" si="0"/>
        <v>0</v>
      </c>
      <c r="F6" s="160">
        <f t="shared" si="1"/>
        <v>0</v>
      </c>
      <c r="G6" s="160">
        <f t="shared" si="2"/>
        <v>0</v>
      </c>
    </row>
    <row r="7" spans="1:10" ht="55.2" x14ac:dyDescent="0.3">
      <c r="A7" s="184" t="s">
        <v>297</v>
      </c>
      <c r="B7" s="277" t="s">
        <v>298</v>
      </c>
      <c r="C7" s="280" t="e">
        <f t="shared" ref="C7:C25" si="3">'объем работ 100% загр'!#REF!</f>
        <v>#REF!</v>
      </c>
      <c r="D7" s="160" t="e">
        <f t="shared" ref="D7:D25" si="4">'объем работ 100% загр'!#REF!</f>
        <v>#REF!</v>
      </c>
      <c r="E7" s="160" t="e">
        <f t="shared" si="0"/>
        <v>#REF!</v>
      </c>
      <c r="F7" s="160" t="e">
        <f t="shared" si="1"/>
        <v>#REF!</v>
      </c>
      <c r="G7" s="160" t="e">
        <f t="shared" si="2"/>
        <v>#REF!</v>
      </c>
    </row>
    <row r="8" spans="1:10" ht="27.6" x14ac:dyDescent="0.3">
      <c r="A8" s="184" t="s">
        <v>299</v>
      </c>
      <c r="B8" s="277" t="s">
        <v>300</v>
      </c>
      <c r="C8" s="280" t="e">
        <f t="shared" si="3"/>
        <v>#REF!</v>
      </c>
      <c r="D8" s="160" t="e">
        <f t="shared" si="4"/>
        <v>#REF!</v>
      </c>
      <c r="E8" s="160" t="e">
        <f t="shared" si="0"/>
        <v>#REF!</v>
      </c>
      <c r="F8" s="160" t="e">
        <f t="shared" si="1"/>
        <v>#REF!</v>
      </c>
      <c r="G8" s="160" t="e">
        <f t="shared" si="2"/>
        <v>#REF!</v>
      </c>
    </row>
    <row r="9" spans="1:10" ht="27.6" x14ac:dyDescent="0.3">
      <c r="A9" s="184" t="s">
        <v>301</v>
      </c>
      <c r="B9" s="277" t="s">
        <v>302</v>
      </c>
      <c r="C9" s="280" t="e">
        <f t="shared" si="3"/>
        <v>#REF!</v>
      </c>
      <c r="D9" s="160" t="e">
        <f t="shared" si="4"/>
        <v>#REF!</v>
      </c>
      <c r="E9" s="160" t="e">
        <f t="shared" si="0"/>
        <v>#REF!</v>
      </c>
      <c r="F9" s="160" t="e">
        <f t="shared" si="1"/>
        <v>#REF!</v>
      </c>
      <c r="G9" s="160" t="e">
        <f t="shared" si="2"/>
        <v>#REF!</v>
      </c>
    </row>
    <row r="10" spans="1:10" ht="69" x14ac:dyDescent="0.3">
      <c r="A10" s="184" t="s">
        <v>303</v>
      </c>
      <c r="B10" s="277" t="s">
        <v>304</v>
      </c>
      <c r="C10" s="280" t="e">
        <f t="shared" si="3"/>
        <v>#REF!</v>
      </c>
      <c r="D10" s="160" t="e">
        <f t="shared" si="4"/>
        <v>#REF!</v>
      </c>
      <c r="E10" s="160" t="e">
        <f t="shared" si="0"/>
        <v>#REF!</v>
      </c>
      <c r="F10" s="160" t="e">
        <f t="shared" si="1"/>
        <v>#REF!</v>
      </c>
      <c r="G10" s="160" t="e">
        <f t="shared" si="2"/>
        <v>#REF!</v>
      </c>
    </row>
    <row r="11" spans="1:10" ht="69" x14ac:dyDescent="0.3">
      <c r="A11" s="184" t="s">
        <v>305</v>
      </c>
      <c r="B11" s="277" t="s">
        <v>306</v>
      </c>
      <c r="C11" s="280" t="e">
        <f t="shared" si="3"/>
        <v>#REF!</v>
      </c>
      <c r="D11" s="160" t="e">
        <f t="shared" si="4"/>
        <v>#REF!</v>
      </c>
      <c r="E11" s="160" t="e">
        <f t="shared" si="0"/>
        <v>#REF!</v>
      </c>
      <c r="F11" s="160" t="e">
        <f t="shared" si="1"/>
        <v>#REF!</v>
      </c>
      <c r="G11" s="160" t="e">
        <f t="shared" si="2"/>
        <v>#REF!</v>
      </c>
    </row>
    <row r="12" spans="1:10" ht="72" x14ac:dyDescent="0.3">
      <c r="A12" s="53" t="s">
        <v>307</v>
      </c>
      <c r="B12" s="277" t="s">
        <v>304</v>
      </c>
      <c r="C12" s="280" t="e">
        <f t="shared" si="3"/>
        <v>#REF!</v>
      </c>
      <c r="D12" s="160" t="e">
        <f t="shared" si="4"/>
        <v>#REF!</v>
      </c>
      <c r="E12" s="160" t="e">
        <f t="shared" si="0"/>
        <v>#REF!</v>
      </c>
      <c r="F12" s="160" t="e">
        <f t="shared" si="1"/>
        <v>#REF!</v>
      </c>
      <c r="G12" s="160" t="e">
        <f t="shared" si="2"/>
        <v>#REF!</v>
      </c>
    </row>
    <row r="13" spans="1:10" ht="72" x14ac:dyDescent="0.3">
      <c r="A13" s="53" t="s">
        <v>308</v>
      </c>
      <c r="B13" s="277" t="s">
        <v>306</v>
      </c>
      <c r="C13" s="280" t="e">
        <f t="shared" si="3"/>
        <v>#REF!</v>
      </c>
      <c r="D13" s="160" t="e">
        <f t="shared" si="4"/>
        <v>#REF!</v>
      </c>
      <c r="E13" s="160" t="e">
        <f t="shared" si="0"/>
        <v>#REF!</v>
      </c>
      <c r="F13" s="160" t="e">
        <f t="shared" si="1"/>
        <v>#REF!</v>
      </c>
      <c r="G13" s="160" t="e">
        <f t="shared" si="2"/>
        <v>#REF!</v>
      </c>
    </row>
    <row r="14" spans="1:10" ht="86.4" x14ac:dyDescent="0.3">
      <c r="A14" s="53" t="s">
        <v>309</v>
      </c>
      <c r="B14" s="277" t="s">
        <v>304</v>
      </c>
      <c r="C14" s="280" t="e">
        <f t="shared" si="3"/>
        <v>#REF!</v>
      </c>
      <c r="D14" s="160" t="e">
        <f t="shared" si="4"/>
        <v>#REF!</v>
      </c>
      <c r="E14" s="160" t="e">
        <f t="shared" si="0"/>
        <v>#REF!</v>
      </c>
      <c r="F14" s="160" t="e">
        <f t="shared" si="1"/>
        <v>#REF!</v>
      </c>
      <c r="G14" s="160" t="e">
        <f t="shared" si="2"/>
        <v>#REF!</v>
      </c>
    </row>
    <row r="15" spans="1:10" ht="86.4" x14ac:dyDescent="0.3">
      <c r="A15" s="53" t="s">
        <v>310</v>
      </c>
      <c r="B15" s="277" t="s">
        <v>306</v>
      </c>
      <c r="C15" s="280" t="e">
        <f t="shared" si="3"/>
        <v>#REF!</v>
      </c>
      <c r="D15" s="160" t="e">
        <f t="shared" si="4"/>
        <v>#REF!</v>
      </c>
      <c r="E15" s="160" t="e">
        <f t="shared" si="0"/>
        <v>#REF!</v>
      </c>
      <c r="F15" s="160" t="e">
        <f t="shared" si="1"/>
        <v>#REF!</v>
      </c>
      <c r="G15" s="160" t="e">
        <f t="shared" si="2"/>
        <v>#REF!</v>
      </c>
    </row>
    <row r="16" spans="1:10" ht="72" x14ac:dyDescent="0.3">
      <c r="A16" s="53" t="s">
        <v>311</v>
      </c>
      <c r="B16" s="277" t="s">
        <v>304</v>
      </c>
      <c r="C16" s="280" t="e">
        <f t="shared" si="3"/>
        <v>#REF!</v>
      </c>
      <c r="D16" s="160" t="e">
        <f t="shared" si="4"/>
        <v>#REF!</v>
      </c>
      <c r="E16" s="160" t="e">
        <f t="shared" si="0"/>
        <v>#REF!</v>
      </c>
      <c r="F16" s="160" t="e">
        <f t="shared" si="1"/>
        <v>#REF!</v>
      </c>
      <c r="G16" s="160" t="e">
        <f t="shared" si="2"/>
        <v>#REF!</v>
      </c>
    </row>
    <row r="17" spans="1:9" ht="72" x14ac:dyDescent="0.3">
      <c r="A17" s="53" t="s">
        <v>312</v>
      </c>
      <c r="B17" s="277" t="s">
        <v>306</v>
      </c>
      <c r="C17" s="280" t="e">
        <f t="shared" si="3"/>
        <v>#REF!</v>
      </c>
      <c r="D17" s="160" t="e">
        <f t="shared" si="4"/>
        <v>#REF!</v>
      </c>
      <c r="E17" s="160" t="e">
        <f t="shared" si="0"/>
        <v>#REF!</v>
      </c>
      <c r="F17" s="160" t="e">
        <f t="shared" si="1"/>
        <v>#REF!</v>
      </c>
      <c r="G17" s="160" t="e">
        <f t="shared" si="2"/>
        <v>#REF!</v>
      </c>
    </row>
    <row r="18" spans="1:9" ht="27.6" x14ac:dyDescent="0.3">
      <c r="A18" s="53" t="s">
        <v>313</v>
      </c>
      <c r="B18" s="277" t="s">
        <v>304</v>
      </c>
      <c r="C18" s="280" t="e">
        <f t="shared" si="3"/>
        <v>#REF!</v>
      </c>
      <c r="D18" s="160" t="e">
        <f t="shared" si="4"/>
        <v>#REF!</v>
      </c>
      <c r="E18" s="160" t="e">
        <f t="shared" si="0"/>
        <v>#REF!</v>
      </c>
      <c r="F18" s="160" t="e">
        <f t="shared" si="1"/>
        <v>#REF!</v>
      </c>
      <c r="G18" s="160" t="e">
        <f t="shared" si="2"/>
        <v>#REF!</v>
      </c>
    </row>
    <row r="19" spans="1:9" ht="72" x14ac:dyDescent="0.3">
      <c r="A19" s="53" t="s">
        <v>314</v>
      </c>
      <c r="B19" s="277" t="s">
        <v>315</v>
      </c>
      <c r="C19" s="280" t="e">
        <f t="shared" si="3"/>
        <v>#REF!</v>
      </c>
      <c r="D19" s="160" t="e">
        <f t="shared" si="4"/>
        <v>#REF!</v>
      </c>
      <c r="E19" s="160" t="e">
        <f t="shared" si="0"/>
        <v>#REF!</v>
      </c>
      <c r="F19" s="160" t="e">
        <f t="shared" si="1"/>
        <v>#REF!</v>
      </c>
      <c r="G19" s="160" t="e">
        <f t="shared" si="2"/>
        <v>#REF!</v>
      </c>
    </row>
    <row r="20" spans="1:9" ht="72" x14ac:dyDescent="0.3">
      <c r="A20" s="53" t="s">
        <v>316</v>
      </c>
      <c r="B20" s="277" t="s">
        <v>315</v>
      </c>
      <c r="C20" s="280" t="e">
        <f t="shared" si="3"/>
        <v>#REF!</v>
      </c>
      <c r="D20" s="160" t="e">
        <f t="shared" si="4"/>
        <v>#REF!</v>
      </c>
      <c r="E20" s="160" t="e">
        <f t="shared" si="0"/>
        <v>#REF!</v>
      </c>
      <c r="F20" s="160" t="e">
        <f t="shared" si="1"/>
        <v>#REF!</v>
      </c>
      <c r="G20" s="160" t="e">
        <f t="shared" si="2"/>
        <v>#REF!</v>
      </c>
    </row>
    <row r="21" spans="1:9" x14ac:dyDescent="0.3">
      <c r="A21" s="53" t="s">
        <v>317</v>
      </c>
      <c r="B21" s="54" t="s">
        <v>315</v>
      </c>
      <c r="C21" s="280" t="e">
        <f t="shared" si="3"/>
        <v>#REF!</v>
      </c>
      <c r="D21" s="160" t="e">
        <f t="shared" si="4"/>
        <v>#REF!</v>
      </c>
      <c r="E21" s="160" t="e">
        <f t="shared" si="0"/>
        <v>#REF!</v>
      </c>
      <c r="F21" s="160" t="e">
        <f t="shared" si="1"/>
        <v>#REF!</v>
      </c>
      <c r="G21" s="160" t="e">
        <f t="shared" si="2"/>
        <v>#REF!</v>
      </c>
    </row>
    <row r="22" spans="1:9" ht="28.8" x14ac:dyDescent="0.3">
      <c r="A22" s="53" t="s">
        <v>318</v>
      </c>
      <c r="B22" s="54" t="s">
        <v>315</v>
      </c>
      <c r="C22" s="280" t="e">
        <f t="shared" si="3"/>
        <v>#REF!</v>
      </c>
      <c r="D22" s="160" t="e">
        <f t="shared" si="4"/>
        <v>#REF!</v>
      </c>
      <c r="E22" s="160" t="e">
        <f t="shared" si="0"/>
        <v>#REF!</v>
      </c>
      <c r="F22" s="160" t="e">
        <f t="shared" si="1"/>
        <v>#REF!</v>
      </c>
      <c r="G22" s="160" t="e">
        <f t="shared" si="2"/>
        <v>#REF!</v>
      </c>
    </row>
    <row r="23" spans="1:9" ht="28.8" x14ac:dyDescent="0.3">
      <c r="A23" s="53" t="s">
        <v>319</v>
      </c>
      <c r="B23" s="54" t="s">
        <v>320</v>
      </c>
      <c r="C23" s="280" t="e">
        <f t="shared" si="3"/>
        <v>#REF!</v>
      </c>
      <c r="D23" s="160" t="e">
        <f t="shared" si="4"/>
        <v>#REF!</v>
      </c>
      <c r="E23" s="160" t="e">
        <f t="shared" ref="E23:E25" si="5">C23*D23</f>
        <v>#REF!</v>
      </c>
      <c r="F23" s="160" t="e">
        <f t="shared" ref="F23:F25" si="6">E23*3</f>
        <v>#REF!</v>
      </c>
      <c r="G23" s="160" t="e">
        <f t="shared" ref="G23:G25" si="7">E23*12</f>
        <v>#REF!</v>
      </c>
    </row>
    <row r="24" spans="1:9" ht="56.25" customHeight="1" x14ac:dyDescent="0.3">
      <c r="A24" s="53" t="s">
        <v>321</v>
      </c>
      <c r="B24" s="53" t="s">
        <v>315</v>
      </c>
      <c r="C24" s="280" t="e">
        <f t="shared" si="3"/>
        <v>#REF!</v>
      </c>
      <c r="D24" s="281" t="e">
        <f t="shared" si="4"/>
        <v>#REF!</v>
      </c>
      <c r="E24" s="281" t="e">
        <f t="shared" si="5"/>
        <v>#REF!</v>
      </c>
      <c r="F24" s="281" t="e">
        <f t="shared" si="6"/>
        <v>#REF!</v>
      </c>
      <c r="G24" s="281" t="e">
        <f t="shared" si="7"/>
        <v>#REF!</v>
      </c>
    </row>
    <row r="25" spans="1:9" ht="56.25" customHeight="1" x14ac:dyDescent="0.3">
      <c r="A25" s="53" t="s">
        <v>322</v>
      </c>
      <c r="B25" s="53" t="s">
        <v>315</v>
      </c>
      <c r="C25" s="280" t="e">
        <f t="shared" si="3"/>
        <v>#REF!</v>
      </c>
      <c r="D25" s="281" t="e">
        <f t="shared" si="4"/>
        <v>#REF!</v>
      </c>
      <c r="E25" s="281" t="e">
        <f t="shared" si="5"/>
        <v>#REF!</v>
      </c>
      <c r="F25" s="281" t="e">
        <f t="shared" si="6"/>
        <v>#REF!</v>
      </c>
      <c r="G25" s="281" t="e">
        <f t="shared" si="7"/>
        <v>#REF!</v>
      </c>
    </row>
    <row r="27" spans="1:9" x14ac:dyDescent="0.3">
      <c r="F27" s="72" t="e">
        <f>SUM(F4:F26)</f>
        <v>#REF!</v>
      </c>
      <c r="G27" t="e">
        <f>SUM(G4:G26)</f>
        <v>#REF!</v>
      </c>
      <c r="I27" s="72"/>
    </row>
  </sheetData>
  <pageMargins left="0.7" right="0.7" top="0.75" bottom="0.75" header="0.3" footer="0.3"/>
  <pageSetup paperSize="9" firstPageNumber="2147483648"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J27"/>
  <sheetViews>
    <sheetView zoomScale="70" workbookViewId="0">
      <pane xSplit="1" topLeftCell="B1" activePane="topRight" state="frozen"/>
      <selection pane="topRight"/>
    </sheetView>
  </sheetViews>
  <sheetFormatPr defaultRowHeight="14.4" x14ac:dyDescent="0.3"/>
  <cols>
    <col min="1" max="1" width="26.5546875" style="53" customWidth="1"/>
    <col min="2" max="2" width="11.88671875" style="54" customWidth="1"/>
    <col min="3" max="3" width="13" style="55" customWidth="1"/>
    <col min="4" max="6" width="12.88671875" style="72" customWidth="1"/>
    <col min="7" max="7" width="10.109375" bestFit="1" customWidth="1"/>
  </cols>
  <sheetData>
    <row r="1" spans="1:10" x14ac:dyDescent="0.3">
      <c r="A1" s="93"/>
      <c r="B1" s="93"/>
      <c r="C1" s="93"/>
      <c r="D1" s="273"/>
      <c r="E1" s="273"/>
      <c r="F1" s="273"/>
      <c r="G1" s="274"/>
      <c r="H1" s="274"/>
      <c r="I1" s="274"/>
      <c r="J1" s="274"/>
    </row>
    <row r="2" spans="1:10" ht="30" customHeight="1" x14ac:dyDescent="0.3">
      <c r="A2" s="93"/>
      <c r="B2" s="93"/>
      <c r="C2" s="93"/>
      <c r="D2" s="275">
        <v>0.3</v>
      </c>
      <c r="E2" s="275"/>
      <c r="F2" s="275"/>
      <c r="G2" s="276"/>
      <c r="H2" s="276"/>
      <c r="I2" s="276"/>
      <c r="J2" s="276"/>
    </row>
    <row r="3" spans="1:10" s="63" customFormat="1" ht="55.2" x14ac:dyDescent="0.3">
      <c r="A3" s="184" t="s">
        <v>61</v>
      </c>
      <c r="B3" s="277" t="s">
        <v>37</v>
      </c>
      <c r="C3" s="213" t="s">
        <v>287</v>
      </c>
      <c r="D3" s="278" t="s">
        <v>288</v>
      </c>
      <c r="E3" s="278" t="s">
        <v>289</v>
      </c>
      <c r="F3" s="278" t="s">
        <v>290</v>
      </c>
      <c r="G3" s="278" t="s">
        <v>291</v>
      </c>
    </row>
    <row r="4" spans="1:10" x14ac:dyDescent="0.3">
      <c r="A4" s="184" t="s">
        <v>292</v>
      </c>
      <c r="B4" s="277" t="s">
        <v>293</v>
      </c>
      <c r="C4" s="280">
        <f>'объем работ 100% загр'!K4</f>
        <v>2.5501569192493478E-2</v>
      </c>
      <c r="D4" s="160">
        <f>'объем работ 100% загр'!S4</f>
        <v>520000</v>
      </c>
      <c r="E4" s="160">
        <f t="shared" ref="E4:E22" si="0">C4*D4</f>
        <v>13260.815980096608</v>
      </c>
      <c r="F4" s="160">
        <f t="shared" ref="F4:F22" si="1">E4*3</f>
        <v>39782.447940289821</v>
      </c>
      <c r="G4" s="160">
        <f t="shared" ref="G4:G22" si="2">E4*12</f>
        <v>159129.79176115929</v>
      </c>
    </row>
    <row r="5" spans="1:10" ht="124.2" x14ac:dyDescent="0.3">
      <c r="A5" s="184" t="s">
        <v>294</v>
      </c>
      <c r="B5" s="277" t="s">
        <v>295</v>
      </c>
      <c r="C5" s="280">
        <f>'объем работ 100% загр'!K5</f>
        <v>0</v>
      </c>
      <c r="D5" s="160">
        <f>'объем работ 100% загр'!S5</f>
        <v>0</v>
      </c>
      <c r="E5" s="160">
        <f t="shared" si="0"/>
        <v>0</v>
      </c>
      <c r="F5" s="160">
        <f t="shared" si="1"/>
        <v>0</v>
      </c>
      <c r="G5" s="160">
        <f t="shared" si="2"/>
        <v>0</v>
      </c>
    </row>
    <row r="6" spans="1:10" ht="123.75" customHeight="1" x14ac:dyDescent="0.3">
      <c r="A6" s="184" t="s">
        <v>296</v>
      </c>
      <c r="B6" s="277" t="s">
        <v>295</v>
      </c>
      <c r="C6" s="280">
        <f>'объем работ 100% загр'!K6</f>
        <v>0</v>
      </c>
      <c r="D6" s="160">
        <f>'объем работ 100% загр'!S6</f>
        <v>0</v>
      </c>
      <c r="E6" s="160">
        <f t="shared" si="0"/>
        <v>0</v>
      </c>
      <c r="F6" s="160">
        <f t="shared" si="1"/>
        <v>0</v>
      </c>
      <c r="G6" s="160">
        <f t="shared" si="2"/>
        <v>0</v>
      </c>
    </row>
    <row r="7" spans="1:10" ht="55.2" x14ac:dyDescent="0.3">
      <c r="A7" s="184" t="s">
        <v>297</v>
      </c>
      <c r="B7" s="277" t="s">
        <v>298</v>
      </c>
      <c r="C7" s="280" t="e">
        <f t="shared" ref="C7:C25" si="3">'объем работ 100% загр'!#REF!</f>
        <v>#REF!</v>
      </c>
      <c r="D7" s="160" t="e">
        <f t="shared" ref="D7:D25" si="4">'объем работ 100% загр'!#REF!</f>
        <v>#REF!</v>
      </c>
      <c r="E7" s="160" t="e">
        <f t="shared" si="0"/>
        <v>#REF!</v>
      </c>
      <c r="F7" s="160" t="e">
        <f t="shared" si="1"/>
        <v>#REF!</v>
      </c>
      <c r="G7" s="160" t="e">
        <f t="shared" si="2"/>
        <v>#REF!</v>
      </c>
    </row>
    <row r="8" spans="1:10" ht="27.6" x14ac:dyDescent="0.3">
      <c r="A8" s="184" t="s">
        <v>299</v>
      </c>
      <c r="B8" s="277" t="s">
        <v>300</v>
      </c>
      <c r="C8" s="280" t="e">
        <f t="shared" si="3"/>
        <v>#REF!</v>
      </c>
      <c r="D8" s="160" t="e">
        <f t="shared" si="4"/>
        <v>#REF!</v>
      </c>
      <c r="E8" s="160" t="e">
        <f t="shared" si="0"/>
        <v>#REF!</v>
      </c>
      <c r="F8" s="160" t="e">
        <f t="shared" si="1"/>
        <v>#REF!</v>
      </c>
      <c r="G8" s="160" t="e">
        <f t="shared" si="2"/>
        <v>#REF!</v>
      </c>
    </row>
    <row r="9" spans="1:10" ht="27.6" x14ac:dyDescent="0.3">
      <c r="A9" s="184" t="s">
        <v>301</v>
      </c>
      <c r="B9" s="277" t="s">
        <v>302</v>
      </c>
      <c r="C9" s="280" t="e">
        <f t="shared" si="3"/>
        <v>#REF!</v>
      </c>
      <c r="D9" s="160" t="e">
        <f t="shared" si="4"/>
        <v>#REF!</v>
      </c>
      <c r="E9" s="160" t="e">
        <f t="shared" si="0"/>
        <v>#REF!</v>
      </c>
      <c r="F9" s="160" t="e">
        <f t="shared" si="1"/>
        <v>#REF!</v>
      </c>
      <c r="G9" s="160" t="e">
        <f t="shared" si="2"/>
        <v>#REF!</v>
      </c>
    </row>
    <row r="10" spans="1:10" ht="69" x14ac:dyDescent="0.3">
      <c r="A10" s="184" t="s">
        <v>303</v>
      </c>
      <c r="B10" s="277" t="s">
        <v>304</v>
      </c>
      <c r="C10" s="280" t="e">
        <f t="shared" si="3"/>
        <v>#REF!</v>
      </c>
      <c r="D10" s="160" t="e">
        <f t="shared" si="4"/>
        <v>#REF!</v>
      </c>
      <c r="E10" s="160" t="e">
        <f t="shared" si="0"/>
        <v>#REF!</v>
      </c>
      <c r="F10" s="160" t="e">
        <f t="shared" si="1"/>
        <v>#REF!</v>
      </c>
      <c r="G10" s="160" t="e">
        <f t="shared" si="2"/>
        <v>#REF!</v>
      </c>
    </row>
    <row r="11" spans="1:10" ht="69" x14ac:dyDescent="0.3">
      <c r="A11" s="184" t="s">
        <v>305</v>
      </c>
      <c r="B11" s="277" t="s">
        <v>306</v>
      </c>
      <c r="C11" s="280" t="e">
        <f t="shared" si="3"/>
        <v>#REF!</v>
      </c>
      <c r="D11" s="160" t="e">
        <f t="shared" si="4"/>
        <v>#REF!</v>
      </c>
      <c r="E11" s="160" t="e">
        <f t="shared" si="0"/>
        <v>#REF!</v>
      </c>
      <c r="F11" s="160" t="e">
        <f t="shared" si="1"/>
        <v>#REF!</v>
      </c>
      <c r="G11" s="160" t="e">
        <f t="shared" si="2"/>
        <v>#REF!</v>
      </c>
    </row>
    <row r="12" spans="1:10" ht="72" x14ac:dyDescent="0.3">
      <c r="A12" s="53" t="s">
        <v>307</v>
      </c>
      <c r="B12" s="277" t="s">
        <v>304</v>
      </c>
      <c r="C12" s="280" t="e">
        <f t="shared" si="3"/>
        <v>#REF!</v>
      </c>
      <c r="D12" s="160" t="e">
        <f t="shared" si="4"/>
        <v>#REF!</v>
      </c>
      <c r="E12" s="160" t="e">
        <f t="shared" si="0"/>
        <v>#REF!</v>
      </c>
      <c r="F12" s="160" t="e">
        <f t="shared" si="1"/>
        <v>#REF!</v>
      </c>
      <c r="G12" s="160" t="e">
        <f t="shared" si="2"/>
        <v>#REF!</v>
      </c>
    </row>
    <row r="13" spans="1:10" ht="72" x14ac:dyDescent="0.3">
      <c r="A13" s="53" t="s">
        <v>308</v>
      </c>
      <c r="B13" s="277" t="s">
        <v>306</v>
      </c>
      <c r="C13" s="280" t="e">
        <f t="shared" si="3"/>
        <v>#REF!</v>
      </c>
      <c r="D13" s="160" t="e">
        <f t="shared" si="4"/>
        <v>#REF!</v>
      </c>
      <c r="E13" s="160" t="e">
        <f t="shared" si="0"/>
        <v>#REF!</v>
      </c>
      <c r="F13" s="160" t="e">
        <f t="shared" si="1"/>
        <v>#REF!</v>
      </c>
      <c r="G13" s="160" t="e">
        <f t="shared" si="2"/>
        <v>#REF!</v>
      </c>
    </row>
    <row r="14" spans="1:10" ht="86.4" x14ac:dyDescent="0.3">
      <c r="A14" s="53" t="s">
        <v>309</v>
      </c>
      <c r="B14" s="277" t="s">
        <v>304</v>
      </c>
      <c r="C14" s="280" t="e">
        <f t="shared" si="3"/>
        <v>#REF!</v>
      </c>
      <c r="D14" s="160" t="e">
        <f t="shared" si="4"/>
        <v>#REF!</v>
      </c>
      <c r="E14" s="160" t="e">
        <f t="shared" si="0"/>
        <v>#REF!</v>
      </c>
      <c r="F14" s="160" t="e">
        <f t="shared" si="1"/>
        <v>#REF!</v>
      </c>
      <c r="G14" s="160" t="e">
        <f t="shared" si="2"/>
        <v>#REF!</v>
      </c>
    </row>
    <row r="15" spans="1:10" ht="86.4" x14ac:dyDescent="0.3">
      <c r="A15" s="53" t="s">
        <v>310</v>
      </c>
      <c r="B15" s="277" t="s">
        <v>306</v>
      </c>
      <c r="C15" s="280" t="e">
        <f t="shared" si="3"/>
        <v>#REF!</v>
      </c>
      <c r="D15" s="160" t="e">
        <f t="shared" si="4"/>
        <v>#REF!</v>
      </c>
      <c r="E15" s="160" t="e">
        <f t="shared" si="0"/>
        <v>#REF!</v>
      </c>
      <c r="F15" s="160" t="e">
        <f t="shared" si="1"/>
        <v>#REF!</v>
      </c>
      <c r="G15" s="160" t="e">
        <f t="shared" si="2"/>
        <v>#REF!</v>
      </c>
    </row>
    <row r="16" spans="1:10" ht="72" x14ac:dyDescent="0.3">
      <c r="A16" s="53" t="s">
        <v>311</v>
      </c>
      <c r="B16" s="277" t="s">
        <v>304</v>
      </c>
      <c r="C16" s="280" t="e">
        <f t="shared" si="3"/>
        <v>#REF!</v>
      </c>
      <c r="D16" s="160" t="e">
        <f t="shared" si="4"/>
        <v>#REF!</v>
      </c>
      <c r="E16" s="160" t="e">
        <f t="shared" si="0"/>
        <v>#REF!</v>
      </c>
      <c r="F16" s="160" t="e">
        <f t="shared" si="1"/>
        <v>#REF!</v>
      </c>
      <c r="G16" s="160" t="e">
        <f t="shared" si="2"/>
        <v>#REF!</v>
      </c>
    </row>
    <row r="17" spans="1:9" ht="72" x14ac:dyDescent="0.3">
      <c r="A17" s="53" t="s">
        <v>312</v>
      </c>
      <c r="B17" s="277" t="s">
        <v>306</v>
      </c>
      <c r="C17" s="280" t="e">
        <f t="shared" si="3"/>
        <v>#REF!</v>
      </c>
      <c r="D17" s="160" t="e">
        <f t="shared" si="4"/>
        <v>#REF!</v>
      </c>
      <c r="E17" s="160" t="e">
        <f t="shared" si="0"/>
        <v>#REF!</v>
      </c>
      <c r="F17" s="160" t="e">
        <f t="shared" si="1"/>
        <v>#REF!</v>
      </c>
      <c r="G17" s="160" t="e">
        <f t="shared" si="2"/>
        <v>#REF!</v>
      </c>
    </row>
    <row r="18" spans="1:9" ht="27.6" x14ac:dyDescent="0.3">
      <c r="A18" s="53" t="s">
        <v>313</v>
      </c>
      <c r="B18" s="277" t="s">
        <v>304</v>
      </c>
      <c r="C18" s="280" t="e">
        <f t="shared" si="3"/>
        <v>#REF!</v>
      </c>
      <c r="D18" s="160" t="e">
        <f t="shared" si="4"/>
        <v>#REF!</v>
      </c>
      <c r="E18" s="160" t="e">
        <f t="shared" si="0"/>
        <v>#REF!</v>
      </c>
      <c r="F18" s="160" t="e">
        <f t="shared" si="1"/>
        <v>#REF!</v>
      </c>
      <c r="G18" s="160" t="e">
        <f t="shared" si="2"/>
        <v>#REF!</v>
      </c>
    </row>
    <row r="19" spans="1:9" ht="72" x14ac:dyDescent="0.3">
      <c r="A19" s="53" t="s">
        <v>314</v>
      </c>
      <c r="B19" s="277" t="s">
        <v>315</v>
      </c>
      <c r="C19" s="280" t="e">
        <f t="shared" si="3"/>
        <v>#REF!</v>
      </c>
      <c r="D19" s="160" t="e">
        <f t="shared" si="4"/>
        <v>#REF!</v>
      </c>
      <c r="E19" s="160" t="e">
        <f t="shared" si="0"/>
        <v>#REF!</v>
      </c>
      <c r="F19" s="160" t="e">
        <f t="shared" si="1"/>
        <v>#REF!</v>
      </c>
      <c r="G19" s="160" t="e">
        <f t="shared" si="2"/>
        <v>#REF!</v>
      </c>
    </row>
    <row r="20" spans="1:9" ht="72" x14ac:dyDescent="0.3">
      <c r="A20" s="53" t="s">
        <v>316</v>
      </c>
      <c r="B20" s="277" t="s">
        <v>315</v>
      </c>
      <c r="C20" s="280" t="e">
        <f t="shared" si="3"/>
        <v>#REF!</v>
      </c>
      <c r="D20" s="160" t="e">
        <f t="shared" si="4"/>
        <v>#REF!</v>
      </c>
      <c r="E20" s="160" t="e">
        <f t="shared" si="0"/>
        <v>#REF!</v>
      </c>
      <c r="F20" s="160" t="e">
        <f t="shared" si="1"/>
        <v>#REF!</v>
      </c>
      <c r="G20" s="160" t="e">
        <f t="shared" si="2"/>
        <v>#REF!</v>
      </c>
    </row>
    <row r="21" spans="1:9" x14ac:dyDescent="0.3">
      <c r="A21" s="53" t="s">
        <v>317</v>
      </c>
      <c r="B21" s="54" t="s">
        <v>315</v>
      </c>
      <c r="C21" s="280" t="e">
        <f t="shared" si="3"/>
        <v>#REF!</v>
      </c>
      <c r="D21" s="160" t="e">
        <f t="shared" si="4"/>
        <v>#REF!</v>
      </c>
      <c r="E21" s="160" t="e">
        <f t="shared" si="0"/>
        <v>#REF!</v>
      </c>
      <c r="F21" s="160" t="e">
        <f t="shared" si="1"/>
        <v>#REF!</v>
      </c>
      <c r="G21" s="160" t="e">
        <f t="shared" si="2"/>
        <v>#REF!</v>
      </c>
    </row>
    <row r="22" spans="1:9" ht="28.8" x14ac:dyDescent="0.3">
      <c r="A22" s="53" t="s">
        <v>318</v>
      </c>
      <c r="B22" s="54" t="s">
        <v>315</v>
      </c>
      <c r="C22" s="280" t="e">
        <f t="shared" si="3"/>
        <v>#REF!</v>
      </c>
      <c r="D22" s="160" t="e">
        <f t="shared" si="4"/>
        <v>#REF!</v>
      </c>
      <c r="E22" s="160" t="e">
        <f t="shared" si="0"/>
        <v>#REF!</v>
      </c>
      <c r="F22" s="160" t="e">
        <f t="shared" si="1"/>
        <v>#REF!</v>
      </c>
      <c r="G22" s="160" t="e">
        <f t="shared" si="2"/>
        <v>#REF!</v>
      </c>
    </row>
    <row r="23" spans="1:9" ht="28.8" x14ac:dyDescent="0.3">
      <c r="A23" s="53" t="s">
        <v>319</v>
      </c>
      <c r="B23" s="54" t="s">
        <v>320</v>
      </c>
      <c r="C23" s="280" t="e">
        <f t="shared" si="3"/>
        <v>#REF!</v>
      </c>
      <c r="D23" s="160" t="e">
        <f t="shared" si="4"/>
        <v>#REF!</v>
      </c>
      <c r="E23" s="160" t="e">
        <f t="shared" ref="E23:E25" si="5">C23*D23</f>
        <v>#REF!</v>
      </c>
      <c r="F23" s="160" t="e">
        <f t="shared" ref="F23:F25" si="6">E23*3</f>
        <v>#REF!</v>
      </c>
      <c r="G23" s="160" t="e">
        <f t="shared" ref="G23:G25" si="7">E23*12</f>
        <v>#REF!</v>
      </c>
    </row>
    <row r="24" spans="1:9" ht="56.25" customHeight="1" x14ac:dyDescent="0.3">
      <c r="A24" s="53" t="s">
        <v>321</v>
      </c>
      <c r="B24" s="53" t="s">
        <v>315</v>
      </c>
      <c r="C24" s="280" t="e">
        <f t="shared" si="3"/>
        <v>#REF!</v>
      </c>
      <c r="D24" s="281" t="e">
        <f t="shared" si="4"/>
        <v>#REF!</v>
      </c>
      <c r="E24" s="281" t="e">
        <f t="shared" si="5"/>
        <v>#REF!</v>
      </c>
      <c r="F24" s="281" t="e">
        <f t="shared" si="6"/>
        <v>#REF!</v>
      </c>
      <c r="G24" s="281" t="e">
        <f t="shared" si="7"/>
        <v>#REF!</v>
      </c>
    </row>
    <row r="25" spans="1:9" ht="56.25" customHeight="1" x14ac:dyDescent="0.3">
      <c r="A25" s="53" t="s">
        <v>322</v>
      </c>
      <c r="B25" s="53" t="s">
        <v>315</v>
      </c>
      <c r="C25" s="280" t="e">
        <f t="shared" si="3"/>
        <v>#REF!</v>
      </c>
      <c r="D25" s="281" t="e">
        <f t="shared" si="4"/>
        <v>#REF!</v>
      </c>
      <c r="E25" s="281" t="e">
        <f t="shared" si="5"/>
        <v>#REF!</v>
      </c>
      <c r="F25" s="281" t="e">
        <f t="shared" si="6"/>
        <v>#REF!</v>
      </c>
      <c r="G25" s="281" t="e">
        <f t="shared" si="7"/>
        <v>#REF!</v>
      </c>
    </row>
    <row r="27" spans="1:9" x14ac:dyDescent="0.3">
      <c r="F27" s="72" t="e">
        <f>SUM(F4:F26)</f>
        <v>#REF!</v>
      </c>
      <c r="G27" t="e">
        <f>SUM(G4:G26)</f>
        <v>#REF!</v>
      </c>
      <c r="I27" s="72"/>
    </row>
  </sheetData>
  <pageMargins left="0.7" right="0.7" top="0.75" bottom="0.75" header="0.3" footer="0.3"/>
  <pageSetup paperSize="9" firstPageNumber="2147483648"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J27"/>
  <sheetViews>
    <sheetView zoomScale="70" workbookViewId="0">
      <pane xSplit="1" topLeftCell="B1" activePane="topRight" state="frozen"/>
      <selection pane="topRight"/>
    </sheetView>
  </sheetViews>
  <sheetFormatPr defaultRowHeight="14.4" x14ac:dyDescent="0.3"/>
  <cols>
    <col min="1" max="1" width="26.5546875" style="53" customWidth="1"/>
    <col min="2" max="2" width="11.88671875" style="54" customWidth="1"/>
    <col min="3" max="3" width="13" style="55" customWidth="1"/>
    <col min="4" max="6" width="12.88671875" style="72" customWidth="1"/>
    <col min="7" max="7" width="10.109375" bestFit="1" customWidth="1"/>
  </cols>
  <sheetData>
    <row r="1" spans="1:10" x14ac:dyDescent="0.3">
      <c r="A1" s="93"/>
      <c r="B1" s="93"/>
      <c r="C1" s="93"/>
      <c r="D1" s="273"/>
      <c r="E1" s="273"/>
      <c r="F1" s="273"/>
      <c r="G1" s="274"/>
      <c r="H1" s="274"/>
      <c r="I1" s="274"/>
      <c r="J1" s="274"/>
    </row>
    <row r="2" spans="1:10" ht="30" customHeight="1" x14ac:dyDescent="0.3">
      <c r="A2" s="93"/>
      <c r="B2" s="93"/>
      <c r="C2" s="93"/>
      <c r="D2" s="275">
        <v>0.3</v>
      </c>
      <c r="E2" s="275"/>
      <c r="F2" s="275"/>
      <c r="G2" s="276"/>
      <c r="H2" s="276"/>
      <c r="I2" s="276"/>
      <c r="J2" s="276"/>
    </row>
    <row r="3" spans="1:10" s="63" customFormat="1" ht="55.2" x14ac:dyDescent="0.3">
      <c r="A3" s="184" t="s">
        <v>61</v>
      </c>
      <c r="B3" s="277" t="s">
        <v>37</v>
      </c>
      <c r="C3" s="213" t="s">
        <v>287</v>
      </c>
      <c r="D3" s="278" t="s">
        <v>288</v>
      </c>
      <c r="E3" s="278" t="s">
        <v>289</v>
      </c>
      <c r="F3" s="278" t="s">
        <v>290</v>
      </c>
      <c r="G3" s="278" t="s">
        <v>291</v>
      </c>
    </row>
    <row r="4" spans="1:10" x14ac:dyDescent="0.3">
      <c r="A4" s="184" t="s">
        <v>292</v>
      </c>
      <c r="B4" s="277" t="s">
        <v>293</v>
      </c>
      <c r="C4" s="280">
        <f>'объем работ 100% загр'!L4</f>
        <v>2.7031663344043087E-2</v>
      </c>
      <c r="D4" s="160">
        <f>'объем работ 100% загр'!S4</f>
        <v>520000</v>
      </c>
      <c r="E4" s="160">
        <f t="shared" ref="E4:E22" si="0">C4*D4</f>
        <v>14056.464938902405</v>
      </c>
      <c r="F4" s="160">
        <f t="shared" ref="F4:F22" si="1">E4*3</f>
        <v>42169.394816707216</v>
      </c>
      <c r="G4" s="160">
        <f t="shared" ref="G4:G22" si="2">E4*12</f>
        <v>168677.57926682886</v>
      </c>
    </row>
    <row r="5" spans="1:10" ht="124.2" x14ac:dyDescent="0.3">
      <c r="A5" s="184" t="s">
        <v>294</v>
      </c>
      <c r="B5" s="277" t="s">
        <v>295</v>
      </c>
      <c r="C5" s="280">
        <f>'объем работ 100% загр'!L5</f>
        <v>0</v>
      </c>
      <c r="D5" s="160">
        <f>'объем работ 100% загр'!S5</f>
        <v>0</v>
      </c>
      <c r="E5" s="160">
        <f t="shared" si="0"/>
        <v>0</v>
      </c>
      <c r="F5" s="160">
        <f t="shared" si="1"/>
        <v>0</v>
      </c>
      <c r="G5" s="160">
        <f t="shared" si="2"/>
        <v>0</v>
      </c>
    </row>
    <row r="6" spans="1:10" ht="123.75" customHeight="1" x14ac:dyDescent="0.3">
      <c r="A6" s="184" t="s">
        <v>296</v>
      </c>
      <c r="B6" s="277" t="s">
        <v>295</v>
      </c>
      <c r="C6" s="280">
        <f>'объем работ 100% загр'!L6</f>
        <v>0</v>
      </c>
      <c r="D6" s="160">
        <f>'объем работ 100% загр'!S6</f>
        <v>0</v>
      </c>
      <c r="E6" s="160">
        <f t="shared" si="0"/>
        <v>0</v>
      </c>
      <c r="F6" s="160">
        <f t="shared" si="1"/>
        <v>0</v>
      </c>
      <c r="G6" s="160">
        <f t="shared" si="2"/>
        <v>0</v>
      </c>
    </row>
    <row r="7" spans="1:10" ht="55.2" x14ac:dyDescent="0.3">
      <c r="A7" s="184" t="s">
        <v>297</v>
      </c>
      <c r="B7" s="277" t="s">
        <v>298</v>
      </c>
      <c r="C7" s="280" t="e">
        <f t="shared" ref="C7:C25" si="3">'объем работ 100% загр'!#REF!</f>
        <v>#REF!</v>
      </c>
      <c r="D7" s="160" t="e">
        <f t="shared" ref="D7:D25" si="4">'объем работ 100% загр'!#REF!</f>
        <v>#REF!</v>
      </c>
      <c r="E7" s="160" t="e">
        <f t="shared" si="0"/>
        <v>#REF!</v>
      </c>
      <c r="F7" s="160" t="e">
        <f t="shared" si="1"/>
        <v>#REF!</v>
      </c>
      <c r="G7" s="160" t="e">
        <f t="shared" si="2"/>
        <v>#REF!</v>
      </c>
    </row>
    <row r="8" spans="1:10" ht="27.6" x14ac:dyDescent="0.3">
      <c r="A8" s="184" t="s">
        <v>299</v>
      </c>
      <c r="B8" s="277" t="s">
        <v>300</v>
      </c>
      <c r="C8" s="280" t="e">
        <f t="shared" si="3"/>
        <v>#REF!</v>
      </c>
      <c r="D8" s="160" t="e">
        <f t="shared" si="4"/>
        <v>#REF!</v>
      </c>
      <c r="E8" s="160" t="e">
        <f t="shared" si="0"/>
        <v>#REF!</v>
      </c>
      <c r="F8" s="160" t="e">
        <f t="shared" si="1"/>
        <v>#REF!</v>
      </c>
      <c r="G8" s="160" t="e">
        <f t="shared" si="2"/>
        <v>#REF!</v>
      </c>
    </row>
    <row r="9" spans="1:10" ht="27.6" x14ac:dyDescent="0.3">
      <c r="A9" s="184" t="s">
        <v>301</v>
      </c>
      <c r="B9" s="277" t="s">
        <v>302</v>
      </c>
      <c r="C9" s="280" t="e">
        <f t="shared" si="3"/>
        <v>#REF!</v>
      </c>
      <c r="D9" s="160" t="e">
        <f t="shared" si="4"/>
        <v>#REF!</v>
      </c>
      <c r="E9" s="160" t="e">
        <f t="shared" si="0"/>
        <v>#REF!</v>
      </c>
      <c r="F9" s="160" t="e">
        <f t="shared" si="1"/>
        <v>#REF!</v>
      </c>
      <c r="G9" s="160" t="e">
        <f t="shared" si="2"/>
        <v>#REF!</v>
      </c>
    </row>
    <row r="10" spans="1:10" ht="69" x14ac:dyDescent="0.3">
      <c r="A10" s="184" t="s">
        <v>303</v>
      </c>
      <c r="B10" s="277" t="s">
        <v>304</v>
      </c>
      <c r="C10" s="280" t="e">
        <f t="shared" si="3"/>
        <v>#REF!</v>
      </c>
      <c r="D10" s="160" t="e">
        <f t="shared" si="4"/>
        <v>#REF!</v>
      </c>
      <c r="E10" s="160" t="e">
        <f t="shared" si="0"/>
        <v>#REF!</v>
      </c>
      <c r="F10" s="160" t="e">
        <f t="shared" si="1"/>
        <v>#REF!</v>
      </c>
      <c r="G10" s="160" t="e">
        <f t="shared" si="2"/>
        <v>#REF!</v>
      </c>
    </row>
    <row r="11" spans="1:10" ht="69" x14ac:dyDescent="0.3">
      <c r="A11" s="184" t="s">
        <v>305</v>
      </c>
      <c r="B11" s="277" t="s">
        <v>306</v>
      </c>
      <c r="C11" s="280" t="e">
        <f t="shared" si="3"/>
        <v>#REF!</v>
      </c>
      <c r="D11" s="160" t="e">
        <f t="shared" si="4"/>
        <v>#REF!</v>
      </c>
      <c r="E11" s="160" t="e">
        <f t="shared" si="0"/>
        <v>#REF!</v>
      </c>
      <c r="F11" s="160" t="e">
        <f t="shared" si="1"/>
        <v>#REF!</v>
      </c>
      <c r="G11" s="160" t="e">
        <f t="shared" si="2"/>
        <v>#REF!</v>
      </c>
    </row>
    <row r="12" spans="1:10" ht="72" x14ac:dyDescent="0.3">
      <c r="A12" s="53" t="s">
        <v>307</v>
      </c>
      <c r="B12" s="277" t="s">
        <v>304</v>
      </c>
      <c r="C12" s="280" t="e">
        <f t="shared" si="3"/>
        <v>#REF!</v>
      </c>
      <c r="D12" s="160" t="e">
        <f t="shared" si="4"/>
        <v>#REF!</v>
      </c>
      <c r="E12" s="160" t="e">
        <f t="shared" si="0"/>
        <v>#REF!</v>
      </c>
      <c r="F12" s="160" t="e">
        <f t="shared" si="1"/>
        <v>#REF!</v>
      </c>
      <c r="G12" s="160" t="e">
        <f t="shared" si="2"/>
        <v>#REF!</v>
      </c>
    </row>
    <row r="13" spans="1:10" ht="72" x14ac:dyDescent="0.3">
      <c r="A13" s="53" t="s">
        <v>308</v>
      </c>
      <c r="B13" s="277" t="s">
        <v>306</v>
      </c>
      <c r="C13" s="280" t="e">
        <f t="shared" si="3"/>
        <v>#REF!</v>
      </c>
      <c r="D13" s="160" t="e">
        <f t="shared" si="4"/>
        <v>#REF!</v>
      </c>
      <c r="E13" s="160" t="e">
        <f t="shared" si="0"/>
        <v>#REF!</v>
      </c>
      <c r="F13" s="160" t="e">
        <f t="shared" si="1"/>
        <v>#REF!</v>
      </c>
      <c r="G13" s="160" t="e">
        <f t="shared" si="2"/>
        <v>#REF!</v>
      </c>
    </row>
    <row r="14" spans="1:10" ht="86.4" x14ac:dyDescent="0.3">
      <c r="A14" s="53" t="s">
        <v>309</v>
      </c>
      <c r="B14" s="277" t="s">
        <v>304</v>
      </c>
      <c r="C14" s="280" t="e">
        <f t="shared" si="3"/>
        <v>#REF!</v>
      </c>
      <c r="D14" s="160" t="e">
        <f t="shared" si="4"/>
        <v>#REF!</v>
      </c>
      <c r="E14" s="160" t="e">
        <f t="shared" si="0"/>
        <v>#REF!</v>
      </c>
      <c r="F14" s="160" t="e">
        <f t="shared" si="1"/>
        <v>#REF!</v>
      </c>
      <c r="G14" s="160" t="e">
        <f t="shared" si="2"/>
        <v>#REF!</v>
      </c>
    </row>
    <row r="15" spans="1:10" ht="86.4" x14ac:dyDescent="0.3">
      <c r="A15" s="53" t="s">
        <v>310</v>
      </c>
      <c r="B15" s="277" t="s">
        <v>306</v>
      </c>
      <c r="C15" s="280" t="e">
        <f t="shared" si="3"/>
        <v>#REF!</v>
      </c>
      <c r="D15" s="160" t="e">
        <f t="shared" si="4"/>
        <v>#REF!</v>
      </c>
      <c r="E15" s="160" t="e">
        <f t="shared" si="0"/>
        <v>#REF!</v>
      </c>
      <c r="F15" s="160" t="e">
        <f t="shared" si="1"/>
        <v>#REF!</v>
      </c>
      <c r="G15" s="160" t="e">
        <f t="shared" si="2"/>
        <v>#REF!</v>
      </c>
    </row>
    <row r="16" spans="1:10" ht="72" x14ac:dyDescent="0.3">
      <c r="A16" s="53" t="s">
        <v>311</v>
      </c>
      <c r="B16" s="277" t="s">
        <v>304</v>
      </c>
      <c r="C16" s="280" t="e">
        <f t="shared" si="3"/>
        <v>#REF!</v>
      </c>
      <c r="D16" s="160" t="e">
        <f t="shared" si="4"/>
        <v>#REF!</v>
      </c>
      <c r="E16" s="160" t="e">
        <f t="shared" si="0"/>
        <v>#REF!</v>
      </c>
      <c r="F16" s="160" t="e">
        <f t="shared" si="1"/>
        <v>#REF!</v>
      </c>
      <c r="G16" s="160" t="e">
        <f t="shared" si="2"/>
        <v>#REF!</v>
      </c>
    </row>
    <row r="17" spans="1:9" ht="72" x14ac:dyDescent="0.3">
      <c r="A17" s="53" t="s">
        <v>312</v>
      </c>
      <c r="B17" s="277" t="s">
        <v>306</v>
      </c>
      <c r="C17" s="280" t="e">
        <f t="shared" si="3"/>
        <v>#REF!</v>
      </c>
      <c r="D17" s="160" t="e">
        <f t="shared" si="4"/>
        <v>#REF!</v>
      </c>
      <c r="E17" s="160" t="e">
        <f t="shared" si="0"/>
        <v>#REF!</v>
      </c>
      <c r="F17" s="160" t="e">
        <f t="shared" si="1"/>
        <v>#REF!</v>
      </c>
      <c r="G17" s="160" t="e">
        <f t="shared" si="2"/>
        <v>#REF!</v>
      </c>
    </row>
    <row r="18" spans="1:9" ht="27.6" x14ac:dyDescent="0.3">
      <c r="A18" s="53" t="s">
        <v>313</v>
      </c>
      <c r="B18" s="277" t="s">
        <v>304</v>
      </c>
      <c r="C18" s="280" t="e">
        <f t="shared" si="3"/>
        <v>#REF!</v>
      </c>
      <c r="D18" s="160" t="e">
        <f t="shared" si="4"/>
        <v>#REF!</v>
      </c>
      <c r="E18" s="160" t="e">
        <f t="shared" si="0"/>
        <v>#REF!</v>
      </c>
      <c r="F18" s="160" t="e">
        <f t="shared" si="1"/>
        <v>#REF!</v>
      </c>
      <c r="G18" s="160" t="e">
        <f t="shared" si="2"/>
        <v>#REF!</v>
      </c>
    </row>
    <row r="19" spans="1:9" ht="72" x14ac:dyDescent="0.3">
      <c r="A19" s="53" t="s">
        <v>314</v>
      </c>
      <c r="B19" s="277" t="s">
        <v>315</v>
      </c>
      <c r="C19" s="280" t="e">
        <f t="shared" si="3"/>
        <v>#REF!</v>
      </c>
      <c r="D19" s="160" t="e">
        <f t="shared" si="4"/>
        <v>#REF!</v>
      </c>
      <c r="E19" s="160" t="e">
        <f t="shared" si="0"/>
        <v>#REF!</v>
      </c>
      <c r="F19" s="160" t="e">
        <f t="shared" si="1"/>
        <v>#REF!</v>
      </c>
      <c r="G19" s="160" t="e">
        <f t="shared" si="2"/>
        <v>#REF!</v>
      </c>
    </row>
    <row r="20" spans="1:9" ht="72" x14ac:dyDescent="0.3">
      <c r="A20" s="53" t="s">
        <v>316</v>
      </c>
      <c r="B20" s="277" t="s">
        <v>315</v>
      </c>
      <c r="C20" s="280" t="e">
        <f t="shared" si="3"/>
        <v>#REF!</v>
      </c>
      <c r="D20" s="160" t="e">
        <f t="shared" si="4"/>
        <v>#REF!</v>
      </c>
      <c r="E20" s="160" t="e">
        <f t="shared" si="0"/>
        <v>#REF!</v>
      </c>
      <c r="F20" s="160" t="e">
        <f t="shared" si="1"/>
        <v>#REF!</v>
      </c>
      <c r="G20" s="160" t="e">
        <f t="shared" si="2"/>
        <v>#REF!</v>
      </c>
    </row>
    <row r="21" spans="1:9" x14ac:dyDescent="0.3">
      <c r="A21" s="53" t="s">
        <v>317</v>
      </c>
      <c r="B21" s="54" t="s">
        <v>315</v>
      </c>
      <c r="C21" s="280" t="e">
        <f t="shared" si="3"/>
        <v>#REF!</v>
      </c>
      <c r="D21" s="160" t="e">
        <f t="shared" si="4"/>
        <v>#REF!</v>
      </c>
      <c r="E21" s="160" t="e">
        <f t="shared" si="0"/>
        <v>#REF!</v>
      </c>
      <c r="F21" s="160" t="e">
        <f t="shared" si="1"/>
        <v>#REF!</v>
      </c>
      <c r="G21" s="160" t="e">
        <f t="shared" si="2"/>
        <v>#REF!</v>
      </c>
    </row>
    <row r="22" spans="1:9" ht="28.8" x14ac:dyDescent="0.3">
      <c r="A22" s="53" t="s">
        <v>318</v>
      </c>
      <c r="B22" s="54" t="s">
        <v>315</v>
      </c>
      <c r="C22" s="280" t="e">
        <f t="shared" si="3"/>
        <v>#REF!</v>
      </c>
      <c r="D22" s="160" t="e">
        <f t="shared" si="4"/>
        <v>#REF!</v>
      </c>
      <c r="E22" s="160" t="e">
        <f t="shared" si="0"/>
        <v>#REF!</v>
      </c>
      <c r="F22" s="160" t="e">
        <f t="shared" si="1"/>
        <v>#REF!</v>
      </c>
      <c r="G22" s="160" t="e">
        <f t="shared" si="2"/>
        <v>#REF!</v>
      </c>
    </row>
    <row r="23" spans="1:9" ht="28.8" x14ac:dyDescent="0.3">
      <c r="A23" s="53" t="s">
        <v>319</v>
      </c>
      <c r="B23" s="54" t="s">
        <v>320</v>
      </c>
      <c r="C23" s="280" t="e">
        <f t="shared" si="3"/>
        <v>#REF!</v>
      </c>
      <c r="D23" s="160" t="e">
        <f t="shared" si="4"/>
        <v>#REF!</v>
      </c>
      <c r="E23" s="160" t="e">
        <f t="shared" ref="E23:E25" si="5">C23*D23</f>
        <v>#REF!</v>
      </c>
      <c r="F23" s="160" t="e">
        <f t="shared" ref="F23:F25" si="6">E23*3</f>
        <v>#REF!</v>
      </c>
      <c r="G23" s="160" t="e">
        <f t="shared" ref="G23:G25" si="7">E23*12</f>
        <v>#REF!</v>
      </c>
    </row>
    <row r="24" spans="1:9" ht="56.25" customHeight="1" x14ac:dyDescent="0.3">
      <c r="A24" s="53" t="s">
        <v>321</v>
      </c>
      <c r="B24" s="53" t="s">
        <v>315</v>
      </c>
      <c r="C24" s="280" t="e">
        <f t="shared" si="3"/>
        <v>#REF!</v>
      </c>
      <c r="D24" s="281" t="e">
        <f t="shared" si="4"/>
        <v>#REF!</v>
      </c>
      <c r="E24" s="281" t="e">
        <f t="shared" si="5"/>
        <v>#REF!</v>
      </c>
      <c r="F24" s="281" t="e">
        <f t="shared" si="6"/>
        <v>#REF!</v>
      </c>
      <c r="G24" s="281" t="e">
        <f t="shared" si="7"/>
        <v>#REF!</v>
      </c>
    </row>
    <row r="25" spans="1:9" ht="56.25" customHeight="1" x14ac:dyDescent="0.3">
      <c r="A25" s="53" t="s">
        <v>322</v>
      </c>
      <c r="B25" s="53" t="s">
        <v>315</v>
      </c>
      <c r="C25" s="280" t="e">
        <f t="shared" si="3"/>
        <v>#REF!</v>
      </c>
      <c r="D25" s="281" t="e">
        <f t="shared" si="4"/>
        <v>#REF!</v>
      </c>
      <c r="E25" s="281" t="e">
        <f t="shared" si="5"/>
        <v>#REF!</v>
      </c>
      <c r="F25" s="281" t="e">
        <f t="shared" si="6"/>
        <v>#REF!</v>
      </c>
      <c r="G25" s="281" t="e">
        <f t="shared" si="7"/>
        <v>#REF!</v>
      </c>
    </row>
    <row r="27" spans="1:9" x14ac:dyDescent="0.3">
      <c r="F27" s="72" t="e">
        <f>SUM(F4:F26)</f>
        <v>#REF!</v>
      </c>
      <c r="G27" t="e">
        <f>SUM(G4:G26)</f>
        <v>#REF!</v>
      </c>
      <c r="I27" s="72"/>
    </row>
  </sheetData>
  <pageMargins left="0.7" right="0.7" top="0.75" bottom="0.75" header="0.3" footer="0.3"/>
  <pageSetup paperSize="9" firstPageNumber="2147483648"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J27"/>
  <sheetViews>
    <sheetView zoomScale="70" workbookViewId="0">
      <pane xSplit="1" topLeftCell="B1" activePane="topRight" state="frozen"/>
      <selection pane="topRight"/>
    </sheetView>
  </sheetViews>
  <sheetFormatPr defaultRowHeight="14.4" x14ac:dyDescent="0.3"/>
  <cols>
    <col min="1" max="1" width="26.5546875" style="53" customWidth="1"/>
    <col min="2" max="2" width="11.88671875" style="54" customWidth="1"/>
    <col min="3" max="3" width="13" style="55" customWidth="1"/>
    <col min="4" max="6" width="12.88671875" style="72" customWidth="1"/>
    <col min="7" max="7" width="10.109375" bestFit="1" customWidth="1"/>
  </cols>
  <sheetData>
    <row r="1" spans="1:10" x14ac:dyDescent="0.3">
      <c r="A1" s="93"/>
      <c r="B1" s="93"/>
      <c r="C1" s="93"/>
      <c r="D1" s="273"/>
      <c r="E1" s="273"/>
      <c r="F1" s="273"/>
      <c r="G1" s="274"/>
      <c r="H1" s="274"/>
      <c r="I1" s="274"/>
      <c r="J1" s="274"/>
    </row>
    <row r="2" spans="1:10" ht="30" customHeight="1" x14ac:dyDescent="0.3">
      <c r="A2" s="93"/>
      <c r="B2" s="93"/>
      <c r="C2" s="93"/>
      <c r="D2" s="275">
        <v>0.3</v>
      </c>
      <c r="E2" s="275"/>
      <c r="F2" s="275"/>
      <c r="G2" s="276"/>
      <c r="H2" s="276"/>
      <c r="I2" s="276"/>
      <c r="J2" s="276"/>
    </row>
    <row r="3" spans="1:10" s="63" customFormat="1" ht="55.2" x14ac:dyDescent="0.3">
      <c r="A3" s="184" t="s">
        <v>61</v>
      </c>
      <c r="B3" s="277" t="s">
        <v>37</v>
      </c>
      <c r="C3" s="213" t="s">
        <v>287</v>
      </c>
      <c r="D3" s="278" t="s">
        <v>288</v>
      </c>
      <c r="E3" s="278" t="s">
        <v>289</v>
      </c>
      <c r="F3" s="278" t="s">
        <v>290</v>
      </c>
      <c r="G3" s="278" t="s">
        <v>291</v>
      </c>
    </row>
    <row r="4" spans="1:10" x14ac:dyDescent="0.3">
      <c r="A4" s="184" t="s">
        <v>292</v>
      </c>
      <c r="B4" s="277" t="s">
        <v>293</v>
      </c>
      <c r="C4" s="280" t="e">
        <f t="shared" ref="C4:C25" si="0">'объем работ 100% загр'!#REF!</f>
        <v>#REF!</v>
      </c>
      <c r="D4" s="160">
        <f>'объем работ 100% загр'!S4</f>
        <v>520000</v>
      </c>
      <c r="E4" s="160" t="e">
        <f t="shared" ref="E4:E22" si="1">C4*D4</f>
        <v>#REF!</v>
      </c>
      <c r="F4" s="160" t="e">
        <f t="shared" ref="F4:F22" si="2">E4*3</f>
        <v>#REF!</v>
      </c>
      <c r="G4" s="160" t="e">
        <f t="shared" ref="G4:G22" si="3">E4*12</f>
        <v>#REF!</v>
      </c>
    </row>
    <row r="5" spans="1:10" ht="124.2" x14ac:dyDescent="0.3">
      <c r="A5" s="184" t="s">
        <v>294</v>
      </c>
      <c r="B5" s="277" t="s">
        <v>295</v>
      </c>
      <c r="C5" s="280" t="e">
        <f t="shared" si="0"/>
        <v>#REF!</v>
      </c>
      <c r="D5" s="160">
        <f>'объем работ 100% загр'!S5</f>
        <v>0</v>
      </c>
      <c r="E5" s="160" t="e">
        <f t="shared" si="1"/>
        <v>#REF!</v>
      </c>
      <c r="F5" s="160" t="e">
        <f t="shared" si="2"/>
        <v>#REF!</v>
      </c>
      <c r="G5" s="160" t="e">
        <f t="shared" si="3"/>
        <v>#REF!</v>
      </c>
    </row>
    <row r="6" spans="1:10" ht="123.75" customHeight="1" x14ac:dyDescent="0.3">
      <c r="A6" s="184" t="s">
        <v>296</v>
      </c>
      <c r="B6" s="277" t="s">
        <v>295</v>
      </c>
      <c r="C6" s="280" t="e">
        <f t="shared" si="0"/>
        <v>#REF!</v>
      </c>
      <c r="D6" s="160">
        <f>'объем работ 100% загр'!S6</f>
        <v>0</v>
      </c>
      <c r="E6" s="160" t="e">
        <f t="shared" si="1"/>
        <v>#REF!</v>
      </c>
      <c r="F6" s="160" t="e">
        <f t="shared" si="2"/>
        <v>#REF!</v>
      </c>
      <c r="G6" s="160" t="e">
        <f t="shared" si="3"/>
        <v>#REF!</v>
      </c>
    </row>
    <row r="7" spans="1:10" ht="55.2" x14ac:dyDescent="0.3">
      <c r="A7" s="184" t="s">
        <v>297</v>
      </c>
      <c r="B7" s="277" t="s">
        <v>298</v>
      </c>
      <c r="C7" s="280" t="e">
        <f t="shared" si="0"/>
        <v>#REF!</v>
      </c>
      <c r="D7" s="160" t="e">
        <f t="shared" ref="D7:D25" si="4">'объем работ 100% загр'!#REF!</f>
        <v>#REF!</v>
      </c>
      <c r="E7" s="160" t="e">
        <f t="shared" si="1"/>
        <v>#REF!</v>
      </c>
      <c r="F7" s="160" t="e">
        <f t="shared" si="2"/>
        <v>#REF!</v>
      </c>
      <c r="G7" s="160" t="e">
        <f t="shared" si="3"/>
        <v>#REF!</v>
      </c>
    </row>
    <row r="8" spans="1:10" ht="27.6" x14ac:dyDescent="0.3">
      <c r="A8" s="184" t="s">
        <v>299</v>
      </c>
      <c r="B8" s="277" t="s">
        <v>300</v>
      </c>
      <c r="C8" s="280" t="e">
        <f t="shared" si="0"/>
        <v>#REF!</v>
      </c>
      <c r="D8" s="160" t="e">
        <f t="shared" si="4"/>
        <v>#REF!</v>
      </c>
      <c r="E8" s="160" t="e">
        <f t="shared" si="1"/>
        <v>#REF!</v>
      </c>
      <c r="F8" s="160" t="e">
        <f t="shared" si="2"/>
        <v>#REF!</v>
      </c>
      <c r="G8" s="160" t="e">
        <f t="shared" si="3"/>
        <v>#REF!</v>
      </c>
    </row>
    <row r="9" spans="1:10" ht="27.6" x14ac:dyDescent="0.3">
      <c r="A9" s="184" t="s">
        <v>301</v>
      </c>
      <c r="B9" s="277" t="s">
        <v>302</v>
      </c>
      <c r="C9" s="280" t="e">
        <f t="shared" si="0"/>
        <v>#REF!</v>
      </c>
      <c r="D9" s="160" t="e">
        <f t="shared" si="4"/>
        <v>#REF!</v>
      </c>
      <c r="E9" s="160" t="e">
        <f t="shared" si="1"/>
        <v>#REF!</v>
      </c>
      <c r="F9" s="160" t="e">
        <f t="shared" si="2"/>
        <v>#REF!</v>
      </c>
      <c r="G9" s="160" t="e">
        <f t="shared" si="3"/>
        <v>#REF!</v>
      </c>
    </row>
    <row r="10" spans="1:10" ht="69" x14ac:dyDescent="0.3">
      <c r="A10" s="184" t="s">
        <v>303</v>
      </c>
      <c r="B10" s="277" t="s">
        <v>304</v>
      </c>
      <c r="C10" s="280" t="e">
        <f t="shared" si="0"/>
        <v>#REF!</v>
      </c>
      <c r="D10" s="160" t="e">
        <f t="shared" si="4"/>
        <v>#REF!</v>
      </c>
      <c r="E10" s="160" t="e">
        <f t="shared" si="1"/>
        <v>#REF!</v>
      </c>
      <c r="F10" s="160" t="e">
        <f t="shared" si="2"/>
        <v>#REF!</v>
      </c>
      <c r="G10" s="160" t="e">
        <f t="shared" si="3"/>
        <v>#REF!</v>
      </c>
    </row>
    <row r="11" spans="1:10" ht="69" x14ac:dyDescent="0.3">
      <c r="A11" s="184" t="s">
        <v>305</v>
      </c>
      <c r="B11" s="277" t="s">
        <v>306</v>
      </c>
      <c r="C11" s="280" t="e">
        <f t="shared" si="0"/>
        <v>#REF!</v>
      </c>
      <c r="D11" s="160" t="e">
        <f t="shared" si="4"/>
        <v>#REF!</v>
      </c>
      <c r="E11" s="160" t="e">
        <f t="shared" si="1"/>
        <v>#REF!</v>
      </c>
      <c r="F11" s="160" t="e">
        <f t="shared" si="2"/>
        <v>#REF!</v>
      </c>
      <c r="G11" s="160" t="e">
        <f t="shared" si="3"/>
        <v>#REF!</v>
      </c>
    </row>
    <row r="12" spans="1:10" ht="72" x14ac:dyDescent="0.3">
      <c r="A12" s="53" t="s">
        <v>307</v>
      </c>
      <c r="B12" s="277" t="s">
        <v>304</v>
      </c>
      <c r="C12" s="280" t="e">
        <f t="shared" si="0"/>
        <v>#REF!</v>
      </c>
      <c r="D12" s="160" t="e">
        <f t="shared" si="4"/>
        <v>#REF!</v>
      </c>
      <c r="E12" s="160" t="e">
        <f t="shared" si="1"/>
        <v>#REF!</v>
      </c>
      <c r="F12" s="160" t="e">
        <f t="shared" si="2"/>
        <v>#REF!</v>
      </c>
      <c r="G12" s="160" t="e">
        <f t="shared" si="3"/>
        <v>#REF!</v>
      </c>
    </row>
    <row r="13" spans="1:10" ht="72" x14ac:dyDescent="0.3">
      <c r="A13" s="53" t="s">
        <v>308</v>
      </c>
      <c r="B13" s="277" t="s">
        <v>306</v>
      </c>
      <c r="C13" s="280" t="e">
        <f t="shared" si="0"/>
        <v>#REF!</v>
      </c>
      <c r="D13" s="160" t="e">
        <f t="shared" si="4"/>
        <v>#REF!</v>
      </c>
      <c r="E13" s="160" t="e">
        <f t="shared" si="1"/>
        <v>#REF!</v>
      </c>
      <c r="F13" s="160" t="e">
        <f t="shared" si="2"/>
        <v>#REF!</v>
      </c>
      <c r="G13" s="160" t="e">
        <f t="shared" si="3"/>
        <v>#REF!</v>
      </c>
    </row>
    <row r="14" spans="1:10" ht="86.4" x14ac:dyDescent="0.3">
      <c r="A14" s="53" t="s">
        <v>309</v>
      </c>
      <c r="B14" s="277" t="s">
        <v>304</v>
      </c>
      <c r="C14" s="280" t="e">
        <f t="shared" si="0"/>
        <v>#REF!</v>
      </c>
      <c r="D14" s="160" t="e">
        <f t="shared" si="4"/>
        <v>#REF!</v>
      </c>
      <c r="E14" s="160" t="e">
        <f t="shared" si="1"/>
        <v>#REF!</v>
      </c>
      <c r="F14" s="160" t="e">
        <f t="shared" si="2"/>
        <v>#REF!</v>
      </c>
      <c r="G14" s="160" t="e">
        <f t="shared" si="3"/>
        <v>#REF!</v>
      </c>
    </row>
    <row r="15" spans="1:10" ht="86.4" x14ac:dyDescent="0.3">
      <c r="A15" s="53" t="s">
        <v>310</v>
      </c>
      <c r="B15" s="277" t="s">
        <v>306</v>
      </c>
      <c r="C15" s="280" t="e">
        <f t="shared" si="0"/>
        <v>#REF!</v>
      </c>
      <c r="D15" s="160" t="e">
        <f t="shared" si="4"/>
        <v>#REF!</v>
      </c>
      <c r="E15" s="160" t="e">
        <f t="shared" si="1"/>
        <v>#REF!</v>
      </c>
      <c r="F15" s="160" t="e">
        <f t="shared" si="2"/>
        <v>#REF!</v>
      </c>
      <c r="G15" s="160" t="e">
        <f t="shared" si="3"/>
        <v>#REF!</v>
      </c>
    </row>
    <row r="16" spans="1:10" ht="72" x14ac:dyDescent="0.3">
      <c r="A16" s="53" t="s">
        <v>311</v>
      </c>
      <c r="B16" s="277" t="s">
        <v>304</v>
      </c>
      <c r="C16" s="280" t="e">
        <f t="shared" si="0"/>
        <v>#REF!</v>
      </c>
      <c r="D16" s="160" t="e">
        <f t="shared" si="4"/>
        <v>#REF!</v>
      </c>
      <c r="E16" s="160" t="e">
        <f t="shared" si="1"/>
        <v>#REF!</v>
      </c>
      <c r="F16" s="160" t="e">
        <f t="shared" si="2"/>
        <v>#REF!</v>
      </c>
      <c r="G16" s="160" t="e">
        <f t="shared" si="3"/>
        <v>#REF!</v>
      </c>
    </row>
    <row r="17" spans="1:9" ht="72" x14ac:dyDescent="0.3">
      <c r="A17" s="53" t="s">
        <v>312</v>
      </c>
      <c r="B17" s="277" t="s">
        <v>306</v>
      </c>
      <c r="C17" s="280" t="e">
        <f t="shared" si="0"/>
        <v>#REF!</v>
      </c>
      <c r="D17" s="160" t="e">
        <f t="shared" si="4"/>
        <v>#REF!</v>
      </c>
      <c r="E17" s="160" t="e">
        <f t="shared" si="1"/>
        <v>#REF!</v>
      </c>
      <c r="F17" s="160" t="e">
        <f t="shared" si="2"/>
        <v>#REF!</v>
      </c>
      <c r="G17" s="160" t="e">
        <f t="shared" si="3"/>
        <v>#REF!</v>
      </c>
    </row>
    <row r="18" spans="1:9" ht="27.6" x14ac:dyDescent="0.3">
      <c r="A18" s="53" t="s">
        <v>313</v>
      </c>
      <c r="B18" s="277" t="s">
        <v>304</v>
      </c>
      <c r="C18" s="280" t="e">
        <f t="shared" si="0"/>
        <v>#REF!</v>
      </c>
      <c r="D18" s="160" t="e">
        <f t="shared" si="4"/>
        <v>#REF!</v>
      </c>
      <c r="E18" s="160" t="e">
        <f t="shared" si="1"/>
        <v>#REF!</v>
      </c>
      <c r="F18" s="160" t="e">
        <f t="shared" si="2"/>
        <v>#REF!</v>
      </c>
      <c r="G18" s="160" t="e">
        <f t="shared" si="3"/>
        <v>#REF!</v>
      </c>
    </row>
    <row r="19" spans="1:9" ht="72" x14ac:dyDescent="0.3">
      <c r="A19" s="53" t="s">
        <v>314</v>
      </c>
      <c r="B19" s="277" t="s">
        <v>315</v>
      </c>
      <c r="C19" s="280" t="e">
        <f t="shared" si="0"/>
        <v>#REF!</v>
      </c>
      <c r="D19" s="160" t="e">
        <f t="shared" si="4"/>
        <v>#REF!</v>
      </c>
      <c r="E19" s="160" t="e">
        <f t="shared" si="1"/>
        <v>#REF!</v>
      </c>
      <c r="F19" s="160" t="e">
        <f t="shared" si="2"/>
        <v>#REF!</v>
      </c>
      <c r="G19" s="160" t="e">
        <f t="shared" si="3"/>
        <v>#REF!</v>
      </c>
    </row>
    <row r="20" spans="1:9" ht="72" x14ac:dyDescent="0.3">
      <c r="A20" s="53" t="s">
        <v>316</v>
      </c>
      <c r="B20" s="277" t="s">
        <v>315</v>
      </c>
      <c r="C20" s="280" t="e">
        <f t="shared" si="0"/>
        <v>#REF!</v>
      </c>
      <c r="D20" s="160" t="e">
        <f t="shared" si="4"/>
        <v>#REF!</v>
      </c>
      <c r="E20" s="160" t="e">
        <f t="shared" si="1"/>
        <v>#REF!</v>
      </c>
      <c r="F20" s="160" t="e">
        <f t="shared" si="2"/>
        <v>#REF!</v>
      </c>
      <c r="G20" s="160" t="e">
        <f t="shared" si="3"/>
        <v>#REF!</v>
      </c>
    </row>
    <row r="21" spans="1:9" x14ac:dyDescent="0.3">
      <c r="A21" s="53" t="s">
        <v>317</v>
      </c>
      <c r="B21" s="54" t="s">
        <v>315</v>
      </c>
      <c r="C21" s="280" t="e">
        <f t="shared" si="0"/>
        <v>#REF!</v>
      </c>
      <c r="D21" s="160" t="e">
        <f t="shared" si="4"/>
        <v>#REF!</v>
      </c>
      <c r="E21" s="160" t="e">
        <f t="shared" si="1"/>
        <v>#REF!</v>
      </c>
      <c r="F21" s="160" t="e">
        <f t="shared" si="2"/>
        <v>#REF!</v>
      </c>
      <c r="G21" s="160" t="e">
        <f t="shared" si="3"/>
        <v>#REF!</v>
      </c>
    </row>
    <row r="22" spans="1:9" ht="28.8" x14ac:dyDescent="0.3">
      <c r="A22" s="53" t="s">
        <v>318</v>
      </c>
      <c r="B22" s="54" t="s">
        <v>315</v>
      </c>
      <c r="C22" s="280" t="e">
        <f t="shared" si="0"/>
        <v>#REF!</v>
      </c>
      <c r="D22" s="160" t="e">
        <f t="shared" si="4"/>
        <v>#REF!</v>
      </c>
      <c r="E22" s="160" t="e">
        <f t="shared" si="1"/>
        <v>#REF!</v>
      </c>
      <c r="F22" s="160" t="e">
        <f t="shared" si="2"/>
        <v>#REF!</v>
      </c>
      <c r="G22" s="160" t="e">
        <f t="shared" si="3"/>
        <v>#REF!</v>
      </c>
    </row>
    <row r="23" spans="1:9" ht="28.8" x14ac:dyDescent="0.3">
      <c r="A23" s="53" t="s">
        <v>319</v>
      </c>
      <c r="B23" s="54" t="s">
        <v>320</v>
      </c>
      <c r="C23" s="280" t="e">
        <f t="shared" si="0"/>
        <v>#REF!</v>
      </c>
      <c r="D23" s="160" t="e">
        <f t="shared" si="4"/>
        <v>#REF!</v>
      </c>
      <c r="E23" s="160" t="e">
        <f t="shared" ref="E23:E25" si="5">C23*D23</f>
        <v>#REF!</v>
      </c>
      <c r="F23" s="160" t="e">
        <f t="shared" ref="F23:F25" si="6">E23*3</f>
        <v>#REF!</v>
      </c>
      <c r="G23" s="160" t="e">
        <f t="shared" ref="G23:G25" si="7">E23*12</f>
        <v>#REF!</v>
      </c>
    </row>
    <row r="24" spans="1:9" ht="56.25" customHeight="1" x14ac:dyDescent="0.3">
      <c r="A24" s="53" t="s">
        <v>321</v>
      </c>
      <c r="B24" s="53" t="s">
        <v>315</v>
      </c>
      <c r="C24" s="280" t="e">
        <f t="shared" si="0"/>
        <v>#REF!</v>
      </c>
      <c r="D24" s="281" t="e">
        <f t="shared" si="4"/>
        <v>#REF!</v>
      </c>
      <c r="E24" s="281" t="e">
        <f t="shared" si="5"/>
        <v>#REF!</v>
      </c>
      <c r="F24" s="281" t="e">
        <f t="shared" si="6"/>
        <v>#REF!</v>
      </c>
      <c r="G24" s="281" t="e">
        <f t="shared" si="7"/>
        <v>#REF!</v>
      </c>
    </row>
    <row r="25" spans="1:9" ht="56.25" customHeight="1" x14ac:dyDescent="0.3">
      <c r="A25" s="53" t="s">
        <v>322</v>
      </c>
      <c r="B25" s="53" t="s">
        <v>315</v>
      </c>
      <c r="C25" s="280" t="e">
        <f t="shared" si="0"/>
        <v>#REF!</v>
      </c>
      <c r="D25" s="281" t="e">
        <f t="shared" si="4"/>
        <v>#REF!</v>
      </c>
      <c r="E25" s="281" t="e">
        <f t="shared" si="5"/>
        <v>#REF!</v>
      </c>
      <c r="F25" s="281" t="e">
        <f t="shared" si="6"/>
        <v>#REF!</v>
      </c>
      <c r="G25" s="281" t="e">
        <f t="shared" si="7"/>
        <v>#REF!</v>
      </c>
    </row>
    <row r="27" spans="1:9" x14ac:dyDescent="0.3">
      <c r="F27" s="72" t="e">
        <f>SUM(F4:F26)</f>
        <v>#REF!</v>
      </c>
      <c r="G27" t="e">
        <f>SUM(G4:G26)</f>
        <v>#REF!</v>
      </c>
      <c r="I27" s="72"/>
    </row>
  </sheetData>
  <pageMargins left="0.7" right="0.7" top="0.75" bottom="0.75" header="0.3" footer="0.3"/>
  <pageSetup paperSize="9" firstPageNumber="2147483648"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AY202"/>
  <sheetViews>
    <sheetView zoomScale="30" zoomScaleNormal="30" workbookViewId="0">
      <selection activeCell="K24" sqref="K24"/>
    </sheetView>
  </sheetViews>
  <sheetFormatPr defaultRowHeight="14.4" x14ac:dyDescent="0.3"/>
  <cols>
    <col min="1" max="1" width="5" customWidth="1"/>
    <col min="2" max="2" width="53.109375" customWidth="1"/>
    <col min="3" max="3" width="12.88671875" customWidth="1"/>
    <col min="4" max="4" width="18" customWidth="1"/>
    <col min="5" max="6" width="16.33203125" customWidth="1"/>
    <col min="7" max="7" width="13.6640625" customWidth="1"/>
    <col min="8" max="8" width="14.33203125" customWidth="1"/>
    <col min="12" max="12" width="4" customWidth="1"/>
    <col min="13" max="13" width="41.44140625" customWidth="1"/>
    <col min="16" max="17" width="12.5546875" customWidth="1"/>
  </cols>
  <sheetData>
    <row r="1" spans="2:13" x14ac:dyDescent="0.3">
      <c r="B1" s="361" t="s">
        <v>369</v>
      </c>
      <c r="M1" t="s">
        <v>464</v>
      </c>
    </row>
    <row r="2" spans="2:13" x14ac:dyDescent="0.3">
      <c r="B2" t="s">
        <v>434</v>
      </c>
      <c r="C2" s="360" t="s">
        <v>433</v>
      </c>
    </row>
    <row r="3" spans="2:13" ht="13.2" customHeight="1" x14ac:dyDescent="0.3">
      <c r="B3" t="s">
        <v>449</v>
      </c>
      <c r="C3" s="360" t="s">
        <v>448</v>
      </c>
    </row>
    <row r="4" spans="2:13" ht="31.5" customHeight="1" x14ac:dyDescent="0.3">
      <c r="B4" s="63" t="s">
        <v>450</v>
      </c>
      <c r="C4" s="622" t="s">
        <v>436</v>
      </c>
    </row>
    <row r="5" spans="2:13" ht="28.8" x14ac:dyDescent="0.3">
      <c r="B5" s="63" t="s">
        <v>439</v>
      </c>
      <c r="C5" s="360" t="s">
        <v>440</v>
      </c>
    </row>
    <row r="6" spans="2:13" ht="43.2" x14ac:dyDescent="0.3">
      <c r="B6" s="63" t="s">
        <v>442</v>
      </c>
      <c r="C6" s="360" t="s">
        <v>441</v>
      </c>
    </row>
    <row r="7" spans="2:13" x14ac:dyDescent="0.3">
      <c r="B7" s="690" t="s">
        <v>443</v>
      </c>
      <c r="C7" s="360" t="s">
        <v>444</v>
      </c>
    </row>
    <row r="8" spans="2:13" x14ac:dyDescent="0.3">
      <c r="B8" s="690"/>
      <c r="C8" s="360" t="s">
        <v>445</v>
      </c>
    </row>
    <row r="9" spans="2:13" ht="13.5" customHeight="1" x14ac:dyDescent="0.3">
      <c r="B9" s="690"/>
      <c r="C9" s="360" t="s">
        <v>446</v>
      </c>
    </row>
    <row r="10" spans="2:13" ht="13.5" customHeight="1" x14ac:dyDescent="0.3">
      <c r="B10" s="690"/>
      <c r="C10" s="360" t="s">
        <v>447</v>
      </c>
    </row>
    <row r="11" spans="2:13" x14ac:dyDescent="0.3">
      <c r="B11" s="624" t="s">
        <v>437</v>
      </c>
      <c r="C11" s="623" t="s">
        <v>438</v>
      </c>
    </row>
    <row r="12" spans="2:13" x14ac:dyDescent="0.3">
      <c r="B12" s="691" t="s">
        <v>451</v>
      </c>
      <c r="C12" s="360" t="s">
        <v>452</v>
      </c>
    </row>
    <row r="13" spans="2:13" x14ac:dyDescent="0.3">
      <c r="B13" s="691"/>
      <c r="C13" s="360" t="s">
        <v>462</v>
      </c>
      <c r="E13" s="360" t="s">
        <v>463</v>
      </c>
    </row>
    <row r="14" spans="2:13" x14ac:dyDescent="0.3">
      <c r="B14" s="625" t="s">
        <v>460</v>
      </c>
      <c r="C14" s="360" t="s">
        <v>461</v>
      </c>
    </row>
    <row r="15" spans="2:13" x14ac:dyDescent="0.3">
      <c r="B15" s="361" t="s">
        <v>371</v>
      </c>
    </row>
    <row r="16" spans="2:13" ht="14.4" customHeight="1" x14ac:dyDescent="0.3">
      <c r="B16" s="94" t="s">
        <v>453</v>
      </c>
      <c r="C16" s="360" t="s">
        <v>456</v>
      </c>
    </row>
    <row r="17" spans="2:3" ht="14.4" customHeight="1" x14ac:dyDescent="0.3">
      <c r="C17" s="360" t="s">
        <v>457</v>
      </c>
    </row>
    <row r="18" spans="2:3" ht="14.4" customHeight="1" x14ac:dyDescent="0.3">
      <c r="B18" s="94" t="s">
        <v>455</v>
      </c>
      <c r="C18" s="360" t="s">
        <v>458</v>
      </c>
    </row>
    <row r="19" spans="2:3" ht="14.4" customHeight="1" x14ac:dyDescent="0.3">
      <c r="C19" s="360" t="s">
        <v>459</v>
      </c>
    </row>
    <row r="20" spans="2:3" ht="14.4" customHeight="1" x14ac:dyDescent="0.3">
      <c r="B20" s="94" t="s">
        <v>454</v>
      </c>
      <c r="C20" s="360" t="s">
        <v>465</v>
      </c>
    </row>
    <row r="25" spans="2:3" x14ac:dyDescent="0.3">
      <c r="B25" s="355" t="s">
        <v>370</v>
      </c>
    </row>
    <row r="26" spans="2:3" x14ac:dyDescent="0.3">
      <c r="B26" s="627" t="s">
        <v>489</v>
      </c>
      <c r="C26" s="360" t="s">
        <v>435</v>
      </c>
    </row>
    <row r="27" spans="2:3" x14ac:dyDescent="0.3">
      <c r="C27" s="360" t="s">
        <v>466</v>
      </c>
    </row>
    <row r="28" spans="2:3" x14ac:dyDescent="0.3">
      <c r="C28" s="360" t="s">
        <v>467</v>
      </c>
    </row>
    <row r="29" spans="2:3" x14ac:dyDescent="0.3">
      <c r="C29" s="360" t="s">
        <v>472</v>
      </c>
    </row>
    <row r="30" spans="2:3" x14ac:dyDescent="0.3">
      <c r="C30" s="360" t="s">
        <v>473</v>
      </c>
    </row>
    <row r="31" spans="2:3" x14ac:dyDescent="0.3">
      <c r="C31" s="360" t="s">
        <v>488</v>
      </c>
    </row>
    <row r="110" spans="2:2" x14ac:dyDescent="0.3">
      <c r="B110" s="502"/>
    </row>
    <row r="202" spans="51:51" x14ac:dyDescent="0.3">
      <c r="AY202" s="360"/>
    </row>
  </sheetData>
  <mergeCells count="2">
    <mergeCell ref="B7:B10"/>
    <mergeCell ref="B12:B13"/>
  </mergeCells>
  <hyperlinks>
    <hyperlink ref="C2" r:id="rId1" display="https://vproizvodstvo.ru/idei/biznes_po_izgotovleniyu_kirpicha/?ysclid=lfw8qh2ptg230961398" xr:uid="{12BB549A-E6BA-498A-ABA5-A1845163B0A0}"/>
    <hyperlink ref="C26" r:id="rId2" display="https://stroitelstvo-angar.ru/?utm_source=yandex&amp;utm_medium=cpc&amp;utm_campaign=General_vch_search_cpa&amp;utm_content=ST:search|S:none|AP:yes|PT:other|P:3|DT:desktop|RI:213|RN:%D0%9C%D0%BE%D1%81%D0%BA%D0%B2%D0%B0|CI:85206940|GI:5159069944|PI:43907674706|AI:13755664135|KW:|MT:rkw|MK:%D0%BF%D1%80%D0%BE%D0%B8%D0%B7%D0%B2%D0%BE%D0%B4%D1%81%D1%82%D0%B2%D0%BE%20%D1%86%D0%B5%D1%85&amp;utm_term=&amp;etext=2202.3Gke8t2aHiM1fZ6odIGv-Jm5IL3WuN_ve8LmWChW_zvpj4n69FRcEOHKiH60SR9jpvAXffWext3Ome3oj34Vp8QjSXn_JFSVU6s0C4k-FmswWdajNtFlFX_HWR_GGHQRkBoW-tYeubMGIYRfgpLUUGRiZnplaHljaHVydWJveWQ.f7dbe969c716fa9c4177daf68f34ea8efe15733b&amp;yclid=1593033052773226545" xr:uid="{605D9F4C-83D8-4219-A675-2C833C082BA1}"/>
    <hyperlink ref="C4" r:id="rId3" display="http://www.liderdom.com/proizvodstvo-klinkera/?ysclid=lfw9asqfry252362138" xr:uid="{1192E06F-00EA-412C-A913-BFBD1157F184}"/>
    <hyperlink ref="C11" r:id="rId4" display="https://lsrstena.ru/lsr-stenovye" xr:uid="{F99F9045-6089-4E2C-99F2-C8B300383F0F}"/>
    <hyperlink ref="C5" r:id="rId5" display="https://sm.lsr.ru/msk/catalog/kirpich-gazobeton/kirpich/fasadnyy-klinker/" xr:uid="{1644A863-34B8-4D50-AA44-C4FCEE545E59}"/>
    <hyperlink ref="C6" r:id="rId6" display="https://lsrstena.ru/upload/files/polygraphy/buklet-licofasadka-04-08-2021-prew.pdf?ysclid=lfw9zl4og0628437425" xr:uid="{FF3764BE-1B1C-4F2C-863F-A23EF82AAA37}"/>
    <hyperlink ref="C7" r:id="rId7" display="https://yanashla.com/luchshij-klinkernyj-kirpich/?ysclid=lfwa2mtimt494182798" xr:uid="{A7F968D3-5762-4B03-B228-D654EF96B03C}"/>
    <hyperlink ref="C8" r:id="rId8" display="https://vyborok.com/rejting-luchshego-klinkernogo-kirpicha/" xr:uid="{DEB03EFE-9205-4A66-BFF1-CFEA197F9AA6}"/>
    <hyperlink ref="C9" r:id="rId9" display="https://klinkersgroup.ru/blog/klinkernyy-kirpich-osobennosti-i-unikalnye-kharakteristiki/?ysclid=lfwa2s3978568189737" xr:uid="{75592838-9C9E-43E6-A65D-88972B2FC2FC}"/>
    <hyperlink ref="C10" r:id="rId10" display="https://building-ooo.ru/uncategorized/klinkernyj-kirpich-opisanie-obzor-foto-video-xarakteristiki-istoriya/.html?ysclid=lfwa2tl9vw965440215" xr:uid="{89876D8F-B885-4621-8D58-24D83EF02405}"/>
    <hyperlink ref="C3" r:id="rId11" display="https://kirpich-lavka.ru/files/upload/gost_32311-2012.pdf?ysclid=lfwadk93id864577736" xr:uid="{AE023193-AD9F-4FD6-93F3-5D7FBE47AA9F}"/>
    <hyperlink ref="C12" r:id="rId12" display="https://ru.made-in-china.com/category23_Manufacturing-Processing-Machinery/Brick-Making-Machine_1.html" xr:uid="{A3F4BE5F-122D-4286-9F39-6B5A947F98C5}"/>
    <hyperlink ref="C16" r:id="rId13" display="https://irkutsk.promindex.ru/catalog/glina-4547?ysclid=lfwaxy247i947819562" xr:uid="{574E3A82-8674-400B-9C2E-AF49B42BC9AC}"/>
    <hyperlink ref="C17" r:id="rId14" display="https://www.avito.ru/irkutsk/remont_i_stroitelstvo/stroymaterialy/cypuchie_materialy-ASgBAgICAkRYoAKmvg3q7JkC?f=ASgBAgICA0RYoAKmvg3q7JkCysUOpI2aAg&amp;q=%D0%B3%D0%BB%D0%B8%D0%BD%D0%B0&amp;ysclid=lfway11eqx640618197" xr:uid="{E7497589-23CF-4EBB-B608-B5B831B74199}"/>
    <hyperlink ref="C18" r:id="rId15" display="https://иркутскуголь.рф/?etext=2202.9awv4Plduk0WNWCLMktnVY8qE6ldi0xHrJnB28F6HlIvIi5TFHjuhXqJTa3XkS0DaGNkc2lhcWJqanZ1Y29xZQ.338d1cffead53b68204591a79656670c57ca8d01&amp;yclid=1593797818338842696" xr:uid="{59025BC2-5A23-4DEB-A9D8-F70559AA569C}"/>
    <hyperlink ref="C19" r:id="rId16" display="https://www.avito.ru/irkutsk?q=%D1%83%D0%B3%D0%BE%D0%BB%D1%8C&amp;ysclid=lfwb1r64qz54707596" xr:uid="{02109894-EAD4-4003-B7E0-FB688C9C3D49}"/>
    <hyperlink ref="C14" r:id="rId17" display="https://irkutsk.drom.ru/spec/loader/all/?maxWeight=3500&amp;fueltype=2" xr:uid="{CD8436F3-EC5B-4C51-8E1F-DEA045C94E23}"/>
    <hyperlink ref="C13" r:id="rId18" xr:uid="{0D498947-B1CE-4E58-9A3E-F147CEFE9370}"/>
    <hyperlink ref="E13" r:id="rId19" display="https://russian.alibaba.com/p-detail/clay-62024330620.html?spm=a2700.8699010.29.22.3d513a003vQJa0" xr:uid="{E3C8D664-9E8B-4704-AECD-8E5F74AEBB41}"/>
    <hyperlink ref="C20" r:id="rId20" display="https://fuelprice.ru/t-irkutsk?ysclid=lfzaathqqx219642892" xr:uid="{296610B3-1982-4AA2-BDB8-D0464C994311}"/>
    <hyperlink ref="C27" r:id="rId21" display="https://irkutsk.stroitelstvo-dom.ru/zdanij/tsekhov?ysclid=lfzar09n4530722916" xr:uid="{8C17F371-B7AA-4491-9F00-CC829B78F3A0}"/>
    <hyperlink ref="C28" r:id="rId22" location="about" display="https://rdk-standart.ru/ - about" xr:uid="{80875584-3EC7-4122-8064-E7EA881C3C05}"/>
    <hyperlink ref="C29" r:id="rId23" display="https://irkutsk.барспром.рф/bystrovozvodimye-zdaniya/angary-iz-metallokonstruktsij/promyshlennye-angary" xr:uid="{8A3E0D7B-E0E1-4A57-9712-5BD14087B1C6}"/>
    <hyperlink ref="C30" r:id="rId24" display="https://irkutsk.smg-stroy.ru/tseny" xr:uid="{7313386B-B77A-44C3-B389-4024291138BD}"/>
    <hyperlink ref="C31" r:id="rId25" display="https://irkutsk.3d-perimetr.ru/production/otraslevye-resheniya/ograzhdeniya-promyshlennykh-obektov/" xr:uid="{B8E9B58F-C273-462D-9FA9-C3E6921E0E23}"/>
  </hyperlinks>
  <pageMargins left="0.7" right="0.7" top="0.75" bottom="0.75" header="0.3" footer="0.3"/>
  <pageSetup paperSize="9" firstPageNumber="2147483648" orientation="portrait" r:id="rId26"/>
  <drawing r:id="rId2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45"/>
  <sheetViews>
    <sheetView tabSelected="1" zoomScale="60" zoomScaleNormal="60" workbookViewId="0">
      <selection activeCell="D24" sqref="D24"/>
    </sheetView>
  </sheetViews>
  <sheetFormatPr defaultRowHeight="14.4" x14ac:dyDescent="0.3"/>
  <cols>
    <col min="1" max="1" width="48.33203125" customWidth="1"/>
    <col min="2" max="2" width="16.6640625" customWidth="1"/>
    <col min="20" max="20" width="10.33203125" customWidth="1"/>
  </cols>
  <sheetData>
    <row r="1" spans="1:4" x14ac:dyDescent="0.3">
      <c r="A1" t="s">
        <v>7</v>
      </c>
    </row>
    <row r="2" spans="1:4" ht="45.75" customHeight="1" x14ac:dyDescent="0.3">
      <c r="A2" s="645" t="s">
        <v>508</v>
      </c>
      <c r="B2" s="62">
        <f>'объем работ 100% загр'!N10</f>
        <v>6014666.666666667</v>
      </c>
    </row>
    <row r="3" spans="1:4" x14ac:dyDescent="0.3">
      <c r="A3" t="str">
        <f>'объем работ 100% загр'!A22</f>
        <v>Выручка, тыс.руб</v>
      </c>
      <c r="B3" s="8">
        <f>'объем работ 100% загр'!L26</f>
        <v>189762.27667518248</v>
      </c>
    </row>
    <row r="4" spans="1:4" x14ac:dyDescent="0.3">
      <c r="A4" t="s">
        <v>519</v>
      </c>
      <c r="B4" s="159">
        <f>'объем работ 100% загр'!N4</f>
        <v>2.1089271907809435E-2</v>
      </c>
      <c r="C4" s="9"/>
      <c r="D4" s="7"/>
    </row>
    <row r="5" spans="1:4" x14ac:dyDescent="0.3">
      <c r="A5" t="s">
        <v>8</v>
      </c>
      <c r="B5">
        <f>'Расходы на ЗП ОТ'!B66</f>
        <v>19</v>
      </c>
    </row>
    <row r="6" spans="1:4" x14ac:dyDescent="0.3">
      <c r="A6" t="s">
        <v>9</v>
      </c>
      <c r="B6" s="7">
        <f>'Расходы на ЗП ОТ'!C66</f>
        <v>51.578947368421055</v>
      </c>
    </row>
    <row r="7" spans="1:4" x14ac:dyDescent="0.3">
      <c r="A7" s="10" t="s">
        <v>10</v>
      </c>
      <c r="B7" s="7">
        <f>'Расходы на ЗП ТОР'!BB54/1000</f>
        <v>19.65348226744911</v>
      </c>
    </row>
    <row r="8" spans="1:4" x14ac:dyDescent="0.3">
      <c r="A8" s="633" t="s">
        <v>495</v>
      </c>
      <c r="B8" s="11">
        <f>'объем работ 100% загр'!N37</f>
        <v>81582.975000000006</v>
      </c>
    </row>
    <row r="9" spans="1:4" x14ac:dyDescent="0.3">
      <c r="A9" s="627" t="s">
        <v>471</v>
      </c>
      <c r="B9" s="159">
        <f>Себестоимость!M49</f>
        <v>1.150898982651429E-2</v>
      </c>
    </row>
    <row r="10" spans="1:4" x14ac:dyDescent="0.3">
      <c r="A10" t="s">
        <v>11</v>
      </c>
      <c r="B10" s="11">
        <f>'Расходы на П, строит-во, ввод'!AA14</f>
        <v>41275.84047884441</v>
      </c>
    </row>
    <row r="11" spans="1:4" x14ac:dyDescent="0.3">
      <c r="A11" t="str">
        <f>'Расходы ТОР'!A52</f>
        <v>Разница в ЧП с ТОСЭР и без, тыс.руб.</v>
      </c>
      <c r="B11" s="11">
        <f>'Расходы ТОР'!L54</f>
        <v>68830.390399572512</v>
      </c>
    </row>
    <row r="12" spans="1:4" x14ac:dyDescent="0.3">
      <c r="A12" t="s">
        <v>12</v>
      </c>
      <c r="B12" s="11">
        <f>'NPV, IRR, DPI ТОР'!N7</f>
        <v>39232.738127793105</v>
      </c>
    </row>
    <row r="14" spans="1:4" x14ac:dyDescent="0.3">
      <c r="B14" s="12"/>
    </row>
    <row r="15" spans="1:4" x14ac:dyDescent="0.3">
      <c r="A15" t="str">
        <f>'NPV, IRR, DPI ТОР'!A22</f>
        <v>Чистая приведенная стоимость  (ЧПС)</v>
      </c>
      <c r="B15" s="11">
        <f>'NPV, IRR, DPI ТОР'!B22</f>
        <v>42758.510917173982</v>
      </c>
    </row>
    <row r="16" spans="1:4" x14ac:dyDescent="0.3">
      <c r="A16" t="str">
        <f>'NPV, IRR, DPI ТОР'!A23</f>
        <v>Рентабельность продаж, %</v>
      </c>
      <c r="B16" s="12">
        <f>'NPV, IRR, DPI ТОР'!B23</f>
        <v>0.32671658863255293</v>
      </c>
    </row>
    <row r="17" spans="1:2" x14ac:dyDescent="0.3">
      <c r="A17" t="str">
        <f>'NPV, IRR, DPI ТОР'!A24</f>
        <v>Рентабельность продукции, %</v>
      </c>
      <c r="B17" s="12">
        <f>'NPV, IRR, DPI ТОР'!B24</f>
        <v>0.51171926442135618</v>
      </c>
    </row>
    <row r="18" spans="1:2" x14ac:dyDescent="0.3">
      <c r="A18" t="str">
        <f>'NPV, IRR, DPI ТОР'!A25</f>
        <v>Индекс доходности (PI)</v>
      </c>
      <c r="B18" s="647">
        <f>'NPV, IRR, DPI ТОР'!B25</f>
        <v>1.2473311236048419</v>
      </c>
    </row>
    <row r="19" spans="1:2" x14ac:dyDescent="0.3">
      <c r="A19" t="str">
        <f>'NPV, IRR, DPI ТОР'!A26</f>
        <v>Внутренняя норма доходности (IRR), %</v>
      </c>
      <c r="B19" s="12">
        <f>'NPV, IRR, DPI ТОР'!B26</f>
        <v>0.52826263743749968</v>
      </c>
    </row>
    <row r="20" spans="1:2" ht="28.8" x14ac:dyDescent="0.3">
      <c r="A20" s="63" t="str">
        <f>'NPV, IRR, DPI ТОР'!A27</f>
        <v>Срок окупаемости первоначальных инвестиций (РB), лет</v>
      </c>
      <c r="B20" s="11">
        <f>'NPV, IRR, DPI ТОР'!B27</f>
        <v>3.873760069672922</v>
      </c>
    </row>
    <row r="21" spans="1:2" x14ac:dyDescent="0.3">
      <c r="B21" s="11"/>
    </row>
    <row r="22" spans="1:2" x14ac:dyDescent="0.3">
      <c r="A22" t="str">
        <f>'NPV, IRR, DPI ТОР'!A29</f>
        <v>Финансовый результат (+/- прибыль/убыток)</v>
      </c>
      <c r="B22" s="11">
        <f>'NPV, IRR, DPI ТОР'!B29</f>
        <v>453478.5057014706</v>
      </c>
    </row>
    <row r="23" spans="1:2" x14ac:dyDescent="0.3">
      <c r="A23" t="str">
        <f>'NPV, IRR, DPI ТОР'!A30</f>
        <v> Средняя норма рентабельности - ARR, % </v>
      </c>
      <c r="B23" s="12">
        <f>'NPV, IRR, DPI ТОР'!B30</f>
        <v>1.1444789418842796</v>
      </c>
    </row>
    <row r="24" spans="1:2" x14ac:dyDescent="0.3">
      <c r="A24" t="str">
        <f>'NPV, IRR, DPI ТОР'!A31</f>
        <v>Рентабельность инвестиций, ROI, %</v>
      </c>
      <c r="B24" s="12">
        <f>'NPV, IRR, DPI ТОР'!B31</f>
        <v>11.444789418842795</v>
      </c>
    </row>
    <row r="25" spans="1:2" x14ac:dyDescent="0.3">
      <c r="B25" s="12"/>
    </row>
    <row r="26" spans="1:2" x14ac:dyDescent="0.3">
      <c r="B26" s="12"/>
    </row>
    <row r="27" spans="1:2" x14ac:dyDescent="0.3">
      <c r="B27" s="12"/>
    </row>
    <row r="28" spans="1:2" x14ac:dyDescent="0.3">
      <c r="A28" s="637" t="s">
        <v>514</v>
      </c>
      <c r="B28" s="11">
        <f>'Налоги ТОР'!AA24/1000</f>
        <v>66.724234388959346</v>
      </c>
    </row>
    <row r="45" spans="3:3" x14ac:dyDescent="0.3">
      <c r="C45" t="s">
        <v>13</v>
      </c>
    </row>
  </sheetData>
  <pageMargins left="0.7" right="0.7" top="0.75" bottom="0.75" header="0.3" footer="0.3"/>
  <pageSetup paperSize="9" firstPageNumber="2147483648"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Лист1">
    <tabColor theme="0"/>
    <pageSetUpPr fitToPage="1"/>
  </sheetPr>
  <dimension ref="A1:AJ45"/>
  <sheetViews>
    <sheetView zoomScale="60" zoomScaleNormal="60" workbookViewId="0">
      <pane xSplit="1" topLeftCell="B1" activePane="topRight" state="frozen"/>
      <selection activeCell="B28" sqref="B28"/>
      <selection pane="topRight" activeCell="S31" sqref="S31"/>
    </sheetView>
  </sheetViews>
  <sheetFormatPr defaultColWidth="9.109375" defaultRowHeight="14.4" x14ac:dyDescent="0.3"/>
  <cols>
    <col min="1" max="1" width="26.5546875" style="53" customWidth="1"/>
    <col min="2" max="2" width="13.88671875" style="54" customWidth="1"/>
    <col min="3" max="11" width="13" style="55" customWidth="1"/>
    <col min="12" max="12" width="17.44140625" style="55" customWidth="1"/>
    <col min="13" max="15" width="12.88671875" customWidth="1"/>
    <col min="16" max="16" width="10" bestFit="1" customWidth="1"/>
    <col min="17" max="17" width="12.44140625" bestFit="1" customWidth="1"/>
    <col min="18" max="19" width="12.44140625" customWidth="1"/>
    <col min="20" max="20" width="13" customWidth="1"/>
    <col min="21" max="21" width="12.88671875" customWidth="1"/>
    <col min="22" max="22" width="13.44140625" customWidth="1"/>
    <col min="23" max="24" width="15.33203125" customWidth="1"/>
    <col min="25" max="25" width="18.33203125" customWidth="1"/>
    <col min="26" max="26" width="14" customWidth="1"/>
    <col min="27" max="27" width="20.5546875" customWidth="1"/>
    <col min="28" max="30" width="10.5546875" bestFit="1" customWidth="1"/>
    <col min="31" max="31" width="11.44140625" customWidth="1"/>
    <col min="32" max="32" width="11.88671875" style="55" customWidth="1"/>
    <col min="33" max="36" width="13" style="55" customWidth="1"/>
  </cols>
  <sheetData>
    <row r="1" spans="1:32" ht="25.8" x14ac:dyDescent="0.3">
      <c r="A1" s="56"/>
      <c r="C1" s="57"/>
      <c r="D1" s="57"/>
      <c r="E1" s="57"/>
      <c r="F1" s="57"/>
      <c r="G1" s="57"/>
      <c r="H1" s="57"/>
      <c r="I1" s="57"/>
      <c r="J1" s="57"/>
      <c r="K1" s="57"/>
      <c r="L1" s="57"/>
      <c r="N1" s="58"/>
      <c r="P1" s="374" t="str">
        <f t="shared" ref="P1:Z1" si="0">C3</f>
        <v>1 год</v>
      </c>
      <c r="Q1" s="374" t="str">
        <f t="shared" si="0"/>
        <v>2 год</v>
      </c>
      <c r="R1" s="374" t="str">
        <f t="shared" ref="R1" si="1">E3</f>
        <v>3 год</v>
      </c>
      <c r="S1" s="374" t="str">
        <f t="shared" ref="S1" si="2">F3</f>
        <v>4 год</v>
      </c>
      <c r="T1" s="374" t="str">
        <f t="shared" si="0"/>
        <v>5 год</v>
      </c>
      <c r="U1" s="374" t="str">
        <f t="shared" si="0"/>
        <v>6 год</v>
      </c>
      <c r="V1" s="374" t="str">
        <f t="shared" si="0"/>
        <v>7 год</v>
      </c>
      <c r="W1" s="374" t="str">
        <f t="shared" si="0"/>
        <v>8 год</v>
      </c>
      <c r="X1" s="374" t="str">
        <f t="shared" si="0"/>
        <v>9 год</v>
      </c>
      <c r="Y1" s="374" t="str">
        <f t="shared" si="0"/>
        <v>10 год</v>
      </c>
      <c r="Z1" s="374" t="str">
        <f t="shared" si="0"/>
        <v>11 год</v>
      </c>
      <c r="AA1" s="59"/>
      <c r="AB1" s="59"/>
      <c r="AC1" s="59"/>
      <c r="AD1" s="59"/>
    </row>
    <row r="2" spans="1:32" ht="18" customHeight="1" x14ac:dyDescent="0.3">
      <c r="A2" s="374"/>
      <c r="B2" s="374"/>
      <c r="C2" s="667" t="s">
        <v>287</v>
      </c>
      <c r="D2" s="667"/>
      <c r="E2" s="667"/>
      <c r="F2" s="667"/>
      <c r="G2" s="667"/>
      <c r="H2" s="667"/>
      <c r="I2" s="667"/>
      <c r="J2" s="667"/>
      <c r="K2" s="667"/>
      <c r="L2" s="667"/>
      <c r="M2" s="667"/>
      <c r="N2" s="61"/>
      <c r="O2" s="62"/>
      <c r="P2" s="668" t="s">
        <v>515</v>
      </c>
      <c r="Q2" s="669"/>
      <c r="R2" s="669"/>
      <c r="S2" s="669"/>
      <c r="T2" s="669"/>
      <c r="U2" s="669"/>
      <c r="V2" s="669"/>
      <c r="W2" s="669"/>
      <c r="X2" s="669"/>
      <c r="Y2" s="669"/>
      <c r="Z2" s="669"/>
      <c r="AE2" s="63"/>
      <c r="AF2" s="63"/>
    </row>
    <row r="3" spans="1:32" s="63" customFormat="1" ht="43.2" x14ac:dyDescent="0.3">
      <c r="A3" s="376" t="s">
        <v>36</v>
      </c>
      <c r="B3" s="377" t="s">
        <v>37</v>
      </c>
      <c r="C3" s="374" t="s">
        <v>38</v>
      </c>
      <c r="D3" s="374" t="s">
        <v>39</v>
      </c>
      <c r="E3" s="374" t="s">
        <v>40</v>
      </c>
      <c r="F3" s="374" t="s">
        <v>41</v>
      </c>
      <c r="G3" s="374" t="s">
        <v>42</v>
      </c>
      <c r="H3" s="375" t="s">
        <v>43</v>
      </c>
      <c r="I3" s="375" t="s">
        <v>44</v>
      </c>
      <c r="J3" s="375" t="s">
        <v>45</v>
      </c>
      <c r="K3" s="375" t="s">
        <v>46</v>
      </c>
      <c r="L3" s="375" t="s">
        <v>47</v>
      </c>
      <c r="M3" s="375" t="s">
        <v>48</v>
      </c>
      <c r="N3" s="379" t="s">
        <v>49</v>
      </c>
      <c r="O3" s="66"/>
      <c r="P3" s="67">
        <v>0</v>
      </c>
      <c r="Q3" s="67">
        <v>0.7</v>
      </c>
      <c r="R3" s="67">
        <f>Q3+5%</f>
        <v>0.75</v>
      </c>
      <c r="S3" s="67">
        <f t="shared" ref="S3:W3" si="3">R3+5%</f>
        <v>0.8</v>
      </c>
      <c r="T3" s="67">
        <f t="shared" si="3"/>
        <v>0.85000000000000009</v>
      </c>
      <c r="U3" s="67">
        <f t="shared" si="3"/>
        <v>0.90000000000000013</v>
      </c>
      <c r="V3" s="67">
        <f t="shared" si="3"/>
        <v>0.95000000000000018</v>
      </c>
      <c r="W3" s="67">
        <f t="shared" si="3"/>
        <v>1.0000000000000002</v>
      </c>
      <c r="X3" s="67">
        <f>W3</f>
        <v>1.0000000000000002</v>
      </c>
      <c r="Y3" s="67">
        <v>1</v>
      </c>
      <c r="Z3" s="67">
        <v>1</v>
      </c>
      <c r="AA3" s="379" t="s">
        <v>50</v>
      </c>
      <c r="AB3" s="379" t="s">
        <v>408</v>
      </c>
    </row>
    <row r="4" spans="1:32" x14ac:dyDescent="0.3">
      <c r="A4" s="601" t="s">
        <v>405</v>
      </c>
      <c r="B4" s="604" t="s">
        <v>406</v>
      </c>
      <c r="C4" s="602">
        <v>1.6E-2</v>
      </c>
      <c r="D4" s="545">
        <f>C4*(1+допущения!$C$38)</f>
        <v>1.6960000000000003E-2</v>
      </c>
      <c r="E4" s="545">
        <f>D4*(1+допущения!$C$38)</f>
        <v>1.7977600000000003E-2</v>
      </c>
      <c r="F4" s="545">
        <f>E4*(1+допущения!$C$38)</f>
        <v>1.9056256000000004E-2</v>
      </c>
      <c r="G4" s="545">
        <f>F4*(1+допущения!$C$38)</f>
        <v>2.0199631360000005E-2</v>
      </c>
      <c r="H4" s="545">
        <f>G4*(1+допущения!$C$38)</f>
        <v>2.1411609241600005E-2</v>
      </c>
      <c r="I4" s="545">
        <f>H4*(1+допущения!$C$38)</f>
        <v>2.2696305796096009E-2</v>
      </c>
      <c r="J4" s="545">
        <f>I4*(1+допущения!$C$38)</f>
        <v>2.405808414386177E-2</v>
      </c>
      <c r="K4" s="545">
        <f>J4*(1+допущения!$C$38)</f>
        <v>2.5501569192493478E-2</v>
      </c>
      <c r="L4" s="545">
        <f>K4*(1+допущения!$C$38)</f>
        <v>2.7031663344043087E-2</v>
      </c>
      <c r="M4" s="545">
        <f>L4*(1+допущения!$C$38)</f>
        <v>2.8653563144685673E-2</v>
      </c>
      <c r="N4" s="68">
        <f>AVERAGE(C4:L4)</f>
        <v>2.1089271907809435E-2</v>
      </c>
      <c r="O4" s="62"/>
      <c r="P4" s="69">
        <f>P3*Y4</f>
        <v>0</v>
      </c>
      <c r="Q4" s="69">
        <f>Y4*$Q$3</f>
        <v>455000</v>
      </c>
      <c r="R4" s="69">
        <f t="shared" ref="R4" si="4">Y4*$R$3</f>
        <v>487500</v>
      </c>
      <c r="S4" s="69">
        <f t="shared" ref="S4" si="5">Y4*$S$3</f>
        <v>520000</v>
      </c>
      <c r="T4" s="69">
        <f t="shared" ref="T4" si="6">Y4*$T$3</f>
        <v>552500</v>
      </c>
      <c r="U4" s="69">
        <f t="shared" ref="U4" si="7">Y4*$U$3</f>
        <v>585000.00000000012</v>
      </c>
      <c r="V4" s="69">
        <f t="shared" ref="V4" si="8">Y4*$V$3</f>
        <v>617500.00000000012</v>
      </c>
      <c r="W4" s="69">
        <f t="shared" ref="W4" si="9">Y4*$W$3</f>
        <v>650000.00000000012</v>
      </c>
      <c r="X4" s="69">
        <f t="shared" ref="X4" si="10">Y4*$X$3</f>
        <v>650000.00000000012</v>
      </c>
      <c r="Y4" s="605">
        <v>650000</v>
      </c>
      <c r="Z4" s="69">
        <f>Y4</f>
        <v>650000</v>
      </c>
      <c r="AA4" s="69">
        <f>AVERAGE(Q4:Z4)</f>
        <v>581750</v>
      </c>
      <c r="AB4" s="606">
        <f>AA4/8760</f>
        <v>66.409817351598178</v>
      </c>
      <c r="AE4" s="63"/>
      <c r="AF4" s="63"/>
    </row>
    <row r="5" spans="1:32" ht="12.75" customHeight="1" x14ac:dyDescent="0.3">
      <c r="A5" s="71"/>
      <c r="B5" s="71"/>
      <c r="C5" s="71"/>
      <c r="D5" s="71"/>
      <c r="E5" s="71"/>
      <c r="F5" s="71"/>
      <c r="G5" s="71"/>
      <c r="H5" s="71"/>
      <c r="I5" s="71"/>
      <c r="J5" s="71"/>
      <c r="K5" s="71"/>
      <c r="L5" s="71"/>
      <c r="M5" s="71"/>
      <c r="N5" s="61"/>
      <c r="O5" s="62"/>
      <c r="P5" s="72"/>
      <c r="Q5" s="72"/>
      <c r="R5" s="72"/>
      <c r="S5" s="72"/>
      <c r="T5" s="72"/>
      <c r="U5" s="72"/>
      <c r="V5" s="72"/>
      <c r="Y5" s="73"/>
      <c r="Z5" s="74"/>
      <c r="AA5" s="75"/>
    </row>
    <row r="6" spans="1:32" ht="32.25" hidden="1" customHeight="1" x14ac:dyDescent="0.3">
      <c r="A6" s="71"/>
      <c r="B6" s="71"/>
      <c r="C6" s="71"/>
      <c r="D6" s="71"/>
      <c r="E6" s="71"/>
      <c r="F6" s="71"/>
      <c r="G6" s="71"/>
      <c r="H6" s="71"/>
      <c r="I6" s="71"/>
      <c r="J6" s="71"/>
      <c r="K6" s="71"/>
      <c r="L6" s="71"/>
      <c r="M6" s="71"/>
      <c r="N6" s="61"/>
      <c r="O6" s="62"/>
      <c r="P6" s="72"/>
      <c r="Q6" s="72"/>
      <c r="R6" s="72"/>
      <c r="S6" s="72"/>
      <c r="T6" s="72"/>
      <c r="U6" s="72"/>
      <c r="V6" s="72"/>
      <c r="Y6" s="73"/>
      <c r="Z6" s="74"/>
      <c r="AA6" s="75"/>
    </row>
    <row r="7" spans="1:32" ht="18" customHeight="1" x14ac:dyDescent="0.3">
      <c r="B7" s="76"/>
      <c r="C7" s="77"/>
      <c r="M7" s="72"/>
      <c r="N7" s="71"/>
      <c r="O7" s="62"/>
      <c r="P7" s="72"/>
      <c r="Q7" s="72"/>
      <c r="R7" s="72"/>
      <c r="S7" s="72"/>
      <c r="U7" s="78"/>
      <c r="V7" s="78"/>
      <c r="W7" s="78"/>
      <c r="X7" s="78"/>
      <c r="Y7" s="78"/>
      <c r="Z7" s="78"/>
      <c r="AA7" s="78"/>
      <c r="AB7" s="78"/>
      <c r="AC7" s="78"/>
      <c r="AD7" s="78"/>
    </row>
    <row r="8" spans="1:32" ht="18" customHeight="1" x14ac:dyDescent="0.3">
      <c r="A8" s="378"/>
      <c r="B8" s="356"/>
      <c r="C8" s="670" t="s">
        <v>52</v>
      </c>
      <c r="D8" s="671"/>
      <c r="E8" s="671"/>
      <c r="F8" s="671"/>
      <c r="G8" s="671"/>
      <c r="H8" s="671"/>
      <c r="I8" s="671"/>
      <c r="J8" s="671"/>
      <c r="K8" s="671"/>
      <c r="L8" s="671"/>
      <c r="M8" s="671"/>
      <c r="N8" s="380" t="s">
        <v>53</v>
      </c>
      <c r="O8" s="62"/>
      <c r="P8" s="667" t="s">
        <v>54</v>
      </c>
      <c r="Q8" s="667"/>
      <c r="R8" s="667"/>
      <c r="S8" s="667"/>
      <c r="T8" s="667"/>
      <c r="U8" s="667"/>
      <c r="V8" s="667"/>
      <c r="W8" s="667"/>
      <c r="X8" s="667"/>
      <c r="Y8" s="667"/>
      <c r="Z8" s="667"/>
      <c r="AA8" s="78"/>
      <c r="AB8" s="78"/>
      <c r="AC8" s="78"/>
      <c r="AD8" s="78"/>
    </row>
    <row r="9" spans="1:32" ht="18" customHeight="1" x14ac:dyDescent="0.3">
      <c r="A9" s="376"/>
      <c r="B9" s="377"/>
      <c r="C9" s="374" t="str">
        <f>C3</f>
        <v>1 год</v>
      </c>
      <c r="D9" s="374" t="str">
        <f>D3</f>
        <v>2 год</v>
      </c>
      <c r="E9" s="374" t="str">
        <f>E3</f>
        <v>3 год</v>
      </c>
      <c r="F9" s="374" t="str">
        <f>F3</f>
        <v>4 год</v>
      </c>
      <c r="G9" s="374" t="str">
        <f t="shared" ref="G9:M9" si="11">G3</f>
        <v>5 год</v>
      </c>
      <c r="H9" s="374" t="str">
        <f t="shared" si="11"/>
        <v>6 год</v>
      </c>
      <c r="I9" s="374" t="str">
        <f t="shared" si="11"/>
        <v>7 год</v>
      </c>
      <c r="J9" s="374" t="str">
        <f t="shared" si="11"/>
        <v>8 год</v>
      </c>
      <c r="K9" s="374" t="str">
        <f t="shared" si="11"/>
        <v>9 год</v>
      </c>
      <c r="L9" s="374" t="str">
        <f t="shared" si="11"/>
        <v>10 год</v>
      </c>
      <c r="M9" s="374" t="str">
        <f t="shared" si="11"/>
        <v>11 год</v>
      </c>
      <c r="N9" s="62"/>
      <c r="O9" s="62"/>
      <c r="P9" s="374" t="str">
        <f>C9</f>
        <v>1 год</v>
      </c>
      <c r="Q9" s="374" t="str">
        <f t="shared" ref="Q9:Z9" si="12">D9</f>
        <v>2 год</v>
      </c>
      <c r="R9" s="374" t="str">
        <f t="shared" si="12"/>
        <v>3 год</v>
      </c>
      <c r="S9" s="374" t="str">
        <f t="shared" si="12"/>
        <v>4 год</v>
      </c>
      <c r="T9" s="374" t="str">
        <f t="shared" si="12"/>
        <v>5 год</v>
      </c>
      <c r="U9" s="374" t="str">
        <f t="shared" si="12"/>
        <v>6 год</v>
      </c>
      <c r="V9" s="374" t="str">
        <f t="shared" si="12"/>
        <v>7 год</v>
      </c>
      <c r="W9" s="374" t="str">
        <f t="shared" si="12"/>
        <v>8 год</v>
      </c>
      <c r="X9" s="374" t="str">
        <f t="shared" si="12"/>
        <v>9 год</v>
      </c>
      <c r="Y9" s="374" t="str">
        <f t="shared" si="12"/>
        <v>10 год</v>
      </c>
      <c r="Z9" s="374" t="str">
        <f t="shared" si="12"/>
        <v>11 год</v>
      </c>
      <c r="AA9" s="78"/>
      <c r="AB9" s="78"/>
      <c r="AC9" s="78"/>
      <c r="AD9" s="78"/>
    </row>
    <row r="10" spans="1:32" ht="41.25" customHeight="1" x14ac:dyDescent="0.3">
      <c r="A10" s="64" t="str">
        <f>A4</f>
        <v>Кирпич клинкерный</v>
      </c>
      <c r="B10" s="604" t="s">
        <v>407</v>
      </c>
      <c r="C10" s="69">
        <v>0</v>
      </c>
      <c r="D10" s="69">
        <f t="shared" ref="D10:L10" si="13">Q4*Q10*D16</f>
        <v>3821999.9999999995</v>
      </c>
      <c r="E10" s="69">
        <f t="shared" si="13"/>
        <v>4680000</v>
      </c>
      <c r="F10" s="69">
        <f t="shared" si="13"/>
        <v>5616000</v>
      </c>
      <c r="G10" s="69">
        <f>T4*T10*G16</f>
        <v>5967000</v>
      </c>
      <c r="H10" s="69">
        <f t="shared" si="13"/>
        <v>6318000.0000000019</v>
      </c>
      <c r="I10" s="69">
        <f t="shared" si="13"/>
        <v>6669000.0000000019</v>
      </c>
      <c r="J10" s="69">
        <f t="shared" si="13"/>
        <v>7020000.0000000019</v>
      </c>
      <c r="K10" s="69">
        <f t="shared" si="13"/>
        <v>7020000.0000000019</v>
      </c>
      <c r="L10" s="69">
        <f t="shared" si="13"/>
        <v>7020000</v>
      </c>
      <c r="M10" s="69">
        <f>Z4*Z10*M16</f>
        <v>7020000</v>
      </c>
      <c r="N10" s="79">
        <f>AVERAGE(D10:L10)</f>
        <v>6014666.666666667</v>
      </c>
      <c r="O10" s="62"/>
      <c r="P10" s="69">
        <v>0</v>
      </c>
      <c r="Q10" s="70">
        <v>12</v>
      </c>
      <c r="R10" s="70">
        <v>12</v>
      </c>
      <c r="S10" s="70">
        <v>12</v>
      </c>
      <c r="T10" s="70">
        <v>12</v>
      </c>
      <c r="U10" s="70">
        <v>12</v>
      </c>
      <c r="V10" s="70">
        <v>12</v>
      </c>
      <c r="W10" s="70">
        <v>12</v>
      </c>
      <c r="X10" s="70">
        <v>12</v>
      </c>
      <c r="Y10" s="70">
        <v>12</v>
      </c>
      <c r="Z10" s="70">
        <v>12</v>
      </c>
      <c r="AA10" s="78"/>
      <c r="AB10" s="78"/>
      <c r="AC10" s="78"/>
      <c r="AD10" s="78"/>
    </row>
    <row r="11" spans="1:32" x14ac:dyDescent="0.3">
      <c r="A11" s="72"/>
      <c r="B11" s="72"/>
      <c r="C11" s="72"/>
      <c r="D11" s="72"/>
      <c r="E11" s="72"/>
      <c r="F11" s="72"/>
      <c r="G11" s="72"/>
      <c r="H11" s="72"/>
      <c r="I11" s="72"/>
      <c r="J11" s="72"/>
      <c r="K11" s="72"/>
      <c r="L11" s="72"/>
      <c r="M11" s="72"/>
      <c r="N11" s="72"/>
      <c r="O11" s="72"/>
      <c r="P11" s="80"/>
      <c r="Q11" s="77"/>
      <c r="R11" s="77"/>
      <c r="S11" s="77"/>
      <c r="T11" s="77"/>
      <c r="U11" s="77"/>
      <c r="V11" s="77"/>
      <c r="W11" s="77"/>
      <c r="X11" s="77"/>
      <c r="Y11" s="77"/>
      <c r="Z11" s="77"/>
      <c r="AA11" s="77"/>
      <c r="AB11" s="78"/>
      <c r="AC11" s="78"/>
      <c r="AD11" s="78"/>
    </row>
    <row r="12" spans="1:32" ht="13.5" customHeight="1" x14ac:dyDescent="0.3">
      <c r="A12" s="72"/>
      <c r="B12" s="72"/>
      <c r="C12" s="72"/>
      <c r="D12" s="72"/>
      <c r="E12" s="72"/>
      <c r="F12" s="72"/>
      <c r="G12" s="72"/>
      <c r="H12" s="72"/>
      <c r="I12" s="72"/>
      <c r="J12" s="72"/>
      <c r="K12" s="72"/>
      <c r="L12" s="72"/>
      <c r="M12" s="72"/>
      <c r="N12" s="72"/>
      <c r="O12" s="72"/>
      <c r="P12" s="80"/>
      <c r="Q12" s="77"/>
      <c r="R12" s="77"/>
      <c r="S12" s="77"/>
      <c r="T12" s="77"/>
      <c r="U12" s="77"/>
      <c r="V12" s="77"/>
      <c r="W12" s="77"/>
      <c r="X12" s="77"/>
      <c r="Y12" s="77"/>
      <c r="Z12" s="77"/>
      <c r="AA12" s="77"/>
      <c r="AB12" s="78"/>
      <c r="AC12" s="78"/>
      <c r="AD12" s="78"/>
    </row>
    <row r="13" spans="1:32" ht="38.25" hidden="1" customHeight="1" x14ac:dyDescent="0.3">
      <c r="A13" s="72"/>
      <c r="B13" s="72"/>
      <c r="C13" s="72"/>
      <c r="D13" s="72"/>
      <c r="E13" s="72"/>
      <c r="F13" s="72"/>
      <c r="G13" s="72"/>
      <c r="H13" s="72"/>
      <c r="I13" s="72"/>
      <c r="J13" s="72"/>
      <c r="K13" s="72"/>
      <c r="L13" s="72"/>
      <c r="M13" s="72"/>
      <c r="N13" s="72"/>
      <c r="O13" s="72"/>
      <c r="P13" s="80"/>
      <c r="Q13" s="80"/>
      <c r="R13" s="80"/>
      <c r="S13" s="80"/>
      <c r="T13" s="80"/>
      <c r="U13" s="80"/>
      <c r="V13" s="80"/>
      <c r="W13" s="80"/>
      <c r="X13" s="80"/>
      <c r="Y13" s="80"/>
      <c r="Z13" s="78"/>
      <c r="AA13" s="78"/>
      <c r="AB13" s="78"/>
      <c r="AC13" s="78"/>
      <c r="AD13" s="78"/>
    </row>
    <row r="14" spans="1:32" x14ac:dyDescent="0.3">
      <c r="A14" s="378"/>
      <c r="B14" s="381"/>
      <c r="C14" s="672" t="s">
        <v>55</v>
      </c>
      <c r="D14" s="672"/>
      <c r="E14" s="672"/>
      <c r="F14" s="672"/>
      <c r="G14" s="672"/>
      <c r="H14" s="672"/>
      <c r="I14" s="672"/>
      <c r="J14" s="672"/>
      <c r="K14" s="672"/>
      <c r="L14" s="672"/>
      <c r="M14" s="380"/>
      <c r="N14" s="72"/>
      <c r="O14" s="72"/>
      <c r="P14" s="80"/>
      <c r="Q14" s="80"/>
      <c r="R14" s="80"/>
      <c r="S14" s="80"/>
      <c r="T14" s="80"/>
      <c r="U14" s="80"/>
      <c r="V14" s="80"/>
      <c r="W14" s="80"/>
      <c r="X14" s="80"/>
      <c r="Y14" s="80"/>
      <c r="Z14" s="78"/>
      <c r="AA14" s="78"/>
      <c r="AB14" s="78"/>
      <c r="AC14" s="78"/>
      <c r="AD14" s="78"/>
    </row>
    <row r="15" spans="1:32" ht="25.5" customHeight="1" x14ac:dyDescent="0.3">
      <c r="A15" s="376"/>
      <c r="B15" s="382"/>
      <c r="C15" s="383" t="str">
        <f>C9</f>
        <v>1 год</v>
      </c>
      <c r="D15" s="383" t="str">
        <f t="shared" ref="D15:M15" si="14">D9</f>
        <v>2 год</v>
      </c>
      <c r="E15" s="383" t="str">
        <f t="shared" si="14"/>
        <v>3 год</v>
      </c>
      <c r="F15" s="383" t="str">
        <f t="shared" si="14"/>
        <v>4 год</v>
      </c>
      <c r="G15" s="383" t="str">
        <f t="shared" si="14"/>
        <v>5 год</v>
      </c>
      <c r="H15" s="383" t="str">
        <f t="shared" si="14"/>
        <v>6 год</v>
      </c>
      <c r="I15" s="383" t="str">
        <f t="shared" si="14"/>
        <v>7 год</v>
      </c>
      <c r="J15" s="383" t="str">
        <f t="shared" si="14"/>
        <v>8 год</v>
      </c>
      <c r="K15" s="383" t="str">
        <f t="shared" si="14"/>
        <v>9 год</v>
      </c>
      <c r="L15" s="383" t="str">
        <f t="shared" si="14"/>
        <v>10 год</v>
      </c>
      <c r="M15" s="383" t="str">
        <f t="shared" si="14"/>
        <v>11 год</v>
      </c>
      <c r="N15" s="62"/>
    </row>
    <row r="16" spans="1:32" x14ac:dyDescent="0.3">
      <c r="A16" s="64" t="str">
        <f>A4</f>
        <v>Кирпич клинкерный</v>
      </c>
      <c r="B16" s="65" t="s">
        <v>56</v>
      </c>
      <c r="C16" s="82">
        <v>0</v>
      </c>
      <c r="D16" s="546">
        <v>0.7</v>
      </c>
      <c r="E16" s="546">
        <v>0.8</v>
      </c>
      <c r="F16" s="546">
        <v>0.9</v>
      </c>
      <c r="G16" s="546">
        <v>0.9</v>
      </c>
      <c r="H16" s="546">
        <v>0.9</v>
      </c>
      <c r="I16" s="546">
        <v>0.9</v>
      </c>
      <c r="J16" s="546">
        <v>0.9</v>
      </c>
      <c r="K16" s="546">
        <v>0.9</v>
      </c>
      <c r="L16" s="546">
        <v>0.9</v>
      </c>
      <c r="M16" s="546">
        <v>0.9</v>
      </c>
      <c r="N16" s="603">
        <f>M16</f>
        <v>0.9</v>
      </c>
    </row>
    <row r="17" spans="1:31" ht="7.5" customHeight="1" x14ac:dyDescent="0.3">
      <c r="A17" s="83"/>
      <c r="B17" s="84"/>
      <c r="C17" s="85"/>
      <c r="D17" s="85"/>
      <c r="E17" s="85"/>
      <c r="F17" s="85"/>
      <c r="G17" s="86"/>
      <c r="H17" s="86"/>
      <c r="I17" s="86"/>
      <c r="J17" s="86"/>
      <c r="K17" s="86"/>
      <c r="L17" s="86"/>
      <c r="M17" s="87"/>
      <c r="N17" s="62"/>
    </row>
    <row r="18" spans="1:31" ht="1.5" hidden="1" customHeight="1" x14ac:dyDescent="0.3">
      <c r="A18" s="83"/>
      <c r="B18" s="84"/>
      <c r="C18" s="85"/>
      <c r="D18" s="85"/>
      <c r="E18" s="85"/>
      <c r="F18" s="85"/>
      <c r="G18" s="86"/>
      <c r="H18" s="86"/>
      <c r="I18" s="86"/>
      <c r="J18" s="86"/>
      <c r="K18" s="86"/>
      <c r="L18" s="86"/>
      <c r="M18" s="87"/>
      <c r="N18" s="62"/>
    </row>
    <row r="19" spans="1:31" hidden="1" x14ac:dyDescent="0.3">
      <c r="E19" s="3"/>
      <c r="F19" s="3"/>
      <c r="G19" s="3"/>
      <c r="H19" s="3"/>
      <c r="I19" s="3"/>
      <c r="J19" s="3"/>
      <c r="K19" s="3"/>
      <c r="L19" s="3"/>
      <c r="M19" s="62"/>
      <c r="N19" s="62"/>
      <c r="Q19" s="8"/>
      <c r="W19" s="11"/>
    </row>
    <row r="20" spans="1:31" hidden="1" x14ac:dyDescent="0.3">
      <c r="E20" s="3"/>
      <c r="F20" s="3"/>
      <c r="G20" s="3"/>
      <c r="H20" s="3"/>
      <c r="I20" s="3"/>
      <c r="J20" s="3"/>
      <c r="K20" s="3"/>
      <c r="L20" s="3"/>
      <c r="M20" s="3"/>
      <c r="N20" s="3"/>
      <c r="W20" s="11"/>
    </row>
    <row r="21" spans="1:31" x14ac:dyDescent="0.3">
      <c r="M21" s="55"/>
      <c r="W21" s="11"/>
    </row>
    <row r="22" spans="1:31" x14ac:dyDescent="0.3">
      <c r="A22" s="376" t="s">
        <v>57</v>
      </c>
      <c r="B22" s="375">
        <v>2022</v>
      </c>
      <c r="C22" s="375" t="str">
        <f t="shared" ref="C22:M22" si="15">C3</f>
        <v>1 год</v>
      </c>
      <c r="D22" s="375" t="str">
        <f t="shared" si="15"/>
        <v>2 год</v>
      </c>
      <c r="E22" s="375" t="str">
        <f t="shared" si="15"/>
        <v>3 год</v>
      </c>
      <c r="F22" s="375" t="str">
        <f t="shared" si="15"/>
        <v>4 год</v>
      </c>
      <c r="G22" s="375" t="str">
        <f t="shared" si="15"/>
        <v>5 год</v>
      </c>
      <c r="H22" s="375" t="str">
        <f t="shared" si="15"/>
        <v>6 год</v>
      </c>
      <c r="I22" s="375" t="str">
        <f t="shared" si="15"/>
        <v>7 год</v>
      </c>
      <c r="J22" s="375" t="str">
        <f t="shared" si="15"/>
        <v>8 год</v>
      </c>
      <c r="K22" s="375" t="str">
        <f t="shared" si="15"/>
        <v>9 год</v>
      </c>
      <c r="L22" s="375" t="str">
        <f t="shared" si="15"/>
        <v>10 год</v>
      </c>
      <c r="M22" s="375" t="str">
        <f t="shared" si="15"/>
        <v>11 год</v>
      </c>
      <c r="W22" s="11"/>
    </row>
    <row r="23" spans="1:31" ht="57" customHeight="1" x14ac:dyDescent="0.3">
      <c r="A23" s="64" t="str">
        <f>A16</f>
        <v>Кирпич клинкерный</v>
      </c>
      <c r="B23" s="60"/>
      <c r="C23" s="69">
        <f>C10*C4</f>
        <v>0</v>
      </c>
      <c r="D23" s="69">
        <f>D10*D4</f>
        <v>64821.120000000003</v>
      </c>
      <c r="E23" s="69">
        <f t="shared" ref="E23:M23" si="16">E10*E4</f>
        <v>84135.16800000002</v>
      </c>
      <c r="F23" s="69">
        <f t="shared" si="16"/>
        <v>107019.93369600002</v>
      </c>
      <c r="G23" s="69">
        <f t="shared" si="16"/>
        <v>120531.20032512002</v>
      </c>
      <c r="H23" s="69">
        <f t="shared" si="16"/>
        <v>135278.54718842887</v>
      </c>
      <c r="I23" s="69">
        <f t="shared" si="16"/>
        <v>151361.66335416431</v>
      </c>
      <c r="J23" s="69">
        <f t="shared" si="16"/>
        <v>168887.75068990968</v>
      </c>
      <c r="K23" s="69">
        <f t="shared" si="16"/>
        <v>179021.01573130427</v>
      </c>
      <c r="L23" s="69">
        <f t="shared" si="16"/>
        <v>189762.27667518248</v>
      </c>
      <c r="M23" s="69">
        <f t="shared" si="16"/>
        <v>201148.01327569343</v>
      </c>
      <c r="Q23" s="11"/>
      <c r="W23" s="11"/>
    </row>
    <row r="24" spans="1:31" hidden="1" x14ac:dyDescent="0.3">
      <c r="A24" s="64"/>
      <c r="B24" s="60"/>
      <c r="C24" s="69"/>
      <c r="D24" s="69"/>
      <c r="E24" s="69"/>
      <c r="F24" s="69"/>
      <c r="G24" s="69"/>
      <c r="H24" s="69"/>
      <c r="I24" s="69"/>
      <c r="J24" s="69"/>
      <c r="K24" s="69"/>
      <c r="L24" s="69"/>
      <c r="M24" s="69"/>
    </row>
    <row r="25" spans="1:31" ht="3" customHeight="1" x14ac:dyDescent="0.3">
      <c r="A25" s="64"/>
      <c r="B25" s="60"/>
      <c r="C25" s="69"/>
      <c r="D25" s="69"/>
      <c r="E25" s="69"/>
      <c r="F25" s="69"/>
      <c r="G25" s="69"/>
      <c r="H25" s="69"/>
      <c r="I25" s="69"/>
      <c r="J25" s="69"/>
      <c r="K25" s="69"/>
      <c r="L25" s="69"/>
      <c r="M25" s="69"/>
    </row>
    <row r="26" spans="1:31" x14ac:dyDescent="0.3">
      <c r="A26" s="64" t="s">
        <v>15</v>
      </c>
      <c r="B26" s="60"/>
      <c r="C26" s="69">
        <f>SUM(C23:C25)</f>
        <v>0</v>
      </c>
      <c r="D26" s="69">
        <f t="shared" ref="D26:M26" si="17">SUM(D23:D25)</f>
        <v>64821.120000000003</v>
      </c>
      <c r="E26" s="69">
        <f t="shared" si="17"/>
        <v>84135.16800000002</v>
      </c>
      <c r="F26" s="69">
        <f t="shared" si="17"/>
        <v>107019.93369600002</v>
      </c>
      <c r="G26" s="69">
        <f t="shared" si="17"/>
        <v>120531.20032512002</v>
      </c>
      <c r="H26" s="69">
        <f>SUM(H23:H25)</f>
        <v>135278.54718842887</v>
      </c>
      <c r="I26" s="69">
        <f t="shared" si="17"/>
        <v>151361.66335416431</v>
      </c>
      <c r="J26" s="69">
        <f t="shared" si="17"/>
        <v>168887.75068990968</v>
      </c>
      <c r="K26" s="69">
        <f t="shared" si="17"/>
        <v>179021.01573130427</v>
      </c>
      <c r="L26" s="88">
        <f>SUM(L23:L25)</f>
        <v>189762.27667518248</v>
      </c>
      <c r="M26" s="69">
        <f t="shared" si="17"/>
        <v>201148.01327569343</v>
      </c>
      <c r="O26" s="62"/>
    </row>
    <row r="27" spans="1:31" x14ac:dyDescent="0.3">
      <c r="O27" s="62"/>
      <c r="AE27" s="55"/>
    </row>
    <row r="29" spans="1:31" x14ac:dyDescent="0.3">
      <c r="C29" s="661" t="s">
        <v>409</v>
      </c>
      <c r="D29" s="662"/>
      <c r="E29" s="662"/>
      <c r="F29" s="662"/>
      <c r="G29" s="662"/>
      <c r="H29" s="662"/>
      <c r="I29" s="662"/>
      <c r="J29" s="662"/>
      <c r="K29" s="662"/>
      <c r="L29" s="662"/>
      <c r="M29" s="663"/>
    </row>
    <row r="30" spans="1:31" x14ac:dyDescent="0.3">
      <c r="C30" s="89" t="s">
        <v>38</v>
      </c>
      <c r="D30" s="89" t="s">
        <v>39</v>
      </c>
      <c r="E30" s="89" t="s">
        <v>40</v>
      </c>
      <c r="F30" s="89" t="s">
        <v>41</v>
      </c>
      <c r="G30" s="89" t="s">
        <v>42</v>
      </c>
      <c r="H30" s="89" t="s">
        <v>58</v>
      </c>
      <c r="I30" s="89" t="s">
        <v>44</v>
      </c>
      <c r="J30" s="89" t="s">
        <v>45</v>
      </c>
      <c r="K30" s="89" t="s">
        <v>46</v>
      </c>
      <c r="L30" s="89" t="s">
        <v>47</v>
      </c>
      <c r="M30" s="536" t="s">
        <v>48</v>
      </c>
    </row>
    <row r="31" spans="1:31" x14ac:dyDescent="0.3">
      <c r="C31" s="90">
        <f>C10</f>
        <v>0</v>
      </c>
      <c r="D31" s="90">
        <f>D10/1000000</f>
        <v>3.8219999999999996</v>
      </c>
      <c r="E31" s="90">
        <f t="shared" ref="E31:M31" si="18">E10/1000000</f>
        <v>4.68</v>
      </c>
      <c r="F31" s="90">
        <f t="shared" si="18"/>
        <v>5.6159999999999997</v>
      </c>
      <c r="G31" s="90">
        <f t="shared" si="18"/>
        <v>5.9669999999999996</v>
      </c>
      <c r="H31" s="90">
        <f t="shared" si="18"/>
        <v>6.3180000000000023</v>
      </c>
      <c r="I31" s="90">
        <f t="shared" si="18"/>
        <v>6.6690000000000023</v>
      </c>
      <c r="J31" s="90">
        <f t="shared" si="18"/>
        <v>7.0200000000000022</v>
      </c>
      <c r="K31" s="90">
        <f t="shared" si="18"/>
        <v>7.0200000000000022</v>
      </c>
      <c r="L31" s="90">
        <f t="shared" si="18"/>
        <v>7.02</v>
      </c>
      <c r="M31" s="90">
        <f t="shared" si="18"/>
        <v>7.02</v>
      </c>
    </row>
    <row r="32" spans="1:31" x14ac:dyDescent="0.3">
      <c r="C32" s="78"/>
      <c r="D32" s="78"/>
      <c r="E32" s="78"/>
      <c r="F32" s="78"/>
      <c r="G32" s="78"/>
      <c r="H32" s="78"/>
    </row>
    <row r="33" spans="1:14" ht="18" customHeight="1" x14ac:dyDescent="0.3">
      <c r="C33" s="664" t="s">
        <v>59</v>
      </c>
      <c r="D33" s="665"/>
      <c r="E33" s="665"/>
      <c r="F33" s="665"/>
      <c r="G33" s="665"/>
      <c r="H33" s="665"/>
      <c r="I33" s="665"/>
      <c r="J33" s="665"/>
      <c r="K33" s="665"/>
      <c r="L33" s="665"/>
      <c r="M33" s="666"/>
    </row>
    <row r="34" spans="1:14" x14ac:dyDescent="0.3">
      <c r="C34" s="89" t="str">
        <f>C30</f>
        <v>1 год</v>
      </c>
      <c r="D34" s="89" t="str">
        <f t="shared" ref="D34:M34" si="19">D30</f>
        <v>2 год</v>
      </c>
      <c r="E34" s="89" t="str">
        <f t="shared" si="19"/>
        <v>3 год</v>
      </c>
      <c r="F34" s="89" t="str">
        <f t="shared" si="19"/>
        <v>4 год</v>
      </c>
      <c r="G34" s="89" t="str">
        <f t="shared" si="19"/>
        <v>5 год</v>
      </c>
      <c r="H34" s="89" t="str">
        <f t="shared" si="19"/>
        <v xml:space="preserve">6 год </v>
      </c>
      <c r="I34" s="89" t="str">
        <f t="shared" si="19"/>
        <v>7 год</v>
      </c>
      <c r="J34" s="89" t="str">
        <f t="shared" si="19"/>
        <v>8 год</v>
      </c>
      <c r="K34" s="89" t="str">
        <f t="shared" si="19"/>
        <v>9 год</v>
      </c>
      <c r="L34" s="89" t="str">
        <f t="shared" si="19"/>
        <v>10 год</v>
      </c>
      <c r="M34" s="89" t="str">
        <f t="shared" si="19"/>
        <v>11 год</v>
      </c>
    </row>
    <row r="35" spans="1:14" x14ac:dyDescent="0.3">
      <c r="C35" s="91">
        <f>C16</f>
        <v>0</v>
      </c>
      <c r="D35" s="91">
        <f>D16</f>
        <v>0.7</v>
      </c>
      <c r="E35" s="91">
        <f t="shared" ref="E35:M35" si="20">E16</f>
        <v>0.8</v>
      </c>
      <c r="F35" s="91">
        <f t="shared" si="20"/>
        <v>0.9</v>
      </c>
      <c r="G35" s="91">
        <f t="shared" si="20"/>
        <v>0.9</v>
      </c>
      <c r="H35" s="91">
        <f t="shared" si="20"/>
        <v>0.9</v>
      </c>
      <c r="I35" s="91">
        <f t="shared" si="20"/>
        <v>0.9</v>
      </c>
      <c r="J35" s="91">
        <f t="shared" si="20"/>
        <v>0.9</v>
      </c>
      <c r="K35" s="91">
        <f t="shared" si="20"/>
        <v>0.9</v>
      </c>
      <c r="L35" s="91">
        <f t="shared" si="20"/>
        <v>0.9</v>
      </c>
      <c r="M35" s="91">
        <f t="shared" si="20"/>
        <v>0.9</v>
      </c>
    </row>
    <row r="36" spans="1:14" x14ac:dyDescent="0.3">
      <c r="N36" s="92"/>
    </row>
    <row r="37" spans="1:14" x14ac:dyDescent="0.3">
      <c r="A37" s="627" t="s">
        <v>468</v>
      </c>
      <c r="B37"/>
      <c r="C37"/>
      <c r="D37"/>
      <c r="E37" s="627"/>
      <c r="F37"/>
      <c r="G37"/>
      <c r="H37"/>
      <c r="I37"/>
      <c r="J37"/>
      <c r="K37"/>
      <c r="L37"/>
      <c r="N37" s="635">
        <f>F43</f>
        <v>81582.975000000006</v>
      </c>
    </row>
    <row r="38" spans="1:14" ht="43.2" x14ac:dyDescent="0.3">
      <c r="A38"/>
      <c r="B38" s="627" t="s">
        <v>494</v>
      </c>
      <c r="C38" s="646" t="s">
        <v>510</v>
      </c>
      <c r="D38" s="646" t="s">
        <v>511</v>
      </c>
      <c r="E38" s="646" t="s">
        <v>512</v>
      </c>
      <c r="F38" s="634" t="s">
        <v>497</v>
      </c>
      <c r="K38"/>
      <c r="L38"/>
    </row>
    <row r="39" spans="1:14" x14ac:dyDescent="0.3">
      <c r="A39" s="627" t="s">
        <v>469</v>
      </c>
      <c r="B39">
        <v>300</v>
      </c>
      <c r="C39">
        <v>6</v>
      </c>
      <c r="D39">
        <f>250/1000</f>
        <v>0.25</v>
      </c>
      <c r="E39" s="160">
        <f>D39*3*365</f>
        <v>273.75</v>
      </c>
      <c r="F39">
        <f>E39*C39</f>
        <v>1642.5</v>
      </c>
      <c r="J39"/>
      <c r="K39"/>
      <c r="L39"/>
    </row>
    <row r="40" spans="1:14" ht="43.2" x14ac:dyDescent="0.3">
      <c r="A40" s="628" t="s">
        <v>470</v>
      </c>
      <c r="B40">
        <v>800</v>
      </c>
      <c r="C40">
        <v>4</v>
      </c>
      <c r="D40">
        <f>250/1000</f>
        <v>0.25</v>
      </c>
      <c r="E40" s="160">
        <f>D40*3*365</f>
        <v>273.75</v>
      </c>
      <c r="F40">
        <f>E40*C40</f>
        <v>1095</v>
      </c>
      <c r="J40"/>
      <c r="K40"/>
      <c r="L40"/>
    </row>
    <row r="41" spans="1:14" x14ac:dyDescent="0.3">
      <c r="A41" s="646" t="s">
        <v>509</v>
      </c>
      <c r="B41"/>
      <c r="C41">
        <v>4</v>
      </c>
      <c r="D41">
        <v>4.5</v>
      </c>
      <c r="E41" s="7">
        <f>D41*365*12</f>
        <v>19710</v>
      </c>
      <c r="F41" s="7">
        <f>E41*C41</f>
        <v>78840</v>
      </c>
      <c r="J41"/>
      <c r="K41"/>
      <c r="L41"/>
    </row>
    <row r="42" spans="1:14" x14ac:dyDescent="0.3">
      <c r="A42" t="s">
        <v>496</v>
      </c>
      <c r="B42"/>
      <c r="C42"/>
      <c r="D42"/>
      <c r="E42" s="7"/>
      <c r="F42" s="7">
        <f>2.5/1000*3*2*365</f>
        <v>5.4749999999999996</v>
      </c>
      <c r="G42"/>
      <c r="H42" s="160"/>
      <c r="I42"/>
      <c r="J42"/>
      <c r="K42"/>
      <c r="L42"/>
    </row>
    <row r="43" spans="1:14" x14ac:dyDescent="0.3">
      <c r="A43"/>
      <c r="B43"/>
      <c r="C43"/>
      <c r="D43"/>
      <c r="E43" s="7"/>
      <c r="F43" s="7">
        <f>SUM(F39:F42)</f>
        <v>81582.975000000006</v>
      </c>
      <c r="G43"/>
      <c r="H43"/>
      <c r="I43"/>
      <c r="J43"/>
      <c r="K43"/>
      <c r="L43"/>
    </row>
    <row r="44" spans="1:14" x14ac:dyDescent="0.3">
      <c r="A44"/>
      <c r="B44"/>
      <c r="C44"/>
      <c r="D44"/>
      <c r="E44"/>
      <c r="F44"/>
      <c r="G44"/>
      <c r="H44"/>
      <c r="I44"/>
      <c r="J44"/>
      <c r="K44"/>
      <c r="L44"/>
    </row>
    <row r="45" spans="1:14" x14ac:dyDescent="0.3">
      <c r="A45"/>
      <c r="B45"/>
      <c r="C45"/>
      <c r="D45"/>
      <c r="E45"/>
      <c r="F45"/>
      <c r="G45"/>
      <c r="H45"/>
      <c r="I45"/>
      <c r="J45"/>
      <c r="K45"/>
      <c r="L45"/>
    </row>
  </sheetData>
  <mergeCells count="7">
    <mergeCell ref="C29:M29"/>
    <mergeCell ref="C33:M33"/>
    <mergeCell ref="C2:M2"/>
    <mergeCell ref="P2:Z2"/>
    <mergeCell ref="C8:M8"/>
    <mergeCell ref="P8:Z8"/>
    <mergeCell ref="C14:L14"/>
  </mergeCells>
  <pageMargins left="0.7" right="0.7" top="0.75" bottom="0.75" header="0.3" footer="0.3"/>
  <pageSetup paperSize="8" scale="62" firstPageNumber="2147483648"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7">
    <tabColor theme="0"/>
    <pageSetUpPr fitToPage="1"/>
  </sheetPr>
  <dimension ref="A1:AU20"/>
  <sheetViews>
    <sheetView zoomScale="70" zoomScaleNormal="70" workbookViewId="0">
      <pane xSplit="2" ySplit="1" topLeftCell="C2" activePane="bottomRight" state="frozen"/>
      <selection activeCell="C20" sqref="C20"/>
      <selection pane="topRight"/>
      <selection pane="bottomLeft"/>
      <selection pane="bottomRight" activeCell="K62" sqref="K62"/>
    </sheetView>
  </sheetViews>
  <sheetFormatPr defaultColWidth="9.109375" defaultRowHeight="14.4" x14ac:dyDescent="0.3"/>
  <cols>
    <col min="1" max="1" width="7.33203125" style="93" customWidth="1"/>
    <col min="2" max="2" width="26.5546875" style="53" customWidth="1"/>
    <col min="3" max="3" width="12.109375" style="94" customWidth="1"/>
    <col min="4" max="4" width="13.44140625" style="94" customWidth="1"/>
    <col min="5" max="5" width="14" style="94" customWidth="1"/>
    <col min="6" max="6" width="15.109375" style="94" customWidth="1"/>
    <col min="7" max="7" width="15.33203125" style="94" customWidth="1"/>
    <col min="8" max="8" width="15.44140625" style="94" customWidth="1"/>
    <col min="9" max="9" width="14" style="94" customWidth="1"/>
    <col min="10" max="10" width="15.33203125" style="94" customWidth="1"/>
    <col min="11" max="11" width="16.109375" style="94" customWidth="1"/>
    <col min="12" max="12" width="16.33203125" style="94" customWidth="1"/>
    <col min="13" max="13" width="16.44140625" style="94" customWidth="1"/>
    <col min="14" max="14" width="13.44140625" style="94" customWidth="1"/>
    <col min="15" max="15" width="17.109375" style="94" customWidth="1"/>
    <col min="16" max="16" width="13.6640625" style="94" customWidth="1"/>
    <col min="17" max="17" width="13.5546875" style="94" customWidth="1"/>
    <col min="18" max="18" width="13.88671875" style="94" customWidth="1"/>
    <col min="19" max="19" width="18.44140625" style="94" customWidth="1"/>
    <col min="20" max="20" width="14.88671875" style="94" customWidth="1"/>
    <col min="21" max="21" width="14.44140625" style="94" customWidth="1"/>
    <col min="22" max="22" width="14.33203125" style="94" customWidth="1"/>
    <col min="23" max="23" width="15.33203125" style="94" customWidth="1"/>
    <col min="24" max="24" width="14.44140625" customWidth="1"/>
    <col min="25" max="25" width="13.5546875" customWidth="1"/>
    <col min="26" max="26" width="14.44140625" customWidth="1"/>
    <col min="27" max="27" width="15.88671875" customWidth="1"/>
    <col min="28" max="28" width="17.5546875" customWidth="1"/>
    <col min="29" max="29" width="15.44140625" customWidth="1"/>
    <col min="30" max="30" width="19.5546875" customWidth="1"/>
    <col min="31" max="31" width="16.109375" customWidth="1"/>
    <col min="32" max="32" width="13" customWidth="1"/>
    <col min="33" max="33" width="14.109375" customWidth="1"/>
    <col min="34" max="34" width="11.6640625" customWidth="1"/>
    <col min="35" max="35" width="14.109375" customWidth="1"/>
    <col min="36" max="36" width="16.6640625" customWidth="1"/>
    <col min="37" max="37" width="13.6640625" customWidth="1"/>
    <col min="38" max="38" width="13" customWidth="1"/>
    <col min="39" max="39" width="12.44140625" customWidth="1"/>
    <col min="40" max="40" width="14.109375" customWidth="1"/>
    <col min="41" max="41" width="12.6640625" customWidth="1"/>
    <col min="42" max="42" width="13" customWidth="1"/>
    <col min="43" max="43" width="12.33203125" customWidth="1"/>
    <col min="44" max="44" width="13" customWidth="1"/>
    <col min="45" max="45" width="11.6640625" customWidth="1"/>
    <col min="46" max="46" width="12.44140625" customWidth="1"/>
    <col min="47" max="47" width="13.44140625" customWidth="1"/>
  </cols>
  <sheetData>
    <row r="1" spans="1:47" s="63" customFormat="1" x14ac:dyDescent="0.3">
      <c r="A1" s="377" t="s">
        <v>60</v>
      </c>
      <c r="B1" s="376" t="s">
        <v>61</v>
      </c>
      <c r="C1" s="375"/>
      <c r="D1" s="375" t="s">
        <v>62</v>
      </c>
      <c r="E1" s="375" t="s">
        <v>63</v>
      </c>
      <c r="F1" s="375" t="s">
        <v>64</v>
      </c>
      <c r="G1" s="375" t="s">
        <v>65</v>
      </c>
      <c r="H1" s="375" t="s">
        <v>66</v>
      </c>
      <c r="I1" s="375" t="s">
        <v>67</v>
      </c>
      <c r="J1" s="375" t="s">
        <v>68</v>
      </c>
      <c r="K1" s="375" t="s">
        <v>69</v>
      </c>
      <c r="L1" s="375" t="s">
        <v>70</v>
      </c>
      <c r="M1" s="375" t="s">
        <v>71</v>
      </c>
      <c r="N1" s="375" t="s">
        <v>72</v>
      </c>
      <c r="O1" s="375" t="s">
        <v>73</v>
      </c>
      <c r="P1" s="375" t="s">
        <v>74</v>
      </c>
      <c r="Q1" s="375" t="s">
        <v>75</v>
      </c>
      <c r="R1" s="375" t="s">
        <v>76</v>
      </c>
      <c r="S1" s="375" t="s">
        <v>77</v>
      </c>
      <c r="T1" s="375" t="s">
        <v>78</v>
      </c>
      <c r="U1" s="375" t="s">
        <v>79</v>
      </c>
      <c r="V1" s="375" t="s">
        <v>80</v>
      </c>
      <c r="W1" s="375" t="s">
        <v>81</v>
      </c>
      <c r="X1" s="375" t="s">
        <v>82</v>
      </c>
      <c r="Y1" s="375" t="s">
        <v>83</v>
      </c>
      <c r="Z1" s="375" t="s">
        <v>84</v>
      </c>
      <c r="AA1" s="375" t="s">
        <v>85</v>
      </c>
      <c r="AB1" s="375" t="s">
        <v>88</v>
      </c>
      <c r="AC1" s="375" t="s">
        <v>89</v>
      </c>
      <c r="AD1" s="375" t="s">
        <v>90</v>
      </c>
      <c r="AE1" s="375" t="s">
        <v>91</v>
      </c>
      <c r="AF1" s="375" t="s">
        <v>92</v>
      </c>
      <c r="AG1" s="375" t="s">
        <v>93</v>
      </c>
      <c r="AH1" s="375" t="s">
        <v>94</v>
      </c>
      <c r="AI1" s="375" t="s">
        <v>95</v>
      </c>
      <c r="AJ1" s="375" t="s">
        <v>96</v>
      </c>
      <c r="AK1" s="375" t="s">
        <v>97</v>
      </c>
      <c r="AL1" s="375" t="s">
        <v>98</v>
      </c>
      <c r="AM1" s="375" t="s">
        <v>99</v>
      </c>
      <c r="AN1" s="375" t="s">
        <v>100</v>
      </c>
      <c r="AO1" s="375" t="s">
        <v>101</v>
      </c>
      <c r="AP1" s="375" t="s">
        <v>102</v>
      </c>
      <c r="AQ1" s="375" t="s">
        <v>103</v>
      </c>
      <c r="AR1" s="375" t="s">
        <v>104</v>
      </c>
      <c r="AS1" s="375" t="s">
        <v>105</v>
      </c>
      <c r="AT1" s="375" t="s">
        <v>106</v>
      </c>
      <c r="AU1" s="375" t="s">
        <v>107</v>
      </c>
    </row>
    <row r="2" spans="1:47" x14ac:dyDescent="0.3">
      <c r="A2" s="65">
        <v>1</v>
      </c>
      <c r="B2" s="64" t="str">
        <f>'объем работ 100% загр'!A4</f>
        <v>Кирпич клинкерный</v>
      </c>
      <c r="C2" s="96" t="s">
        <v>86</v>
      </c>
      <c r="E2" s="69"/>
      <c r="F2" s="385">
        <f>'объем работ 100% загр'!C23/2</f>
        <v>0</v>
      </c>
      <c r="G2" s="385">
        <f>F2</f>
        <v>0</v>
      </c>
      <c r="H2" s="385">
        <f>'объем работ 100% загр'!D23/4</f>
        <v>16205.28</v>
      </c>
      <c r="I2" s="385">
        <f t="shared" ref="I2:I4" si="0">H2</f>
        <v>16205.28</v>
      </c>
      <c r="J2" s="385">
        <f t="shared" ref="J2:K4" si="1">I2</f>
        <v>16205.28</v>
      </c>
      <c r="K2" s="385">
        <f t="shared" si="1"/>
        <v>16205.28</v>
      </c>
      <c r="L2" s="385">
        <f>'объем работ 100% загр'!E23/4</f>
        <v>21033.792000000005</v>
      </c>
      <c r="M2" s="385">
        <f t="shared" ref="M2:O4" si="2">L2</f>
        <v>21033.792000000005</v>
      </c>
      <c r="N2" s="385">
        <f t="shared" ref="N2:O2" si="3">M2</f>
        <v>21033.792000000005</v>
      </c>
      <c r="O2" s="385">
        <f t="shared" si="3"/>
        <v>21033.792000000005</v>
      </c>
      <c r="P2" s="385">
        <f>'объем работ 100% загр'!F23/4</f>
        <v>26754.983424000005</v>
      </c>
      <c r="Q2" s="385">
        <f t="shared" ref="Q2:S4" si="4">P2</f>
        <v>26754.983424000005</v>
      </c>
      <c r="R2" s="385">
        <f>Q2</f>
        <v>26754.983424000005</v>
      </c>
      <c r="S2" s="385">
        <f>R2</f>
        <v>26754.983424000005</v>
      </c>
      <c r="T2" s="385">
        <f>'объем работ 100% загр'!G23/4</f>
        <v>30132.800081280006</v>
      </c>
      <c r="U2" s="385">
        <f t="shared" ref="U2:AA4" si="5">T2</f>
        <v>30132.800081280006</v>
      </c>
      <c r="V2" s="385">
        <f t="shared" ref="V2:AA2" si="6">U2</f>
        <v>30132.800081280006</v>
      </c>
      <c r="W2" s="385">
        <f t="shared" si="6"/>
        <v>30132.800081280006</v>
      </c>
      <c r="X2" s="385">
        <f>'объем работ 100% загр'!H23/4</f>
        <v>33819.636797107218</v>
      </c>
      <c r="Y2" s="385">
        <f t="shared" si="6"/>
        <v>33819.636797107218</v>
      </c>
      <c r="Z2" s="385">
        <f t="shared" si="6"/>
        <v>33819.636797107218</v>
      </c>
      <c r="AA2" s="385">
        <f t="shared" si="6"/>
        <v>33819.636797107218</v>
      </c>
      <c r="AB2" s="385">
        <f>'объем работ 100% загр'!I23/4</f>
        <v>37840.415838541077</v>
      </c>
      <c r="AC2" s="385">
        <f>AB2</f>
        <v>37840.415838541077</v>
      </c>
      <c r="AD2" s="385">
        <f t="shared" ref="AD2:AE2" si="7">AC2</f>
        <v>37840.415838541077</v>
      </c>
      <c r="AE2" s="385">
        <f t="shared" si="7"/>
        <v>37840.415838541077</v>
      </c>
      <c r="AF2" s="385">
        <f>'объем работ 100% загр'!J23/4</f>
        <v>42221.937672477419</v>
      </c>
      <c r="AG2" s="385">
        <f>AF2</f>
        <v>42221.937672477419</v>
      </c>
      <c r="AH2" s="385">
        <f t="shared" ref="AH2:AI2" si="8">AG2</f>
        <v>42221.937672477419</v>
      </c>
      <c r="AI2" s="385">
        <f t="shared" si="8"/>
        <v>42221.937672477419</v>
      </c>
      <c r="AJ2" s="385">
        <f>'объем работ 100% загр'!K23/4</f>
        <v>44755.253932826068</v>
      </c>
      <c r="AK2" s="385">
        <f>AJ2</f>
        <v>44755.253932826068</v>
      </c>
      <c r="AL2" s="385">
        <f t="shared" ref="AL2:AM2" si="9">AK2</f>
        <v>44755.253932826068</v>
      </c>
      <c r="AM2" s="385">
        <f t="shared" si="9"/>
        <v>44755.253932826068</v>
      </c>
      <c r="AN2" s="385">
        <f>'объем работ 100% загр'!L23/4</f>
        <v>47440.56916879562</v>
      </c>
      <c r="AO2" s="385">
        <f>AN2</f>
        <v>47440.56916879562</v>
      </c>
      <c r="AP2" s="385">
        <f>AO2</f>
        <v>47440.56916879562</v>
      </c>
      <c r="AQ2" s="385">
        <f t="shared" ref="AQ2:AQ4" si="10">AP2</f>
        <v>47440.56916879562</v>
      </c>
      <c r="AR2" s="385">
        <f>'объем работ 100% загр'!M23/4</f>
        <v>50287.003318923358</v>
      </c>
      <c r="AS2" s="385">
        <f t="shared" ref="AS2:AU2" si="11">AR2</f>
        <v>50287.003318923358</v>
      </c>
      <c r="AT2" s="385">
        <f t="shared" si="11"/>
        <v>50287.003318923358</v>
      </c>
      <c r="AU2" s="385">
        <f t="shared" si="11"/>
        <v>50287.003318923358</v>
      </c>
    </row>
    <row r="3" spans="1:47" ht="1.5" customHeight="1" x14ac:dyDescent="0.3">
      <c r="A3" s="65">
        <v>2</v>
      </c>
      <c r="B3" s="64">
        <f>'объем работ 100% загр'!A5</f>
        <v>0</v>
      </c>
      <c r="C3" s="97"/>
      <c r="D3" s="69">
        <f>'объем работ 100% загр'!C24/4</f>
        <v>0</v>
      </c>
      <c r="E3" s="69">
        <f t="shared" ref="E3:E4" si="12">D3</f>
        <v>0</v>
      </c>
      <c r="F3" s="69">
        <f t="shared" ref="F3:G4" si="13">E3</f>
        <v>0</v>
      </c>
      <c r="G3" s="69">
        <f t="shared" si="13"/>
        <v>0</v>
      </c>
      <c r="H3" s="69">
        <f>'объем работ 100% загр'!D24/4</f>
        <v>0</v>
      </c>
      <c r="I3" s="69">
        <f t="shared" si="0"/>
        <v>0</v>
      </c>
      <c r="J3" s="69">
        <f t="shared" si="1"/>
        <v>0</v>
      </c>
      <c r="K3" s="69">
        <f>'объем работ 100% загр'!D5*'объем работ 100% загр'!D11</f>
        <v>0</v>
      </c>
      <c r="L3" s="69">
        <f>'объем работ 100% загр'!E24/4</f>
        <v>0</v>
      </c>
      <c r="M3" s="69">
        <f t="shared" si="2"/>
        <v>0</v>
      </c>
      <c r="N3" s="69">
        <f t="shared" si="2"/>
        <v>0</v>
      </c>
      <c r="O3" s="69">
        <f t="shared" si="2"/>
        <v>0</v>
      </c>
      <c r="P3" s="69">
        <f>'объем работ 100% загр'!F24/4</f>
        <v>0</v>
      </c>
      <c r="Q3" s="69">
        <f t="shared" si="4"/>
        <v>0</v>
      </c>
      <c r="R3" s="69">
        <f t="shared" si="4"/>
        <v>0</v>
      </c>
      <c r="S3" s="69">
        <f t="shared" si="4"/>
        <v>0</v>
      </c>
      <c r="T3" s="69">
        <f>'объем работ 100% загр'!G24/4</f>
        <v>0</v>
      </c>
      <c r="U3" s="69">
        <f t="shared" si="5"/>
        <v>0</v>
      </c>
      <c r="V3" s="69">
        <f t="shared" si="5"/>
        <v>0</v>
      </c>
      <c r="W3" s="69">
        <f t="shared" si="5"/>
        <v>0</v>
      </c>
      <c r="X3" s="69">
        <f>'объем работ 100% загр'!H24/4</f>
        <v>0</v>
      </c>
      <c r="Y3" s="69">
        <f t="shared" si="5"/>
        <v>0</v>
      </c>
      <c r="Z3" s="69">
        <f t="shared" si="5"/>
        <v>0</v>
      </c>
      <c r="AA3" s="69">
        <f t="shared" si="5"/>
        <v>0</v>
      </c>
      <c r="AB3" s="97">
        <f>'объем работ 100% загр'!I24/4</f>
        <v>0</v>
      </c>
      <c r="AC3" s="97">
        <f>'объем работ 100% загр'!J24/4</f>
        <v>0</v>
      </c>
      <c r="AD3" s="97">
        <f>'объем работ 100% загр'!K24/4</f>
        <v>0</v>
      </c>
      <c r="AE3" s="97">
        <f>'объем работ 100% загр'!L24/4</f>
        <v>0</v>
      </c>
      <c r="AF3" s="97">
        <f>'объем работ 100% загр'!J24/4</f>
        <v>0</v>
      </c>
      <c r="AG3" s="97">
        <f>'объем работ 100% загр'!K24/4</f>
        <v>0</v>
      </c>
      <c r="AH3" s="97">
        <f>'объем работ 100% загр'!L24/4</f>
        <v>0</v>
      </c>
      <c r="AI3" s="97">
        <f>'объем работ 100% загр'!M24/4</f>
        <v>0</v>
      </c>
      <c r="AJ3" s="97">
        <f>'объем работ 100% загр'!K24/4</f>
        <v>0</v>
      </c>
      <c r="AK3" s="97">
        <f>'объем работ 100% загр'!L24/4</f>
        <v>0</v>
      </c>
      <c r="AL3" s="97">
        <f>'объем работ 100% загр'!M24/4</f>
        <v>0</v>
      </c>
      <c r="AM3" s="97">
        <f>'объем работ 100% загр'!N24/4</f>
        <v>0</v>
      </c>
      <c r="AN3" s="97">
        <f>'объем работ 100% загр'!L24/4</f>
        <v>0</v>
      </c>
      <c r="AO3" s="97">
        <f>'объем работ 100% загр'!M24/4</f>
        <v>0</v>
      </c>
      <c r="AP3" s="97">
        <f>'объем работ 100% загр'!N24/4</f>
        <v>0</v>
      </c>
      <c r="AQ3" s="69">
        <f t="shared" si="10"/>
        <v>0</v>
      </c>
      <c r="AR3" s="97">
        <f>'объем работ 100% загр'!M24/4</f>
        <v>0</v>
      </c>
      <c r="AS3" s="97">
        <f t="shared" ref="AS3:AS4" si="14">AR3</f>
        <v>0</v>
      </c>
      <c r="AT3" s="97">
        <f t="shared" ref="AT3:AU4" si="15">AS3</f>
        <v>0</v>
      </c>
      <c r="AU3" s="97">
        <f t="shared" si="15"/>
        <v>0</v>
      </c>
    </row>
    <row r="4" spans="1:47" hidden="1" x14ac:dyDescent="0.3">
      <c r="A4" s="65">
        <v>3</v>
      </c>
      <c r="B4" s="64">
        <f>'объем работ 100% загр'!A6</f>
        <v>0</v>
      </c>
      <c r="C4" s="97"/>
      <c r="D4" s="69">
        <f>'объем работ 100% загр'!C25/4</f>
        <v>0</v>
      </c>
      <c r="E4" s="69">
        <f t="shared" si="12"/>
        <v>0</v>
      </c>
      <c r="F4" s="69">
        <f t="shared" si="13"/>
        <v>0</v>
      </c>
      <c r="G4" s="69">
        <f t="shared" si="13"/>
        <v>0</v>
      </c>
      <c r="H4" s="69">
        <f>'объем работ 100% загр'!D25/4</f>
        <v>0</v>
      </c>
      <c r="I4" s="69">
        <f t="shared" si="0"/>
        <v>0</v>
      </c>
      <c r="J4" s="69">
        <f t="shared" si="1"/>
        <v>0</v>
      </c>
      <c r="K4" s="69">
        <f t="shared" si="1"/>
        <v>0</v>
      </c>
      <c r="L4" s="69">
        <f>'объем работ 100% загр'!E25/4</f>
        <v>0</v>
      </c>
      <c r="M4" s="69">
        <f t="shared" si="2"/>
        <v>0</v>
      </c>
      <c r="N4" s="69">
        <f t="shared" si="2"/>
        <v>0</v>
      </c>
      <c r="O4" s="69">
        <f t="shared" si="2"/>
        <v>0</v>
      </c>
      <c r="P4" s="69">
        <f>'объем работ 100% загр'!F25/4</f>
        <v>0</v>
      </c>
      <c r="Q4" s="69">
        <f t="shared" si="4"/>
        <v>0</v>
      </c>
      <c r="R4" s="69">
        <f t="shared" si="4"/>
        <v>0</v>
      </c>
      <c r="S4" s="69">
        <f t="shared" si="4"/>
        <v>0</v>
      </c>
      <c r="T4" s="69">
        <f>'объем работ 100% загр'!G25/4</f>
        <v>0</v>
      </c>
      <c r="U4" s="69">
        <f t="shared" si="5"/>
        <v>0</v>
      </c>
      <c r="V4" s="69">
        <f t="shared" si="5"/>
        <v>0</v>
      </c>
      <c r="W4" s="69">
        <f t="shared" si="5"/>
        <v>0</v>
      </c>
      <c r="X4" s="69">
        <f>'объем работ 100% загр'!H25/4</f>
        <v>0</v>
      </c>
      <c r="Y4" s="69">
        <f>X4</f>
        <v>0</v>
      </c>
      <c r="Z4" s="69">
        <f t="shared" si="5"/>
        <v>0</v>
      </c>
      <c r="AA4" s="69">
        <f t="shared" si="5"/>
        <v>0</v>
      </c>
      <c r="AB4" s="97">
        <f>'объем работ 100% загр'!I25/4</f>
        <v>0</v>
      </c>
      <c r="AC4" s="97">
        <f>'объем работ 100% загр'!J25/4</f>
        <v>0</v>
      </c>
      <c r="AD4" s="97">
        <f>'объем работ 100% загр'!K25/4</f>
        <v>0</v>
      </c>
      <c r="AE4" s="97">
        <f>'объем работ 100% загр'!L25/4</f>
        <v>0</v>
      </c>
      <c r="AF4" s="97">
        <f>'объем работ 100% загр'!J25/4</f>
        <v>0</v>
      </c>
      <c r="AG4" s="97">
        <f>'объем работ 100% загр'!K25/4</f>
        <v>0</v>
      </c>
      <c r="AH4" s="97">
        <f>'объем работ 100% загр'!L25/4</f>
        <v>0</v>
      </c>
      <c r="AI4" s="97">
        <f>'объем работ 100% загр'!M25/4</f>
        <v>0</v>
      </c>
      <c r="AJ4" s="97">
        <f>'объем работ 100% загр'!K25/4</f>
        <v>0</v>
      </c>
      <c r="AK4" s="97">
        <f>'объем работ 100% загр'!L25/4</f>
        <v>0</v>
      </c>
      <c r="AL4" s="97">
        <f>'объем работ 100% загр'!M25/4</f>
        <v>0</v>
      </c>
      <c r="AM4" s="97">
        <f>'объем работ 100% загр'!N25/4</f>
        <v>0</v>
      </c>
      <c r="AN4" s="97">
        <f>'объем работ 100% загр'!L25/4</f>
        <v>0</v>
      </c>
      <c r="AO4" s="97">
        <f>'объем работ 100% загр'!M25/4</f>
        <v>0</v>
      </c>
      <c r="AP4" s="97">
        <f>'объем работ 100% загр'!N25/4</f>
        <v>0</v>
      </c>
      <c r="AQ4" s="69">
        <f t="shared" si="10"/>
        <v>0</v>
      </c>
      <c r="AR4" s="97">
        <f>'объем работ 100% загр'!M25/4</f>
        <v>0</v>
      </c>
      <c r="AS4" s="97">
        <f t="shared" si="14"/>
        <v>0</v>
      </c>
      <c r="AT4" s="97">
        <f t="shared" si="15"/>
        <v>0</v>
      </c>
      <c r="AU4" s="97">
        <f t="shared" si="15"/>
        <v>0</v>
      </c>
    </row>
    <row r="5" spans="1:47" s="10" customFormat="1" x14ac:dyDescent="0.3">
      <c r="A5" s="98"/>
      <c r="B5" s="99" t="s">
        <v>19</v>
      </c>
      <c r="C5" s="100"/>
      <c r="D5" s="101">
        <f>SUM(D2:D4)</f>
        <v>0</v>
      </c>
      <c r="E5" s="101">
        <f t="shared" ref="E5:L5" si="16">SUM(E2:E4)</f>
        <v>0</v>
      </c>
      <c r="F5" s="101">
        <f>SUM(F2:F4)</f>
        <v>0</v>
      </c>
      <c r="G5" s="101">
        <f t="shared" si="16"/>
        <v>0</v>
      </c>
      <c r="H5" s="101">
        <f t="shared" si="16"/>
        <v>16205.28</v>
      </c>
      <c r="I5" s="101">
        <f t="shared" si="16"/>
        <v>16205.28</v>
      </c>
      <c r="J5" s="101">
        <f t="shared" si="16"/>
        <v>16205.28</v>
      </c>
      <c r="K5" s="101">
        <f t="shared" si="16"/>
        <v>16205.28</v>
      </c>
      <c r="L5" s="101">
        <f t="shared" si="16"/>
        <v>21033.792000000005</v>
      </c>
      <c r="M5" s="101">
        <f t="shared" ref="M5:AA5" si="17">SUM(M2:M4)</f>
        <v>21033.792000000005</v>
      </c>
      <c r="N5" s="101">
        <f t="shared" si="17"/>
        <v>21033.792000000005</v>
      </c>
      <c r="O5" s="101">
        <f t="shared" si="17"/>
        <v>21033.792000000005</v>
      </c>
      <c r="P5" s="101">
        <f t="shared" si="17"/>
        <v>26754.983424000005</v>
      </c>
      <c r="Q5" s="101">
        <f t="shared" si="17"/>
        <v>26754.983424000005</v>
      </c>
      <c r="R5" s="101">
        <f t="shared" si="17"/>
        <v>26754.983424000005</v>
      </c>
      <c r="S5" s="101">
        <f t="shared" si="17"/>
        <v>26754.983424000005</v>
      </c>
      <c r="T5" s="101">
        <f t="shared" si="17"/>
        <v>30132.800081280006</v>
      </c>
      <c r="U5" s="101">
        <f t="shared" si="17"/>
        <v>30132.800081280006</v>
      </c>
      <c r="V5" s="101">
        <f t="shared" si="17"/>
        <v>30132.800081280006</v>
      </c>
      <c r="W5" s="101">
        <f t="shared" si="17"/>
        <v>30132.800081280006</v>
      </c>
      <c r="X5" s="101">
        <f>SUM(X2:X4)</f>
        <v>33819.636797107218</v>
      </c>
      <c r="Y5" s="101">
        <f t="shared" si="17"/>
        <v>33819.636797107218</v>
      </c>
      <c r="Z5" s="101">
        <f t="shared" si="17"/>
        <v>33819.636797107218</v>
      </c>
      <c r="AA5" s="101">
        <f t="shared" si="17"/>
        <v>33819.636797107218</v>
      </c>
      <c r="AB5" s="101">
        <f>SUM(AB2:AB4)</f>
        <v>37840.415838541077</v>
      </c>
      <c r="AC5" s="101">
        <f t="shared" ref="AC5:AQ5" si="18">SUM(AC2:AC4)</f>
        <v>37840.415838541077</v>
      </c>
      <c r="AD5" s="101">
        <f t="shared" si="18"/>
        <v>37840.415838541077</v>
      </c>
      <c r="AE5" s="101">
        <f t="shared" si="18"/>
        <v>37840.415838541077</v>
      </c>
      <c r="AF5" s="101">
        <f t="shared" si="18"/>
        <v>42221.937672477419</v>
      </c>
      <c r="AG5" s="101">
        <f t="shared" si="18"/>
        <v>42221.937672477419</v>
      </c>
      <c r="AH5" s="101">
        <f t="shared" si="18"/>
        <v>42221.937672477419</v>
      </c>
      <c r="AI5" s="101">
        <f t="shared" si="18"/>
        <v>42221.937672477419</v>
      </c>
      <c r="AJ5" s="101">
        <f t="shared" si="18"/>
        <v>44755.253932826068</v>
      </c>
      <c r="AK5" s="101">
        <f t="shared" si="18"/>
        <v>44755.253932826068</v>
      </c>
      <c r="AL5" s="101">
        <f t="shared" si="18"/>
        <v>44755.253932826068</v>
      </c>
      <c r="AM5" s="101">
        <f t="shared" si="18"/>
        <v>44755.253932826068</v>
      </c>
      <c r="AN5" s="101">
        <f t="shared" si="18"/>
        <v>47440.56916879562</v>
      </c>
      <c r="AO5" s="101">
        <f t="shared" si="18"/>
        <v>47440.56916879562</v>
      </c>
      <c r="AP5" s="101">
        <f t="shared" si="18"/>
        <v>47440.56916879562</v>
      </c>
      <c r="AQ5" s="101">
        <f t="shared" si="18"/>
        <v>47440.56916879562</v>
      </c>
      <c r="AR5" s="101">
        <f t="shared" ref="AR5:AU5" si="19">SUM(AR2:AR4)</f>
        <v>50287.003318923358</v>
      </c>
      <c r="AS5" s="101">
        <f t="shared" si="19"/>
        <v>50287.003318923358</v>
      </c>
      <c r="AT5" s="101">
        <f t="shared" si="19"/>
        <v>50287.003318923358</v>
      </c>
      <c r="AU5" s="101">
        <f t="shared" si="19"/>
        <v>50287.003318923358</v>
      </c>
    </row>
    <row r="6" spans="1:47" s="10" customFormat="1" x14ac:dyDescent="0.3">
      <c r="A6" s="386"/>
      <c r="B6" s="387" t="s">
        <v>87</v>
      </c>
      <c r="C6" s="388"/>
      <c r="D6" s="388"/>
      <c r="E6" s="388"/>
      <c r="F6" s="388"/>
      <c r="G6" s="389">
        <f>SUM(D5:G5)</f>
        <v>0</v>
      </c>
      <c r="H6" s="388"/>
      <c r="I6" s="388"/>
      <c r="J6" s="388"/>
      <c r="K6" s="389">
        <f>SUM(H5:K5)</f>
        <v>64821.120000000003</v>
      </c>
      <c r="L6" s="388"/>
      <c r="M6" s="389"/>
      <c r="N6" s="389"/>
      <c r="O6" s="389">
        <f>SUM(L5:O5)</f>
        <v>84135.16800000002</v>
      </c>
      <c r="P6" s="389"/>
      <c r="Q6" s="389"/>
      <c r="R6" s="389"/>
      <c r="S6" s="389">
        <f>P5+Q5+R5+S5</f>
        <v>107019.93369600002</v>
      </c>
      <c r="T6" s="389"/>
      <c r="U6" s="389"/>
      <c r="V6" s="389"/>
      <c r="W6" s="389">
        <f>T5+U5+V5+W5</f>
        <v>120531.20032512002</v>
      </c>
      <c r="X6" s="389"/>
      <c r="Y6" s="389"/>
      <c r="Z6" s="389"/>
      <c r="AA6" s="389">
        <f>X5+Y5+Z5+AA5</f>
        <v>135278.54718842887</v>
      </c>
      <c r="AB6" s="390"/>
      <c r="AC6" s="390"/>
      <c r="AD6" s="390"/>
      <c r="AE6" s="389">
        <f>SUM(AB5:AE5)</f>
        <v>151361.66335416431</v>
      </c>
      <c r="AF6" s="390"/>
      <c r="AG6" s="390"/>
      <c r="AH6" s="390"/>
      <c r="AI6" s="389">
        <f>SUM(AF5:AI5)</f>
        <v>168887.75068990968</v>
      </c>
      <c r="AJ6" s="390"/>
      <c r="AK6" s="390"/>
      <c r="AL6" s="390"/>
      <c r="AM6" s="389">
        <f>SUM(AJ5:AM5)</f>
        <v>179021.01573130427</v>
      </c>
      <c r="AN6" s="390"/>
      <c r="AO6" s="390"/>
      <c r="AP6" s="390"/>
      <c r="AQ6" s="389">
        <f>SUM(AN5:AQ5)</f>
        <v>189762.27667518248</v>
      </c>
      <c r="AR6" s="390"/>
      <c r="AS6" s="390"/>
      <c r="AT6" s="390"/>
      <c r="AU6" s="389">
        <f>SUM(AR5:AU5)</f>
        <v>201148.01327569343</v>
      </c>
    </row>
    <row r="7" spans="1:47" x14ac:dyDescent="0.3">
      <c r="A7" s="76"/>
    </row>
    <row r="8" spans="1:47" x14ac:dyDescent="0.3">
      <c r="A8" s="76"/>
      <c r="AA8" s="63"/>
    </row>
    <row r="9" spans="1:47" x14ac:dyDescent="0.3">
      <c r="A9" s="76"/>
    </row>
    <row r="12" spans="1:47" ht="3" customHeight="1" x14ac:dyDescent="0.3"/>
    <row r="13" spans="1:47" hidden="1" x14ac:dyDescent="0.3"/>
    <row r="15" spans="1:47" x14ac:dyDescent="0.3">
      <c r="A15" s="377" t="s">
        <v>60</v>
      </c>
      <c r="B15" s="376" t="s">
        <v>61</v>
      </c>
      <c r="C15" s="375"/>
      <c r="D15" s="384" t="str">
        <f>'объем работ 100% загр'!C3</f>
        <v>1 год</v>
      </c>
      <c r="E15" s="384" t="str">
        <f>'объем работ 100% загр'!D3</f>
        <v>2 год</v>
      </c>
      <c r="F15" s="384" t="str">
        <f>'объем работ 100% загр'!E3</f>
        <v>3 год</v>
      </c>
      <c r="G15" s="384" t="str">
        <f>'объем работ 100% загр'!F3</f>
        <v>4 год</v>
      </c>
      <c r="H15" s="384" t="str">
        <f>'объем работ 100% загр'!G3</f>
        <v>5 год</v>
      </c>
      <c r="I15" s="384" t="str">
        <f>'объем работ 100% загр'!H3</f>
        <v>6 год</v>
      </c>
      <c r="J15" s="384" t="str">
        <f>'объем работ 100% загр'!I22</f>
        <v>7 год</v>
      </c>
      <c r="K15" s="384" t="str">
        <f>'объем работ 100% загр'!J22</f>
        <v>8 год</v>
      </c>
      <c r="L15" s="384" t="str">
        <f>'объем работ 100% загр'!K22</f>
        <v>9 год</v>
      </c>
      <c r="M15" s="384" t="str">
        <f>'объем работ 100% загр'!L22</f>
        <v>10 год</v>
      </c>
      <c r="N15" s="384" t="str">
        <f>'объем работ 100% загр'!M22</f>
        <v>11 год</v>
      </c>
    </row>
    <row r="16" spans="1:47" x14ac:dyDescent="0.3">
      <c r="A16" s="65">
        <v>1</v>
      </c>
      <c r="B16" s="64" t="str">
        <f>B2</f>
        <v>Кирпич клинкерный</v>
      </c>
      <c r="C16" s="96" t="s">
        <v>86</v>
      </c>
      <c r="D16" s="385">
        <f>SUM(E2:G2)</f>
        <v>0</v>
      </c>
      <c r="E16" s="385">
        <f>SUM(H2:K2)</f>
        <v>64821.120000000003</v>
      </c>
      <c r="F16" s="385">
        <f>SUM(L2:O2)</f>
        <v>84135.16800000002</v>
      </c>
      <c r="G16" s="385">
        <f>SUM(P2:S2)</f>
        <v>107019.93369600002</v>
      </c>
      <c r="H16" s="385">
        <f>SUM(T2:W2)</f>
        <v>120531.20032512002</v>
      </c>
      <c r="I16" s="385">
        <f>SUM(X2:AA2)</f>
        <v>135278.54718842887</v>
      </c>
      <c r="J16" s="385">
        <f>SUM(AB2:AE2)</f>
        <v>151361.66335416431</v>
      </c>
      <c r="K16" s="385">
        <f>SUM(AF2:AI2)</f>
        <v>168887.75068990968</v>
      </c>
      <c r="L16" s="385">
        <f>SUM(AJ2:AM2)</f>
        <v>179021.01573130427</v>
      </c>
      <c r="M16" s="385">
        <f>SUM(AN2:AQ2)</f>
        <v>189762.27667518248</v>
      </c>
      <c r="N16" s="385">
        <f>SUM(AR2:AU2)</f>
        <v>201148.01327569343</v>
      </c>
    </row>
    <row r="17" spans="1:27" ht="2.25" customHeight="1" x14ac:dyDescent="0.3">
      <c r="A17" s="65">
        <v>2</v>
      </c>
      <c r="B17" s="64">
        <f>'объем работ 100% загр'!A19</f>
        <v>0</v>
      </c>
      <c r="C17" s="97"/>
      <c r="D17" s="69">
        <f>SUM(D3:G3)</f>
        <v>0</v>
      </c>
      <c r="E17" s="69">
        <f>SUM(H3:K3)</f>
        <v>0</v>
      </c>
      <c r="F17" s="69">
        <f>SUM(L3:O3)</f>
        <v>0</v>
      </c>
      <c r="G17" s="69">
        <f>SUM(P3:S3)</f>
        <v>0</v>
      </c>
      <c r="H17" s="69">
        <f>SUM(T3:W3)</f>
        <v>0</v>
      </c>
      <c r="I17" s="69">
        <f>SUM(X3:AA3)</f>
        <v>0</v>
      </c>
      <c r="J17" s="104">
        <f>SUM(AB3:AE3)</f>
        <v>0</v>
      </c>
      <c r="K17" s="104">
        <f>SUM(AF3:AI3)</f>
        <v>0</v>
      </c>
      <c r="L17" s="104">
        <f>SUM(AJ3:AM3)</f>
        <v>0</v>
      </c>
      <c r="M17" s="104">
        <f>SUM(AN3:AQ3)</f>
        <v>0</v>
      </c>
      <c r="N17" s="104">
        <f>SUM(AR3:AU3)</f>
        <v>0</v>
      </c>
      <c r="AA17" s="63"/>
    </row>
    <row r="18" spans="1:27" hidden="1" x14ac:dyDescent="0.3">
      <c r="A18" s="65">
        <v>3</v>
      </c>
      <c r="B18" s="64">
        <f>'объем работ 100% загр'!A20</f>
        <v>0</v>
      </c>
      <c r="C18" s="97"/>
      <c r="D18" s="69">
        <f>SUM(D4:G4)</f>
        <v>0</v>
      </c>
      <c r="E18" s="69">
        <f>SUM(H4:K4)</f>
        <v>0</v>
      </c>
      <c r="F18" s="69">
        <f>SUM(L4:O4)</f>
        <v>0</v>
      </c>
      <c r="G18" s="69">
        <f>SUM(P4:S4)</f>
        <v>0</v>
      </c>
      <c r="H18" s="69">
        <f>SUM(T4:W4)</f>
        <v>0</v>
      </c>
      <c r="I18" s="69">
        <f>SUM(X4:AA4)</f>
        <v>0</v>
      </c>
      <c r="J18" s="104">
        <f>SUM(AB4:AE4)</f>
        <v>0</v>
      </c>
      <c r="K18" s="104">
        <f>SUM(AF4:AI4)</f>
        <v>0</v>
      </c>
      <c r="L18" s="104">
        <f>SUM(AJ4:AM4)</f>
        <v>0</v>
      </c>
      <c r="M18" s="104">
        <f>SUM(AN4:AQ4)</f>
        <v>0</v>
      </c>
      <c r="N18" s="104">
        <f>SUM(AR4:AU4)</f>
        <v>0</v>
      </c>
    </row>
    <row r="19" spans="1:27" hidden="1" x14ac:dyDescent="0.3">
      <c r="A19" s="98"/>
      <c r="B19" s="99" t="s">
        <v>19</v>
      </c>
      <c r="C19" s="100"/>
      <c r="D19" s="101"/>
      <c r="E19" s="101"/>
      <c r="F19" s="101"/>
      <c r="G19" s="101"/>
      <c r="H19" s="101"/>
      <c r="I19" s="102"/>
      <c r="J19" s="101"/>
      <c r="K19" s="101"/>
      <c r="L19" s="101"/>
      <c r="M19" s="101"/>
      <c r="N19" s="101"/>
    </row>
    <row r="20" spans="1:27" x14ac:dyDescent="0.3">
      <c r="A20" s="386"/>
      <c r="B20" s="387" t="s">
        <v>87</v>
      </c>
      <c r="C20" s="388"/>
      <c r="D20" s="389">
        <f t="shared" ref="D20:I20" si="20">SUM(D16:D18)</f>
        <v>0</v>
      </c>
      <c r="E20" s="389">
        <f t="shared" si="20"/>
        <v>64821.120000000003</v>
      </c>
      <c r="F20" s="389">
        <f t="shared" si="20"/>
        <v>84135.16800000002</v>
      </c>
      <c r="G20" s="389">
        <f t="shared" si="20"/>
        <v>107019.93369600002</v>
      </c>
      <c r="H20" s="389">
        <f t="shared" si="20"/>
        <v>120531.20032512002</v>
      </c>
      <c r="I20" s="389">
        <f t="shared" si="20"/>
        <v>135278.54718842887</v>
      </c>
      <c r="J20" s="389">
        <f t="shared" ref="J20:N20" si="21">SUM(J16:J18)</f>
        <v>151361.66335416431</v>
      </c>
      <c r="K20" s="389">
        <f t="shared" si="21"/>
        <v>168887.75068990968</v>
      </c>
      <c r="L20" s="389">
        <f t="shared" si="21"/>
        <v>179021.01573130427</v>
      </c>
      <c r="M20" s="389">
        <f t="shared" si="21"/>
        <v>189762.27667518248</v>
      </c>
      <c r="N20" s="389">
        <f t="shared" si="21"/>
        <v>201148.01327569343</v>
      </c>
    </row>
  </sheetData>
  <pageMargins left="0.7" right="0.7" top="0.75" bottom="0.75" header="0.3" footer="0.3"/>
  <pageSetup paperSize="8" scale="50" firstPageNumber="2147483648"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12">
    <tabColor theme="0"/>
    <pageSetUpPr fitToPage="1"/>
  </sheetPr>
  <dimension ref="A1:AS52"/>
  <sheetViews>
    <sheetView zoomScale="60" zoomScaleNormal="60" workbookViewId="0">
      <pane xSplit="1" topLeftCell="B1" activePane="topRight" state="frozen"/>
      <selection activeCell="Y13" sqref="Y13"/>
      <selection pane="topRight" activeCell="D6" sqref="D6"/>
    </sheetView>
  </sheetViews>
  <sheetFormatPr defaultColWidth="9.109375" defaultRowHeight="15.6" x14ac:dyDescent="0.3"/>
  <cols>
    <col min="1" max="1" width="24.6640625" style="14" customWidth="1"/>
    <col min="2" max="2" width="20.44140625" style="14" customWidth="1"/>
    <col min="3" max="3" width="18" style="14" customWidth="1"/>
    <col min="4" max="4" width="17.109375" style="14" customWidth="1"/>
    <col min="5" max="5" width="15.109375" style="14" customWidth="1"/>
    <col min="6" max="6" width="14.6640625" style="13" customWidth="1"/>
    <col min="7" max="7" width="14.88671875" style="13" customWidth="1"/>
    <col min="8" max="8" width="15.6640625" style="13" customWidth="1"/>
    <col min="9" max="9" width="14.6640625" style="13" customWidth="1"/>
    <col min="10" max="10" width="14.44140625" style="13" customWidth="1"/>
    <col min="11" max="11" width="15.6640625" style="13" customWidth="1"/>
    <col min="12" max="12" width="14.88671875" style="13" customWidth="1"/>
    <col min="13" max="13" width="16" style="13" customWidth="1"/>
    <col min="14" max="14" width="15.6640625" style="13" customWidth="1"/>
    <col min="15" max="15" width="14.5546875" style="13" customWidth="1"/>
    <col min="16" max="16" width="16.5546875" style="13" customWidth="1"/>
    <col min="17" max="17" width="15.5546875" style="13" customWidth="1"/>
    <col min="18" max="19" width="15.88671875" style="13" customWidth="1"/>
    <col min="20" max="21" width="16" style="13" customWidth="1"/>
    <col min="22" max="22" width="29.33203125" style="13" customWidth="1"/>
    <col min="23" max="23" width="16" style="13" customWidth="1"/>
    <col min="24" max="24" width="16.6640625" style="13" customWidth="1"/>
    <col min="25" max="25" width="19" style="13" customWidth="1"/>
    <col min="26" max="26" width="27" style="15" customWidth="1"/>
    <col min="27" max="27" width="15.109375" style="13" customWidth="1"/>
    <col min="28" max="35" width="18.88671875" style="13" customWidth="1"/>
    <col min="36" max="36" width="18.6640625" style="13" customWidth="1"/>
    <col min="37" max="53" width="23.88671875" style="13" customWidth="1"/>
    <col min="54" max="54" width="12" style="13" customWidth="1"/>
    <col min="55" max="55" width="11.33203125" style="13" customWidth="1"/>
    <col min="56" max="56" width="12" style="13" customWidth="1"/>
    <col min="57" max="57" width="12.109375" style="13" customWidth="1"/>
    <col min="58" max="58" width="12.6640625" style="13" customWidth="1"/>
    <col min="59" max="59" width="12.33203125" style="13" customWidth="1"/>
    <col min="60" max="60" width="13.44140625" style="13" customWidth="1"/>
    <col min="61" max="16384" width="9.109375" style="13"/>
  </cols>
  <sheetData>
    <row r="1" spans="1:34" ht="30.75" customHeight="1" x14ac:dyDescent="0.3">
      <c r="A1" s="362" t="s">
        <v>14</v>
      </c>
      <c r="B1" s="363" t="str">
        <f>'выручка по кв и годам'!D1</f>
        <v>I кв. 1 г.</v>
      </c>
      <c r="C1" s="363" t="str">
        <f>'выручка по кв и годам'!E1</f>
        <v>II кв. 1 г.</v>
      </c>
      <c r="D1" s="363" t="str">
        <f>'выручка по кв и годам'!F1</f>
        <v>III кв. 1 г.</v>
      </c>
      <c r="E1" s="363" t="str">
        <f>'выручка по кв и годам'!G1</f>
        <v>IV кв. 1 г.</v>
      </c>
      <c r="F1" s="363" t="str">
        <f>'выручка по кв и годам'!H1</f>
        <v>I кв. 2 г.</v>
      </c>
      <c r="G1" s="363" t="str">
        <f>'выручка по кв и годам'!I1</f>
        <v>II кв. 2 г.</v>
      </c>
      <c r="H1" s="363" t="str">
        <f>'выручка по кв и годам'!J1</f>
        <v>III кв. 2 г.</v>
      </c>
      <c r="I1" s="363" t="str">
        <f>'выручка по кв и годам'!K1</f>
        <v>IV кв. 2 г.</v>
      </c>
      <c r="J1" s="363" t="str">
        <f>'выручка по кв и годам'!L1</f>
        <v>I кв. 3 г.</v>
      </c>
      <c r="K1" s="363" t="str">
        <f>'выручка по кв и годам'!M1</f>
        <v>II кв. 3 г.</v>
      </c>
      <c r="L1" s="363" t="str">
        <f>'выручка по кв и годам'!N1</f>
        <v>III кв. 3 г.</v>
      </c>
      <c r="M1" s="363" t="str">
        <f>'выручка по кв и годам'!O1</f>
        <v>IV кв. 3 г.</v>
      </c>
      <c r="N1" s="363" t="str">
        <f>'выручка по кв и годам'!P1</f>
        <v>I кв. 4 г.</v>
      </c>
      <c r="O1" s="363" t="str">
        <f>'выручка по кв и годам'!Q1</f>
        <v>II кв. 4 г.</v>
      </c>
      <c r="P1" s="363" t="str">
        <f>'выручка по кв и годам'!R1</f>
        <v>III кв. 4 г.</v>
      </c>
      <c r="Q1" s="363" t="str">
        <f>'выручка по кв и годам'!S1</f>
        <v>IV кв. 4 г.</v>
      </c>
      <c r="R1" s="364" t="s">
        <v>15</v>
      </c>
      <c r="U1" s="18"/>
      <c r="V1" s="362" t="s">
        <v>14</v>
      </c>
      <c r="W1" s="511" t="str">
        <f>'объем работ 100% загр'!C3</f>
        <v>1 год</v>
      </c>
      <c r="X1" s="511" t="str">
        <f>'объем работ 100% загр'!D3</f>
        <v>2 год</v>
      </c>
      <c r="Y1" s="511" t="str">
        <f>'объем работ 100% загр'!E3</f>
        <v>3 год</v>
      </c>
      <c r="Z1" s="511" t="str">
        <f>'объем работ 100% загр'!F3</f>
        <v>4 год</v>
      </c>
      <c r="AA1" s="512" t="s">
        <v>16</v>
      </c>
      <c r="AB1" s="513" t="s">
        <v>17</v>
      </c>
    </row>
    <row r="2" spans="1:34" ht="66.75" customHeight="1" x14ac:dyDescent="0.3">
      <c r="A2" s="16" t="s">
        <v>410</v>
      </c>
      <c r="B2" s="19"/>
      <c r="C2" s="20"/>
      <c r="D2" s="20"/>
      <c r="E2" s="20">
        <f>допущения!C78</f>
        <v>6500</v>
      </c>
      <c r="F2" s="20"/>
      <c r="G2" s="20"/>
      <c r="H2" s="20"/>
      <c r="I2" s="20"/>
      <c r="J2" s="20"/>
      <c r="K2" s="20"/>
      <c r="L2" s="20"/>
      <c r="M2" s="20"/>
      <c r="N2" s="20"/>
      <c r="O2" s="20"/>
      <c r="P2" s="20"/>
      <c r="Q2" s="19"/>
      <c r="R2" s="21">
        <f t="shared" ref="R2:R11" si="0">SUM(B2:Q2)</f>
        <v>6500</v>
      </c>
      <c r="V2" s="22" t="str">
        <f>A2</f>
        <v>Приобретение производственной линии</v>
      </c>
      <c r="W2" s="23">
        <f>SUM(B2:E2)</f>
        <v>6500</v>
      </c>
      <c r="X2" s="23">
        <f t="shared" ref="X2:X8" si="1">SUM(F2:I2)</f>
        <v>0</v>
      </c>
      <c r="Y2" s="23">
        <f>SUM(J2:M2)</f>
        <v>0</v>
      </c>
      <c r="Z2" s="23">
        <f t="shared" ref="Z2:Z8" si="2">SUM(N2:Q2)</f>
        <v>0</v>
      </c>
      <c r="AA2" s="23">
        <f t="shared" ref="AA2:AA11" si="3">SUM(W2:Z2)</f>
        <v>6500</v>
      </c>
      <c r="AB2" s="24">
        <f t="shared" ref="AB2:AB11" si="4">AA2/$AA$14</f>
        <v>0.15747710826946143</v>
      </c>
    </row>
    <row r="3" spans="1:34" ht="83.25" customHeight="1" x14ac:dyDescent="0.3">
      <c r="A3" s="16" t="s">
        <v>507</v>
      </c>
      <c r="B3" s="26"/>
      <c r="C3" s="26"/>
      <c r="D3" s="27">
        <f>допущения!C79</f>
        <v>13500</v>
      </c>
      <c r="E3" s="26"/>
      <c r="F3" s="26"/>
      <c r="G3" s="26"/>
      <c r="H3" s="26"/>
      <c r="I3" s="26"/>
      <c r="J3" s="28"/>
      <c r="K3" s="26"/>
      <c r="L3" s="26"/>
      <c r="M3" s="26"/>
      <c r="N3" s="20"/>
      <c r="O3" s="20"/>
      <c r="P3" s="20"/>
      <c r="Q3" s="19"/>
      <c r="R3" s="21">
        <f t="shared" si="0"/>
        <v>13500</v>
      </c>
      <c r="V3" s="22" t="str">
        <f>A3</f>
        <v>Подготовка площадки и строительство производственно-бытовых помещений "под ключ"</v>
      </c>
      <c r="W3" s="23">
        <f t="shared" ref="W3:W8" si="5">SUM(B3:E3)</f>
        <v>13500</v>
      </c>
      <c r="X3" s="23">
        <f t="shared" si="1"/>
        <v>0</v>
      </c>
      <c r="Y3" s="23">
        <f>SUM(K3:M3)</f>
        <v>0</v>
      </c>
      <c r="Z3" s="23">
        <f t="shared" si="2"/>
        <v>0</v>
      </c>
      <c r="AA3" s="23">
        <f t="shared" si="3"/>
        <v>13500</v>
      </c>
      <c r="AB3" s="24">
        <f t="shared" si="4"/>
        <v>0.32706784025195834</v>
      </c>
    </row>
    <row r="4" spans="1:34" ht="51.75" customHeight="1" x14ac:dyDescent="0.3">
      <c r="A4" s="16" t="s">
        <v>412</v>
      </c>
      <c r="B4" s="26"/>
      <c r="C4" s="26"/>
      <c r="D4" s="27">
        <f>допущения!C80</f>
        <v>4500</v>
      </c>
      <c r="E4" s="26"/>
      <c r="F4" s="26"/>
      <c r="G4" s="20"/>
      <c r="H4" s="28"/>
      <c r="I4" s="20"/>
      <c r="J4" s="20"/>
      <c r="K4" s="20"/>
      <c r="L4" s="20"/>
      <c r="M4" s="20"/>
      <c r="N4" s="20"/>
      <c r="O4" s="20"/>
      <c r="P4" s="20"/>
      <c r="Q4" s="20"/>
      <c r="R4" s="21">
        <f t="shared" si="0"/>
        <v>4500</v>
      </c>
      <c r="V4" s="22" t="str">
        <f>A4</f>
        <v>Приобретение техники (погрузчик вилочный 3 шт)</v>
      </c>
      <c r="W4" s="23">
        <f t="shared" si="5"/>
        <v>4500</v>
      </c>
      <c r="X4" s="23">
        <f t="shared" si="1"/>
        <v>0</v>
      </c>
      <c r="Y4" s="23">
        <f t="shared" ref="Y4:Y9" si="6">SUM(J4:M4)</f>
        <v>0</v>
      </c>
      <c r="Z4" s="23">
        <f t="shared" si="2"/>
        <v>0</v>
      </c>
      <c r="AA4" s="23">
        <f t="shared" si="3"/>
        <v>4500</v>
      </c>
      <c r="AB4" s="24">
        <f t="shared" si="4"/>
        <v>0.10902261341731946</v>
      </c>
    </row>
    <row r="5" spans="1:34" ht="69.75" customHeight="1" x14ac:dyDescent="0.3">
      <c r="A5" s="16" t="s">
        <v>394</v>
      </c>
      <c r="B5" s="26"/>
      <c r="C5" s="26"/>
      <c r="D5" s="27">
        <f>допущения!C81</f>
        <v>3500</v>
      </c>
      <c r="E5" s="26"/>
      <c r="F5" s="26"/>
      <c r="G5" s="20"/>
      <c r="H5" s="20"/>
      <c r="I5" s="20"/>
      <c r="J5" s="20"/>
      <c r="K5" s="20"/>
      <c r="L5" s="20"/>
      <c r="M5" s="20"/>
      <c r="N5" s="20"/>
      <c r="O5" s="20"/>
      <c r="P5" s="20"/>
      <c r="Q5" s="20"/>
      <c r="R5" s="21">
        <f t="shared" si="0"/>
        <v>3500</v>
      </c>
      <c r="V5" s="22" t="str">
        <f>A5</f>
        <v>Подключение к инженерным сетям ( водоотведение, водоснабжение)</v>
      </c>
      <c r="W5" s="23">
        <f t="shared" si="5"/>
        <v>3500</v>
      </c>
      <c r="X5" s="23">
        <f t="shared" si="1"/>
        <v>0</v>
      </c>
      <c r="Y5" s="23">
        <f t="shared" si="6"/>
        <v>0</v>
      </c>
      <c r="Z5" s="23">
        <f t="shared" si="2"/>
        <v>0</v>
      </c>
      <c r="AA5" s="23">
        <f t="shared" si="3"/>
        <v>3500</v>
      </c>
      <c r="AB5" s="24">
        <f t="shared" si="4"/>
        <v>8.479536599124847E-2</v>
      </c>
    </row>
    <row r="6" spans="1:34" ht="41.25" customHeight="1" x14ac:dyDescent="0.3">
      <c r="A6" s="16" t="s">
        <v>395</v>
      </c>
      <c r="B6" s="26"/>
      <c r="C6" s="26"/>
      <c r="D6" s="26">
        <f>допущения!C82</f>
        <v>6000</v>
      </c>
      <c r="E6" s="26"/>
      <c r="F6" s="26"/>
      <c r="G6" s="26"/>
      <c r="H6" s="26"/>
      <c r="I6" s="26"/>
      <c r="J6" s="26"/>
      <c r="K6" s="26"/>
      <c r="L6" s="26"/>
      <c r="M6" s="26"/>
      <c r="N6" s="26"/>
      <c r="O6" s="26"/>
      <c r="P6" s="26"/>
      <c r="Q6" s="26"/>
      <c r="R6" s="21">
        <f t="shared" si="0"/>
        <v>6000</v>
      </c>
      <c r="V6" s="22" t="str">
        <f t="shared" ref="V6:V8" si="7">A6</f>
        <v>Обеспечение электроснабжения</v>
      </c>
      <c r="W6" s="23">
        <f t="shared" si="5"/>
        <v>6000</v>
      </c>
      <c r="X6" s="23">
        <f t="shared" si="1"/>
        <v>0</v>
      </c>
      <c r="Y6" s="23">
        <f t="shared" si="6"/>
        <v>0</v>
      </c>
      <c r="Z6" s="23">
        <f t="shared" si="2"/>
        <v>0</v>
      </c>
      <c r="AA6" s="23">
        <f t="shared" si="3"/>
        <v>6000</v>
      </c>
      <c r="AB6" s="24">
        <f t="shared" si="4"/>
        <v>0.14536348455642595</v>
      </c>
    </row>
    <row r="7" spans="1:34" ht="36.75" customHeight="1" x14ac:dyDescent="0.3">
      <c r="A7" s="16" t="s">
        <v>396</v>
      </c>
      <c r="B7" s="26"/>
      <c r="C7" s="26"/>
      <c r="D7" s="26">
        <f>допущения!C83</f>
        <v>280</v>
      </c>
      <c r="E7" s="26"/>
      <c r="F7" s="26"/>
      <c r="G7" s="26"/>
      <c r="H7" s="26"/>
      <c r="I7" s="26"/>
      <c r="J7" s="26"/>
      <c r="K7" s="26"/>
      <c r="L7" s="26"/>
      <c r="M7" s="26"/>
      <c r="N7" s="26"/>
      <c r="O7" s="26"/>
      <c r="P7" s="26"/>
      <c r="Q7" s="26"/>
      <c r="R7" s="21">
        <f t="shared" si="0"/>
        <v>280</v>
      </c>
      <c r="V7" s="22" t="str">
        <f t="shared" si="7"/>
        <v>Прочие расходы, инвентарь</v>
      </c>
      <c r="W7" s="23">
        <f t="shared" si="5"/>
        <v>280</v>
      </c>
      <c r="X7" s="23">
        <f t="shared" si="1"/>
        <v>0</v>
      </c>
      <c r="Y7" s="23">
        <f t="shared" si="6"/>
        <v>0</v>
      </c>
      <c r="Z7" s="23">
        <f t="shared" si="2"/>
        <v>0</v>
      </c>
      <c r="AA7" s="23">
        <f t="shared" si="3"/>
        <v>280</v>
      </c>
      <c r="AB7" s="24">
        <f t="shared" si="4"/>
        <v>6.7836292792998769E-3</v>
      </c>
    </row>
    <row r="8" spans="1:34" ht="6" customHeight="1" x14ac:dyDescent="0.3">
      <c r="A8" s="22"/>
      <c r="B8" s="26"/>
      <c r="C8" s="26"/>
      <c r="D8" s="26"/>
      <c r="E8" s="26"/>
      <c r="F8" s="26"/>
      <c r="G8" s="26"/>
      <c r="H8" s="26"/>
      <c r="I8" s="26"/>
      <c r="J8" s="26"/>
      <c r="K8" s="26"/>
      <c r="L8" s="26"/>
      <c r="M8" s="26"/>
      <c r="N8" s="26"/>
      <c r="O8" s="26"/>
      <c r="P8" s="26"/>
      <c r="Q8" s="26"/>
      <c r="R8" s="21">
        <f t="shared" si="0"/>
        <v>0</v>
      </c>
      <c r="V8" s="22">
        <f t="shared" si="7"/>
        <v>0</v>
      </c>
      <c r="W8" s="23">
        <f t="shared" si="5"/>
        <v>0</v>
      </c>
      <c r="X8" s="23">
        <f t="shared" si="1"/>
        <v>0</v>
      </c>
      <c r="Y8" s="23">
        <f t="shared" si="6"/>
        <v>0</v>
      </c>
      <c r="Z8" s="23">
        <f t="shared" si="2"/>
        <v>0</v>
      </c>
      <c r="AA8" s="23">
        <f t="shared" si="3"/>
        <v>0</v>
      </c>
      <c r="AB8" s="24">
        <f t="shared" si="4"/>
        <v>0</v>
      </c>
    </row>
    <row r="9" spans="1:34" ht="1.5" customHeight="1" x14ac:dyDescent="0.3">
      <c r="A9" s="25"/>
      <c r="B9" s="29"/>
      <c r="C9" s="29"/>
      <c r="D9" s="29"/>
      <c r="E9" s="29"/>
      <c r="F9" s="29"/>
      <c r="G9" s="30"/>
      <c r="H9" s="30"/>
      <c r="I9" s="30"/>
      <c r="J9" s="30"/>
      <c r="K9" s="30"/>
      <c r="L9" s="30"/>
      <c r="M9" s="30"/>
      <c r="N9" s="30"/>
      <c r="O9" s="30"/>
      <c r="P9" s="30"/>
      <c r="Q9" s="31"/>
      <c r="R9" s="21">
        <f t="shared" si="0"/>
        <v>0</v>
      </c>
      <c r="V9" s="22"/>
      <c r="W9" s="23"/>
      <c r="X9" s="23"/>
      <c r="Y9" s="23">
        <f t="shared" si="6"/>
        <v>0</v>
      </c>
      <c r="Z9" s="23"/>
      <c r="AA9" s="23">
        <f t="shared" si="3"/>
        <v>0</v>
      </c>
      <c r="AB9" s="24">
        <f t="shared" si="4"/>
        <v>0</v>
      </c>
      <c r="AD9" s="32"/>
    </row>
    <row r="10" spans="1:34" ht="30.75" hidden="1" customHeight="1" x14ac:dyDescent="0.3">
      <c r="A10" s="25"/>
      <c r="B10" s="31"/>
      <c r="C10" s="30"/>
      <c r="D10" s="30"/>
      <c r="E10" s="30"/>
      <c r="F10" s="30"/>
      <c r="G10" s="30"/>
      <c r="H10" s="30"/>
      <c r="I10" s="30"/>
      <c r="J10" s="30"/>
      <c r="L10" s="33"/>
      <c r="M10" s="30"/>
      <c r="O10" s="30"/>
      <c r="P10" s="30"/>
      <c r="Q10" s="31"/>
      <c r="R10" s="21">
        <f t="shared" si="0"/>
        <v>0</v>
      </c>
      <c r="U10" s="34"/>
      <c r="V10" s="22"/>
      <c r="W10" s="23"/>
      <c r="X10" s="23"/>
      <c r="Y10" s="23"/>
      <c r="Z10" s="23"/>
      <c r="AA10" s="23">
        <f t="shared" si="3"/>
        <v>0</v>
      </c>
      <c r="AB10" s="24">
        <f t="shared" si="4"/>
        <v>0</v>
      </c>
      <c r="AC10" s="35"/>
      <c r="AD10" s="35"/>
    </row>
    <row r="11" spans="1:34" ht="36.75" hidden="1" customHeight="1" x14ac:dyDescent="0.3">
      <c r="A11" s="25"/>
      <c r="B11" s="31"/>
      <c r="C11" s="30"/>
      <c r="D11" s="30"/>
      <c r="E11" s="30"/>
      <c r="F11" s="30"/>
      <c r="G11" s="30"/>
      <c r="H11" s="30"/>
      <c r="I11" s="30"/>
      <c r="J11" s="30"/>
      <c r="K11" s="30"/>
      <c r="L11" s="30"/>
      <c r="M11" s="30"/>
      <c r="N11" s="30"/>
      <c r="O11" s="30"/>
      <c r="P11" s="30"/>
      <c r="Q11" s="30"/>
      <c r="R11" s="21">
        <f t="shared" si="0"/>
        <v>0</v>
      </c>
      <c r="V11" s="22"/>
      <c r="W11" s="23"/>
      <c r="X11" s="23"/>
      <c r="Y11" s="23"/>
      <c r="Z11" s="23"/>
      <c r="AA11" s="23">
        <f t="shared" si="3"/>
        <v>0</v>
      </c>
      <c r="AB11" s="24">
        <f t="shared" si="4"/>
        <v>0</v>
      </c>
      <c r="AC11" s="34"/>
    </row>
    <row r="12" spans="1:34" x14ac:dyDescent="0.3">
      <c r="A12" s="16" t="s">
        <v>18</v>
      </c>
      <c r="B12" s="21"/>
      <c r="C12" s="21"/>
      <c r="D12" s="21">
        <f>SUM(D2:D11)</f>
        <v>27780</v>
      </c>
      <c r="E12" s="21">
        <f>SUM(E2:E11)</f>
        <v>6500</v>
      </c>
      <c r="F12" s="21">
        <f>SUM(F2:F11)</f>
        <v>0</v>
      </c>
      <c r="G12" s="21">
        <f t="shared" ref="G12:P12" si="8">SUM(G2:G11)</f>
        <v>0</v>
      </c>
      <c r="H12" s="21">
        <f t="shared" si="8"/>
        <v>0</v>
      </c>
      <c r="I12" s="21">
        <f t="shared" si="8"/>
        <v>0</v>
      </c>
      <c r="J12" s="21">
        <f t="shared" si="8"/>
        <v>0</v>
      </c>
      <c r="K12" s="21">
        <f t="shared" si="8"/>
        <v>0</v>
      </c>
      <c r="L12" s="21">
        <f t="shared" si="8"/>
        <v>0</v>
      </c>
      <c r="M12" s="21">
        <f t="shared" si="8"/>
        <v>0</v>
      </c>
      <c r="N12" s="21">
        <f t="shared" si="8"/>
        <v>0</v>
      </c>
      <c r="O12" s="21">
        <f t="shared" si="8"/>
        <v>0</v>
      </c>
      <c r="P12" s="21">
        <f t="shared" si="8"/>
        <v>0</v>
      </c>
      <c r="Q12" s="21">
        <f>SUM(Q2:Q11)</f>
        <v>0</v>
      </c>
      <c r="R12" s="21">
        <f>SUM(R2:R11)</f>
        <v>34280</v>
      </c>
      <c r="U12" s="34"/>
      <c r="V12" s="16" t="s">
        <v>19</v>
      </c>
      <c r="W12" s="36">
        <f>SUM(W2:W10)</f>
        <v>34280</v>
      </c>
      <c r="X12" s="36">
        <f t="shared" ref="X12:Z12" si="9">SUM(X2:X10)</f>
        <v>0</v>
      </c>
      <c r="Y12" s="36">
        <f t="shared" si="9"/>
        <v>0</v>
      </c>
      <c r="Z12" s="36">
        <f t="shared" si="9"/>
        <v>0</v>
      </c>
      <c r="AA12" s="36">
        <f>SUM(AA2:AA11)</f>
        <v>34280</v>
      </c>
      <c r="AB12" s="24"/>
      <c r="AC12" s="34"/>
      <c r="AD12" s="34"/>
    </row>
    <row r="13" spans="1:34" ht="31.2" x14ac:dyDescent="0.3">
      <c r="A13" s="37"/>
      <c r="B13" s="38" t="s">
        <v>16</v>
      </c>
      <c r="C13" s="37"/>
      <c r="D13" s="39"/>
      <c r="E13" s="39"/>
      <c r="F13" s="39"/>
      <c r="G13" s="39"/>
      <c r="K13" s="34"/>
      <c r="T13" s="35"/>
      <c r="V13" s="22" t="s">
        <v>513</v>
      </c>
      <c r="W13" s="23">
        <f>'Расходы по займу'!D6+'Расходы по займу'!E6+'Расходы ТОР'!E18+'Расходы ТОР'!F18/2</f>
        <v>6995.8404788444104</v>
      </c>
      <c r="X13" s="23"/>
      <c r="Y13" s="23"/>
      <c r="Z13" s="40"/>
      <c r="AA13" s="40">
        <f t="shared" ref="AA13:AA14" si="10">SUM(W13:Z13)</f>
        <v>6995.8404788444104</v>
      </c>
      <c r="AB13" s="24">
        <f>AA13/$AA$14</f>
        <v>0.16948995823428648</v>
      </c>
    </row>
    <row r="14" spans="1:34" x14ac:dyDescent="0.3">
      <c r="A14" s="31" t="s">
        <v>20</v>
      </c>
      <c r="B14" s="21">
        <f>SUM(R2:R6)</f>
        <v>34000</v>
      </c>
      <c r="C14" s="13"/>
      <c r="D14" s="13"/>
      <c r="E14" s="13"/>
      <c r="V14" s="22" t="s">
        <v>21</v>
      </c>
      <c r="W14" s="23">
        <f>W12+W13</f>
        <v>41275.84047884441</v>
      </c>
      <c r="X14" s="23">
        <f>X12+X13</f>
        <v>0</v>
      </c>
      <c r="Y14" s="23">
        <f>Y12+Y13</f>
        <v>0</v>
      </c>
      <c r="Z14" s="40"/>
      <c r="AA14" s="36">
        <f t="shared" si="10"/>
        <v>41275.84047884441</v>
      </c>
      <c r="AB14" s="41"/>
      <c r="AH14" s="34"/>
    </row>
    <row r="15" spans="1:34" x14ac:dyDescent="0.3">
      <c r="A15" s="22" t="s">
        <v>22</v>
      </c>
      <c r="B15" s="21">
        <f>B14/1.2*0.2</f>
        <v>5666.6666666666679</v>
      </c>
      <c r="C15" s="37"/>
      <c r="D15" s="39"/>
      <c r="E15" s="39"/>
      <c r="F15" s="39"/>
      <c r="G15" s="39"/>
      <c r="K15" s="34"/>
      <c r="L15" s="34"/>
      <c r="M15" s="34"/>
      <c r="Z15" s="13"/>
    </row>
    <row r="16" spans="1:34" ht="31.5" customHeight="1" x14ac:dyDescent="0.3">
      <c r="A16" s="22" t="s">
        <v>23</v>
      </c>
      <c r="B16" s="21">
        <f>B14-B15</f>
        <v>28333.333333333332</v>
      </c>
      <c r="C16" s="37"/>
      <c r="D16" s="37"/>
      <c r="E16" s="39"/>
      <c r="F16" s="39"/>
      <c r="G16" s="39"/>
      <c r="S16" s="34"/>
      <c r="V16" s="22" t="s">
        <v>24</v>
      </c>
      <c r="W16" s="23">
        <f>W14-W17</f>
        <v>15775.84047884441</v>
      </c>
      <c r="X16" s="23"/>
      <c r="Y16" s="23"/>
      <c r="Z16" s="23"/>
      <c r="AA16" s="23"/>
      <c r="AB16" s="24">
        <f t="shared" ref="AB16:AB17" si="11">W16/$AA$14</f>
        <v>0.38220519063518976</v>
      </c>
      <c r="AC16" s="34"/>
      <c r="AF16" s="34"/>
    </row>
    <row r="17" spans="1:45" x14ac:dyDescent="0.3">
      <c r="A17" s="37"/>
      <c r="B17" s="37"/>
      <c r="C17" s="37"/>
      <c r="D17" s="39"/>
      <c r="E17" s="39"/>
      <c r="F17" s="39"/>
      <c r="G17" s="39"/>
      <c r="T17" s="13">
        <f>W17/W14</f>
        <v>0.61779480936481024</v>
      </c>
      <c r="V17" s="22" t="s">
        <v>25</v>
      </c>
      <c r="W17" s="27">
        <v>25500</v>
      </c>
      <c r="X17" s="23"/>
      <c r="Y17" s="23"/>
      <c r="Z17" s="23"/>
      <c r="AA17" s="23"/>
      <c r="AB17" s="24">
        <f t="shared" si="11"/>
        <v>0.61779480936481024</v>
      </c>
      <c r="AD17" s="34"/>
      <c r="AG17" s="34"/>
    </row>
    <row r="18" spans="1:45" ht="18.75" customHeight="1" x14ac:dyDescent="0.3">
      <c r="A18" s="37"/>
      <c r="B18" s="37"/>
      <c r="C18" s="37"/>
      <c r="D18" s="39"/>
      <c r="E18" s="39"/>
      <c r="F18" s="39"/>
      <c r="G18" s="39"/>
      <c r="V18" s="17" t="s">
        <v>26</v>
      </c>
      <c r="W18" s="27">
        <v>0</v>
      </c>
      <c r="X18" s="23"/>
      <c r="Y18" s="23"/>
      <c r="Z18" s="23"/>
      <c r="AA18" s="23"/>
      <c r="AB18" s="34"/>
      <c r="AC18" s="34"/>
      <c r="AD18" s="34"/>
      <c r="AE18" s="34"/>
      <c r="AF18" s="34"/>
      <c r="AG18" s="34"/>
      <c r="AI18" s="41"/>
      <c r="AJ18" s="42"/>
    </row>
    <row r="19" spans="1:45" ht="54" customHeight="1" x14ac:dyDescent="0.3">
      <c r="A19" s="39"/>
      <c r="B19" s="39"/>
      <c r="C19" s="39"/>
      <c r="D19" s="39"/>
      <c r="E19" s="39"/>
      <c r="F19" s="39"/>
      <c r="G19" s="39"/>
      <c r="X19" s="34"/>
      <c r="AA19" s="34"/>
      <c r="AB19" s="34"/>
      <c r="AC19" s="34"/>
      <c r="AD19" s="34"/>
      <c r="AE19" s="34"/>
      <c r="AF19" s="34"/>
      <c r="AG19" s="34"/>
      <c r="AI19" s="41"/>
      <c r="AJ19" s="42"/>
    </row>
    <row r="20" spans="1:45" ht="36" customHeight="1" x14ac:dyDescent="0.3">
      <c r="V20" s="17" t="s">
        <v>27</v>
      </c>
      <c r="W20" s="43">
        <f>W14/-1000</f>
        <v>-41.275840478844408</v>
      </c>
      <c r="X20" s="43">
        <f>X14/-1000</f>
        <v>0</v>
      </c>
      <c r="Y20" s="43">
        <f>Y14/-1000</f>
        <v>0</v>
      </c>
      <c r="Z20" s="43">
        <f>Z14/-1000</f>
        <v>0</v>
      </c>
      <c r="AA20" s="34"/>
      <c r="AI20" s="41"/>
    </row>
    <row r="21" spans="1:45" x14ac:dyDescent="0.3">
      <c r="A21" s="39"/>
      <c r="B21" s="39"/>
      <c r="C21" s="39"/>
      <c r="D21" s="39"/>
      <c r="E21" s="39"/>
      <c r="F21" s="44"/>
      <c r="X21" s="34"/>
      <c r="Z21" s="13"/>
      <c r="AH21" s="41"/>
    </row>
    <row r="22" spans="1:45" x14ac:dyDescent="0.3">
      <c r="Z22" s="13"/>
      <c r="AH22" s="41"/>
    </row>
    <row r="23" spans="1:45" x14ac:dyDescent="0.3">
      <c r="B23" s="365" t="str">
        <f>B1</f>
        <v>I кв. 1 г.</v>
      </c>
      <c r="C23" s="365" t="str">
        <f t="shared" ref="C23:Q23" si="12">C1</f>
        <v>II кв. 1 г.</v>
      </c>
      <c r="D23" s="365" t="str">
        <f t="shared" si="12"/>
        <v>III кв. 1 г.</v>
      </c>
      <c r="E23" s="365" t="str">
        <f t="shared" si="12"/>
        <v>IV кв. 1 г.</v>
      </c>
      <c r="F23" s="365" t="str">
        <f t="shared" si="12"/>
        <v>I кв. 2 г.</v>
      </c>
      <c r="G23" s="365" t="str">
        <f t="shared" si="12"/>
        <v>II кв. 2 г.</v>
      </c>
      <c r="H23" s="365" t="str">
        <f t="shared" si="12"/>
        <v>III кв. 2 г.</v>
      </c>
      <c r="I23" s="365" t="str">
        <f t="shared" si="12"/>
        <v>IV кв. 2 г.</v>
      </c>
      <c r="J23" s="365" t="str">
        <f t="shared" si="12"/>
        <v>I кв. 3 г.</v>
      </c>
      <c r="K23" s="365" t="str">
        <f t="shared" si="12"/>
        <v>II кв. 3 г.</v>
      </c>
      <c r="L23" s="365" t="str">
        <f t="shared" si="12"/>
        <v>III кв. 3 г.</v>
      </c>
      <c r="M23" s="365" t="str">
        <f t="shared" si="12"/>
        <v>IV кв. 3 г.</v>
      </c>
      <c r="N23" s="365" t="str">
        <f t="shared" si="12"/>
        <v>I кв. 4 г.</v>
      </c>
      <c r="O23" s="365" t="str">
        <f t="shared" si="12"/>
        <v>II кв. 4 г.</v>
      </c>
      <c r="P23" s="365" t="str">
        <f t="shared" si="12"/>
        <v>III кв. 4 г.</v>
      </c>
      <c r="Q23" s="365" t="str">
        <f t="shared" si="12"/>
        <v>IV кв. 4 г.</v>
      </c>
      <c r="V23" s="15"/>
      <c r="Z23" s="13"/>
      <c r="AD23" s="41"/>
    </row>
    <row r="24" spans="1:45" x14ac:dyDescent="0.3">
      <c r="A24" s="16" t="s">
        <v>28</v>
      </c>
      <c r="B24" s="30">
        <f>SUM(B4:B11)</f>
        <v>0</v>
      </c>
      <c r="C24" s="30">
        <f>SUM(C4:C11)</f>
        <v>0</v>
      </c>
      <c r="D24" s="30">
        <f>SUM(D3:D7)</f>
        <v>27780</v>
      </c>
      <c r="E24" s="30">
        <f>SUM(E2:E6)</f>
        <v>6500</v>
      </c>
      <c r="F24" s="30">
        <f t="shared" ref="F24:Q24" si="13">SUM(F9:F11)</f>
        <v>0</v>
      </c>
      <c r="G24" s="30">
        <f t="shared" si="13"/>
        <v>0</v>
      </c>
      <c r="H24" s="30">
        <f t="shared" si="13"/>
        <v>0</v>
      </c>
      <c r="I24" s="30">
        <f t="shared" si="13"/>
        <v>0</v>
      </c>
      <c r="J24" s="30">
        <f t="shared" si="13"/>
        <v>0</v>
      </c>
      <c r="K24" s="30">
        <f t="shared" si="13"/>
        <v>0</v>
      </c>
      <c r="L24" s="30">
        <f t="shared" si="13"/>
        <v>0</v>
      </c>
      <c r="M24" s="30">
        <f t="shared" si="13"/>
        <v>0</v>
      </c>
      <c r="N24" s="30">
        <f t="shared" si="13"/>
        <v>0</v>
      </c>
      <c r="O24" s="30">
        <f t="shared" si="13"/>
        <v>0</v>
      </c>
      <c r="P24" s="30">
        <f t="shared" si="13"/>
        <v>0</v>
      </c>
      <c r="Q24" s="30">
        <f t="shared" si="13"/>
        <v>0</v>
      </c>
      <c r="X24" s="34"/>
      <c r="Y24" s="34"/>
      <c r="Z24" s="34"/>
      <c r="AA24" s="34"/>
      <c r="AB24" s="34"/>
    </row>
    <row r="25" spans="1:45" x14ac:dyDescent="0.3">
      <c r="A25" s="16"/>
      <c r="B25" s="301" t="str">
        <f t="shared" ref="B25:Q25" si="14">B1</f>
        <v>I кв. 1 г.</v>
      </c>
      <c r="C25" s="301" t="str">
        <f t="shared" si="14"/>
        <v>II кв. 1 г.</v>
      </c>
      <c r="D25" s="301" t="str">
        <f t="shared" si="14"/>
        <v>III кв. 1 г.</v>
      </c>
      <c r="E25" s="301" t="str">
        <f t="shared" si="14"/>
        <v>IV кв. 1 г.</v>
      </c>
      <c r="F25" s="301" t="str">
        <f t="shared" si="14"/>
        <v>I кв. 2 г.</v>
      </c>
      <c r="G25" s="301" t="str">
        <f t="shared" si="14"/>
        <v>II кв. 2 г.</v>
      </c>
      <c r="H25" s="301" t="str">
        <f t="shared" si="14"/>
        <v>III кв. 2 г.</v>
      </c>
      <c r="I25" s="301" t="str">
        <f t="shared" si="14"/>
        <v>IV кв. 2 г.</v>
      </c>
      <c r="J25" s="301" t="str">
        <f t="shared" si="14"/>
        <v>I кв. 3 г.</v>
      </c>
      <c r="K25" s="301" t="str">
        <f t="shared" si="14"/>
        <v>II кв. 3 г.</v>
      </c>
      <c r="L25" s="301" t="str">
        <f t="shared" si="14"/>
        <v>III кв. 3 г.</v>
      </c>
      <c r="M25" s="301" t="str">
        <f t="shared" si="14"/>
        <v>IV кв. 3 г.</v>
      </c>
      <c r="N25" s="301" t="str">
        <f t="shared" si="14"/>
        <v>I кв. 4 г.</v>
      </c>
      <c r="O25" s="301" t="str">
        <f t="shared" si="14"/>
        <v>II кв. 4 г.</v>
      </c>
      <c r="P25" s="301" t="str">
        <f t="shared" si="14"/>
        <v>III кв. 4 г.</v>
      </c>
      <c r="Q25" s="301" t="str">
        <f t="shared" si="14"/>
        <v>IV кв. 4 г.</v>
      </c>
      <c r="R25" s="301" t="str">
        <f>'выручка по кв и годам'!T1</f>
        <v>I кв. 5 г.</v>
      </c>
      <c r="S25" s="301" t="str">
        <f>'выручка по кв и годам'!U1</f>
        <v>II кв. 5 г.</v>
      </c>
      <c r="T25" s="301" t="str">
        <f>'выручка по кв и годам'!V1</f>
        <v>III кв. 5 г.</v>
      </c>
      <c r="U25" s="301" t="str">
        <f>'выручка по кв и годам'!W1</f>
        <v>IV кв. 5 г.</v>
      </c>
      <c r="V25" s="301" t="str">
        <f>'выручка по кв и годам'!X1</f>
        <v>I кв. 6 г.</v>
      </c>
      <c r="W25" s="301" t="str">
        <f>'выручка по кв и годам'!Y1</f>
        <v>II кв. 6 г.</v>
      </c>
      <c r="X25" s="301" t="str">
        <f>'выручка по кв и годам'!Z1</f>
        <v>III кв. 6 г.</v>
      </c>
      <c r="Y25" s="301" t="str">
        <f>'выручка по кв и годам'!AA1</f>
        <v>IV кв. 6 г.</v>
      </c>
      <c r="Z25" s="366" t="str">
        <f>'выручка по кв и годам'!AB1</f>
        <v>I кв. 7 г.</v>
      </c>
      <c r="AA25" s="366" t="str">
        <f>'выручка по кв и годам'!AC1</f>
        <v>II кв. 7 г.</v>
      </c>
      <c r="AB25" s="366" t="str">
        <f>'выручка по кв и годам'!AD1</f>
        <v>III кв. 7 г.</v>
      </c>
      <c r="AC25" s="366" t="str">
        <f>'выручка по кв и годам'!AE1</f>
        <v>IV кв. 7 г.</v>
      </c>
      <c r="AD25" s="366" t="str">
        <f>'выручка по кв и годам'!AF1</f>
        <v>I кв. 8 г.</v>
      </c>
      <c r="AE25" s="366" t="str">
        <f>'выручка по кв и годам'!AG1</f>
        <v>II кв. 8 г.</v>
      </c>
      <c r="AF25" s="366" t="str">
        <f>'выручка по кв и годам'!AH1</f>
        <v>III кв. 8 г.</v>
      </c>
      <c r="AG25" s="366" t="str">
        <f>'выручка по кв и годам'!AI1</f>
        <v>IV кв. 8 г.</v>
      </c>
      <c r="AH25" s="366" t="str">
        <f>'выручка по кв и годам'!AJ1</f>
        <v>I кв. 9 г.</v>
      </c>
      <c r="AI25" s="366" t="str">
        <f>'выручка по кв и годам'!AK1</f>
        <v>II кв. 9 г.</v>
      </c>
      <c r="AJ25" s="366" t="str">
        <f>'выручка по кв и годам'!AL1</f>
        <v>III кв. 9 г.</v>
      </c>
      <c r="AK25" s="366" t="str">
        <f>'выручка по кв и годам'!AM1</f>
        <v>IV кв. 9 г.</v>
      </c>
      <c r="AL25" s="366" t="str">
        <f>'выручка по кв и годам'!AN1</f>
        <v>I кв. 10 г.</v>
      </c>
      <c r="AM25" s="366" t="str">
        <f>'выручка по кв и годам'!AO1</f>
        <v>II кв. 10 г.</v>
      </c>
      <c r="AN25" s="366" t="str">
        <f>'выручка по кв и годам'!AP1</f>
        <v>III кв. 10 г.</v>
      </c>
      <c r="AO25" s="366" t="str">
        <f>'выручка по кв и годам'!AQ1</f>
        <v>IV кв. 10 г.</v>
      </c>
      <c r="AP25" s="367" t="str">
        <f>'выручка по кв и годам'!AR1</f>
        <v>I кв. 11 г.</v>
      </c>
      <c r="AQ25" s="367" t="str">
        <f>'выручка по кв и годам'!AS1</f>
        <v>II кв. 11 г.</v>
      </c>
      <c r="AR25" s="367" t="str">
        <f>'выручка по кв и годам'!AT1</f>
        <v>III кв. 11 г.</v>
      </c>
      <c r="AS25" s="367" t="str">
        <f>'выручка по кв и годам'!AU1</f>
        <v>IV кв. 11 г.</v>
      </c>
    </row>
    <row r="26" spans="1:45" s="507" customFormat="1" ht="47.25" customHeight="1" x14ac:dyDescent="0.3">
      <c r="A26" s="508" t="s">
        <v>29</v>
      </c>
      <c r="B26" s="509">
        <f>SUM(B27:B29)</f>
        <v>0</v>
      </c>
      <c r="C26" s="509">
        <f t="shared" ref="C26:AS26" si="15">SUM(C27:C29)</f>
        <v>0</v>
      </c>
      <c r="D26" s="509">
        <f t="shared" si="15"/>
        <v>0</v>
      </c>
      <c r="E26" s="509">
        <f t="shared" si="15"/>
        <v>253.75</v>
      </c>
      <c r="F26" s="509">
        <f t="shared" si="15"/>
        <v>253.75</v>
      </c>
      <c r="G26" s="509">
        <f t="shared" si="15"/>
        <v>253.75</v>
      </c>
      <c r="H26" s="509">
        <f t="shared" si="15"/>
        <v>253.75</v>
      </c>
      <c r="I26" s="509">
        <f t="shared" si="15"/>
        <v>253.75</v>
      </c>
      <c r="J26" s="509">
        <f t="shared" si="15"/>
        <v>253.75</v>
      </c>
      <c r="K26" s="509">
        <f t="shared" si="15"/>
        <v>253.75</v>
      </c>
      <c r="L26" s="509">
        <f t="shared" si="15"/>
        <v>253.75</v>
      </c>
      <c r="M26" s="509">
        <f t="shared" si="15"/>
        <v>253.75</v>
      </c>
      <c r="N26" s="509">
        <f t="shared" si="15"/>
        <v>253.75</v>
      </c>
      <c r="O26" s="509">
        <f t="shared" si="15"/>
        <v>253.75</v>
      </c>
      <c r="P26" s="509">
        <f t="shared" si="15"/>
        <v>253.75</v>
      </c>
      <c r="Q26" s="509">
        <f t="shared" si="15"/>
        <v>253.75</v>
      </c>
      <c r="R26" s="509">
        <f t="shared" si="15"/>
        <v>253.75</v>
      </c>
      <c r="S26" s="509">
        <f t="shared" si="15"/>
        <v>253.75</v>
      </c>
      <c r="T26" s="509">
        <f t="shared" si="15"/>
        <v>253.75</v>
      </c>
      <c r="U26" s="509">
        <f t="shared" si="15"/>
        <v>253.75</v>
      </c>
      <c r="V26" s="509">
        <f t="shared" si="15"/>
        <v>253.75</v>
      </c>
      <c r="W26" s="509">
        <f t="shared" si="15"/>
        <v>253.75</v>
      </c>
      <c r="X26" s="509">
        <f t="shared" si="15"/>
        <v>253.75</v>
      </c>
      <c r="Y26" s="509">
        <f t="shared" si="15"/>
        <v>253.75</v>
      </c>
      <c r="Z26" s="509">
        <f t="shared" si="15"/>
        <v>253.75</v>
      </c>
      <c r="AA26" s="509">
        <f t="shared" si="15"/>
        <v>253.75</v>
      </c>
      <c r="AB26" s="509">
        <f t="shared" si="15"/>
        <v>253.75</v>
      </c>
      <c r="AC26" s="509">
        <f t="shared" si="15"/>
        <v>253.75</v>
      </c>
      <c r="AD26" s="509">
        <f t="shared" si="15"/>
        <v>253.75</v>
      </c>
      <c r="AE26" s="509">
        <f t="shared" si="15"/>
        <v>253.75</v>
      </c>
      <c r="AF26" s="509">
        <f t="shared" si="15"/>
        <v>253.75</v>
      </c>
      <c r="AG26" s="509">
        <f t="shared" si="15"/>
        <v>253.75</v>
      </c>
      <c r="AH26" s="509">
        <f t="shared" si="15"/>
        <v>253.75</v>
      </c>
      <c r="AI26" s="509">
        <f t="shared" si="15"/>
        <v>253.75</v>
      </c>
      <c r="AJ26" s="509">
        <f t="shared" si="15"/>
        <v>253.75</v>
      </c>
      <c r="AK26" s="509">
        <f t="shared" si="15"/>
        <v>253.75</v>
      </c>
      <c r="AL26" s="509">
        <f t="shared" si="15"/>
        <v>253.75</v>
      </c>
      <c r="AM26" s="509">
        <f t="shared" si="15"/>
        <v>253.75</v>
      </c>
      <c r="AN26" s="509">
        <f t="shared" si="15"/>
        <v>253.75</v>
      </c>
      <c r="AO26" s="509">
        <f t="shared" si="15"/>
        <v>253.75</v>
      </c>
      <c r="AP26" s="509">
        <f t="shared" si="15"/>
        <v>253.75</v>
      </c>
      <c r="AQ26" s="509">
        <f t="shared" si="15"/>
        <v>253.75</v>
      </c>
      <c r="AR26" s="509">
        <f t="shared" si="15"/>
        <v>253.75</v>
      </c>
      <c r="AS26" s="509">
        <f t="shared" si="15"/>
        <v>253.75</v>
      </c>
    </row>
    <row r="27" spans="1:45" s="507" customFormat="1" ht="84" customHeight="1" x14ac:dyDescent="0.3">
      <c r="A27" s="505" t="str">
        <f>A3</f>
        <v>Подготовка площадки и строительство производственно-бытовых помещений "под ключ"</v>
      </c>
      <c r="B27" s="504"/>
      <c r="C27" s="504"/>
      <c r="D27" s="510"/>
      <c r="E27" s="20">
        <f>допущения!C15*допущения!C18/(допущения!C17*4)</f>
        <v>70.416666666666671</v>
      </c>
      <c r="F27" s="506">
        <f t="shared" ref="F27:F29" si="16">E27</f>
        <v>70.416666666666671</v>
      </c>
      <c r="G27" s="506">
        <f t="shared" ref="G27:AS29" si="17">F27</f>
        <v>70.416666666666671</v>
      </c>
      <c r="H27" s="506">
        <f t="shared" si="17"/>
        <v>70.416666666666671</v>
      </c>
      <c r="I27" s="506">
        <f t="shared" si="17"/>
        <v>70.416666666666671</v>
      </c>
      <c r="J27" s="506">
        <f t="shared" si="17"/>
        <v>70.416666666666671</v>
      </c>
      <c r="K27" s="506">
        <f t="shared" si="17"/>
        <v>70.416666666666671</v>
      </c>
      <c r="L27" s="506">
        <f t="shared" si="17"/>
        <v>70.416666666666671</v>
      </c>
      <c r="M27" s="506">
        <f t="shared" si="17"/>
        <v>70.416666666666671</v>
      </c>
      <c r="N27" s="506">
        <f t="shared" si="17"/>
        <v>70.416666666666671</v>
      </c>
      <c r="O27" s="506">
        <f t="shared" si="17"/>
        <v>70.416666666666671</v>
      </c>
      <c r="P27" s="506">
        <f t="shared" si="17"/>
        <v>70.416666666666671</v>
      </c>
      <c r="Q27" s="506">
        <f t="shared" si="17"/>
        <v>70.416666666666671</v>
      </c>
      <c r="R27" s="506">
        <f t="shared" si="17"/>
        <v>70.416666666666671</v>
      </c>
      <c r="S27" s="506">
        <f t="shared" si="17"/>
        <v>70.416666666666671</v>
      </c>
      <c r="T27" s="506">
        <f t="shared" si="17"/>
        <v>70.416666666666671</v>
      </c>
      <c r="U27" s="506">
        <f t="shared" si="17"/>
        <v>70.416666666666671</v>
      </c>
      <c r="V27" s="506">
        <f t="shared" si="17"/>
        <v>70.416666666666671</v>
      </c>
      <c r="W27" s="506">
        <f t="shared" si="17"/>
        <v>70.416666666666671</v>
      </c>
      <c r="X27" s="506">
        <f t="shared" si="17"/>
        <v>70.416666666666671</v>
      </c>
      <c r="Y27" s="506">
        <f t="shared" si="17"/>
        <v>70.416666666666671</v>
      </c>
      <c r="Z27" s="506">
        <f t="shared" si="17"/>
        <v>70.416666666666671</v>
      </c>
      <c r="AA27" s="506">
        <f t="shared" si="17"/>
        <v>70.416666666666671</v>
      </c>
      <c r="AB27" s="506">
        <f t="shared" si="17"/>
        <v>70.416666666666671</v>
      </c>
      <c r="AC27" s="506">
        <f t="shared" si="17"/>
        <v>70.416666666666671</v>
      </c>
      <c r="AD27" s="506">
        <f t="shared" si="17"/>
        <v>70.416666666666671</v>
      </c>
      <c r="AE27" s="506">
        <f t="shared" si="17"/>
        <v>70.416666666666671</v>
      </c>
      <c r="AF27" s="506">
        <f t="shared" si="17"/>
        <v>70.416666666666671</v>
      </c>
      <c r="AG27" s="506">
        <f t="shared" si="17"/>
        <v>70.416666666666671</v>
      </c>
      <c r="AH27" s="506">
        <f t="shared" si="17"/>
        <v>70.416666666666671</v>
      </c>
      <c r="AI27" s="506">
        <f t="shared" si="17"/>
        <v>70.416666666666671</v>
      </c>
      <c r="AJ27" s="506">
        <f t="shared" si="17"/>
        <v>70.416666666666671</v>
      </c>
      <c r="AK27" s="506">
        <f t="shared" si="17"/>
        <v>70.416666666666671</v>
      </c>
      <c r="AL27" s="506">
        <f t="shared" si="17"/>
        <v>70.416666666666671</v>
      </c>
      <c r="AM27" s="506">
        <f t="shared" si="17"/>
        <v>70.416666666666671</v>
      </c>
      <c r="AN27" s="506">
        <f t="shared" si="17"/>
        <v>70.416666666666671</v>
      </c>
      <c r="AO27" s="506">
        <f t="shared" si="17"/>
        <v>70.416666666666671</v>
      </c>
      <c r="AP27" s="506">
        <f t="shared" si="17"/>
        <v>70.416666666666671</v>
      </c>
      <c r="AQ27" s="506">
        <f t="shared" si="17"/>
        <v>70.416666666666671</v>
      </c>
      <c r="AR27" s="506">
        <f t="shared" si="17"/>
        <v>70.416666666666671</v>
      </c>
      <c r="AS27" s="506">
        <f t="shared" si="17"/>
        <v>70.416666666666671</v>
      </c>
    </row>
    <row r="28" spans="1:45" s="507" customFormat="1" ht="67.5" customHeight="1" x14ac:dyDescent="0.3">
      <c r="A28" s="505" t="str">
        <f>A2</f>
        <v>Приобретение производственной линии</v>
      </c>
      <c r="B28" s="504"/>
      <c r="C28" s="504"/>
      <c r="D28" s="504"/>
      <c r="E28" s="20">
        <f>E2/(допущения!$C$16*4)</f>
        <v>108.33333333333333</v>
      </c>
      <c r="F28" s="506">
        <f t="shared" si="16"/>
        <v>108.33333333333333</v>
      </c>
      <c r="G28" s="506">
        <f t="shared" si="17"/>
        <v>108.33333333333333</v>
      </c>
      <c r="H28" s="506">
        <f t="shared" si="17"/>
        <v>108.33333333333333</v>
      </c>
      <c r="I28" s="506">
        <f t="shared" si="17"/>
        <v>108.33333333333333</v>
      </c>
      <c r="J28" s="506">
        <f t="shared" si="17"/>
        <v>108.33333333333333</v>
      </c>
      <c r="K28" s="506">
        <f t="shared" si="17"/>
        <v>108.33333333333333</v>
      </c>
      <c r="L28" s="506">
        <f t="shared" si="17"/>
        <v>108.33333333333333</v>
      </c>
      <c r="M28" s="506">
        <f t="shared" si="17"/>
        <v>108.33333333333333</v>
      </c>
      <c r="N28" s="506">
        <f t="shared" si="17"/>
        <v>108.33333333333333</v>
      </c>
      <c r="O28" s="506">
        <f t="shared" si="17"/>
        <v>108.33333333333333</v>
      </c>
      <c r="P28" s="506">
        <f t="shared" si="17"/>
        <v>108.33333333333333</v>
      </c>
      <c r="Q28" s="506">
        <f t="shared" si="17"/>
        <v>108.33333333333333</v>
      </c>
      <c r="R28" s="506">
        <f t="shared" si="17"/>
        <v>108.33333333333333</v>
      </c>
      <c r="S28" s="506">
        <f t="shared" si="17"/>
        <v>108.33333333333333</v>
      </c>
      <c r="T28" s="506">
        <f t="shared" si="17"/>
        <v>108.33333333333333</v>
      </c>
      <c r="U28" s="506">
        <f t="shared" si="17"/>
        <v>108.33333333333333</v>
      </c>
      <c r="V28" s="506">
        <f t="shared" si="17"/>
        <v>108.33333333333333</v>
      </c>
      <c r="W28" s="506">
        <f t="shared" si="17"/>
        <v>108.33333333333333</v>
      </c>
      <c r="X28" s="506">
        <f t="shared" si="17"/>
        <v>108.33333333333333</v>
      </c>
      <c r="Y28" s="506">
        <f t="shared" si="17"/>
        <v>108.33333333333333</v>
      </c>
      <c r="Z28" s="506">
        <f t="shared" si="17"/>
        <v>108.33333333333333</v>
      </c>
      <c r="AA28" s="506">
        <f t="shared" si="17"/>
        <v>108.33333333333333</v>
      </c>
      <c r="AB28" s="506">
        <f t="shared" si="17"/>
        <v>108.33333333333333</v>
      </c>
      <c r="AC28" s="506">
        <f t="shared" si="17"/>
        <v>108.33333333333333</v>
      </c>
      <c r="AD28" s="506">
        <f t="shared" si="17"/>
        <v>108.33333333333333</v>
      </c>
      <c r="AE28" s="506">
        <f t="shared" si="17"/>
        <v>108.33333333333333</v>
      </c>
      <c r="AF28" s="506">
        <f t="shared" si="17"/>
        <v>108.33333333333333</v>
      </c>
      <c r="AG28" s="506">
        <f t="shared" si="17"/>
        <v>108.33333333333333</v>
      </c>
      <c r="AH28" s="506">
        <f t="shared" si="17"/>
        <v>108.33333333333333</v>
      </c>
      <c r="AI28" s="506">
        <f t="shared" si="17"/>
        <v>108.33333333333333</v>
      </c>
      <c r="AJ28" s="506">
        <f t="shared" si="17"/>
        <v>108.33333333333333</v>
      </c>
      <c r="AK28" s="506">
        <f t="shared" si="17"/>
        <v>108.33333333333333</v>
      </c>
      <c r="AL28" s="506">
        <f t="shared" si="17"/>
        <v>108.33333333333333</v>
      </c>
      <c r="AM28" s="506">
        <f t="shared" si="17"/>
        <v>108.33333333333333</v>
      </c>
      <c r="AN28" s="506">
        <f t="shared" si="17"/>
        <v>108.33333333333333</v>
      </c>
      <c r="AO28" s="506">
        <f t="shared" si="17"/>
        <v>108.33333333333333</v>
      </c>
      <c r="AP28" s="506">
        <f t="shared" si="17"/>
        <v>108.33333333333333</v>
      </c>
      <c r="AQ28" s="506">
        <f t="shared" si="17"/>
        <v>108.33333333333333</v>
      </c>
      <c r="AR28" s="506">
        <f t="shared" si="17"/>
        <v>108.33333333333333</v>
      </c>
      <c r="AS28" s="506">
        <f t="shared" si="17"/>
        <v>108.33333333333333</v>
      </c>
    </row>
    <row r="29" spans="1:45" s="507" customFormat="1" ht="57" customHeight="1" x14ac:dyDescent="0.3">
      <c r="A29" s="505" t="str">
        <f>A4</f>
        <v>Приобретение техники (погрузчик вилочный 3 шт)</v>
      </c>
      <c r="B29" s="504"/>
      <c r="C29" s="504"/>
      <c r="D29" s="504"/>
      <c r="E29" s="20">
        <f>D4/(допущения!$C$16*4)</f>
        <v>75</v>
      </c>
      <c r="F29" s="506">
        <f t="shared" si="16"/>
        <v>75</v>
      </c>
      <c r="G29" s="506">
        <f t="shared" si="17"/>
        <v>75</v>
      </c>
      <c r="H29" s="506">
        <f t="shared" si="17"/>
        <v>75</v>
      </c>
      <c r="I29" s="506">
        <f t="shared" si="17"/>
        <v>75</v>
      </c>
      <c r="J29" s="506">
        <f t="shared" si="17"/>
        <v>75</v>
      </c>
      <c r="K29" s="506">
        <f t="shared" si="17"/>
        <v>75</v>
      </c>
      <c r="L29" s="506">
        <f t="shared" si="17"/>
        <v>75</v>
      </c>
      <c r="M29" s="506">
        <f t="shared" si="17"/>
        <v>75</v>
      </c>
      <c r="N29" s="506">
        <f t="shared" si="17"/>
        <v>75</v>
      </c>
      <c r="O29" s="506">
        <f t="shared" si="17"/>
        <v>75</v>
      </c>
      <c r="P29" s="506">
        <f t="shared" si="17"/>
        <v>75</v>
      </c>
      <c r="Q29" s="506">
        <f t="shared" si="17"/>
        <v>75</v>
      </c>
      <c r="R29" s="506">
        <f t="shared" si="17"/>
        <v>75</v>
      </c>
      <c r="S29" s="506">
        <f t="shared" si="17"/>
        <v>75</v>
      </c>
      <c r="T29" s="506">
        <f t="shared" si="17"/>
        <v>75</v>
      </c>
      <c r="U29" s="506">
        <f t="shared" si="17"/>
        <v>75</v>
      </c>
      <c r="V29" s="506">
        <f t="shared" si="17"/>
        <v>75</v>
      </c>
      <c r="W29" s="506">
        <f t="shared" si="17"/>
        <v>75</v>
      </c>
      <c r="X29" s="506">
        <f t="shared" si="17"/>
        <v>75</v>
      </c>
      <c r="Y29" s="506">
        <f t="shared" si="17"/>
        <v>75</v>
      </c>
      <c r="Z29" s="506">
        <f t="shared" si="17"/>
        <v>75</v>
      </c>
      <c r="AA29" s="506">
        <f t="shared" si="17"/>
        <v>75</v>
      </c>
      <c r="AB29" s="506">
        <f t="shared" si="17"/>
        <v>75</v>
      </c>
      <c r="AC29" s="506">
        <f t="shared" si="17"/>
        <v>75</v>
      </c>
      <c r="AD29" s="506">
        <f t="shared" si="17"/>
        <v>75</v>
      </c>
      <c r="AE29" s="506">
        <f t="shared" si="17"/>
        <v>75</v>
      </c>
      <c r="AF29" s="506">
        <f t="shared" si="17"/>
        <v>75</v>
      </c>
      <c r="AG29" s="506">
        <f t="shared" si="17"/>
        <v>75</v>
      </c>
      <c r="AH29" s="506">
        <f t="shared" si="17"/>
        <v>75</v>
      </c>
      <c r="AI29" s="506">
        <f t="shared" si="17"/>
        <v>75</v>
      </c>
      <c r="AJ29" s="506">
        <f t="shared" si="17"/>
        <v>75</v>
      </c>
      <c r="AK29" s="506">
        <f t="shared" si="17"/>
        <v>75</v>
      </c>
      <c r="AL29" s="506">
        <f t="shared" si="17"/>
        <v>75</v>
      </c>
      <c r="AM29" s="506">
        <f t="shared" si="17"/>
        <v>75</v>
      </c>
      <c r="AN29" s="506">
        <f t="shared" si="17"/>
        <v>75</v>
      </c>
      <c r="AO29" s="506">
        <f t="shared" si="17"/>
        <v>75</v>
      </c>
      <c r="AP29" s="506">
        <f t="shared" si="17"/>
        <v>75</v>
      </c>
      <c r="AQ29" s="506">
        <f t="shared" si="17"/>
        <v>75</v>
      </c>
      <c r="AR29" s="506">
        <f t="shared" si="17"/>
        <v>75</v>
      </c>
      <c r="AS29" s="506">
        <f t="shared" si="17"/>
        <v>75</v>
      </c>
    </row>
    <row r="30" spans="1:45" ht="46.8" x14ac:dyDescent="0.3">
      <c r="A30" s="46" t="s">
        <v>391</v>
      </c>
      <c r="B30" s="506"/>
      <c r="C30" s="506"/>
      <c r="D30" s="506"/>
      <c r="E30" s="506">
        <f>D32/допущения!$C$17/4</f>
        <v>112.5</v>
      </c>
      <c r="F30" s="506">
        <f>E32*допущения!$C$17/4</f>
        <v>0</v>
      </c>
      <c r="G30" s="506">
        <f>F32*допущения!$C$17/4</f>
        <v>0</v>
      </c>
      <c r="H30" s="506">
        <f>G32*допущения!$C$17/4</f>
        <v>0</v>
      </c>
      <c r="I30" s="506">
        <f>H32*допущения!$C$17/4</f>
        <v>0</v>
      </c>
      <c r="J30" s="506">
        <f>I32*допущения!$C$17/4</f>
        <v>0</v>
      </c>
      <c r="K30" s="506">
        <f>J32*допущения!$C$17/4</f>
        <v>0</v>
      </c>
      <c r="L30" s="506">
        <f>K32*допущения!$C$17/4</f>
        <v>0</v>
      </c>
      <c r="M30" s="506">
        <f>L32*допущения!$C$17/4</f>
        <v>0</v>
      </c>
      <c r="N30" s="506">
        <f>M32*допущения!$C$17/4</f>
        <v>0</v>
      </c>
      <c r="O30" s="506">
        <f>N32*допущения!$C$17/4</f>
        <v>0</v>
      </c>
      <c r="P30" s="506">
        <f>O32*допущения!$C$17/4</f>
        <v>0</v>
      </c>
      <c r="Q30" s="506">
        <f>P32*допущения!$C$17/4</f>
        <v>0</v>
      </c>
      <c r="R30" s="506">
        <f>Q32*допущения!$C$17/4</f>
        <v>0</v>
      </c>
      <c r="S30" s="506">
        <f>R32*допущения!$C$17/4</f>
        <v>0</v>
      </c>
      <c r="T30" s="506">
        <f>S32*допущения!$C$17/4</f>
        <v>0</v>
      </c>
      <c r="U30" s="506">
        <f>T32*допущения!$C$17/4</f>
        <v>0</v>
      </c>
      <c r="V30" s="506">
        <f>U32*допущения!$C$17/4</f>
        <v>0</v>
      </c>
      <c r="W30" s="506">
        <f>V32*допущения!$C$17/4</f>
        <v>0</v>
      </c>
      <c r="X30" s="506">
        <f>W32*допущения!$C$17/4</f>
        <v>0</v>
      </c>
      <c r="Y30" s="506">
        <f>X32*допущения!$C$17/4</f>
        <v>0</v>
      </c>
      <c r="Z30" s="506">
        <f>Y32*допущения!$C$17/4</f>
        <v>0</v>
      </c>
      <c r="AA30" s="506">
        <f>Z32*допущения!$C$17/4</f>
        <v>0</v>
      </c>
      <c r="AB30" s="506">
        <f>AA32*допущения!$C$17/4</f>
        <v>0</v>
      </c>
      <c r="AC30" s="506">
        <f>AB32*допущения!$C$17/4</f>
        <v>0</v>
      </c>
      <c r="AD30" s="506">
        <f>AC32*допущения!$C$17/4</f>
        <v>0</v>
      </c>
      <c r="AE30" s="506">
        <f>AD32*допущения!$C$17/4</f>
        <v>0</v>
      </c>
      <c r="AF30" s="506">
        <f>AE32*допущения!$C$17/4</f>
        <v>0</v>
      </c>
      <c r="AG30" s="506">
        <f>AF32*допущения!$C$17/4</f>
        <v>0</v>
      </c>
      <c r="AH30" s="506">
        <f>AG32*допущения!$C$17/4</f>
        <v>0</v>
      </c>
      <c r="AI30" s="506">
        <f>AH32*допущения!$C$17/4</f>
        <v>0</v>
      </c>
      <c r="AJ30" s="506">
        <f>AI32*допущения!$C$17/4</f>
        <v>0</v>
      </c>
      <c r="AK30" s="506">
        <f>AJ32*допущения!$C$17/4</f>
        <v>0</v>
      </c>
      <c r="AL30" s="506">
        <f>AK32*допущения!$C$17/4</f>
        <v>0</v>
      </c>
      <c r="AM30" s="506">
        <f>AL32*допущения!$C$17/4</f>
        <v>0</v>
      </c>
      <c r="AN30" s="506">
        <f>AM32*допущения!$C$17/4</f>
        <v>0</v>
      </c>
      <c r="AO30" s="506">
        <f>AN32*допущения!$C$17/4</f>
        <v>0</v>
      </c>
      <c r="AP30" s="506">
        <f>AO32*допущения!$C$17/4</f>
        <v>0</v>
      </c>
      <c r="AQ30" s="506">
        <f>AP32*допущения!$C$17/4</f>
        <v>0</v>
      </c>
      <c r="AR30" s="506">
        <f>AQ32*допущения!$C$17/4</f>
        <v>0</v>
      </c>
      <c r="AS30" s="506">
        <f>AR32*допущения!$C$17/4</f>
        <v>0</v>
      </c>
    </row>
    <row r="31" spans="1:45" x14ac:dyDescent="0.3">
      <c r="B31" s="368" t="str">
        <f t="shared" ref="B31:AS31" si="18">B25</f>
        <v>I кв. 1 г.</v>
      </c>
      <c r="C31" s="368" t="str">
        <f t="shared" si="18"/>
        <v>II кв. 1 г.</v>
      </c>
      <c r="D31" s="368" t="str">
        <f t="shared" si="18"/>
        <v>III кв. 1 г.</v>
      </c>
      <c r="E31" s="368" t="str">
        <f t="shared" si="18"/>
        <v>IV кв. 1 г.</v>
      </c>
      <c r="F31" s="368" t="str">
        <f t="shared" si="18"/>
        <v>I кв. 2 г.</v>
      </c>
      <c r="G31" s="368" t="str">
        <f t="shared" si="18"/>
        <v>II кв. 2 г.</v>
      </c>
      <c r="H31" s="368" t="str">
        <f t="shared" si="18"/>
        <v>III кв. 2 г.</v>
      </c>
      <c r="I31" s="368" t="str">
        <f t="shared" si="18"/>
        <v>IV кв. 2 г.</v>
      </c>
      <c r="J31" s="368" t="str">
        <f t="shared" si="18"/>
        <v>I кв. 3 г.</v>
      </c>
      <c r="K31" s="368" t="str">
        <f t="shared" si="18"/>
        <v>II кв. 3 г.</v>
      </c>
      <c r="L31" s="368" t="str">
        <f t="shared" si="18"/>
        <v>III кв. 3 г.</v>
      </c>
      <c r="M31" s="368" t="str">
        <f t="shared" si="18"/>
        <v>IV кв. 3 г.</v>
      </c>
      <c r="N31" s="368" t="str">
        <f t="shared" si="18"/>
        <v>I кв. 4 г.</v>
      </c>
      <c r="O31" s="368" t="str">
        <f t="shared" si="18"/>
        <v>II кв. 4 г.</v>
      </c>
      <c r="P31" s="368" t="str">
        <f t="shared" si="18"/>
        <v>III кв. 4 г.</v>
      </c>
      <c r="Q31" s="368" t="str">
        <f t="shared" si="18"/>
        <v>IV кв. 4 г.</v>
      </c>
      <c r="R31" s="301" t="str">
        <f t="shared" si="18"/>
        <v>I кв. 5 г.</v>
      </c>
      <c r="S31" s="368" t="str">
        <f t="shared" si="18"/>
        <v>II кв. 5 г.</v>
      </c>
      <c r="T31" s="368" t="str">
        <f t="shared" si="18"/>
        <v>III кв. 5 г.</v>
      </c>
      <c r="U31" s="368" t="str">
        <f t="shared" si="18"/>
        <v>IV кв. 5 г.</v>
      </c>
      <c r="V31" s="368" t="str">
        <f t="shared" si="18"/>
        <v>I кв. 6 г.</v>
      </c>
      <c r="W31" s="368" t="str">
        <f t="shared" si="18"/>
        <v>II кв. 6 г.</v>
      </c>
      <c r="X31" s="368" t="str">
        <f t="shared" si="18"/>
        <v>III кв. 6 г.</v>
      </c>
      <c r="Y31" s="368" t="str">
        <f t="shared" si="18"/>
        <v>IV кв. 6 г.</v>
      </c>
      <c r="Z31" s="368" t="str">
        <f t="shared" si="18"/>
        <v>I кв. 7 г.</v>
      </c>
      <c r="AA31" s="368" t="str">
        <f t="shared" si="18"/>
        <v>II кв. 7 г.</v>
      </c>
      <c r="AB31" s="368" t="str">
        <f t="shared" si="18"/>
        <v>III кв. 7 г.</v>
      </c>
      <c r="AC31" s="368" t="str">
        <f t="shared" si="18"/>
        <v>IV кв. 7 г.</v>
      </c>
      <c r="AD31" s="368" t="str">
        <f t="shared" si="18"/>
        <v>I кв. 8 г.</v>
      </c>
      <c r="AE31" s="368" t="str">
        <f t="shared" si="18"/>
        <v>II кв. 8 г.</v>
      </c>
      <c r="AF31" s="368" t="str">
        <f t="shared" si="18"/>
        <v>III кв. 8 г.</v>
      </c>
      <c r="AG31" s="368" t="str">
        <f t="shared" si="18"/>
        <v>IV кв. 8 г.</v>
      </c>
      <c r="AH31" s="368" t="str">
        <f t="shared" si="18"/>
        <v>I кв. 9 г.</v>
      </c>
      <c r="AI31" s="368" t="str">
        <f t="shared" si="18"/>
        <v>II кв. 9 г.</v>
      </c>
      <c r="AJ31" s="368" t="str">
        <f t="shared" si="18"/>
        <v>III кв. 9 г.</v>
      </c>
      <c r="AK31" s="368" t="str">
        <f t="shared" si="18"/>
        <v>IV кв. 9 г.</v>
      </c>
      <c r="AL31" s="368" t="str">
        <f t="shared" si="18"/>
        <v>I кв. 10 г.</v>
      </c>
      <c r="AM31" s="368" t="str">
        <f t="shared" si="18"/>
        <v>II кв. 10 г.</v>
      </c>
      <c r="AN31" s="368" t="str">
        <f t="shared" si="18"/>
        <v>III кв. 10 г.</v>
      </c>
      <c r="AO31" s="368" t="str">
        <f t="shared" si="18"/>
        <v>IV кв. 10 г.</v>
      </c>
      <c r="AP31" s="367" t="str">
        <f t="shared" si="18"/>
        <v>I кв. 11 г.</v>
      </c>
      <c r="AQ31" s="367" t="str">
        <f t="shared" si="18"/>
        <v>II кв. 11 г.</v>
      </c>
      <c r="AR31" s="367" t="str">
        <f t="shared" si="18"/>
        <v>III кв. 11 г.</v>
      </c>
      <c r="AS31" s="369" t="str">
        <f t="shared" si="18"/>
        <v>IV кв. 11 г.</v>
      </c>
    </row>
    <row r="32" spans="1:45" x14ac:dyDescent="0.3">
      <c r="A32" s="30" t="s">
        <v>30</v>
      </c>
      <c r="B32" s="30"/>
      <c r="C32" s="30"/>
      <c r="D32" s="300">
        <f>D3</f>
        <v>13500</v>
      </c>
      <c r="E32" s="30"/>
      <c r="F32" s="30"/>
      <c r="G32" s="30"/>
      <c r="H32" s="30"/>
      <c r="I32" s="30"/>
      <c r="J32" s="30"/>
      <c r="K32" s="30"/>
      <c r="L32" s="30"/>
      <c r="M32" s="30"/>
      <c r="N32" s="30"/>
      <c r="O32" s="30"/>
      <c r="P32" s="30"/>
      <c r="Q32" s="30"/>
      <c r="R32" s="48"/>
      <c r="S32" s="30"/>
      <c r="T32" s="30"/>
      <c r="U32" s="30"/>
      <c r="V32" s="30"/>
      <c r="W32" s="30"/>
      <c r="X32" s="30"/>
      <c r="Y32" s="30"/>
      <c r="Z32" s="30"/>
      <c r="AA32" s="30"/>
      <c r="AB32" s="30"/>
      <c r="AC32" s="30"/>
      <c r="AD32" s="30"/>
      <c r="AE32" s="30"/>
      <c r="AF32" s="30"/>
      <c r="AG32" s="30"/>
      <c r="AH32" s="30"/>
      <c r="AI32" s="30"/>
      <c r="AJ32" s="30"/>
      <c r="AK32" s="30"/>
      <c r="AL32" s="30"/>
      <c r="AM32" s="30"/>
      <c r="AN32" s="30"/>
      <c r="AO32" s="30"/>
      <c r="AP32" s="45"/>
      <c r="AQ32" s="45"/>
      <c r="AR32" s="45"/>
      <c r="AS32" s="47"/>
    </row>
    <row r="33" spans="1:45" s="507" customFormat="1" ht="32.25" customHeight="1" x14ac:dyDescent="0.3">
      <c r="A33" s="505" t="s">
        <v>31</v>
      </c>
      <c r="B33" s="504"/>
      <c r="C33" s="504"/>
      <c r="D33" s="504"/>
      <c r="E33" s="504">
        <f>D32-E27</f>
        <v>13429.583333333334</v>
      </c>
      <c r="F33" s="504">
        <f t="shared" ref="F33:AS33" si="19">E33-F27</f>
        <v>13359.166666666668</v>
      </c>
      <c r="G33" s="504">
        <f t="shared" si="19"/>
        <v>13288.750000000002</v>
      </c>
      <c r="H33" s="504">
        <f t="shared" si="19"/>
        <v>13218.333333333336</v>
      </c>
      <c r="I33" s="504">
        <f t="shared" si="19"/>
        <v>13147.91666666667</v>
      </c>
      <c r="J33" s="504">
        <f t="shared" si="19"/>
        <v>13077.500000000004</v>
      </c>
      <c r="K33" s="504">
        <f t="shared" si="19"/>
        <v>13007.083333333338</v>
      </c>
      <c r="L33" s="504">
        <f t="shared" si="19"/>
        <v>12936.666666666672</v>
      </c>
      <c r="M33" s="504">
        <f t="shared" si="19"/>
        <v>12866.250000000005</v>
      </c>
      <c r="N33" s="504">
        <f t="shared" si="19"/>
        <v>12795.833333333339</v>
      </c>
      <c r="O33" s="504">
        <f t="shared" si="19"/>
        <v>12725.416666666673</v>
      </c>
      <c r="P33" s="504">
        <f t="shared" si="19"/>
        <v>12655.000000000007</v>
      </c>
      <c r="Q33" s="504">
        <f t="shared" si="19"/>
        <v>12584.583333333341</v>
      </c>
      <c r="R33" s="504">
        <f t="shared" si="19"/>
        <v>12514.166666666675</v>
      </c>
      <c r="S33" s="504">
        <f t="shared" si="19"/>
        <v>12443.750000000009</v>
      </c>
      <c r="T33" s="504">
        <f t="shared" si="19"/>
        <v>12373.333333333343</v>
      </c>
      <c r="U33" s="504">
        <f t="shared" si="19"/>
        <v>12302.916666666677</v>
      </c>
      <c r="V33" s="504">
        <f t="shared" si="19"/>
        <v>12232.500000000011</v>
      </c>
      <c r="W33" s="504">
        <f t="shared" si="19"/>
        <v>12162.083333333345</v>
      </c>
      <c r="X33" s="504">
        <f t="shared" si="19"/>
        <v>12091.666666666679</v>
      </c>
      <c r="Y33" s="504">
        <f t="shared" si="19"/>
        <v>12021.250000000013</v>
      </c>
      <c r="Z33" s="504">
        <f t="shared" si="19"/>
        <v>11950.833333333347</v>
      </c>
      <c r="AA33" s="504">
        <f t="shared" si="19"/>
        <v>11880.416666666681</v>
      </c>
      <c r="AB33" s="504">
        <f t="shared" si="19"/>
        <v>11810.000000000015</v>
      </c>
      <c r="AC33" s="504">
        <f t="shared" si="19"/>
        <v>11739.583333333348</v>
      </c>
      <c r="AD33" s="504">
        <f t="shared" si="19"/>
        <v>11669.166666666682</v>
      </c>
      <c r="AE33" s="504">
        <f t="shared" si="19"/>
        <v>11598.750000000016</v>
      </c>
      <c r="AF33" s="504">
        <f t="shared" si="19"/>
        <v>11528.33333333335</v>
      </c>
      <c r="AG33" s="504">
        <f t="shared" si="19"/>
        <v>11457.916666666684</v>
      </c>
      <c r="AH33" s="504">
        <f t="shared" si="19"/>
        <v>11387.500000000018</v>
      </c>
      <c r="AI33" s="504">
        <f t="shared" si="19"/>
        <v>11317.083333333352</v>
      </c>
      <c r="AJ33" s="504">
        <f t="shared" si="19"/>
        <v>11246.666666666686</v>
      </c>
      <c r="AK33" s="504">
        <f t="shared" si="19"/>
        <v>11176.25000000002</v>
      </c>
      <c r="AL33" s="504">
        <f t="shared" si="19"/>
        <v>11105.833333333354</v>
      </c>
      <c r="AM33" s="504">
        <f t="shared" si="19"/>
        <v>11035.416666666688</v>
      </c>
      <c r="AN33" s="504">
        <f t="shared" si="19"/>
        <v>10965.000000000022</v>
      </c>
      <c r="AO33" s="504">
        <f t="shared" si="19"/>
        <v>10894.583333333356</v>
      </c>
      <c r="AP33" s="504">
        <f t="shared" si="19"/>
        <v>10824.16666666669</v>
      </c>
      <c r="AQ33" s="504">
        <f t="shared" si="19"/>
        <v>10753.750000000024</v>
      </c>
      <c r="AR33" s="504">
        <f t="shared" si="19"/>
        <v>10683.333333333358</v>
      </c>
      <c r="AS33" s="504">
        <f t="shared" si="19"/>
        <v>10612.916666666692</v>
      </c>
    </row>
    <row r="34" spans="1:45" s="507" customFormat="1" ht="31.2" x14ac:dyDescent="0.3">
      <c r="A34" s="505" t="s">
        <v>32</v>
      </c>
      <c r="B34" s="504"/>
      <c r="C34" s="504"/>
      <c r="D34" s="504"/>
      <c r="E34" s="504">
        <f>D33*0</f>
        <v>0</v>
      </c>
      <c r="F34" s="504">
        <f t="shared" ref="F34:X34" si="20">E33*0</f>
        <v>0</v>
      </c>
      <c r="G34" s="504">
        <f t="shared" si="20"/>
        <v>0</v>
      </c>
      <c r="H34" s="504">
        <f t="shared" si="20"/>
        <v>0</v>
      </c>
      <c r="I34" s="504">
        <f t="shared" si="20"/>
        <v>0</v>
      </c>
      <c r="J34" s="504">
        <f t="shared" si="20"/>
        <v>0</v>
      </c>
      <c r="K34" s="506">
        <f t="shared" si="20"/>
        <v>0</v>
      </c>
      <c r="L34" s="506">
        <f t="shared" si="20"/>
        <v>0</v>
      </c>
      <c r="M34" s="506">
        <f t="shared" si="20"/>
        <v>0</v>
      </c>
      <c r="N34" s="506">
        <f t="shared" si="20"/>
        <v>0</v>
      </c>
      <c r="O34" s="506">
        <f t="shared" si="20"/>
        <v>0</v>
      </c>
      <c r="P34" s="506">
        <f t="shared" si="20"/>
        <v>0</v>
      </c>
      <c r="Q34" s="506">
        <f t="shared" si="20"/>
        <v>0</v>
      </c>
      <c r="R34" s="506">
        <f t="shared" si="20"/>
        <v>0</v>
      </c>
      <c r="S34" s="506">
        <f t="shared" si="20"/>
        <v>0</v>
      </c>
      <c r="T34" s="506">
        <f t="shared" si="20"/>
        <v>0</v>
      </c>
      <c r="U34" s="506">
        <f t="shared" si="20"/>
        <v>0</v>
      </c>
      <c r="V34" s="506">
        <f t="shared" si="20"/>
        <v>0</v>
      </c>
      <c r="W34" s="506">
        <f t="shared" si="20"/>
        <v>0</v>
      </c>
      <c r="X34" s="506">
        <f t="shared" si="20"/>
        <v>0</v>
      </c>
      <c r="Y34" s="535">
        <f>X33*допущения!$C$20/4</f>
        <v>66.504166666666734</v>
      </c>
      <c r="Z34" s="535">
        <f>Y33*допущения!$C$20/4</f>
        <v>66.116875000000064</v>
      </c>
      <c r="AA34" s="535">
        <f>Z33*допущения!$C$20/4</f>
        <v>65.729583333333409</v>
      </c>
      <c r="AB34" s="535">
        <f>AA33*допущения!$C$20/4</f>
        <v>65.342291666666739</v>
      </c>
      <c r="AC34" s="535">
        <f>AB33*допущения!$C$20/4</f>
        <v>64.955000000000069</v>
      </c>
      <c r="AD34" s="535">
        <f>AC33*допущения!$C$20/4</f>
        <v>64.567708333333414</v>
      </c>
      <c r="AE34" s="535">
        <f>AD33*допущения!$C$20/4</f>
        <v>64.180416666666744</v>
      </c>
      <c r="AF34" s="535">
        <f>AE33*допущения!$C$20/4</f>
        <v>63.793125000000089</v>
      </c>
      <c r="AG34" s="535">
        <f>AF33*допущения!$C$20/4</f>
        <v>63.405833333333426</v>
      </c>
      <c r="AH34" s="535">
        <f>AG33*допущения!$C$20/4</f>
        <v>63.018541666666756</v>
      </c>
      <c r="AI34" s="535">
        <f>AH33*допущения!$C$20/4</f>
        <v>62.631250000000094</v>
      </c>
      <c r="AJ34" s="535">
        <f>AI33*допущения!$C$20/4</f>
        <v>62.243958333333431</v>
      </c>
      <c r="AK34" s="535">
        <f>AJ33*допущения!$C$20/4</f>
        <v>61.856666666666769</v>
      </c>
      <c r="AL34" s="535">
        <f>AK33*допущения!$C$20/4</f>
        <v>61.469375000000106</v>
      </c>
      <c r="AM34" s="535">
        <f>AL33*допущения!$C$20/4</f>
        <v>61.082083333333443</v>
      </c>
      <c r="AN34" s="535">
        <f>AM33*допущения!$C$20/4</f>
        <v>60.694791666666781</v>
      </c>
      <c r="AO34" s="535">
        <f>AN33*допущения!$C$20/4</f>
        <v>60.307500000000118</v>
      </c>
      <c r="AP34" s="535">
        <f>AO33*допущения!$C$20/4</f>
        <v>59.920208333333456</v>
      </c>
      <c r="AQ34" s="535">
        <f>AP33*допущения!$C$20/4</f>
        <v>59.532916666666793</v>
      </c>
      <c r="AR34" s="535">
        <f>AQ33*допущения!$C$20/4</f>
        <v>59.145625000000123</v>
      </c>
      <c r="AS34" s="535">
        <f>AR33*допущения!$C$20/4</f>
        <v>58.758333333333461</v>
      </c>
    </row>
    <row r="35" spans="1:45" ht="31.2" x14ac:dyDescent="0.3">
      <c r="A35" s="16" t="s">
        <v>33</v>
      </c>
      <c r="B35" s="30"/>
      <c r="C35" s="30"/>
      <c r="D35" s="30"/>
      <c r="E35" s="504">
        <f>D33*допущения!$C$20/4</f>
        <v>0</v>
      </c>
      <c r="F35" s="504">
        <f>E33*допущения!$C$20/4</f>
        <v>73.86270833333333</v>
      </c>
      <c r="G35" s="504">
        <f>F33*допущения!$C$20/4</f>
        <v>73.475416666666675</v>
      </c>
      <c r="H35" s="504">
        <f>G33*допущения!$C$20/4</f>
        <v>73.088125000000005</v>
      </c>
      <c r="I35" s="504">
        <f>H33*допущения!$C$20/4</f>
        <v>72.700833333333335</v>
      </c>
      <c r="J35" s="504">
        <f>I33*допущения!$C$20/4</f>
        <v>72.31354166666668</v>
      </c>
      <c r="K35" s="504">
        <f>J33*допущения!$C$20/4</f>
        <v>71.92625000000001</v>
      </c>
      <c r="L35" s="504">
        <f>K33*допущения!$C$20/4</f>
        <v>71.538958333333355</v>
      </c>
      <c r="M35" s="504">
        <f>L33*допущения!$C$20/4</f>
        <v>71.151666666666685</v>
      </c>
      <c r="N35" s="504">
        <f>M33*допущения!$C$20/4</f>
        <v>70.76437500000003</v>
      </c>
      <c r="O35" s="504">
        <f>N33*допущения!$C$20/4</f>
        <v>70.37708333333336</v>
      </c>
      <c r="P35" s="504">
        <f>O33*допущения!$C$20/4</f>
        <v>69.989791666666704</v>
      </c>
      <c r="Q35" s="504">
        <f>P33*допущения!$C$20/4</f>
        <v>69.602500000000035</v>
      </c>
      <c r="R35" s="504">
        <f>Q33*допущения!$C$20/4</f>
        <v>69.215208333333379</v>
      </c>
      <c r="S35" s="504">
        <f>R33*допущения!$C$20/4</f>
        <v>68.827916666666709</v>
      </c>
      <c r="T35" s="504">
        <f>S33*допущения!$C$20/4</f>
        <v>68.44062500000004</v>
      </c>
      <c r="U35" s="504">
        <f>T33*допущения!$C$20/4</f>
        <v>68.053333333333384</v>
      </c>
      <c r="V35" s="504">
        <f>U33*допущения!$C$20/4</f>
        <v>67.666041666666715</v>
      </c>
      <c r="W35" s="504">
        <f>V33*допущения!$C$20/4</f>
        <v>67.278750000000059</v>
      </c>
      <c r="X35" s="504">
        <f>W33*допущения!$C$20/4</f>
        <v>66.891458333333389</v>
      </c>
      <c r="Y35" s="504">
        <f>X33*допущения!$C$20/4</f>
        <v>66.504166666666734</v>
      </c>
      <c r="Z35" s="504">
        <f>Y33*допущения!$C$20/4</f>
        <v>66.116875000000064</v>
      </c>
      <c r="AA35" s="504">
        <f>Z33*допущения!$C$20/4</f>
        <v>65.729583333333409</v>
      </c>
      <c r="AB35" s="504">
        <f>AA33*допущения!$C$20/4</f>
        <v>65.342291666666739</v>
      </c>
      <c r="AC35" s="504">
        <f>AB33*допущения!$C$20/4</f>
        <v>64.955000000000069</v>
      </c>
      <c r="AD35" s="504">
        <f>AC33*допущения!$C$20/4</f>
        <v>64.567708333333414</v>
      </c>
      <c r="AE35" s="504">
        <f>AD33*допущения!$C$20/4</f>
        <v>64.180416666666744</v>
      </c>
      <c r="AF35" s="504">
        <f>AE33*допущения!$C$20/4</f>
        <v>63.793125000000089</v>
      </c>
      <c r="AG35" s="504">
        <f>AF33*допущения!$C$20/4</f>
        <v>63.405833333333426</v>
      </c>
      <c r="AH35" s="504">
        <f>AG33*допущения!$C$20/4</f>
        <v>63.018541666666756</v>
      </c>
      <c r="AI35" s="504">
        <f>AH33*допущения!$C$20/4</f>
        <v>62.631250000000094</v>
      </c>
      <c r="AJ35" s="504">
        <f>AI33*допущения!$C$20/4</f>
        <v>62.243958333333431</v>
      </c>
      <c r="AK35" s="504">
        <f>AJ33*допущения!$C$20/4</f>
        <v>61.856666666666769</v>
      </c>
      <c r="AL35" s="504">
        <f>AK33*допущения!$C$20/4</f>
        <v>61.469375000000106</v>
      </c>
      <c r="AM35" s="504">
        <f>AL33*допущения!$C$20/4</f>
        <v>61.082083333333443</v>
      </c>
      <c r="AN35" s="504">
        <f>AM33*допущения!$C$20/4</f>
        <v>60.694791666666781</v>
      </c>
      <c r="AO35" s="504">
        <f>AN33*допущения!$C$20/4</f>
        <v>60.307500000000118</v>
      </c>
      <c r="AP35" s="504">
        <f>AO33*допущения!$C$20/4</f>
        <v>59.920208333333456</v>
      </c>
      <c r="AQ35" s="504">
        <f>AP33*допущения!$C$20/4</f>
        <v>59.532916666666793</v>
      </c>
      <c r="AR35" s="504">
        <f>AQ33*допущения!$C$20/4</f>
        <v>59.145625000000123</v>
      </c>
      <c r="AS35" s="504">
        <f>AR33*допущения!$C$20/4</f>
        <v>58.758333333333461</v>
      </c>
    </row>
    <row r="36" spans="1:45" x14ac:dyDescent="0.3">
      <c r="A36" s="13"/>
      <c r="B36" s="13"/>
      <c r="C36" s="13"/>
      <c r="D36" s="13"/>
      <c r="E36" s="13"/>
      <c r="Z36" s="13"/>
    </row>
    <row r="37" spans="1:45" ht="46.5" customHeight="1" x14ac:dyDescent="0.3">
      <c r="A37" s="362"/>
      <c r="B37" s="370" t="str">
        <f>W1</f>
        <v>1 год</v>
      </c>
      <c r="C37" s="370" t="str">
        <f>X1</f>
        <v>2 год</v>
      </c>
      <c r="D37" s="370" t="str">
        <f>Y1</f>
        <v>3 год</v>
      </c>
      <c r="E37" s="370" t="str">
        <f>Z1</f>
        <v>4 год</v>
      </c>
      <c r="F37" s="370" t="str">
        <f>'выручка по кв и годам'!H15</f>
        <v>5 год</v>
      </c>
      <c r="G37" s="370" t="str">
        <f>'выручка по кв и годам'!I15</f>
        <v>6 год</v>
      </c>
      <c r="H37" s="370" t="str">
        <f>'выручка по кв и годам'!J15</f>
        <v>7 год</v>
      </c>
      <c r="I37" s="370" t="str">
        <f>'выручка по кв и годам'!K15</f>
        <v>8 год</v>
      </c>
      <c r="J37" s="370" t="str">
        <f>'выручка по кв и годам'!L15</f>
        <v>9 год</v>
      </c>
      <c r="K37" s="370" t="str">
        <f>'выручка по кв и годам'!M15</f>
        <v>10 год</v>
      </c>
      <c r="L37" s="370" t="str">
        <f>'выручка по кв и годам'!N15</f>
        <v>11 год</v>
      </c>
      <c r="W37" s="15"/>
      <c r="Z37" s="13"/>
    </row>
    <row r="38" spans="1:45" ht="38.25" customHeight="1" x14ac:dyDescent="0.3">
      <c r="A38" s="16" t="str">
        <f t="shared" ref="A38:A39" si="21">A34</f>
        <v>Налог на имущество ТОР</v>
      </c>
      <c r="B38" s="506">
        <f t="shared" ref="B38:B39" si="22">SUM(B34:E34)</f>
        <v>0</v>
      </c>
      <c r="C38" s="506">
        <f t="shared" ref="C38:C39" si="23">SUM(F34:I34)</f>
        <v>0</v>
      </c>
      <c r="D38" s="506">
        <f t="shared" ref="D38:D39" si="24">SUM(J34:M34)</f>
        <v>0</v>
      </c>
      <c r="E38" s="506">
        <f t="shared" ref="E38:E39" si="25">SUM(N34:Q34)</f>
        <v>0</v>
      </c>
      <c r="F38" s="506">
        <f t="shared" ref="F38:F39" si="26">SUM(R34:U34)</f>
        <v>0</v>
      </c>
      <c r="G38" s="506">
        <f>SUM(V34:Y34)</f>
        <v>66.504166666666734</v>
      </c>
      <c r="H38" s="506">
        <f t="shared" ref="H38:H39" si="27">SUM(Z34:AC34)</f>
        <v>262.1437500000003</v>
      </c>
      <c r="I38" s="506">
        <f t="shared" ref="I38:I39" si="28">SUM(AD34:AG34)</f>
        <v>255.94708333333367</v>
      </c>
      <c r="J38" s="506">
        <f t="shared" ref="J38:J39" si="29">SUM(AH34:AK34)</f>
        <v>249.75041666666706</v>
      </c>
      <c r="K38" s="506">
        <f t="shared" ref="K38:K39" si="30">SUM(AL34:AO34)</f>
        <v>243.55375000000046</v>
      </c>
      <c r="L38" s="506">
        <f t="shared" ref="L38:L39" si="31">SUM(AP34:AS34)</f>
        <v>237.35708333333386</v>
      </c>
      <c r="V38" s="15"/>
      <c r="Z38" s="13"/>
    </row>
    <row r="39" spans="1:45" ht="31.2" x14ac:dyDescent="0.3">
      <c r="A39" s="16" t="str">
        <f t="shared" si="21"/>
        <v>Налог на имущество без ТОР</v>
      </c>
      <c r="B39" s="21">
        <f t="shared" si="22"/>
        <v>0</v>
      </c>
      <c r="C39" s="21">
        <f t="shared" si="23"/>
        <v>293.1270833333333</v>
      </c>
      <c r="D39" s="21">
        <f t="shared" si="24"/>
        <v>286.93041666666676</v>
      </c>
      <c r="E39" s="21">
        <f t="shared" si="25"/>
        <v>280.7337500000001</v>
      </c>
      <c r="F39" s="21">
        <f t="shared" si="26"/>
        <v>274.5370833333335</v>
      </c>
      <c r="G39" s="21">
        <f t="shared" ref="G39" si="32">SUM(V35:Y35)</f>
        <v>268.3404166666669</v>
      </c>
      <c r="H39" s="21">
        <f t="shared" si="27"/>
        <v>262.1437500000003</v>
      </c>
      <c r="I39" s="21">
        <f t="shared" si="28"/>
        <v>255.94708333333367</v>
      </c>
      <c r="J39" s="21">
        <f t="shared" si="29"/>
        <v>249.75041666666706</v>
      </c>
      <c r="K39" s="21">
        <f t="shared" si="30"/>
        <v>243.55375000000046</v>
      </c>
      <c r="L39" s="21">
        <f t="shared" si="31"/>
        <v>237.35708333333386</v>
      </c>
      <c r="V39" s="15"/>
      <c r="Z39" s="13"/>
    </row>
    <row r="40" spans="1:45" x14ac:dyDescent="0.3">
      <c r="B40" s="13"/>
      <c r="C40" s="13"/>
      <c r="D40" s="13"/>
      <c r="E40" s="13"/>
      <c r="V40" s="15"/>
      <c r="Z40" s="13"/>
    </row>
    <row r="41" spans="1:45" x14ac:dyDescent="0.3">
      <c r="B41" s="13"/>
      <c r="C41" s="13"/>
      <c r="D41" s="13"/>
      <c r="E41" s="13"/>
    </row>
    <row r="42" spans="1:45" x14ac:dyDescent="0.3">
      <c r="B42" s="13"/>
      <c r="C42" s="13"/>
      <c r="D42" s="13"/>
      <c r="E42" s="13"/>
    </row>
    <row r="43" spans="1:45" x14ac:dyDescent="0.3">
      <c r="A43" s="13"/>
      <c r="B43" s="13"/>
      <c r="C43" s="13"/>
      <c r="D43" s="13"/>
      <c r="E43" s="13"/>
    </row>
    <row r="44" spans="1:45" x14ac:dyDescent="0.3">
      <c r="A44" s="13"/>
      <c r="B44" s="13"/>
      <c r="C44" s="13"/>
      <c r="D44" s="13"/>
      <c r="E44" s="13"/>
    </row>
    <row r="45" spans="1:45" x14ac:dyDescent="0.3">
      <c r="A45" s="366"/>
      <c r="B45" s="371" t="str">
        <f>B37</f>
        <v>1 год</v>
      </c>
      <c r="C45" s="371" t="str">
        <f t="shared" ref="C45:L45" si="33">C37</f>
        <v>2 год</v>
      </c>
      <c r="D45" s="371" t="str">
        <f t="shared" si="33"/>
        <v>3 год</v>
      </c>
      <c r="E45" s="371" t="str">
        <f t="shared" si="33"/>
        <v>4 год</v>
      </c>
      <c r="F45" s="371" t="str">
        <f t="shared" si="33"/>
        <v>5 год</v>
      </c>
      <c r="G45" s="371" t="str">
        <f t="shared" si="33"/>
        <v>6 год</v>
      </c>
      <c r="H45" s="371" t="str">
        <f t="shared" si="33"/>
        <v>7 год</v>
      </c>
      <c r="I45" s="371" t="str">
        <f t="shared" si="33"/>
        <v>8 год</v>
      </c>
      <c r="J45" s="371" t="str">
        <f t="shared" si="33"/>
        <v>9 год</v>
      </c>
      <c r="K45" s="371" t="str">
        <f t="shared" si="33"/>
        <v>10 год</v>
      </c>
      <c r="L45" s="371" t="str">
        <f t="shared" si="33"/>
        <v>11 год</v>
      </c>
      <c r="V45" s="15"/>
      <c r="Z45" s="13"/>
    </row>
    <row r="46" spans="1:45" x14ac:dyDescent="0.3">
      <c r="A46" s="16" t="s">
        <v>34</v>
      </c>
      <c r="B46" s="31">
        <f>0*$F$41</f>
        <v>0</v>
      </c>
      <c r="C46" s="31">
        <f>0*$F$41</f>
        <v>0</v>
      </c>
      <c r="D46" s="31">
        <f>0*$F$41</f>
        <v>0</v>
      </c>
      <c r="E46" s="31">
        <f>0*$F$41</f>
        <v>0</v>
      </c>
      <c r="F46" s="31">
        <f>0*$F$41</f>
        <v>0</v>
      </c>
      <c r="G46" s="30">
        <f>SUM(V48:Y48)</f>
        <v>0</v>
      </c>
      <c r="H46" s="30">
        <f>G46</f>
        <v>0</v>
      </c>
      <c r="I46" s="30">
        <f>H46</f>
        <v>0</v>
      </c>
      <c r="J46" s="30">
        <f>I46</f>
        <v>0</v>
      </c>
      <c r="K46" s="30">
        <f>J46</f>
        <v>0</v>
      </c>
      <c r="L46" s="30">
        <f>K46</f>
        <v>0</v>
      </c>
      <c r="V46" s="15"/>
      <c r="Z46" s="13"/>
    </row>
    <row r="47" spans="1:45" x14ac:dyDescent="0.3">
      <c r="A47" s="362"/>
      <c r="B47" s="301" t="str">
        <f t="shared" ref="B47:AS47" si="34">B25</f>
        <v>I кв. 1 г.</v>
      </c>
      <c r="C47" s="301" t="str">
        <f t="shared" si="34"/>
        <v>II кв. 1 г.</v>
      </c>
      <c r="D47" s="301" t="str">
        <f t="shared" si="34"/>
        <v>III кв. 1 г.</v>
      </c>
      <c r="E47" s="301" t="str">
        <f t="shared" si="34"/>
        <v>IV кв. 1 г.</v>
      </c>
      <c r="F47" s="301" t="str">
        <f t="shared" si="34"/>
        <v>I кв. 2 г.</v>
      </c>
      <c r="G47" s="301" t="str">
        <f t="shared" si="34"/>
        <v>II кв. 2 г.</v>
      </c>
      <c r="H47" s="301" t="str">
        <f t="shared" si="34"/>
        <v>III кв. 2 г.</v>
      </c>
      <c r="I47" s="301" t="str">
        <f t="shared" si="34"/>
        <v>IV кв. 2 г.</v>
      </c>
      <c r="J47" s="301" t="str">
        <f t="shared" si="34"/>
        <v>I кв. 3 г.</v>
      </c>
      <c r="K47" s="301" t="str">
        <f t="shared" si="34"/>
        <v>II кв. 3 г.</v>
      </c>
      <c r="L47" s="301" t="str">
        <f t="shared" si="34"/>
        <v>III кв. 3 г.</v>
      </c>
      <c r="M47" s="301" t="str">
        <f t="shared" si="34"/>
        <v>IV кв. 3 г.</v>
      </c>
      <c r="N47" s="301" t="str">
        <f t="shared" si="34"/>
        <v>I кв. 4 г.</v>
      </c>
      <c r="O47" s="301" t="str">
        <f t="shared" si="34"/>
        <v>II кв. 4 г.</v>
      </c>
      <c r="P47" s="301" t="str">
        <f t="shared" si="34"/>
        <v>III кв. 4 г.</v>
      </c>
      <c r="Q47" s="301" t="str">
        <f t="shared" si="34"/>
        <v>IV кв. 4 г.</v>
      </c>
      <c r="R47" s="301" t="str">
        <f t="shared" si="34"/>
        <v>I кв. 5 г.</v>
      </c>
      <c r="S47" s="301" t="str">
        <f t="shared" si="34"/>
        <v>II кв. 5 г.</v>
      </c>
      <c r="T47" s="301" t="str">
        <f t="shared" si="34"/>
        <v>III кв. 5 г.</v>
      </c>
      <c r="U47" s="301" t="str">
        <f t="shared" si="34"/>
        <v>IV кв. 5 г.</v>
      </c>
      <c r="V47" s="301" t="str">
        <f t="shared" si="34"/>
        <v>I кв. 6 г.</v>
      </c>
      <c r="W47" s="301" t="str">
        <f t="shared" si="34"/>
        <v>II кв. 6 г.</v>
      </c>
      <c r="X47" s="301" t="str">
        <f t="shared" si="34"/>
        <v>III кв. 6 г.</v>
      </c>
      <c r="Y47" s="301" t="str">
        <f t="shared" si="34"/>
        <v>IV кв. 6 г.</v>
      </c>
      <c r="Z47" s="301" t="str">
        <f t="shared" si="34"/>
        <v>I кв. 7 г.</v>
      </c>
      <c r="AA47" s="301" t="str">
        <f t="shared" si="34"/>
        <v>II кв. 7 г.</v>
      </c>
      <c r="AB47" s="301" t="str">
        <f t="shared" si="34"/>
        <v>III кв. 7 г.</v>
      </c>
      <c r="AC47" s="301" t="str">
        <f t="shared" si="34"/>
        <v>IV кв. 7 г.</v>
      </c>
      <c r="AD47" s="301" t="str">
        <f t="shared" si="34"/>
        <v>I кв. 8 г.</v>
      </c>
      <c r="AE47" s="301" t="str">
        <f t="shared" si="34"/>
        <v>II кв. 8 г.</v>
      </c>
      <c r="AF47" s="301" t="str">
        <f t="shared" si="34"/>
        <v>III кв. 8 г.</v>
      </c>
      <c r="AG47" s="301" t="str">
        <f t="shared" si="34"/>
        <v>IV кв. 8 г.</v>
      </c>
      <c r="AH47" s="301" t="str">
        <f t="shared" si="34"/>
        <v>I кв. 9 г.</v>
      </c>
      <c r="AI47" s="301" t="str">
        <f t="shared" si="34"/>
        <v>II кв. 9 г.</v>
      </c>
      <c r="AJ47" s="301" t="str">
        <f t="shared" si="34"/>
        <v>III кв. 9 г.</v>
      </c>
      <c r="AK47" s="301" t="str">
        <f t="shared" si="34"/>
        <v>IV кв. 9 г.</v>
      </c>
      <c r="AL47" s="301" t="str">
        <f t="shared" si="34"/>
        <v>I кв. 10 г.</v>
      </c>
      <c r="AM47" s="301" t="str">
        <f t="shared" si="34"/>
        <v>II кв. 10 г.</v>
      </c>
      <c r="AN47" s="301" t="str">
        <f t="shared" si="34"/>
        <v>III кв. 10 г.</v>
      </c>
      <c r="AO47" s="372" t="str">
        <f t="shared" si="34"/>
        <v>IV кв. 10 г.</v>
      </c>
      <c r="AP47" s="372" t="str">
        <f t="shared" si="34"/>
        <v>I кв. 11 г.</v>
      </c>
      <c r="AQ47" s="372" t="str">
        <f t="shared" si="34"/>
        <v>II кв. 11 г.</v>
      </c>
      <c r="AR47" s="372" t="str">
        <f t="shared" si="34"/>
        <v>III кв. 11 г.</v>
      </c>
      <c r="AS47" s="301" t="str">
        <f t="shared" si="34"/>
        <v>IV кв. 11 г.</v>
      </c>
    </row>
    <row r="48" spans="1:45" x14ac:dyDescent="0.3">
      <c r="A48" s="16" t="str">
        <f>A46</f>
        <v>Земельный налог ТОР</v>
      </c>
      <c r="B48" s="299">
        <f>допущения!$F$27*0</f>
        <v>0</v>
      </c>
      <c r="C48" s="299">
        <f>допущения!$F$27*0</f>
        <v>0</v>
      </c>
      <c r="D48" s="299">
        <f>допущения!$F$27*0</f>
        <v>0</v>
      </c>
      <c r="E48" s="299">
        <f>допущения!$F$27*0</f>
        <v>0</v>
      </c>
      <c r="F48" s="299">
        <f>допущения!$F$27*0</f>
        <v>0</v>
      </c>
      <c r="G48" s="299">
        <f>допущения!$F$27*0</f>
        <v>0</v>
      </c>
      <c r="H48" s="299">
        <f>допущения!$F$27*0</f>
        <v>0</v>
      </c>
      <c r="I48" s="299">
        <f>допущения!$F$27*0</f>
        <v>0</v>
      </c>
      <c r="J48" s="299">
        <f>допущения!$F$27*0</f>
        <v>0</v>
      </c>
      <c r="K48" s="299">
        <f>допущения!$F$27*0</f>
        <v>0</v>
      </c>
      <c r="L48" s="299">
        <f>допущения!$F$27*0</f>
        <v>0</v>
      </c>
      <c r="M48" s="299">
        <f>допущения!$F$27*0</f>
        <v>0</v>
      </c>
      <c r="N48" s="299">
        <f>допущения!$F$27*0</f>
        <v>0</v>
      </c>
      <c r="O48" s="299">
        <f>допущения!$F$27*0</f>
        <v>0</v>
      </c>
      <c r="P48" s="299">
        <f>допущения!$F$27*0</f>
        <v>0</v>
      </c>
      <c r="Q48" s="299">
        <f>допущения!$F$27*0</f>
        <v>0</v>
      </c>
      <c r="R48" s="299">
        <f>допущения!$F$27*0</f>
        <v>0</v>
      </c>
      <c r="S48" s="299">
        <f>допущения!$F$27*0</f>
        <v>0</v>
      </c>
      <c r="T48" s="299">
        <f>допущения!$F$27*0</f>
        <v>0</v>
      </c>
      <c r="U48" s="299">
        <f>допущения!$F$27*0</f>
        <v>0</v>
      </c>
      <c r="V48" s="49">
        <f>допущения!$C$20/4*допущения!C32</f>
        <v>0</v>
      </c>
      <c r="W48" s="50">
        <f>допущения!$F$27*0.015/4</f>
        <v>0</v>
      </c>
      <c r="X48" s="50">
        <f>допущения!$F$27*0.015/4</f>
        <v>0</v>
      </c>
      <c r="Y48" s="50">
        <f>допущения!$F$27*0.015/4</f>
        <v>0</v>
      </c>
      <c r="Z48" s="50">
        <f>допущения!$F$27*0.015/4</f>
        <v>0</v>
      </c>
      <c r="AA48" s="50">
        <f>допущения!$F$27*0.015/4</f>
        <v>0</v>
      </c>
      <c r="AB48" s="50">
        <f>допущения!$F$27*0.015/4</f>
        <v>0</v>
      </c>
      <c r="AC48" s="50">
        <f>допущения!$F$27*0.015/4</f>
        <v>0</v>
      </c>
      <c r="AD48" s="50">
        <f>допущения!$F$27*0.015/4</f>
        <v>0</v>
      </c>
      <c r="AE48" s="50">
        <f>допущения!$F$27*0.015/4</f>
        <v>0</v>
      </c>
      <c r="AF48" s="50">
        <f>допущения!$F$27*0.015/4</f>
        <v>0</v>
      </c>
      <c r="AG48" s="50">
        <f>допущения!$F$27*0.015/4</f>
        <v>0</v>
      </c>
      <c r="AH48" s="50">
        <f>допущения!$F$27*0.015/4</f>
        <v>0</v>
      </c>
      <c r="AI48" s="50">
        <f>допущения!$F$27*0.015/4</f>
        <v>0</v>
      </c>
      <c r="AJ48" s="50">
        <f>допущения!$F$27*0.015/4</f>
        <v>0</v>
      </c>
      <c r="AK48" s="50">
        <f>допущения!$F$27*0.015/4</f>
        <v>0</v>
      </c>
      <c r="AL48" s="50">
        <f>допущения!$F$27*0.015/4</f>
        <v>0</v>
      </c>
      <c r="AM48" s="50">
        <f>допущения!$F$27*0.015/4</f>
        <v>0</v>
      </c>
      <c r="AN48" s="50">
        <f>допущения!$F$27*0.015/4</f>
        <v>0</v>
      </c>
      <c r="AO48" s="50">
        <f>допущения!$F$27*0.015/4</f>
        <v>0</v>
      </c>
      <c r="AP48" s="50">
        <f>допущения!$F$27*0.015/4</f>
        <v>0</v>
      </c>
      <c r="AQ48" s="50">
        <f>допущения!$F$27*0.015/4</f>
        <v>0</v>
      </c>
      <c r="AR48" s="51">
        <f>допущения!$F$27*0.015/4</f>
        <v>0</v>
      </c>
      <c r="AS48" s="50">
        <f>допущения!$F$27*0.015/4</f>
        <v>0</v>
      </c>
    </row>
    <row r="49" spans="1:45" x14ac:dyDescent="0.3">
      <c r="A49" s="368"/>
      <c r="B49" s="373" t="str">
        <f t="shared" ref="B49:AQ49" si="35">B47</f>
        <v>I кв. 1 г.</v>
      </c>
      <c r="C49" s="373" t="str">
        <f t="shared" si="35"/>
        <v>II кв. 1 г.</v>
      </c>
      <c r="D49" s="373" t="str">
        <f t="shared" si="35"/>
        <v>III кв. 1 г.</v>
      </c>
      <c r="E49" s="373" t="str">
        <f t="shared" si="35"/>
        <v>IV кв. 1 г.</v>
      </c>
      <c r="F49" s="373" t="str">
        <f t="shared" si="35"/>
        <v>I кв. 2 г.</v>
      </c>
      <c r="G49" s="373" t="str">
        <f t="shared" si="35"/>
        <v>II кв. 2 г.</v>
      </c>
      <c r="H49" s="373" t="str">
        <f t="shared" si="35"/>
        <v>III кв. 2 г.</v>
      </c>
      <c r="I49" s="373" t="str">
        <f t="shared" si="35"/>
        <v>IV кв. 2 г.</v>
      </c>
      <c r="J49" s="373" t="str">
        <f t="shared" si="35"/>
        <v>I кв. 3 г.</v>
      </c>
      <c r="K49" s="373" t="str">
        <f t="shared" si="35"/>
        <v>II кв. 3 г.</v>
      </c>
      <c r="L49" s="373" t="str">
        <f t="shared" si="35"/>
        <v>III кв. 3 г.</v>
      </c>
      <c r="M49" s="373" t="str">
        <f t="shared" si="35"/>
        <v>IV кв. 3 г.</v>
      </c>
      <c r="N49" s="373" t="str">
        <f t="shared" si="35"/>
        <v>I кв. 4 г.</v>
      </c>
      <c r="O49" s="373" t="str">
        <f t="shared" si="35"/>
        <v>II кв. 4 г.</v>
      </c>
      <c r="P49" s="373" t="str">
        <f t="shared" si="35"/>
        <v>III кв. 4 г.</v>
      </c>
      <c r="Q49" s="373" t="str">
        <f t="shared" si="35"/>
        <v>IV кв. 4 г.</v>
      </c>
      <c r="R49" s="373" t="str">
        <f t="shared" si="35"/>
        <v>I кв. 5 г.</v>
      </c>
      <c r="S49" s="373" t="str">
        <f t="shared" si="35"/>
        <v>II кв. 5 г.</v>
      </c>
      <c r="T49" s="373" t="str">
        <f t="shared" si="35"/>
        <v>III кв. 5 г.</v>
      </c>
      <c r="U49" s="373" t="str">
        <f t="shared" si="35"/>
        <v>IV кв. 5 г.</v>
      </c>
      <c r="V49" s="373" t="str">
        <f t="shared" si="35"/>
        <v>I кв. 6 г.</v>
      </c>
      <c r="W49" s="373" t="str">
        <f t="shared" si="35"/>
        <v>II кв. 6 г.</v>
      </c>
      <c r="X49" s="373" t="str">
        <f t="shared" si="35"/>
        <v>III кв. 6 г.</v>
      </c>
      <c r="Y49" s="373" t="str">
        <f t="shared" si="35"/>
        <v>IV кв. 6 г.</v>
      </c>
      <c r="Z49" s="373" t="str">
        <f t="shared" si="35"/>
        <v>I кв. 7 г.</v>
      </c>
      <c r="AA49" s="373" t="str">
        <f t="shared" si="35"/>
        <v>II кв. 7 г.</v>
      </c>
      <c r="AB49" s="373" t="str">
        <f t="shared" si="35"/>
        <v>III кв. 7 г.</v>
      </c>
      <c r="AC49" s="373" t="str">
        <f t="shared" si="35"/>
        <v>IV кв. 7 г.</v>
      </c>
      <c r="AD49" s="373" t="str">
        <f t="shared" si="35"/>
        <v>I кв. 8 г.</v>
      </c>
      <c r="AE49" s="373" t="str">
        <f t="shared" si="35"/>
        <v>II кв. 8 г.</v>
      </c>
      <c r="AF49" s="373" t="str">
        <f t="shared" si="35"/>
        <v>III кв. 8 г.</v>
      </c>
      <c r="AG49" s="373" t="str">
        <f t="shared" si="35"/>
        <v>IV кв. 8 г.</v>
      </c>
      <c r="AH49" s="373" t="str">
        <f t="shared" si="35"/>
        <v>I кв. 9 г.</v>
      </c>
      <c r="AI49" s="373" t="str">
        <f t="shared" si="35"/>
        <v>II кв. 9 г.</v>
      </c>
      <c r="AJ49" s="373" t="str">
        <f t="shared" si="35"/>
        <v>III кв. 9 г.</v>
      </c>
      <c r="AK49" s="373" t="str">
        <f t="shared" si="35"/>
        <v>IV кв. 9 г.</v>
      </c>
      <c r="AL49" s="373" t="str">
        <f t="shared" si="35"/>
        <v>I кв. 10 г.</v>
      </c>
      <c r="AM49" s="373" t="str">
        <f t="shared" si="35"/>
        <v>II кв. 10 г.</v>
      </c>
      <c r="AN49" s="373" t="str">
        <f t="shared" si="35"/>
        <v>III кв. 10 г.</v>
      </c>
      <c r="AO49" s="373" t="str">
        <f t="shared" si="35"/>
        <v>IV кв. 10 г.</v>
      </c>
      <c r="AP49" s="373" t="str">
        <f t="shared" si="35"/>
        <v>I кв. 11 г.</v>
      </c>
      <c r="AQ49" s="373" t="str">
        <f t="shared" si="35"/>
        <v>II кв. 11 г.</v>
      </c>
      <c r="AR49" s="373" t="str">
        <f t="shared" ref="AR49:AS49" si="36">AR47</f>
        <v>III кв. 11 г.</v>
      </c>
      <c r="AS49" s="301" t="str">
        <f t="shared" si="36"/>
        <v>IV кв. 11 г.</v>
      </c>
    </row>
    <row r="50" spans="1:45" ht="31.2" x14ac:dyDescent="0.3">
      <c r="A50" s="16" t="s">
        <v>35</v>
      </c>
      <c r="B50" s="52">
        <f>допущения!$F$27*0.015/4</f>
        <v>0</v>
      </c>
      <c r="C50" s="52">
        <f>B50</f>
        <v>0</v>
      </c>
      <c r="D50" s="52">
        <f t="shared" ref="D50:E50" si="37">C50</f>
        <v>0</v>
      </c>
      <c r="E50" s="52">
        <f t="shared" si="37"/>
        <v>0</v>
      </c>
      <c r="F50" s="52">
        <f t="shared" ref="F50:AQ50" si="38">$F$41*0.015/4</f>
        <v>0</v>
      </c>
      <c r="G50" s="52">
        <f t="shared" si="38"/>
        <v>0</v>
      </c>
      <c r="H50" s="52">
        <f t="shared" si="38"/>
        <v>0</v>
      </c>
      <c r="I50" s="52">
        <f t="shared" si="38"/>
        <v>0</v>
      </c>
      <c r="J50" s="52">
        <f t="shared" si="38"/>
        <v>0</v>
      </c>
      <c r="K50" s="52">
        <f t="shared" si="38"/>
        <v>0</v>
      </c>
      <c r="L50" s="52">
        <f t="shared" si="38"/>
        <v>0</v>
      </c>
      <c r="M50" s="50">
        <f t="shared" si="38"/>
        <v>0</v>
      </c>
      <c r="N50" s="50">
        <f t="shared" si="38"/>
        <v>0</v>
      </c>
      <c r="O50" s="50">
        <f t="shared" si="38"/>
        <v>0</v>
      </c>
      <c r="P50" s="50">
        <f t="shared" si="38"/>
        <v>0</v>
      </c>
      <c r="Q50" s="50">
        <f t="shared" si="38"/>
        <v>0</v>
      </c>
      <c r="R50" s="50">
        <f t="shared" si="38"/>
        <v>0</v>
      </c>
      <c r="S50" s="50">
        <f t="shared" si="38"/>
        <v>0</v>
      </c>
      <c r="T50" s="50">
        <f t="shared" si="38"/>
        <v>0</v>
      </c>
      <c r="U50" s="50">
        <f t="shared" si="38"/>
        <v>0</v>
      </c>
      <c r="V50" s="50">
        <f t="shared" si="38"/>
        <v>0</v>
      </c>
      <c r="W50" s="50">
        <f t="shared" si="38"/>
        <v>0</v>
      </c>
      <c r="X50" s="50">
        <f t="shared" si="38"/>
        <v>0</v>
      </c>
      <c r="Y50" s="50">
        <f t="shared" si="38"/>
        <v>0</v>
      </c>
      <c r="Z50" s="50">
        <f t="shared" si="38"/>
        <v>0</v>
      </c>
      <c r="AA50" s="50">
        <f t="shared" si="38"/>
        <v>0</v>
      </c>
      <c r="AB50" s="50">
        <f t="shared" si="38"/>
        <v>0</v>
      </c>
      <c r="AC50" s="50">
        <f t="shared" si="38"/>
        <v>0</v>
      </c>
      <c r="AD50" s="50">
        <f t="shared" si="38"/>
        <v>0</v>
      </c>
      <c r="AE50" s="50">
        <f t="shared" si="38"/>
        <v>0</v>
      </c>
      <c r="AF50" s="50">
        <f t="shared" si="38"/>
        <v>0</v>
      </c>
      <c r="AG50" s="50">
        <f t="shared" si="38"/>
        <v>0</v>
      </c>
      <c r="AH50" s="50">
        <f t="shared" si="38"/>
        <v>0</v>
      </c>
      <c r="AI50" s="50">
        <f t="shared" si="38"/>
        <v>0</v>
      </c>
      <c r="AJ50" s="50">
        <f t="shared" si="38"/>
        <v>0</v>
      </c>
      <c r="AK50" s="50">
        <f t="shared" si="38"/>
        <v>0</v>
      </c>
      <c r="AL50" s="50">
        <f t="shared" si="38"/>
        <v>0</v>
      </c>
      <c r="AM50" s="50">
        <f t="shared" si="38"/>
        <v>0</v>
      </c>
      <c r="AN50" s="50">
        <f t="shared" si="38"/>
        <v>0</v>
      </c>
      <c r="AO50" s="50">
        <f t="shared" si="38"/>
        <v>0</v>
      </c>
      <c r="AP50" s="50">
        <f t="shared" si="38"/>
        <v>0</v>
      </c>
      <c r="AQ50" s="51">
        <f t="shared" si="38"/>
        <v>0</v>
      </c>
      <c r="AR50" s="51">
        <f t="shared" ref="AR50:AS50" si="39">$F$41*0.015/4</f>
        <v>0</v>
      </c>
      <c r="AS50" s="50">
        <f t="shared" si="39"/>
        <v>0</v>
      </c>
    </row>
    <row r="51" spans="1:45" x14ac:dyDescent="0.3">
      <c r="A51" s="368"/>
      <c r="B51" s="371" t="str">
        <f t="shared" ref="B51:L51" si="40">B37</f>
        <v>1 год</v>
      </c>
      <c r="C51" s="371" t="str">
        <f t="shared" si="40"/>
        <v>2 год</v>
      </c>
      <c r="D51" s="371" t="str">
        <f t="shared" si="40"/>
        <v>3 год</v>
      </c>
      <c r="E51" s="371" t="str">
        <f t="shared" si="40"/>
        <v>4 год</v>
      </c>
      <c r="F51" s="371" t="str">
        <f t="shared" si="40"/>
        <v>5 год</v>
      </c>
      <c r="G51" s="371" t="str">
        <f t="shared" si="40"/>
        <v>6 год</v>
      </c>
      <c r="H51" s="371" t="str">
        <f t="shared" si="40"/>
        <v>7 год</v>
      </c>
      <c r="I51" s="371" t="str">
        <f t="shared" si="40"/>
        <v>8 год</v>
      </c>
      <c r="J51" s="371" t="str">
        <f t="shared" si="40"/>
        <v>9 год</v>
      </c>
      <c r="K51" s="371" t="str">
        <f t="shared" si="40"/>
        <v>10 год</v>
      </c>
      <c r="L51" s="371" t="str">
        <f t="shared" si="40"/>
        <v>11 год</v>
      </c>
      <c r="V51" s="15"/>
      <c r="Z51" s="13"/>
    </row>
    <row r="52" spans="1:45" ht="33.75" customHeight="1" x14ac:dyDescent="0.3">
      <c r="A52" s="16" t="str">
        <f>A50</f>
        <v>Земельный налог без ТОР</v>
      </c>
      <c r="B52" s="50">
        <f>SUM(B50:E50)</f>
        <v>0</v>
      </c>
      <c r="C52" s="50">
        <f>B52</f>
        <v>0</v>
      </c>
      <c r="D52" s="50">
        <f t="shared" ref="D52:L52" si="41">C52</f>
        <v>0</v>
      </c>
      <c r="E52" s="50">
        <f t="shared" si="41"/>
        <v>0</v>
      </c>
      <c r="F52" s="50">
        <f t="shared" si="41"/>
        <v>0</v>
      </c>
      <c r="G52" s="50">
        <f t="shared" si="41"/>
        <v>0</v>
      </c>
      <c r="H52" s="50">
        <f t="shared" si="41"/>
        <v>0</v>
      </c>
      <c r="I52" s="50">
        <f t="shared" si="41"/>
        <v>0</v>
      </c>
      <c r="J52" s="50">
        <f t="shared" si="41"/>
        <v>0</v>
      </c>
      <c r="K52" s="50">
        <f t="shared" si="41"/>
        <v>0</v>
      </c>
      <c r="L52" s="50">
        <f t="shared" si="41"/>
        <v>0</v>
      </c>
      <c r="V52" s="15"/>
      <c r="Z52" s="13"/>
    </row>
  </sheetData>
  <pageMargins left="0.7" right="0.7" top="0.75" bottom="0.75" header="0.3" footer="0.3"/>
  <pageSetup paperSize="9" scale="77" firstPageNumber="2147483648" orientation="landscape"/>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8">
    <tabColor rgb="FF7030A0"/>
    <pageSetUpPr fitToPage="1"/>
  </sheetPr>
  <dimension ref="A1:BD92"/>
  <sheetViews>
    <sheetView topLeftCell="A33" zoomScale="70" zoomScaleNormal="70" workbookViewId="0">
      <pane xSplit="1" topLeftCell="B1" activePane="topRight" state="frozen"/>
      <selection activeCell="AX65" sqref="AX65"/>
      <selection pane="topRight" activeCell="Q57" sqref="Q57"/>
    </sheetView>
  </sheetViews>
  <sheetFormatPr defaultColWidth="9.109375" defaultRowHeight="14.4" x14ac:dyDescent="0.3"/>
  <cols>
    <col min="1" max="1" width="22.33203125" style="6" customWidth="1"/>
    <col min="2" max="2" width="13.109375" style="92" customWidth="1"/>
    <col min="3" max="3" width="12.109375" style="105" customWidth="1"/>
    <col min="4" max="5" width="12.109375" style="92" customWidth="1"/>
    <col min="6" max="6" width="13.6640625" style="92" customWidth="1"/>
    <col min="7" max="7" width="14.33203125" style="92" customWidth="1"/>
    <col min="8" max="9" width="12.109375" style="92" customWidth="1"/>
    <col min="10" max="10" width="13.88671875" style="92" customWidth="1"/>
    <col min="11" max="11" width="14.33203125" style="92" customWidth="1"/>
    <col min="12" max="12" width="14" style="92" customWidth="1"/>
    <col min="13" max="13" width="16.33203125" style="92" customWidth="1"/>
    <col min="14" max="14" width="14" style="92" customWidth="1"/>
    <col min="15" max="15" width="11.33203125" style="92" customWidth="1"/>
    <col min="16" max="17" width="9.33203125" style="92" bestFit="1" customWidth="1"/>
    <col min="18" max="18" width="11.33203125" style="92" bestFit="1" customWidth="1"/>
    <col min="19" max="19" width="11.6640625" style="92" bestFit="1" customWidth="1"/>
    <col min="20" max="20" width="10.109375" style="92" bestFit="1" customWidth="1"/>
    <col min="21" max="22" width="11.33203125" style="92" bestFit="1" customWidth="1"/>
    <col min="23" max="26" width="11.109375" style="92" customWidth="1"/>
    <col min="27" max="27" width="10.33203125" style="92" bestFit="1" customWidth="1"/>
    <col min="28" max="28" width="11.6640625" style="92" customWidth="1"/>
    <col min="29" max="30" width="9.33203125" style="92" bestFit="1" customWidth="1"/>
    <col min="31" max="31" width="10.33203125" style="92" bestFit="1" customWidth="1"/>
    <col min="32" max="34" width="9.33203125" style="92" bestFit="1" customWidth="1"/>
    <col min="35" max="35" width="10.33203125" style="92" bestFit="1" customWidth="1"/>
    <col min="36" max="38" width="9.33203125" style="92" bestFit="1" customWidth="1"/>
    <col min="39" max="39" width="10.33203125" style="92" bestFit="1" customWidth="1"/>
    <col min="40" max="42" width="9.33203125" style="92" bestFit="1" customWidth="1"/>
    <col min="43" max="43" width="10.33203125" style="92" bestFit="1" customWidth="1"/>
    <col min="44" max="44" width="9.109375" style="92"/>
    <col min="45" max="45" width="9.44140625" style="92" bestFit="1" customWidth="1"/>
    <col min="46" max="47" width="9.33203125" style="92" bestFit="1" customWidth="1"/>
    <col min="48" max="54" width="10.33203125" style="92" bestFit="1" customWidth="1"/>
    <col min="55" max="16384" width="9.109375" style="92"/>
  </cols>
  <sheetData>
    <row r="1" spans="1:55" s="394" customFormat="1" ht="59.25" customHeight="1" x14ac:dyDescent="0.3">
      <c r="A1" s="548" t="s">
        <v>108</v>
      </c>
      <c r="B1" s="549" t="s">
        <v>109</v>
      </c>
      <c r="C1" s="550" t="s">
        <v>110</v>
      </c>
      <c r="D1" s="549" t="str">
        <f>'выручка по кв и годам'!D1</f>
        <v>I кв. 1 г.</v>
      </c>
      <c r="E1" s="549" t="str">
        <f>'выручка по кв и годам'!E1</f>
        <v>II кв. 1 г.</v>
      </c>
      <c r="F1" s="549" t="str">
        <f>'выручка по кв и годам'!F1</f>
        <v>III кв. 1 г.</v>
      </c>
      <c r="G1" s="549" t="str">
        <f>'выручка по кв и годам'!G1</f>
        <v>IV кв. 1 г.</v>
      </c>
      <c r="H1" s="549" t="str">
        <f>'выручка по кв и годам'!H1</f>
        <v>I кв. 2 г.</v>
      </c>
      <c r="I1" s="549" t="str">
        <f>'выручка по кв и годам'!I1</f>
        <v>II кв. 2 г.</v>
      </c>
      <c r="J1" s="549" t="str">
        <f>'выручка по кв и годам'!J1</f>
        <v>III кв. 2 г.</v>
      </c>
      <c r="K1" s="549" t="str">
        <f>'выручка по кв и годам'!K1</f>
        <v>IV кв. 2 г.</v>
      </c>
      <c r="L1" s="549" t="str">
        <f>'выручка по кв и годам'!L1</f>
        <v>I кв. 3 г.</v>
      </c>
      <c r="M1" s="549" t="str">
        <f>'выручка по кв и годам'!M1</f>
        <v>II кв. 3 г.</v>
      </c>
      <c r="N1" s="549" t="str">
        <f>'выручка по кв и годам'!N1</f>
        <v>III кв. 3 г.</v>
      </c>
      <c r="O1" s="549" t="str">
        <f>'выручка по кв и годам'!O1</f>
        <v>IV кв. 3 г.</v>
      </c>
      <c r="P1" s="549" t="str">
        <f>'выручка по кв и годам'!P1</f>
        <v>I кв. 4 г.</v>
      </c>
      <c r="Q1" s="549" t="str">
        <f>'выручка по кв и годам'!Q1</f>
        <v>II кв. 4 г.</v>
      </c>
      <c r="R1" s="549" t="str">
        <f>'выручка по кв и годам'!R1</f>
        <v>III кв. 4 г.</v>
      </c>
      <c r="S1" s="549" t="str">
        <f>'выручка по кв и годам'!S1</f>
        <v>IV кв. 4 г.</v>
      </c>
      <c r="T1" s="549" t="str">
        <f>'выручка по кв и годам'!T1</f>
        <v>I кв. 5 г.</v>
      </c>
      <c r="U1" s="549" t="str">
        <f>'выручка по кв и годам'!U1</f>
        <v>II кв. 5 г.</v>
      </c>
      <c r="V1" s="549" t="str">
        <f>'выручка по кв и годам'!V1</f>
        <v>III кв. 5 г.</v>
      </c>
      <c r="W1" s="549" t="str">
        <f>'выручка по кв и годам'!W1</f>
        <v>IV кв. 5 г.</v>
      </c>
      <c r="X1" s="549" t="str">
        <f>'выручка по кв и годам'!X1</f>
        <v>I кв. 6 г.</v>
      </c>
      <c r="Y1" s="549" t="str">
        <f>'выручка по кв и годам'!Y1</f>
        <v>II кв. 6 г.</v>
      </c>
      <c r="Z1" s="549" t="str">
        <f>'выручка по кв и годам'!Z1</f>
        <v>III кв. 6 г.</v>
      </c>
      <c r="AA1" s="549" t="str">
        <f>'выручка по кв и годам'!AA1</f>
        <v>IV кв. 6 г.</v>
      </c>
      <c r="AB1" s="549" t="str">
        <f>'выручка по кв и годам'!AB1</f>
        <v>I кв. 7 г.</v>
      </c>
      <c r="AC1" s="549" t="str">
        <f>'выручка по кв и годам'!AC1</f>
        <v>II кв. 7 г.</v>
      </c>
      <c r="AD1" s="549" t="str">
        <f>'выручка по кв и годам'!AD1</f>
        <v>III кв. 7 г.</v>
      </c>
      <c r="AE1" s="549" t="str">
        <f>'выручка по кв и годам'!AE1</f>
        <v>IV кв. 7 г.</v>
      </c>
      <c r="AF1" s="549" t="str">
        <f>'выручка по кв и годам'!AF1</f>
        <v>I кв. 8 г.</v>
      </c>
      <c r="AG1" s="549" t="str">
        <f>'выручка по кв и годам'!AG1</f>
        <v>II кв. 8 г.</v>
      </c>
      <c r="AH1" s="549" t="str">
        <f>'выручка по кв и годам'!AH1</f>
        <v>III кв. 8 г.</v>
      </c>
      <c r="AI1" s="549" t="str">
        <f>'выручка по кв и годам'!AI1</f>
        <v>IV кв. 8 г.</v>
      </c>
      <c r="AJ1" s="549" t="str">
        <f>'выручка по кв и годам'!AJ1</f>
        <v>I кв. 9 г.</v>
      </c>
      <c r="AK1" s="549" t="str">
        <f>'выручка по кв и годам'!AK1</f>
        <v>II кв. 9 г.</v>
      </c>
      <c r="AL1" s="549" t="str">
        <f>'выручка по кв и годам'!AL1</f>
        <v>III кв. 9 г.</v>
      </c>
      <c r="AM1" s="549" t="str">
        <f>'выручка по кв и годам'!AM1</f>
        <v>IV кв. 9 г.</v>
      </c>
      <c r="AN1" s="549" t="str">
        <f>'выручка по кв и годам'!AN1</f>
        <v>I кв. 10 г.</v>
      </c>
      <c r="AO1" s="549" t="str">
        <f>'выручка по кв и годам'!AO1</f>
        <v>II кв. 10 г.</v>
      </c>
      <c r="AP1" s="549" t="str">
        <f>'выручка по кв и годам'!AP1</f>
        <v>III кв. 10 г.</v>
      </c>
      <c r="AQ1" s="549" t="str">
        <f>'выручка по кв и годам'!AQ1</f>
        <v>IV кв. 10 г.</v>
      </c>
      <c r="AR1" s="384"/>
      <c r="AS1" s="384" t="str">
        <f>'объем работ 100% загр'!C3</f>
        <v>1 год</v>
      </c>
      <c r="AT1" s="384" t="str">
        <f>'объем работ 100% загр'!D3</f>
        <v>2 год</v>
      </c>
      <c r="AU1" s="384" t="str">
        <f>'объем работ 100% загр'!E3</f>
        <v>3 год</v>
      </c>
      <c r="AV1" s="384" t="str">
        <f>'объем работ 100% загр'!F3</f>
        <v>4 год</v>
      </c>
      <c r="AW1" s="384" t="str">
        <f>'объем работ 100% загр'!G3</f>
        <v>5 год</v>
      </c>
      <c r="AX1" s="384" t="str">
        <f>'объем работ 100% загр'!H3</f>
        <v>6 год</v>
      </c>
      <c r="AY1" s="384" t="str">
        <f>'объем работ 100% загр'!I3</f>
        <v>7 год</v>
      </c>
      <c r="AZ1" s="384" t="str">
        <f>'объем работ 100% загр'!J3</f>
        <v>8 год</v>
      </c>
      <c r="BA1" s="384" t="str">
        <f>'объем работ 100% загр'!K3</f>
        <v>9 год</v>
      </c>
      <c r="BB1" s="384" t="str">
        <f>'объем работ 100% загр'!L3</f>
        <v>10 год</v>
      </c>
      <c r="BC1" s="384" t="str">
        <f>'объем работ 100% загр'!M3</f>
        <v>11 год</v>
      </c>
    </row>
    <row r="2" spans="1:55" s="393" customFormat="1" x14ac:dyDescent="0.3">
      <c r="A2" s="551" t="s">
        <v>111</v>
      </c>
      <c r="B2" s="590">
        <v>1</v>
      </c>
      <c r="C2" s="568">
        <v>75</v>
      </c>
      <c r="D2" s="552">
        <v>0</v>
      </c>
      <c r="E2" s="552">
        <v>0</v>
      </c>
      <c r="F2" s="552">
        <v>0</v>
      </c>
      <c r="G2" s="552">
        <v>0</v>
      </c>
      <c r="H2" s="552">
        <f>$C$2*3*$B$2</f>
        <v>225</v>
      </c>
      <c r="I2" s="552">
        <f t="shared" ref="I2:I5" si="0">H2</f>
        <v>225</v>
      </c>
      <c r="J2" s="552">
        <f t="shared" ref="J2:S5" si="1">I2</f>
        <v>225</v>
      </c>
      <c r="K2" s="552">
        <f t="shared" si="1"/>
        <v>225</v>
      </c>
      <c r="L2" s="552">
        <f>K2*(1+допущения!$C$37)</f>
        <v>231.75</v>
      </c>
      <c r="M2" s="552">
        <f>L2</f>
        <v>231.75</v>
      </c>
      <c r="N2" s="552">
        <f t="shared" ref="N2:O2" si="2">M2</f>
        <v>231.75</v>
      </c>
      <c r="O2" s="552">
        <f t="shared" si="2"/>
        <v>231.75</v>
      </c>
      <c r="P2" s="552">
        <f>O2*(1+допущения!$C$37)</f>
        <v>238.70250000000001</v>
      </c>
      <c r="Q2" s="552">
        <f t="shared" si="1"/>
        <v>238.70250000000001</v>
      </c>
      <c r="R2" s="552">
        <f t="shared" si="1"/>
        <v>238.70250000000001</v>
      </c>
      <c r="S2" s="552">
        <f t="shared" si="1"/>
        <v>238.70250000000001</v>
      </c>
      <c r="T2" s="552">
        <f>S2*(1+допущения!$C$37)</f>
        <v>245.86357500000003</v>
      </c>
      <c r="U2" s="552">
        <f t="shared" ref="U2:AE5" si="3">T2</f>
        <v>245.86357500000003</v>
      </c>
      <c r="V2" s="552">
        <f>U2</f>
        <v>245.86357500000003</v>
      </c>
      <c r="W2" s="552">
        <f>V2</f>
        <v>245.86357500000003</v>
      </c>
      <c r="X2" s="552">
        <f>W2*(1+допущения!$C$37)</f>
        <v>253.23948225000004</v>
      </c>
      <c r="Y2" s="552">
        <f t="shared" ref="Y2:AE2" si="4">X2</f>
        <v>253.23948225000004</v>
      </c>
      <c r="Z2" s="552">
        <f t="shared" si="4"/>
        <v>253.23948225000004</v>
      </c>
      <c r="AA2" s="552">
        <f t="shared" si="4"/>
        <v>253.23948225000004</v>
      </c>
      <c r="AB2" s="552">
        <f>AA2*(1+допущения!$C$37)</f>
        <v>260.83666671750007</v>
      </c>
      <c r="AC2" s="552">
        <f t="shared" si="4"/>
        <v>260.83666671750007</v>
      </c>
      <c r="AD2" s="552">
        <f t="shared" si="4"/>
        <v>260.83666671750007</v>
      </c>
      <c r="AE2" s="552">
        <f t="shared" si="4"/>
        <v>260.83666671750007</v>
      </c>
      <c r="AF2" s="552">
        <f>AE2*(1+допущения!C37)</f>
        <v>268.66176671902508</v>
      </c>
      <c r="AG2" s="552">
        <f t="shared" ref="AG2:AQ5" si="5">AF2</f>
        <v>268.66176671902508</v>
      </c>
      <c r="AH2" s="552">
        <f t="shared" ref="AH2:AQ2" si="6">AG2</f>
        <v>268.66176671902508</v>
      </c>
      <c r="AI2" s="552">
        <f t="shared" si="6"/>
        <v>268.66176671902508</v>
      </c>
      <c r="AJ2" s="552">
        <f>AI2*(1+допущения!$C$37)</f>
        <v>276.72161972059587</v>
      </c>
      <c r="AK2" s="552">
        <f t="shared" si="6"/>
        <v>276.72161972059587</v>
      </c>
      <c r="AL2" s="552">
        <f t="shared" si="6"/>
        <v>276.72161972059587</v>
      </c>
      <c r="AM2" s="552">
        <f t="shared" si="6"/>
        <v>276.72161972059587</v>
      </c>
      <c r="AN2" s="552">
        <f>AM2*(1+допущения!$C$37)</f>
        <v>285.02326831221376</v>
      </c>
      <c r="AO2" s="552">
        <f t="shared" si="6"/>
        <v>285.02326831221376</v>
      </c>
      <c r="AP2" s="552">
        <f t="shared" si="6"/>
        <v>285.02326831221376</v>
      </c>
      <c r="AQ2" s="552">
        <f t="shared" si="6"/>
        <v>285.02326831221376</v>
      </c>
      <c r="AR2" s="391"/>
      <c r="AS2" s="563">
        <f>SUM(D2:G2)</f>
        <v>0</v>
      </c>
      <c r="AT2" s="392">
        <f>SUM(H2:K2)</f>
        <v>900</v>
      </c>
      <c r="AU2" s="392">
        <f>SUM(L2:O2)</f>
        <v>927</v>
      </c>
      <c r="AV2" s="392">
        <f>SUM(P2:S2)</f>
        <v>954.81000000000006</v>
      </c>
      <c r="AW2" s="392">
        <f>SUM(T2:W2)</f>
        <v>983.4543000000001</v>
      </c>
      <c r="AX2" s="392">
        <f>SUM(X2:AA2)</f>
        <v>1012.9579290000001</v>
      </c>
      <c r="AY2" s="392">
        <f>SUM(AB2:AE2)</f>
        <v>1043.3466668700003</v>
      </c>
      <c r="AZ2" s="392">
        <f>SUM(AF2:AI2)</f>
        <v>1074.6470668761003</v>
      </c>
      <c r="BA2" s="392">
        <f>SUM(AJ2:AM2)</f>
        <v>1106.8864788823835</v>
      </c>
      <c r="BB2" s="392">
        <f>SUM(AN2:AQ2)</f>
        <v>1140.093073248855</v>
      </c>
      <c r="BC2" s="392">
        <f>BB2</f>
        <v>1140.093073248855</v>
      </c>
    </row>
    <row r="3" spans="1:55" s="393" customFormat="1" ht="28.8" x14ac:dyDescent="0.3">
      <c r="A3" s="551" t="s">
        <v>112</v>
      </c>
      <c r="B3" s="590">
        <v>2</v>
      </c>
      <c r="C3" s="568">
        <v>65</v>
      </c>
      <c r="D3" s="552">
        <v>0</v>
      </c>
      <c r="E3" s="552">
        <v>0</v>
      </c>
      <c r="F3" s="552">
        <v>0</v>
      </c>
      <c r="G3" s="552">
        <v>0</v>
      </c>
      <c r="H3" s="552">
        <f>$C$3*3*$B$3</f>
        <v>390</v>
      </c>
      <c r="I3" s="552">
        <f t="shared" si="0"/>
        <v>390</v>
      </c>
      <c r="J3" s="552">
        <f t="shared" si="1"/>
        <v>390</v>
      </c>
      <c r="K3" s="552">
        <f>J3</f>
        <v>390</v>
      </c>
      <c r="L3" s="552">
        <f>K3*(1+допущения!$C$37)</f>
        <v>401.7</v>
      </c>
      <c r="M3" s="552">
        <f t="shared" si="1"/>
        <v>401.7</v>
      </c>
      <c r="N3" s="552">
        <f t="shared" si="1"/>
        <v>401.7</v>
      </c>
      <c r="O3" s="552">
        <f t="shared" si="1"/>
        <v>401.7</v>
      </c>
      <c r="P3" s="552">
        <f>O3*(1+допущения!$C$37)</f>
        <v>413.75099999999998</v>
      </c>
      <c r="Q3" s="552">
        <f t="shared" si="1"/>
        <v>413.75099999999998</v>
      </c>
      <c r="R3" s="552">
        <f t="shared" si="1"/>
        <v>413.75099999999998</v>
      </c>
      <c r="S3" s="552">
        <f t="shared" si="1"/>
        <v>413.75099999999998</v>
      </c>
      <c r="T3" s="552">
        <f>S3*(1+допущения!$C$37)</f>
        <v>426.16352999999998</v>
      </c>
      <c r="U3" s="552">
        <f t="shared" si="3"/>
        <v>426.16352999999998</v>
      </c>
      <c r="V3" s="552">
        <f t="shared" si="3"/>
        <v>426.16352999999998</v>
      </c>
      <c r="W3" s="552">
        <f t="shared" si="3"/>
        <v>426.16352999999998</v>
      </c>
      <c r="X3" s="552">
        <f>W3*(1+допущения!$C$37)</f>
        <v>438.94843589999999</v>
      </c>
      <c r="Y3" s="552">
        <f t="shared" si="3"/>
        <v>438.94843589999999</v>
      </c>
      <c r="Z3" s="552">
        <f t="shared" si="3"/>
        <v>438.94843589999999</v>
      </c>
      <c r="AA3" s="552">
        <f t="shared" si="3"/>
        <v>438.94843589999999</v>
      </c>
      <c r="AB3" s="552">
        <f>AA3*(1+допущения!$C$37)</f>
        <v>452.11688897700003</v>
      </c>
      <c r="AC3" s="552">
        <f t="shared" si="3"/>
        <v>452.11688897700003</v>
      </c>
      <c r="AD3" s="552">
        <f t="shared" si="3"/>
        <v>452.11688897700003</v>
      </c>
      <c r="AE3" s="552">
        <f t="shared" si="3"/>
        <v>452.11688897700003</v>
      </c>
      <c r="AF3" s="552">
        <f>AE3*(1+допущения!C38)</f>
        <v>479.24390231562006</v>
      </c>
      <c r="AG3" s="552">
        <f t="shared" si="5"/>
        <v>479.24390231562006</v>
      </c>
      <c r="AH3" s="552">
        <f t="shared" si="5"/>
        <v>479.24390231562006</v>
      </c>
      <c r="AI3" s="552">
        <f t="shared" si="5"/>
        <v>479.24390231562006</v>
      </c>
      <c r="AJ3" s="552">
        <f>AI3*(1+допущения!$C$37)</f>
        <v>493.62121938508869</v>
      </c>
      <c r="AK3" s="552">
        <f t="shared" si="5"/>
        <v>493.62121938508869</v>
      </c>
      <c r="AL3" s="552">
        <f t="shared" si="5"/>
        <v>493.62121938508869</v>
      </c>
      <c r="AM3" s="552">
        <f t="shared" si="5"/>
        <v>493.62121938508869</v>
      </c>
      <c r="AN3" s="552">
        <f>AM3*(1+допущения!$C$37)</f>
        <v>508.42985596664136</v>
      </c>
      <c r="AO3" s="552">
        <f t="shared" si="5"/>
        <v>508.42985596664136</v>
      </c>
      <c r="AP3" s="552">
        <f t="shared" si="5"/>
        <v>508.42985596664136</v>
      </c>
      <c r="AQ3" s="552">
        <f t="shared" si="5"/>
        <v>508.42985596664136</v>
      </c>
      <c r="AR3" s="391"/>
      <c r="AS3" s="391">
        <f t="shared" ref="AS3:AS48" si="7">SUM(D3:G3)</f>
        <v>0</v>
      </c>
      <c r="AT3" s="392">
        <f t="shared" ref="AT3:AT58" si="8">SUM(H3:K3)</f>
        <v>1560</v>
      </c>
      <c r="AU3" s="392">
        <f t="shared" ref="AU3:AU58" si="9">SUM(L3:O3)</f>
        <v>1606.8</v>
      </c>
      <c r="AV3" s="392">
        <f t="shared" ref="AV3:AV58" si="10">SUM(P3:S3)</f>
        <v>1655.0039999999999</v>
      </c>
      <c r="AW3" s="392">
        <f t="shared" ref="AW3:AW58" si="11">SUM(T3:W3)</f>
        <v>1704.6541199999999</v>
      </c>
      <c r="AX3" s="392">
        <f t="shared" ref="AX3:AX58" si="12">SUM(X3:AA3)</f>
        <v>1755.7937436</v>
      </c>
      <c r="AY3" s="392">
        <f t="shared" ref="AY3:AY58" si="13">SUM(AB3:AE3)</f>
        <v>1808.4675559080001</v>
      </c>
      <c r="AZ3" s="392">
        <f t="shared" ref="AZ3:AZ58" si="14">SUM(AF3:AI3)</f>
        <v>1916.9756092624802</v>
      </c>
      <c r="BA3" s="392">
        <f t="shared" ref="BA3:BA58" si="15">SUM(AJ3:AM3)</f>
        <v>1974.4848775403548</v>
      </c>
      <c r="BB3" s="392">
        <f t="shared" ref="BB3:BB58" si="16">SUM(AN3:AQ3)</f>
        <v>2033.7194238665654</v>
      </c>
      <c r="BC3" s="392">
        <f t="shared" ref="BC3:BC17" si="17">BB3</f>
        <v>2033.7194238665654</v>
      </c>
    </row>
    <row r="4" spans="1:55" s="393" customFormat="1" x14ac:dyDescent="0.3">
      <c r="A4" s="551" t="s">
        <v>414</v>
      </c>
      <c r="B4" s="590">
        <v>1</v>
      </c>
      <c r="C4" s="568">
        <v>60</v>
      </c>
      <c r="D4" s="552">
        <v>0</v>
      </c>
      <c r="E4" s="552">
        <v>0</v>
      </c>
      <c r="F4" s="552">
        <v>0</v>
      </c>
      <c r="G4" s="552">
        <v>0</v>
      </c>
      <c r="H4" s="552">
        <f>$C$4*3*$B$4</f>
        <v>180</v>
      </c>
      <c r="I4" s="552">
        <f t="shared" si="0"/>
        <v>180</v>
      </c>
      <c r="J4" s="552">
        <f t="shared" si="1"/>
        <v>180</v>
      </c>
      <c r="K4" s="552">
        <f t="shared" si="1"/>
        <v>180</v>
      </c>
      <c r="L4" s="552">
        <f>K4*(1+допущения!$C$37)</f>
        <v>185.4</v>
      </c>
      <c r="M4" s="552">
        <f t="shared" si="1"/>
        <v>185.4</v>
      </c>
      <c r="N4" s="552">
        <f t="shared" si="1"/>
        <v>185.4</v>
      </c>
      <c r="O4" s="552">
        <f t="shared" si="1"/>
        <v>185.4</v>
      </c>
      <c r="P4" s="552">
        <f>O4*(1+допущения!$C$37)</f>
        <v>190.96200000000002</v>
      </c>
      <c r="Q4" s="552">
        <f t="shared" si="1"/>
        <v>190.96200000000002</v>
      </c>
      <c r="R4" s="552">
        <f t="shared" si="1"/>
        <v>190.96200000000002</v>
      </c>
      <c r="S4" s="552">
        <f t="shared" si="1"/>
        <v>190.96200000000002</v>
      </c>
      <c r="T4" s="552">
        <f>S4*(1+допущения!$C$37)</f>
        <v>196.69086000000001</v>
      </c>
      <c r="U4" s="552">
        <f t="shared" si="3"/>
        <v>196.69086000000001</v>
      </c>
      <c r="V4" s="552">
        <f t="shared" si="3"/>
        <v>196.69086000000001</v>
      </c>
      <c r="W4" s="552">
        <f t="shared" si="3"/>
        <v>196.69086000000001</v>
      </c>
      <c r="X4" s="552">
        <f>W4*(1+допущения!$C$37)</f>
        <v>202.59158580000002</v>
      </c>
      <c r="Y4" s="552">
        <f t="shared" si="3"/>
        <v>202.59158580000002</v>
      </c>
      <c r="Z4" s="552">
        <f t="shared" si="3"/>
        <v>202.59158580000002</v>
      </c>
      <c r="AA4" s="552">
        <f t="shared" si="3"/>
        <v>202.59158580000002</v>
      </c>
      <c r="AB4" s="552">
        <f>AA4*(1+допущения!$C$37)</f>
        <v>208.66933337400002</v>
      </c>
      <c r="AC4" s="552">
        <f t="shared" si="3"/>
        <v>208.66933337400002</v>
      </c>
      <c r="AD4" s="552">
        <f t="shared" si="3"/>
        <v>208.66933337400002</v>
      </c>
      <c r="AE4" s="552">
        <f t="shared" si="3"/>
        <v>208.66933337400002</v>
      </c>
      <c r="AF4" s="552">
        <f>AE4*(1+допущения!C39)</f>
        <v>208.66933337400002</v>
      </c>
      <c r="AG4" s="552">
        <f t="shared" si="5"/>
        <v>208.66933337400002</v>
      </c>
      <c r="AH4" s="552">
        <f t="shared" si="5"/>
        <v>208.66933337400002</v>
      </c>
      <c r="AI4" s="552">
        <f t="shared" si="5"/>
        <v>208.66933337400002</v>
      </c>
      <c r="AJ4" s="552">
        <f>AI4*(1+допущения!$C$37)</f>
        <v>214.92941337522004</v>
      </c>
      <c r="AK4" s="552">
        <f t="shared" si="5"/>
        <v>214.92941337522004</v>
      </c>
      <c r="AL4" s="552">
        <f t="shared" si="5"/>
        <v>214.92941337522004</v>
      </c>
      <c r="AM4" s="552">
        <f t="shared" si="5"/>
        <v>214.92941337522004</v>
      </c>
      <c r="AN4" s="552">
        <f>AM4*(1+допущения!$C$37)</f>
        <v>221.37729577647664</v>
      </c>
      <c r="AO4" s="552">
        <f t="shared" si="5"/>
        <v>221.37729577647664</v>
      </c>
      <c r="AP4" s="552">
        <f t="shared" si="5"/>
        <v>221.37729577647664</v>
      </c>
      <c r="AQ4" s="552">
        <f t="shared" si="5"/>
        <v>221.37729577647664</v>
      </c>
      <c r="AR4" s="391"/>
      <c r="AS4" s="391">
        <f t="shared" si="7"/>
        <v>0</v>
      </c>
      <c r="AT4" s="392">
        <f t="shared" si="8"/>
        <v>720</v>
      </c>
      <c r="AU4" s="392">
        <f t="shared" si="9"/>
        <v>741.6</v>
      </c>
      <c r="AV4" s="392">
        <f t="shared" si="10"/>
        <v>763.84800000000007</v>
      </c>
      <c r="AW4" s="392">
        <f t="shared" si="11"/>
        <v>786.76344000000006</v>
      </c>
      <c r="AX4" s="392">
        <f t="shared" si="12"/>
        <v>810.36634320000007</v>
      </c>
      <c r="AY4" s="392">
        <f t="shared" si="13"/>
        <v>834.67733349600007</v>
      </c>
      <c r="AZ4" s="392">
        <f t="shared" si="14"/>
        <v>834.67733349600007</v>
      </c>
      <c r="BA4" s="392">
        <f t="shared" si="15"/>
        <v>859.71765350088015</v>
      </c>
      <c r="BB4" s="392">
        <f t="shared" si="16"/>
        <v>885.50918310590657</v>
      </c>
      <c r="BC4" s="392">
        <f t="shared" si="17"/>
        <v>885.50918310590657</v>
      </c>
    </row>
    <row r="5" spans="1:55" s="393" customFormat="1" x14ac:dyDescent="0.3">
      <c r="A5" s="553" t="s">
        <v>397</v>
      </c>
      <c r="B5" s="590">
        <v>1</v>
      </c>
      <c r="C5" s="568">
        <v>65</v>
      </c>
      <c r="D5" s="552">
        <v>0</v>
      </c>
      <c r="E5" s="552">
        <v>0</v>
      </c>
      <c r="F5" s="552">
        <v>0</v>
      </c>
      <c r="G5" s="552">
        <v>0</v>
      </c>
      <c r="H5" s="552">
        <f>$C$5*3*$B$5</f>
        <v>195</v>
      </c>
      <c r="I5" s="552">
        <f t="shared" si="0"/>
        <v>195</v>
      </c>
      <c r="J5" s="552">
        <f t="shared" si="1"/>
        <v>195</v>
      </c>
      <c r="K5" s="552">
        <f t="shared" si="1"/>
        <v>195</v>
      </c>
      <c r="L5" s="552">
        <f>K5*(1+допущения!$C$37)</f>
        <v>200.85</v>
      </c>
      <c r="M5" s="552">
        <f t="shared" si="1"/>
        <v>200.85</v>
      </c>
      <c r="N5" s="552">
        <f t="shared" si="1"/>
        <v>200.85</v>
      </c>
      <c r="O5" s="552">
        <f t="shared" si="1"/>
        <v>200.85</v>
      </c>
      <c r="P5" s="552">
        <f>O5*(1+допущения!$C$37)</f>
        <v>206.87549999999999</v>
      </c>
      <c r="Q5" s="552">
        <f t="shared" si="1"/>
        <v>206.87549999999999</v>
      </c>
      <c r="R5" s="552">
        <f t="shared" si="1"/>
        <v>206.87549999999999</v>
      </c>
      <c r="S5" s="552">
        <f t="shared" si="1"/>
        <v>206.87549999999999</v>
      </c>
      <c r="T5" s="552">
        <f>S5*(1+допущения!$C$37)</f>
        <v>213.08176499999999</v>
      </c>
      <c r="U5" s="552">
        <f t="shared" si="3"/>
        <v>213.08176499999999</v>
      </c>
      <c r="V5" s="552">
        <f t="shared" si="3"/>
        <v>213.08176499999999</v>
      </c>
      <c r="W5" s="552">
        <f t="shared" si="3"/>
        <v>213.08176499999999</v>
      </c>
      <c r="X5" s="552">
        <f>W5*(1+допущения!$C$37)</f>
        <v>219.47421795</v>
      </c>
      <c r="Y5" s="552">
        <f t="shared" si="3"/>
        <v>219.47421795</v>
      </c>
      <c r="Z5" s="552">
        <f t="shared" si="3"/>
        <v>219.47421795</v>
      </c>
      <c r="AA5" s="552">
        <f t="shared" si="3"/>
        <v>219.47421795</v>
      </c>
      <c r="AB5" s="552">
        <f>AA5*(1+допущения!$C$37)</f>
        <v>226.05844448850002</v>
      </c>
      <c r="AC5" s="552">
        <f t="shared" si="3"/>
        <v>226.05844448850002</v>
      </c>
      <c r="AD5" s="552">
        <f t="shared" si="3"/>
        <v>226.05844448850002</v>
      </c>
      <c r="AE5" s="552">
        <f t="shared" si="3"/>
        <v>226.05844448850002</v>
      </c>
      <c r="AF5" s="552">
        <f>AE5*(1+допущения!C40)</f>
        <v>239.62195115781003</v>
      </c>
      <c r="AG5" s="552">
        <f t="shared" si="5"/>
        <v>239.62195115781003</v>
      </c>
      <c r="AH5" s="552">
        <f t="shared" si="5"/>
        <v>239.62195115781003</v>
      </c>
      <c r="AI5" s="552">
        <f t="shared" si="5"/>
        <v>239.62195115781003</v>
      </c>
      <c r="AJ5" s="552">
        <f>AI5*(1+допущения!$C$37)</f>
        <v>246.81060969254435</v>
      </c>
      <c r="AK5" s="552">
        <f t="shared" si="5"/>
        <v>246.81060969254435</v>
      </c>
      <c r="AL5" s="552">
        <f t="shared" si="5"/>
        <v>246.81060969254435</v>
      </c>
      <c r="AM5" s="552">
        <f t="shared" si="5"/>
        <v>246.81060969254435</v>
      </c>
      <c r="AN5" s="552">
        <f>AM5*(1+допущения!$C$37)</f>
        <v>254.21492798332068</v>
      </c>
      <c r="AO5" s="552">
        <f t="shared" si="5"/>
        <v>254.21492798332068</v>
      </c>
      <c r="AP5" s="552">
        <f t="shared" si="5"/>
        <v>254.21492798332068</v>
      </c>
      <c r="AQ5" s="552">
        <f t="shared" si="5"/>
        <v>254.21492798332068</v>
      </c>
      <c r="AR5" s="391"/>
      <c r="AS5" s="391">
        <f t="shared" si="7"/>
        <v>0</v>
      </c>
      <c r="AT5" s="392">
        <f t="shared" si="8"/>
        <v>780</v>
      </c>
      <c r="AU5" s="392">
        <f t="shared" si="9"/>
        <v>803.4</v>
      </c>
      <c r="AV5" s="392">
        <f t="shared" si="10"/>
        <v>827.50199999999995</v>
      </c>
      <c r="AW5" s="392">
        <f t="shared" si="11"/>
        <v>852.32705999999996</v>
      </c>
      <c r="AX5" s="392">
        <f t="shared" si="12"/>
        <v>877.89687179999999</v>
      </c>
      <c r="AY5" s="392">
        <f t="shared" si="13"/>
        <v>904.23377795400006</v>
      </c>
      <c r="AZ5" s="392">
        <f t="shared" si="14"/>
        <v>958.48780463124012</v>
      </c>
      <c r="BA5" s="392">
        <f t="shared" si="15"/>
        <v>987.24243877017739</v>
      </c>
      <c r="BB5" s="392">
        <f t="shared" si="16"/>
        <v>1016.8597119332827</v>
      </c>
      <c r="BC5" s="392">
        <f t="shared" si="17"/>
        <v>1016.8597119332827</v>
      </c>
    </row>
    <row r="6" spans="1:55" s="108" customFormat="1" ht="28.8" x14ac:dyDescent="0.3">
      <c r="A6" s="554" t="s">
        <v>113</v>
      </c>
      <c r="B6" s="111">
        <f>SUM(B2:B5)</f>
        <v>5</v>
      </c>
      <c r="C6" s="556"/>
      <c r="D6" s="555">
        <f>SUM(D2:D5)</f>
        <v>0</v>
      </c>
      <c r="E6" s="555">
        <f t="shared" ref="E6:AQ6" si="18">SUM(E2:E5)</f>
        <v>0</v>
      </c>
      <c r="F6" s="555">
        <f t="shared" si="18"/>
        <v>0</v>
      </c>
      <c r="G6" s="555">
        <f t="shared" si="18"/>
        <v>0</v>
      </c>
      <c r="H6" s="555">
        <f t="shared" si="18"/>
        <v>990</v>
      </c>
      <c r="I6" s="555">
        <f t="shared" si="18"/>
        <v>990</v>
      </c>
      <c r="J6" s="555">
        <f t="shared" si="18"/>
        <v>990</v>
      </c>
      <c r="K6" s="555">
        <f t="shared" si="18"/>
        <v>990</v>
      </c>
      <c r="L6" s="555">
        <f t="shared" si="18"/>
        <v>1019.7</v>
      </c>
      <c r="M6" s="555">
        <f t="shared" si="18"/>
        <v>1019.7</v>
      </c>
      <c r="N6" s="555">
        <f t="shared" si="18"/>
        <v>1019.7</v>
      </c>
      <c r="O6" s="555">
        <f t="shared" si="18"/>
        <v>1019.7</v>
      </c>
      <c r="P6" s="555">
        <f t="shared" si="18"/>
        <v>1050.2909999999999</v>
      </c>
      <c r="Q6" s="555">
        <f t="shared" si="18"/>
        <v>1050.2909999999999</v>
      </c>
      <c r="R6" s="555">
        <f t="shared" si="18"/>
        <v>1050.2909999999999</v>
      </c>
      <c r="S6" s="555">
        <f t="shared" si="18"/>
        <v>1050.2909999999999</v>
      </c>
      <c r="T6" s="555">
        <f t="shared" si="18"/>
        <v>1081.79973</v>
      </c>
      <c r="U6" s="555">
        <f t="shared" si="18"/>
        <v>1081.79973</v>
      </c>
      <c r="V6" s="555">
        <f t="shared" si="18"/>
        <v>1081.79973</v>
      </c>
      <c r="W6" s="555">
        <f t="shared" si="18"/>
        <v>1081.79973</v>
      </c>
      <c r="X6" s="555">
        <f t="shared" si="18"/>
        <v>1114.2537219000001</v>
      </c>
      <c r="Y6" s="555">
        <f t="shared" si="18"/>
        <v>1114.2537219000001</v>
      </c>
      <c r="Z6" s="555">
        <f t="shared" si="18"/>
        <v>1114.2537219000001</v>
      </c>
      <c r="AA6" s="555">
        <f t="shared" si="18"/>
        <v>1114.2537219000001</v>
      </c>
      <c r="AB6" s="555">
        <f t="shared" si="18"/>
        <v>1147.6813335570002</v>
      </c>
      <c r="AC6" s="555">
        <f t="shared" si="18"/>
        <v>1147.6813335570002</v>
      </c>
      <c r="AD6" s="555">
        <f t="shared" si="18"/>
        <v>1147.6813335570002</v>
      </c>
      <c r="AE6" s="555">
        <f t="shared" si="18"/>
        <v>1147.6813335570002</v>
      </c>
      <c r="AF6" s="555">
        <f t="shared" si="18"/>
        <v>1196.1969535664552</v>
      </c>
      <c r="AG6" s="555">
        <f t="shared" si="18"/>
        <v>1196.1969535664552</v>
      </c>
      <c r="AH6" s="555">
        <f t="shared" si="18"/>
        <v>1196.1969535664552</v>
      </c>
      <c r="AI6" s="555">
        <f t="shared" si="18"/>
        <v>1196.1969535664552</v>
      </c>
      <c r="AJ6" s="555">
        <f t="shared" si="18"/>
        <v>1232.082862173449</v>
      </c>
      <c r="AK6" s="555">
        <f t="shared" si="18"/>
        <v>1232.082862173449</v>
      </c>
      <c r="AL6" s="555">
        <f t="shared" si="18"/>
        <v>1232.082862173449</v>
      </c>
      <c r="AM6" s="555">
        <f t="shared" si="18"/>
        <v>1232.082862173449</v>
      </c>
      <c r="AN6" s="555">
        <f t="shared" si="18"/>
        <v>1269.0453480386525</v>
      </c>
      <c r="AO6" s="555">
        <f t="shared" si="18"/>
        <v>1269.0453480386525</v>
      </c>
      <c r="AP6" s="555">
        <f t="shared" si="18"/>
        <v>1269.0453480386525</v>
      </c>
      <c r="AQ6" s="555">
        <f t="shared" si="18"/>
        <v>1269.0453480386525</v>
      </c>
      <c r="AR6" s="110"/>
      <c r="AS6" s="110">
        <f t="shared" si="7"/>
        <v>0</v>
      </c>
      <c r="AT6" s="555">
        <f t="shared" si="8"/>
        <v>3960</v>
      </c>
      <c r="AU6" s="555">
        <f t="shared" si="9"/>
        <v>4078.8</v>
      </c>
      <c r="AV6" s="555">
        <f t="shared" si="10"/>
        <v>4201.1639999999998</v>
      </c>
      <c r="AW6" s="555">
        <f t="shared" si="11"/>
        <v>4327.1989199999998</v>
      </c>
      <c r="AX6" s="555">
        <f t="shared" si="12"/>
        <v>4457.0148876000003</v>
      </c>
      <c r="AY6" s="555">
        <f t="shared" si="13"/>
        <v>4590.725334228001</v>
      </c>
      <c r="AZ6" s="555">
        <f t="shared" si="14"/>
        <v>4784.787814265821</v>
      </c>
      <c r="BA6" s="555">
        <f t="shared" si="15"/>
        <v>4928.3314486937961</v>
      </c>
      <c r="BB6" s="111">
        <f t="shared" si="16"/>
        <v>5076.18139215461</v>
      </c>
      <c r="BC6" s="111">
        <f t="shared" si="17"/>
        <v>5076.18139215461</v>
      </c>
    </row>
    <row r="7" spans="1:55" s="112" customFormat="1" ht="16.5" customHeight="1" x14ac:dyDescent="0.3">
      <c r="A7" s="557" t="s">
        <v>114</v>
      </c>
      <c r="B7" s="558"/>
      <c r="C7" s="559"/>
      <c r="D7" s="558">
        <f>D6*$B$61</f>
        <v>0</v>
      </c>
      <c r="E7" s="558">
        <f t="shared" ref="E7:AQ7" si="19">E6*$B$61</f>
        <v>0</v>
      </c>
      <c r="F7" s="558">
        <f t="shared" si="19"/>
        <v>0</v>
      </c>
      <c r="G7" s="558">
        <f t="shared" si="19"/>
        <v>0</v>
      </c>
      <c r="H7" s="558">
        <f>H6*$B$61</f>
        <v>297</v>
      </c>
      <c r="I7" s="558">
        <f t="shared" si="19"/>
        <v>297</v>
      </c>
      <c r="J7" s="558">
        <f t="shared" si="19"/>
        <v>297</v>
      </c>
      <c r="K7" s="558">
        <f t="shared" si="19"/>
        <v>297</v>
      </c>
      <c r="L7" s="558">
        <f t="shared" si="19"/>
        <v>305.91000000000003</v>
      </c>
      <c r="M7" s="558">
        <f t="shared" si="19"/>
        <v>305.91000000000003</v>
      </c>
      <c r="N7" s="558">
        <f t="shared" si="19"/>
        <v>305.91000000000003</v>
      </c>
      <c r="O7" s="558">
        <f t="shared" si="19"/>
        <v>305.91000000000003</v>
      </c>
      <c r="P7" s="558">
        <f t="shared" si="19"/>
        <v>315.08729999999997</v>
      </c>
      <c r="Q7" s="558">
        <f t="shared" si="19"/>
        <v>315.08729999999997</v>
      </c>
      <c r="R7" s="558">
        <f t="shared" si="19"/>
        <v>315.08729999999997</v>
      </c>
      <c r="S7" s="558">
        <f t="shared" si="19"/>
        <v>315.08729999999997</v>
      </c>
      <c r="T7" s="558">
        <f t="shared" si="19"/>
        <v>324.539919</v>
      </c>
      <c r="U7" s="558">
        <f t="shared" si="19"/>
        <v>324.539919</v>
      </c>
      <c r="V7" s="558">
        <f t="shared" si="19"/>
        <v>324.539919</v>
      </c>
      <c r="W7" s="558">
        <f t="shared" si="19"/>
        <v>324.539919</v>
      </c>
      <c r="X7" s="558">
        <f t="shared" si="19"/>
        <v>334.27611657</v>
      </c>
      <c r="Y7" s="558">
        <f t="shared" si="19"/>
        <v>334.27611657</v>
      </c>
      <c r="Z7" s="558">
        <f t="shared" si="19"/>
        <v>334.27611657</v>
      </c>
      <c r="AA7" s="558">
        <f t="shared" si="19"/>
        <v>334.27611657</v>
      </c>
      <c r="AB7" s="558">
        <f t="shared" si="19"/>
        <v>344.30440006710006</v>
      </c>
      <c r="AC7" s="558">
        <f t="shared" si="19"/>
        <v>344.30440006710006</v>
      </c>
      <c r="AD7" s="558">
        <f t="shared" si="19"/>
        <v>344.30440006710006</v>
      </c>
      <c r="AE7" s="558">
        <f t="shared" si="19"/>
        <v>344.30440006710006</v>
      </c>
      <c r="AF7" s="558">
        <f t="shared" si="19"/>
        <v>358.85908606993655</v>
      </c>
      <c r="AG7" s="558">
        <f t="shared" si="19"/>
        <v>358.85908606993655</v>
      </c>
      <c r="AH7" s="558">
        <f t="shared" si="19"/>
        <v>358.85908606993655</v>
      </c>
      <c r="AI7" s="558">
        <f t="shared" si="19"/>
        <v>358.85908606993655</v>
      </c>
      <c r="AJ7" s="558">
        <f t="shared" si="19"/>
        <v>369.62485865203467</v>
      </c>
      <c r="AK7" s="558">
        <f t="shared" si="19"/>
        <v>369.62485865203467</v>
      </c>
      <c r="AL7" s="558">
        <f t="shared" si="19"/>
        <v>369.62485865203467</v>
      </c>
      <c r="AM7" s="558">
        <f t="shared" si="19"/>
        <v>369.62485865203467</v>
      </c>
      <c r="AN7" s="558">
        <f t="shared" si="19"/>
        <v>380.71360441159572</v>
      </c>
      <c r="AO7" s="558">
        <f t="shared" si="19"/>
        <v>380.71360441159572</v>
      </c>
      <c r="AP7" s="558">
        <f t="shared" si="19"/>
        <v>380.71360441159572</v>
      </c>
      <c r="AQ7" s="558">
        <f t="shared" si="19"/>
        <v>380.71360441159572</v>
      </c>
      <c r="AR7" s="113"/>
      <c r="AS7" s="113">
        <f t="shared" si="7"/>
        <v>0</v>
      </c>
      <c r="AT7" s="558">
        <f t="shared" si="8"/>
        <v>1188</v>
      </c>
      <c r="AU7" s="558">
        <f t="shared" si="9"/>
        <v>1223.6400000000001</v>
      </c>
      <c r="AV7" s="558">
        <f t="shared" si="10"/>
        <v>1260.3491999999999</v>
      </c>
      <c r="AW7" s="558">
        <f t="shared" si="11"/>
        <v>1298.159676</v>
      </c>
      <c r="AX7" s="558">
        <f t="shared" si="12"/>
        <v>1337.10446628</v>
      </c>
      <c r="AY7" s="558">
        <f t="shared" si="13"/>
        <v>1377.2176002684002</v>
      </c>
      <c r="AZ7" s="558">
        <f t="shared" si="14"/>
        <v>1435.4363442797462</v>
      </c>
      <c r="BA7" s="558">
        <f t="shared" si="15"/>
        <v>1478.4994346081387</v>
      </c>
      <c r="BB7" s="115">
        <f t="shared" si="16"/>
        <v>1522.8544176463829</v>
      </c>
      <c r="BC7" s="115">
        <f t="shared" si="17"/>
        <v>1522.8544176463829</v>
      </c>
    </row>
    <row r="8" spans="1:55" ht="17.25" customHeight="1" x14ac:dyDescent="0.3">
      <c r="A8" s="560" t="s">
        <v>399</v>
      </c>
      <c r="B8" s="561"/>
      <c r="C8" s="562"/>
      <c r="D8" s="561"/>
      <c r="E8" s="561"/>
      <c r="F8" s="561"/>
      <c r="G8" s="561"/>
      <c r="H8" s="561"/>
      <c r="I8" s="561"/>
      <c r="J8" s="561"/>
      <c r="K8" s="561"/>
      <c r="L8" s="561"/>
      <c r="M8" s="561"/>
      <c r="N8" s="561"/>
      <c r="O8" s="561"/>
      <c r="P8" s="561"/>
      <c r="Q8" s="561"/>
      <c r="R8" s="561"/>
      <c r="S8" s="561"/>
      <c r="T8" s="561"/>
      <c r="U8" s="561"/>
      <c r="V8" s="561"/>
      <c r="W8" s="561"/>
      <c r="X8" s="561"/>
      <c r="Y8" s="561"/>
      <c r="Z8" s="561"/>
      <c r="AA8" s="561"/>
      <c r="AB8" s="561"/>
      <c r="AC8" s="561"/>
      <c r="AD8" s="561"/>
      <c r="AE8" s="561"/>
      <c r="AF8" s="561"/>
      <c r="AG8" s="561"/>
      <c r="AH8" s="561"/>
      <c r="AI8" s="561"/>
      <c r="AJ8" s="561"/>
      <c r="AK8" s="561"/>
      <c r="AL8" s="561"/>
      <c r="AM8" s="561"/>
      <c r="AN8" s="561"/>
      <c r="AO8" s="561"/>
      <c r="AP8" s="561"/>
      <c r="AQ8" s="561"/>
      <c r="AR8" s="95"/>
      <c r="AS8" s="116">
        <f t="shared" si="7"/>
        <v>0</v>
      </c>
      <c r="AT8" s="392">
        <f t="shared" si="8"/>
        <v>0</v>
      </c>
      <c r="AU8" s="392">
        <f t="shared" si="9"/>
        <v>0</v>
      </c>
      <c r="AV8" s="392">
        <f t="shared" si="10"/>
        <v>0</v>
      </c>
      <c r="AW8" s="392">
        <f t="shared" si="11"/>
        <v>0</v>
      </c>
      <c r="AX8" s="392">
        <f t="shared" si="12"/>
        <v>0</v>
      </c>
      <c r="AY8" s="392">
        <f t="shared" si="13"/>
        <v>0</v>
      </c>
      <c r="AZ8" s="392">
        <f t="shared" si="14"/>
        <v>0</v>
      </c>
      <c r="BA8" s="392">
        <f t="shared" si="15"/>
        <v>0</v>
      </c>
      <c r="BB8" s="392">
        <f t="shared" si="16"/>
        <v>0</v>
      </c>
      <c r="BC8" s="392">
        <f t="shared" si="17"/>
        <v>0</v>
      </c>
    </row>
    <row r="9" spans="1:55" s="393" customFormat="1" x14ac:dyDescent="0.3">
      <c r="A9" s="551" t="s">
        <v>415</v>
      </c>
      <c r="B9" s="590">
        <v>2</v>
      </c>
      <c r="C9" s="568">
        <v>65</v>
      </c>
      <c r="D9" s="563">
        <v>0</v>
      </c>
      <c r="E9" s="563">
        <v>0</v>
      </c>
      <c r="F9" s="563">
        <v>0</v>
      </c>
      <c r="G9" s="563">
        <v>0</v>
      </c>
      <c r="H9" s="563">
        <f>$B$9*$C$9*3</f>
        <v>390</v>
      </c>
      <c r="I9" s="563">
        <f>H9</f>
        <v>390</v>
      </c>
      <c r="J9" s="563">
        <f t="shared" ref="J9:S9" si="20">I9</f>
        <v>390</v>
      </c>
      <c r="K9" s="563">
        <f t="shared" si="20"/>
        <v>390</v>
      </c>
      <c r="L9" s="563">
        <f>K9*(1+допущения!$C$37)</f>
        <v>401.7</v>
      </c>
      <c r="M9" s="563">
        <f t="shared" si="20"/>
        <v>401.7</v>
      </c>
      <c r="N9" s="563">
        <f t="shared" si="20"/>
        <v>401.7</v>
      </c>
      <c r="O9" s="563">
        <f t="shared" si="20"/>
        <v>401.7</v>
      </c>
      <c r="P9" s="563">
        <f>O9*(1+допущения!$C$37)</f>
        <v>413.75099999999998</v>
      </c>
      <c r="Q9" s="563">
        <f t="shared" si="20"/>
        <v>413.75099999999998</v>
      </c>
      <c r="R9" s="563">
        <f t="shared" si="20"/>
        <v>413.75099999999998</v>
      </c>
      <c r="S9" s="563">
        <f t="shared" si="20"/>
        <v>413.75099999999998</v>
      </c>
      <c r="T9" s="563">
        <f>S9*(1+допущения!$C$37)</f>
        <v>426.16352999999998</v>
      </c>
      <c r="U9" s="563">
        <f>T9</f>
        <v>426.16352999999998</v>
      </c>
      <c r="V9" s="563">
        <f>U9</f>
        <v>426.16352999999998</v>
      </c>
      <c r="W9" s="563">
        <f>V9</f>
        <v>426.16352999999998</v>
      </c>
      <c r="X9" s="563">
        <f>W9*(1+допущения!$C$37)</f>
        <v>438.94843589999999</v>
      </c>
      <c r="Y9" s="563">
        <f>X9</f>
        <v>438.94843589999999</v>
      </c>
      <c r="Z9" s="563">
        <f t="shared" ref="Z9:AE9" si="21">Y9</f>
        <v>438.94843589999999</v>
      </c>
      <c r="AA9" s="563">
        <f t="shared" si="21"/>
        <v>438.94843589999999</v>
      </c>
      <c r="AB9" s="563">
        <f>AA9*(1+допущения!$C$37)</f>
        <v>452.11688897700003</v>
      </c>
      <c r="AC9" s="563">
        <f t="shared" si="21"/>
        <v>452.11688897700003</v>
      </c>
      <c r="AD9" s="563">
        <f t="shared" si="21"/>
        <v>452.11688897700003</v>
      </c>
      <c r="AE9" s="563">
        <f t="shared" si="21"/>
        <v>452.11688897700003</v>
      </c>
      <c r="AF9" s="563">
        <f>AE9*(1+допущения!$C$37)</f>
        <v>465.68039564631005</v>
      </c>
      <c r="AG9" s="563">
        <f>AF9</f>
        <v>465.68039564631005</v>
      </c>
      <c r="AH9" s="563">
        <f t="shared" ref="AH9:AQ9" si="22">AG9</f>
        <v>465.68039564631005</v>
      </c>
      <c r="AI9" s="563">
        <f t="shared" si="22"/>
        <v>465.68039564631005</v>
      </c>
      <c r="AJ9" s="563">
        <f>AI9*(1+допущения!$C$37)</f>
        <v>479.65080751569934</v>
      </c>
      <c r="AK9" s="563">
        <f t="shared" si="22"/>
        <v>479.65080751569934</v>
      </c>
      <c r="AL9" s="563">
        <f t="shared" si="22"/>
        <v>479.65080751569934</v>
      </c>
      <c r="AM9" s="563">
        <f t="shared" si="22"/>
        <v>479.65080751569934</v>
      </c>
      <c r="AN9" s="563">
        <f>AM9*(1+допущения!$C$37)</f>
        <v>494.04033174117035</v>
      </c>
      <c r="AO9" s="563">
        <f t="shared" si="22"/>
        <v>494.04033174117035</v>
      </c>
      <c r="AP9" s="563">
        <f t="shared" si="22"/>
        <v>494.04033174117035</v>
      </c>
      <c r="AQ9" s="563">
        <f t="shared" si="22"/>
        <v>494.04033174117035</v>
      </c>
      <c r="AR9" s="391"/>
      <c r="AS9" s="116">
        <f t="shared" si="7"/>
        <v>0</v>
      </c>
      <c r="AT9" s="392">
        <f t="shared" si="8"/>
        <v>1560</v>
      </c>
      <c r="AU9" s="392">
        <f t="shared" si="9"/>
        <v>1606.8</v>
      </c>
      <c r="AV9" s="392">
        <f t="shared" si="10"/>
        <v>1655.0039999999999</v>
      </c>
      <c r="AW9" s="392">
        <f t="shared" si="11"/>
        <v>1704.6541199999999</v>
      </c>
      <c r="AX9" s="392">
        <f t="shared" si="12"/>
        <v>1755.7937436</v>
      </c>
      <c r="AY9" s="392">
        <f t="shared" si="13"/>
        <v>1808.4675559080001</v>
      </c>
      <c r="AZ9" s="392">
        <f t="shared" si="14"/>
        <v>1862.7215825852402</v>
      </c>
      <c r="BA9" s="392">
        <f t="shared" si="15"/>
        <v>1918.6032300627974</v>
      </c>
      <c r="BB9" s="392">
        <f t="shared" si="16"/>
        <v>1976.1613269646814</v>
      </c>
      <c r="BC9" s="392">
        <f t="shared" si="17"/>
        <v>1976.1613269646814</v>
      </c>
    </row>
    <row r="10" spans="1:55" s="393" customFormat="1" x14ac:dyDescent="0.3">
      <c r="A10" s="551" t="s">
        <v>416</v>
      </c>
      <c r="B10" s="590">
        <v>4</v>
      </c>
      <c r="C10" s="568">
        <v>45</v>
      </c>
      <c r="D10" s="563">
        <v>0</v>
      </c>
      <c r="E10" s="563">
        <v>0</v>
      </c>
      <c r="F10" s="563">
        <v>0</v>
      </c>
      <c r="G10" s="563">
        <v>0</v>
      </c>
      <c r="H10" s="563">
        <f>$B$10*$C$10*3</f>
        <v>540</v>
      </c>
      <c r="I10" s="563">
        <f t="shared" ref="I10:S14" si="23">H10</f>
        <v>540</v>
      </c>
      <c r="J10" s="563">
        <f t="shared" ref="J10:S12" si="24">I10</f>
        <v>540</v>
      </c>
      <c r="K10" s="563">
        <f t="shared" si="24"/>
        <v>540</v>
      </c>
      <c r="L10" s="563">
        <f>K10*(1+допущения!$C$37)</f>
        <v>556.20000000000005</v>
      </c>
      <c r="M10" s="563">
        <f t="shared" si="24"/>
        <v>556.20000000000005</v>
      </c>
      <c r="N10" s="563">
        <f t="shared" si="24"/>
        <v>556.20000000000005</v>
      </c>
      <c r="O10" s="563">
        <f t="shared" si="24"/>
        <v>556.20000000000005</v>
      </c>
      <c r="P10" s="563">
        <f>O10*(1+допущения!$C$37)</f>
        <v>572.88600000000008</v>
      </c>
      <c r="Q10" s="563">
        <f t="shared" si="24"/>
        <v>572.88600000000008</v>
      </c>
      <c r="R10" s="563">
        <f t="shared" si="24"/>
        <v>572.88600000000008</v>
      </c>
      <c r="S10" s="563">
        <f t="shared" si="24"/>
        <v>572.88600000000008</v>
      </c>
      <c r="T10" s="563">
        <f>S10*(1+допущения!$C$37)</f>
        <v>590.07258000000013</v>
      </c>
      <c r="U10" s="563">
        <f t="shared" ref="U10:AE12" si="25">T10</f>
        <v>590.07258000000013</v>
      </c>
      <c r="V10" s="563">
        <f t="shared" si="25"/>
        <v>590.07258000000013</v>
      </c>
      <c r="W10" s="563">
        <f t="shared" si="25"/>
        <v>590.07258000000013</v>
      </c>
      <c r="X10" s="563">
        <f>W10*(1+допущения!$C$37)</f>
        <v>607.77475740000011</v>
      </c>
      <c r="Y10" s="563">
        <f t="shared" si="25"/>
        <v>607.77475740000011</v>
      </c>
      <c r="Z10" s="563">
        <f t="shared" si="25"/>
        <v>607.77475740000011</v>
      </c>
      <c r="AA10" s="563">
        <f t="shared" si="25"/>
        <v>607.77475740000011</v>
      </c>
      <c r="AB10" s="563">
        <f>AA10*(1+допущения!$C$37)</f>
        <v>626.00800012200011</v>
      </c>
      <c r="AC10" s="563">
        <f t="shared" si="25"/>
        <v>626.00800012200011</v>
      </c>
      <c r="AD10" s="563">
        <f t="shared" si="25"/>
        <v>626.00800012200011</v>
      </c>
      <c r="AE10" s="563">
        <f t="shared" si="25"/>
        <v>626.00800012200011</v>
      </c>
      <c r="AF10" s="563">
        <f>AE10*(1+допущения!$C$37)</f>
        <v>644.78824012566008</v>
      </c>
      <c r="AG10" s="563">
        <f t="shared" ref="AG10:AQ14" si="26">AF10</f>
        <v>644.78824012566008</v>
      </c>
      <c r="AH10" s="563">
        <f t="shared" si="26"/>
        <v>644.78824012566008</v>
      </c>
      <c r="AI10" s="563">
        <f t="shared" si="26"/>
        <v>644.78824012566008</v>
      </c>
      <c r="AJ10" s="563">
        <f>AI10*(1+допущения!$C$37)</f>
        <v>664.1318873294299</v>
      </c>
      <c r="AK10" s="563">
        <f t="shared" si="26"/>
        <v>664.1318873294299</v>
      </c>
      <c r="AL10" s="563">
        <f t="shared" si="26"/>
        <v>664.1318873294299</v>
      </c>
      <c r="AM10" s="563">
        <f t="shared" si="26"/>
        <v>664.1318873294299</v>
      </c>
      <c r="AN10" s="563">
        <f>AM10*(1+допущения!$C$37)</f>
        <v>684.05584394931282</v>
      </c>
      <c r="AO10" s="563">
        <f t="shared" si="26"/>
        <v>684.05584394931282</v>
      </c>
      <c r="AP10" s="563">
        <f t="shared" si="26"/>
        <v>684.05584394931282</v>
      </c>
      <c r="AQ10" s="563">
        <f t="shared" si="26"/>
        <v>684.05584394931282</v>
      </c>
      <c r="AR10" s="391"/>
      <c r="AS10" s="116">
        <f t="shared" ref="AS10:AS13" si="27">SUM(D10:G10)</f>
        <v>0</v>
      </c>
      <c r="AT10" s="392">
        <f t="shared" si="8"/>
        <v>2160</v>
      </c>
      <c r="AU10" s="392">
        <f t="shared" si="9"/>
        <v>2224.8000000000002</v>
      </c>
      <c r="AV10" s="392">
        <f t="shared" si="10"/>
        <v>2291.5440000000003</v>
      </c>
      <c r="AW10" s="392">
        <f t="shared" si="11"/>
        <v>2360.2903200000005</v>
      </c>
      <c r="AX10" s="392">
        <f t="shared" si="12"/>
        <v>2431.0990296000004</v>
      </c>
      <c r="AY10" s="392">
        <f t="shared" si="13"/>
        <v>2504.0320004880004</v>
      </c>
      <c r="AZ10" s="392">
        <f t="shared" si="14"/>
        <v>2579.1529605026403</v>
      </c>
      <c r="BA10" s="392">
        <f t="shared" si="15"/>
        <v>2656.5275493177196</v>
      </c>
      <c r="BB10" s="392">
        <f t="shared" si="16"/>
        <v>2736.2233757972513</v>
      </c>
      <c r="BC10" s="392">
        <f t="shared" si="17"/>
        <v>2736.2233757972513</v>
      </c>
    </row>
    <row r="11" spans="1:55" s="393" customFormat="1" x14ac:dyDescent="0.3">
      <c r="A11" s="551" t="s">
        <v>417</v>
      </c>
      <c r="B11" s="590">
        <v>4</v>
      </c>
      <c r="C11" s="568">
        <v>45</v>
      </c>
      <c r="D11" s="563">
        <v>0</v>
      </c>
      <c r="E11" s="563">
        <v>0</v>
      </c>
      <c r="F11" s="563">
        <v>0</v>
      </c>
      <c r="G11" s="563">
        <v>0</v>
      </c>
      <c r="H11" s="563">
        <f>$B$11*$C$11*3</f>
        <v>540</v>
      </c>
      <c r="I11" s="563">
        <f t="shared" si="23"/>
        <v>540</v>
      </c>
      <c r="J11" s="563">
        <f t="shared" si="24"/>
        <v>540</v>
      </c>
      <c r="K11" s="563">
        <f t="shared" si="24"/>
        <v>540</v>
      </c>
      <c r="L11" s="563">
        <f>K11*(1+допущения!$C$37)</f>
        <v>556.20000000000005</v>
      </c>
      <c r="M11" s="563">
        <f t="shared" si="24"/>
        <v>556.20000000000005</v>
      </c>
      <c r="N11" s="563">
        <f t="shared" si="24"/>
        <v>556.20000000000005</v>
      </c>
      <c r="O11" s="563">
        <f t="shared" si="24"/>
        <v>556.20000000000005</v>
      </c>
      <c r="P11" s="563">
        <f>O11*(1+допущения!$C$37)</f>
        <v>572.88600000000008</v>
      </c>
      <c r="Q11" s="563">
        <f t="shared" si="24"/>
        <v>572.88600000000008</v>
      </c>
      <c r="R11" s="563">
        <f t="shared" si="24"/>
        <v>572.88600000000008</v>
      </c>
      <c r="S11" s="563">
        <f t="shared" si="24"/>
        <v>572.88600000000008</v>
      </c>
      <c r="T11" s="563">
        <f>S11*(1+допущения!$C$37)</f>
        <v>590.07258000000013</v>
      </c>
      <c r="U11" s="563">
        <f t="shared" si="25"/>
        <v>590.07258000000013</v>
      </c>
      <c r="V11" s="563">
        <f t="shared" si="25"/>
        <v>590.07258000000013</v>
      </c>
      <c r="W11" s="563">
        <f t="shared" si="25"/>
        <v>590.07258000000013</v>
      </c>
      <c r="X11" s="563">
        <f>W11*(1+допущения!$C$37)</f>
        <v>607.77475740000011</v>
      </c>
      <c r="Y11" s="563">
        <f t="shared" si="25"/>
        <v>607.77475740000011</v>
      </c>
      <c r="Z11" s="563">
        <f t="shared" si="25"/>
        <v>607.77475740000011</v>
      </c>
      <c r="AA11" s="563">
        <f t="shared" si="25"/>
        <v>607.77475740000011</v>
      </c>
      <c r="AB11" s="563">
        <f>AA11*(1+допущения!$C$37)</f>
        <v>626.00800012200011</v>
      </c>
      <c r="AC11" s="563">
        <f t="shared" si="25"/>
        <v>626.00800012200011</v>
      </c>
      <c r="AD11" s="563">
        <f t="shared" si="25"/>
        <v>626.00800012200011</v>
      </c>
      <c r="AE11" s="563">
        <f t="shared" si="25"/>
        <v>626.00800012200011</v>
      </c>
      <c r="AF11" s="563">
        <f>AE11*(1+допущения!$C$37)</f>
        <v>644.78824012566008</v>
      </c>
      <c r="AG11" s="563">
        <f t="shared" si="26"/>
        <v>644.78824012566008</v>
      </c>
      <c r="AH11" s="563">
        <f t="shared" si="26"/>
        <v>644.78824012566008</v>
      </c>
      <c r="AI11" s="563">
        <f t="shared" si="26"/>
        <v>644.78824012566008</v>
      </c>
      <c r="AJ11" s="563">
        <f>AI11*(1+допущения!$C$37)</f>
        <v>664.1318873294299</v>
      </c>
      <c r="AK11" s="563">
        <f t="shared" si="26"/>
        <v>664.1318873294299</v>
      </c>
      <c r="AL11" s="563">
        <f t="shared" si="26"/>
        <v>664.1318873294299</v>
      </c>
      <c r="AM11" s="563">
        <f t="shared" si="26"/>
        <v>664.1318873294299</v>
      </c>
      <c r="AN11" s="563">
        <f>AM11*(1+допущения!$C$37)</f>
        <v>684.05584394931282</v>
      </c>
      <c r="AO11" s="563">
        <f t="shared" si="26"/>
        <v>684.05584394931282</v>
      </c>
      <c r="AP11" s="563">
        <f t="shared" si="26"/>
        <v>684.05584394931282</v>
      </c>
      <c r="AQ11" s="563">
        <f t="shared" si="26"/>
        <v>684.05584394931282</v>
      </c>
      <c r="AR11" s="391"/>
      <c r="AS11" s="116">
        <f t="shared" si="27"/>
        <v>0</v>
      </c>
      <c r="AT11" s="392">
        <f t="shared" si="8"/>
        <v>2160</v>
      </c>
      <c r="AU11" s="392">
        <f t="shared" si="9"/>
        <v>2224.8000000000002</v>
      </c>
      <c r="AV11" s="392">
        <f t="shared" si="10"/>
        <v>2291.5440000000003</v>
      </c>
      <c r="AW11" s="392">
        <f t="shared" si="11"/>
        <v>2360.2903200000005</v>
      </c>
      <c r="AX11" s="392">
        <f t="shared" si="12"/>
        <v>2431.0990296000004</v>
      </c>
      <c r="AY11" s="392">
        <f t="shared" si="13"/>
        <v>2504.0320004880004</v>
      </c>
      <c r="AZ11" s="392">
        <f t="shared" si="14"/>
        <v>2579.1529605026403</v>
      </c>
      <c r="BA11" s="392">
        <f t="shared" si="15"/>
        <v>2656.5275493177196</v>
      </c>
      <c r="BB11" s="392">
        <f t="shared" si="16"/>
        <v>2736.2233757972513</v>
      </c>
      <c r="BC11" s="392">
        <f t="shared" si="17"/>
        <v>2736.2233757972513</v>
      </c>
    </row>
    <row r="12" spans="1:55" s="393" customFormat="1" ht="14.25" customHeight="1" x14ac:dyDescent="0.3">
      <c r="A12" s="551" t="s">
        <v>418</v>
      </c>
      <c r="B12" s="590">
        <v>2</v>
      </c>
      <c r="C12" s="568">
        <v>50</v>
      </c>
      <c r="D12" s="563">
        <v>0</v>
      </c>
      <c r="E12" s="563">
        <v>0</v>
      </c>
      <c r="F12" s="563">
        <v>0</v>
      </c>
      <c r="G12" s="563">
        <v>0</v>
      </c>
      <c r="H12" s="563">
        <f>$B$12*$C$12*3</f>
        <v>300</v>
      </c>
      <c r="I12" s="563">
        <f t="shared" si="23"/>
        <v>300</v>
      </c>
      <c r="J12" s="563">
        <f t="shared" si="24"/>
        <v>300</v>
      </c>
      <c r="K12" s="563">
        <f t="shared" si="24"/>
        <v>300</v>
      </c>
      <c r="L12" s="563">
        <f>K12*(1+допущения!$C$37)</f>
        <v>309</v>
      </c>
      <c r="M12" s="563">
        <f t="shared" si="24"/>
        <v>309</v>
      </c>
      <c r="N12" s="563">
        <f t="shared" si="24"/>
        <v>309</v>
      </c>
      <c r="O12" s="563">
        <f t="shared" si="24"/>
        <v>309</v>
      </c>
      <c r="P12" s="563">
        <f>O12*(1+допущения!$C$37)</f>
        <v>318.27</v>
      </c>
      <c r="Q12" s="563">
        <f t="shared" si="24"/>
        <v>318.27</v>
      </c>
      <c r="R12" s="563">
        <f t="shared" si="24"/>
        <v>318.27</v>
      </c>
      <c r="S12" s="563">
        <f t="shared" si="24"/>
        <v>318.27</v>
      </c>
      <c r="T12" s="563">
        <f>S12*(1+допущения!$C$37)</f>
        <v>327.81810000000002</v>
      </c>
      <c r="U12" s="563">
        <f t="shared" si="25"/>
        <v>327.81810000000002</v>
      </c>
      <c r="V12" s="563">
        <f t="shared" si="25"/>
        <v>327.81810000000002</v>
      </c>
      <c r="W12" s="563">
        <f t="shared" si="25"/>
        <v>327.81810000000002</v>
      </c>
      <c r="X12" s="563">
        <f>W12*(1+допущения!$C$37)</f>
        <v>337.65264300000001</v>
      </c>
      <c r="Y12" s="563">
        <f t="shared" si="25"/>
        <v>337.65264300000001</v>
      </c>
      <c r="Z12" s="563">
        <f t="shared" si="25"/>
        <v>337.65264300000001</v>
      </c>
      <c r="AA12" s="563">
        <f t="shared" si="25"/>
        <v>337.65264300000001</v>
      </c>
      <c r="AB12" s="563">
        <f>AA12*(1+допущения!$C$37)</f>
        <v>347.78222228999999</v>
      </c>
      <c r="AC12" s="563">
        <f t="shared" si="25"/>
        <v>347.78222228999999</v>
      </c>
      <c r="AD12" s="563">
        <f t="shared" si="25"/>
        <v>347.78222228999999</v>
      </c>
      <c r="AE12" s="563">
        <f t="shared" si="25"/>
        <v>347.78222228999999</v>
      </c>
      <c r="AF12" s="563">
        <f>AE12*(1+допущения!$C$37)</f>
        <v>358.21568895870001</v>
      </c>
      <c r="AG12" s="563">
        <f t="shared" si="26"/>
        <v>358.21568895870001</v>
      </c>
      <c r="AH12" s="563">
        <f t="shared" si="26"/>
        <v>358.21568895870001</v>
      </c>
      <c r="AI12" s="563">
        <f t="shared" si="26"/>
        <v>358.21568895870001</v>
      </c>
      <c r="AJ12" s="563">
        <f>AI12*(1+допущения!$C$37)</f>
        <v>368.96215962746101</v>
      </c>
      <c r="AK12" s="563">
        <f t="shared" si="26"/>
        <v>368.96215962746101</v>
      </c>
      <c r="AL12" s="563">
        <f t="shared" si="26"/>
        <v>368.96215962746101</v>
      </c>
      <c r="AM12" s="563">
        <f t="shared" si="26"/>
        <v>368.96215962746101</v>
      </c>
      <c r="AN12" s="563">
        <f>AM12*(1+допущения!$C$37)</f>
        <v>380.03102441628482</v>
      </c>
      <c r="AO12" s="563">
        <f t="shared" si="26"/>
        <v>380.03102441628482</v>
      </c>
      <c r="AP12" s="563">
        <f t="shared" si="26"/>
        <v>380.03102441628482</v>
      </c>
      <c r="AQ12" s="563">
        <f t="shared" si="26"/>
        <v>380.03102441628482</v>
      </c>
      <c r="AR12" s="391"/>
      <c r="AS12" s="116">
        <f t="shared" si="27"/>
        <v>0</v>
      </c>
      <c r="AT12" s="392">
        <f t="shared" si="8"/>
        <v>1200</v>
      </c>
      <c r="AU12" s="392">
        <f t="shared" si="9"/>
        <v>1236</v>
      </c>
      <c r="AV12" s="392">
        <f t="shared" si="10"/>
        <v>1273.08</v>
      </c>
      <c r="AW12" s="392">
        <f t="shared" si="11"/>
        <v>1311.2724000000001</v>
      </c>
      <c r="AX12" s="392">
        <f t="shared" si="12"/>
        <v>1350.610572</v>
      </c>
      <c r="AY12" s="392">
        <f t="shared" si="13"/>
        <v>1391.12888916</v>
      </c>
      <c r="AZ12" s="392">
        <f t="shared" si="14"/>
        <v>1432.8627558348001</v>
      </c>
      <c r="BA12" s="392">
        <f t="shared" si="15"/>
        <v>1475.848638509844</v>
      </c>
      <c r="BB12" s="392">
        <f t="shared" si="16"/>
        <v>1520.1240976651393</v>
      </c>
      <c r="BC12" s="392">
        <f t="shared" si="17"/>
        <v>1520.1240976651393</v>
      </c>
    </row>
    <row r="13" spans="1:55" s="393" customFormat="1" ht="13.5" customHeight="1" x14ac:dyDescent="0.3">
      <c r="A13" s="553" t="s">
        <v>116</v>
      </c>
      <c r="B13" s="590">
        <v>0</v>
      </c>
      <c r="C13" s="568">
        <v>0</v>
      </c>
      <c r="D13" s="563">
        <v>0</v>
      </c>
      <c r="E13" s="563">
        <v>0</v>
      </c>
      <c r="F13" s="563">
        <v>0</v>
      </c>
      <c r="G13" s="563">
        <v>0</v>
      </c>
      <c r="H13" s="563"/>
      <c r="I13" s="563"/>
      <c r="J13" s="563"/>
      <c r="K13" s="563"/>
      <c r="L13" s="563"/>
      <c r="M13" s="563"/>
      <c r="N13" s="563"/>
      <c r="O13" s="563"/>
      <c r="P13" s="563"/>
      <c r="Q13" s="563"/>
      <c r="R13" s="563"/>
      <c r="S13" s="563"/>
      <c r="T13" s="563">
        <f>S13*(1+допущения!$C$37)</f>
        <v>0</v>
      </c>
      <c r="U13" s="563">
        <f t="shared" ref="U13:AQ13" si="28">$B$13*$C$13*3</f>
        <v>0</v>
      </c>
      <c r="V13" s="563">
        <f t="shared" si="28"/>
        <v>0</v>
      </c>
      <c r="W13" s="563">
        <f t="shared" si="28"/>
        <v>0</v>
      </c>
      <c r="X13" s="563">
        <f>W13*(1+допущения!$C$37)</f>
        <v>0</v>
      </c>
      <c r="Y13" s="563">
        <f t="shared" si="28"/>
        <v>0</v>
      </c>
      <c r="Z13" s="563">
        <f t="shared" si="28"/>
        <v>0</v>
      </c>
      <c r="AA13" s="563">
        <f t="shared" si="28"/>
        <v>0</v>
      </c>
      <c r="AB13" s="563">
        <f>AA13*(1+допущения!$C$37)</f>
        <v>0</v>
      </c>
      <c r="AC13" s="563">
        <f t="shared" si="28"/>
        <v>0</v>
      </c>
      <c r="AD13" s="563">
        <f t="shared" si="28"/>
        <v>0</v>
      </c>
      <c r="AE13" s="563">
        <f t="shared" si="28"/>
        <v>0</v>
      </c>
      <c r="AF13" s="563">
        <f>AE13*(1+допущения!$C$37)</f>
        <v>0</v>
      </c>
      <c r="AG13" s="563">
        <f t="shared" si="26"/>
        <v>0</v>
      </c>
      <c r="AH13" s="563">
        <f t="shared" si="28"/>
        <v>0</v>
      </c>
      <c r="AI13" s="563">
        <f t="shared" si="28"/>
        <v>0</v>
      </c>
      <c r="AJ13" s="563">
        <f>AI13*(1+допущения!$C$37)</f>
        <v>0</v>
      </c>
      <c r="AK13" s="563">
        <f t="shared" si="28"/>
        <v>0</v>
      </c>
      <c r="AL13" s="563">
        <f t="shared" si="28"/>
        <v>0</v>
      </c>
      <c r="AM13" s="563">
        <f t="shared" si="28"/>
        <v>0</v>
      </c>
      <c r="AN13" s="563">
        <f>AM13*(1+допущения!$C$37)</f>
        <v>0</v>
      </c>
      <c r="AO13" s="563">
        <f t="shared" si="28"/>
        <v>0</v>
      </c>
      <c r="AP13" s="563">
        <f t="shared" si="28"/>
        <v>0</v>
      </c>
      <c r="AQ13" s="563">
        <f t="shared" si="28"/>
        <v>0</v>
      </c>
      <c r="AR13" s="391"/>
      <c r="AS13" s="116">
        <f t="shared" si="27"/>
        <v>0</v>
      </c>
      <c r="AT13" s="392">
        <f t="shared" si="8"/>
        <v>0</v>
      </c>
      <c r="AU13" s="392">
        <f t="shared" si="9"/>
        <v>0</v>
      </c>
      <c r="AV13" s="392">
        <f t="shared" si="10"/>
        <v>0</v>
      </c>
      <c r="AW13" s="392">
        <f t="shared" si="11"/>
        <v>0</v>
      </c>
      <c r="AX13" s="392">
        <f t="shared" si="12"/>
        <v>0</v>
      </c>
      <c r="AY13" s="392">
        <f t="shared" si="13"/>
        <v>0</v>
      </c>
      <c r="AZ13" s="392">
        <f t="shared" si="14"/>
        <v>0</v>
      </c>
      <c r="BA13" s="392">
        <f t="shared" si="15"/>
        <v>0</v>
      </c>
      <c r="BB13" s="392">
        <f t="shared" si="16"/>
        <v>0</v>
      </c>
      <c r="BC13" s="392">
        <f t="shared" si="17"/>
        <v>0</v>
      </c>
    </row>
    <row r="14" spans="1:55" s="393" customFormat="1" ht="28.8" x14ac:dyDescent="0.3">
      <c r="A14" s="551" t="s">
        <v>398</v>
      </c>
      <c r="B14" s="590">
        <v>2</v>
      </c>
      <c r="C14" s="568">
        <v>30</v>
      </c>
      <c r="D14" s="563">
        <v>0</v>
      </c>
      <c r="E14" s="563">
        <v>0</v>
      </c>
      <c r="F14" s="563">
        <v>0</v>
      </c>
      <c r="G14" s="563">
        <v>0</v>
      </c>
      <c r="H14" s="563">
        <f>$B$14*$C$14*3</f>
        <v>180</v>
      </c>
      <c r="I14" s="563">
        <f t="shared" si="23"/>
        <v>180</v>
      </c>
      <c r="J14" s="563">
        <f t="shared" si="23"/>
        <v>180</v>
      </c>
      <c r="K14" s="563">
        <f t="shared" si="23"/>
        <v>180</v>
      </c>
      <c r="L14" s="563">
        <f>K14*(1+допущения!$C$37)</f>
        <v>185.4</v>
      </c>
      <c r="M14" s="563">
        <f t="shared" si="23"/>
        <v>185.4</v>
      </c>
      <c r="N14" s="563">
        <f t="shared" si="23"/>
        <v>185.4</v>
      </c>
      <c r="O14" s="563">
        <f t="shared" si="23"/>
        <v>185.4</v>
      </c>
      <c r="P14" s="563">
        <f>O14*(1+допущения!$C$37)</f>
        <v>190.96200000000002</v>
      </c>
      <c r="Q14" s="563">
        <f t="shared" si="23"/>
        <v>190.96200000000002</v>
      </c>
      <c r="R14" s="563">
        <f t="shared" si="23"/>
        <v>190.96200000000002</v>
      </c>
      <c r="S14" s="563">
        <f t="shared" si="23"/>
        <v>190.96200000000002</v>
      </c>
      <c r="T14" s="563">
        <f>S14*(1+допущения!$C$37)</f>
        <v>196.69086000000001</v>
      </c>
      <c r="U14" s="563">
        <f>T14</f>
        <v>196.69086000000001</v>
      </c>
      <c r="V14" s="563">
        <f>U14</f>
        <v>196.69086000000001</v>
      </c>
      <c r="W14" s="563">
        <f>V14</f>
        <v>196.69086000000001</v>
      </c>
      <c r="X14" s="563">
        <f>W14*(1+допущения!$C$37)</f>
        <v>202.59158580000002</v>
      </c>
      <c r="Y14" s="563">
        <f t="shared" ref="Y14:AE14" si="29">X14</f>
        <v>202.59158580000002</v>
      </c>
      <c r="Z14" s="563">
        <f t="shared" si="29"/>
        <v>202.59158580000002</v>
      </c>
      <c r="AA14" s="563">
        <f t="shared" si="29"/>
        <v>202.59158580000002</v>
      </c>
      <c r="AB14" s="563">
        <f>AA14*(1+допущения!$C$37)</f>
        <v>208.66933337400002</v>
      </c>
      <c r="AC14" s="563">
        <f t="shared" si="29"/>
        <v>208.66933337400002</v>
      </c>
      <c r="AD14" s="563">
        <f t="shared" si="29"/>
        <v>208.66933337400002</v>
      </c>
      <c r="AE14" s="563">
        <f t="shared" si="29"/>
        <v>208.66933337400002</v>
      </c>
      <c r="AF14" s="563">
        <f>AE14*(1+допущения!$C$37)</f>
        <v>214.92941337522004</v>
      </c>
      <c r="AG14" s="563">
        <f t="shared" si="26"/>
        <v>214.92941337522004</v>
      </c>
      <c r="AH14" s="563">
        <f>AG14</f>
        <v>214.92941337522004</v>
      </c>
      <c r="AI14" s="563">
        <f t="shared" ref="AI14:AQ14" si="30">AH14</f>
        <v>214.92941337522004</v>
      </c>
      <c r="AJ14" s="563">
        <f>AI14*(1+допущения!$C$37)</f>
        <v>221.37729577647664</v>
      </c>
      <c r="AK14" s="563">
        <f t="shared" si="30"/>
        <v>221.37729577647664</v>
      </c>
      <c r="AL14" s="563">
        <f t="shared" si="30"/>
        <v>221.37729577647664</v>
      </c>
      <c r="AM14" s="563">
        <f t="shared" si="30"/>
        <v>221.37729577647664</v>
      </c>
      <c r="AN14" s="563">
        <f>AM14*(1+допущения!$C$37)</f>
        <v>228.01861464977094</v>
      </c>
      <c r="AO14" s="563">
        <f t="shared" si="30"/>
        <v>228.01861464977094</v>
      </c>
      <c r="AP14" s="563">
        <f t="shared" si="30"/>
        <v>228.01861464977094</v>
      </c>
      <c r="AQ14" s="563">
        <f t="shared" si="30"/>
        <v>228.01861464977094</v>
      </c>
      <c r="AR14" s="391"/>
      <c r="AS14" s="116">
        <f t="shared" si="7"/>
        <v>0</v>
      </c>
      <c r="AT14" s="392">
        <f t="shared" si="8"/>
        <v>720</v>
      </c>
      <c r="AU14" s="392">
        <f t="shared" si="9"/>
        <v>741.6</v>
      </c>
      <c r="AV14" s="392">
        <f t="shared" si="10"/>
        <v>763.84800000000007</v>
      </c>
      <c r="AW14" s="392">
        <f t="shared" si="11"/>
        <v>786.76344000000006</v>
      </c>
      <c r="AX14" s="392">
        <f t="shared" si="12"/>
        <v>810.36634320000007</v>
      </c>
      <c r="AY14" s="392">
        <f t="shared" si="13"/>
        <v>834.67733349600007</v>
      </c>
      <c r="AZ14" s="392">
        <f t="shared" si="14"/>
        <v>859.71765350088015</v>
      </c>
      <c r="BA14" s="392">
        <f t="shared" si="15"/>
        <v>885.50918310590657</v>
      </c>
      <c r="BB14" s="392">
        <f t="shared" si="16"/>
        <v>912.07445859908375</v>
      </c>
      <c r="BC14" s="392">
        <f t="shared" si="17"/>
        <v>912.07445859908375</v>
      </c>
    </row>
    <row r="15" spans="1:55" s="108" customFormat="1" ht="30" customHeight="1" x14ac:dyDescent="0.3">
      <c r="A15" s="554" t="s">
        <v>113</v>
      </c>
      <c r="B15" s="111">
        <f>SUM(B9:B14)</f>
        <v>14</v>
      </c>
      <c r="C15" s="564"/>
      <c r="D15" s="555">
        <f>SUM(D9:D14)</f>
        <v>0</v>
      </c>
      <c r="E15" s="555">
        <f t="shared" ref="E15:AQ15" si="31">SUM(E9:E14)</f>
        <v>0</v>
      </c>
      <c r="F15" s="555">
        <f t="shared" si="31"/>
        <v>0</v>
      </c>
      <c r="G15" s="555">
        <f t="shared" si="31"/>
        <v>0</v>
      </c>
      <c r="H15" s="555">
        <f t="shared" si="31"/>
        <v>1950</v>
      </c>
      <c r="I15" s="555">
        <f t="shared" si="31"/>
        <v>1950</v>
      </c>
      <c r="J15" s="555">
        <f t="shared" si="31"/>
        <v>1950</v>
      </c>
      <c r="K15" s="555">
        <f t="shared" si="31"/>
        <v>1950</v>
      </c>
      <c r="L15" s="555">
        <f t="shared" si="31"/>
        <v>2008.5000000000002</v>
      </c>
      <c r="M15" s="555">
        <f t="shared" si="31"/>
        <v>2008.5000000000002</v>
      </c>
      <c r="N15" s="555">
        <f t="shared" si="31"/>
        <v>2008.5000000000002</v>
      </c>
      <c r="O15" s="555">
        <f t="shared" si="31"/>
        <v>2008.5000000000002</v>
      </c>
      <c r="P15" s="555">
        <f t="shared" si="31"/>
        <v>2068.7550000000001</v>
      </c>
      <c r="Q15" s="555">
        <f t="shared" si="31"/>
        <v>2068.7550000000001</v>
      </c>
      <c r="R15" s="555">
        <f t="shared" si="31"/>
        <v>2068.7550000000001</v>
      </c>
      <c r="S15" s="555">
        <f t="shared" si="31"/>
        <v>2068.7550000000001</v>
      </c>
      <c r="T15" s="555">
        <f t="shared" si="31"/>
        <v>2130.8176500000004</v>
      </c>
      <c r="U15" s="555">
        <f t="shared" si="31"/>
        <v>2130.8176500000004</v>
      </c>
      <c r="V15" s="555">
        <f t="shared" si="31"/>
        <v>2130.8176500000004</v>
      </c>
      <c r="W15" s="555">
        <f t="shared" si="31"/>
        <v>2130.8176500000004</v>
      </c>
      <c r="X15" s="555">
        <f t="shared" si="31"/>
        <v>2194.7421795</v>
      </c>
      <c r="Y15" s="555">
        <f t="shared" si="31"/>
        <v>2194.7421795</v>
      </c>
      <c r="Z15" s="555">
        <f t="shared" si="31"/>
        <v>2194.7421795</v>
      </c>
      <c r="AA15" s="555">
        <f t="shared" si="31"/>
        <v>2194.7421795</v>
      </c>
      <c r="AB15" s="555">
        <f t="shared" si="31"/>
        <v>2260.5844448850003</v>
      </c>
      <c r="AC15" s="555">
        <f t="shared" si="31"/>
        <v>2260.5844448850003</v>
      </c>
      <c r="AD15" s="555">
        <f t="shared" si="31"/>
        <v>2260.5844448850003</v>
      </c>
      <c r="AE15" s="555">
        <f t="shared" si="31"/>
        <v>2260.5844448850003</v>
      </c>
      <c r="AF15" s="555">
        <f t="shared" si="31"/>
        <v>2328.4019782315504</v>
      </c>
      <c r="AG15" s="555">
        <f t="shared" si="31"/>
        <v>2328.4019782315504</v>
      </c>
      <c r="AH15" s="555">
        <f t="shared" si="31"/>
        <v>2328.4019782315504</v>
      </c>
      <c r="AI15" s="555">
        <f t="shared" si="31"/>
        <v>2328.4019782315504</v>
      </c>
      <c r="AJ15" s="555">
        <f t="shared" si="31"/>
        <v>2398.254037578497</v>
      </c>
      <c r="AK15" s="555">
        <f t="shared" si="31"/>
        <v>2398.254037578497</v>
      </c>
      <c r="AL15" s="555">
        <f t="shared" si="31"/>
        <v>2398.254037578497</v>
      </c>
      <c r="AM15" s="555">
        <f t="shared" si="31"/>
        <v>2398.254037578497</v>
      </c>
      <c r="AN15" s="555">
        <f t="shared" si="31"/>
        <v>2470.2016587058515</v>
      </c>
      <c r="AO15" s="555">
        <f t="shared" si="31"/>
        <v>2470.2016587058515</v>
      </c>
      <c r="AP15" s="555">
        <f t="shared" si="31"/>
        <v>2470.2016587058515</v>
      </c>
      <c r="AQ15" s="555">
        <f t="shared" si="31"/>
        <v>2470.2016587058515</v>
      </c>
      <c r="AR15" s="110"/>
      <c r="AS15" s="555">
        <f>SUM(AS9:AS14)</f>
        <v>0</v>
      </c>
      <c r="AT15" s="555">
        <f t="shared" si="8"/>
        <v>7800</v>
      </c>
      <c r="AU15" s="555">
        <f t="shared" si="9"/>
        <v>8034.0000000000009</v>
      </c>
      <c r="AV15" s="555">
        <f t="shared" si="10"/>
        <v>8275.02</v>
      </c>
      <c r="AW15" s="555">
        <f t="shared" si="11"/>
        <v>8523.2706000000017</v>
      </c>
      <c r="AX15" s="555">
        <f t="shared" si="12"/>
        <v>8778.9687180000001</v>
      </c>
      <c r="AY15" s="555">
        <f t="shared" si="13"/>
        <v>9042.3377795400011</v>
      </c>
      <c r="AZ15" s="555">
        <f t="shared" si="14"/>
        <v>9313.6079129262016</v>
      </c>
      <c r="BA15" s="555">
        <f t="shared" si="15"/>
        <v>9593.016150313988</v>
      </c>
      <c r="BB15" s="111">
        <f t="shared" si="16"/>
        <v>9880.8066348234061</v>
      </c>
      <c r="BC15" s="111">
        <f t="shared" si="17"/>
        <v>9880.8066348234061</v>
      </c>
    </row>
    <row r="16" spans="1:55" s="112" customFormat="1" ht="16.5" customHeight="1" x14ac:dyDescent="0.3">
      <c r="A16" s="557" t="s">
        <v>114</v>
      </c>
      <c r="B16" s="558"/>
      <c r="C16" s="565"/>
      <c r="D16" s="558">
        <f>D15*$B$61</f>
        <v>0</v>
      </c>
      <c r="E16" s="558">
        <f t="shared" ref="E16:AQ16" si="32">E15*$B$61</f>
        <v>0</v>
      </c>
      <c r="F16" s="558">
        <f t="shared" si="32"/>
        <v>0</v>
      </c>
      <c r="G16" s="558">
        <f t="shared" si="32"/>
        <v>0</v>
      </c>
      <c r="H16" s="558">
        <f t="shared" si="32"/>
        <v>585</v>
      </c>
      <c r="I16" s="558">
        <f t="shared" si="32"/>
        <v>585</v>
      </c>
      <c r="J16" s="558">
        <f t="shared" si="32"/>
        <v>585</v>
      </c>
      <c r="K16" s="558">
        <f t="shared" si="32"/>
        <v>585</v>
      </c>
      <c r="L16" s="558">
        <f t="shared" si="32"/>
        <v>602.55000000000007</v>
      </c>
      <c r="M16" s="558">
        <f t="shared" si="32"/>
        <v>602.55000000000007</v>
      </c>
      <c r="N16" s="558">
        <f t="shared" si="32"/>
        <v>602.55000000000007</v>
      </c>
      <c r="O16" s="558">
        <f t="shared" si="32"/>
        <v>602.55000000000007</v>
      </c>
      <c r="P16" s="558">
        <f t="shared" si="32"/>
        <v>620.62649999999996</v>
      </c>
      <c r="Q16" s="558">
        <f t="shared" si="32"/>
        <v>620.62649999999996</v>
      </c>
      <c r="R16" s="558">
        <f t="shared" si="32"/>
        <v>620.62649999999996</v>
      </c>
      <c r="S16" s="558">
        <f t="shared" si="32"/>
        <v>620.62649999999996</v>
      </c>
      <c r="T16" s="558">
        <f t="shared" si="32"/>
        <v>639.24529500000006</v>
      </c>
      <c r="U16" s="558">
        <f t="shared" si="32"/>
        <v>639.24529500000006</v>
      </c>
      <c r="V16" s="558">
        <f t="shared" si="32"/>
        <v>639.24529500000006</v>
      </c>
      <c r="W16" s="558">
        <f t="shared" si="32"/>
        <v>639.24529500000006</v>
      </c>
      <c r="X16" s="558">
        <f t="shared" si="32"/>
        <v>658.42265384999996</v>
      </c>
      <c r="Y16" s="558">
        <f t="shared" si="32"/>
        <v>658.42265384999996</v>
      </c>
      <c r="Z16" s="558">
        <f t="shared" si="32"/>
        <v>658.42265384999996</v>
      </c>
      <c r="AA16" s="558">
        <f t="shared" si="32"/>
        <v>658.42265384999996</v>
      </c>
      <c r="AB16" s="558">
        <f t="shared" si="32"/>
        <v>678.1753334655001</v>
      </c>
      <c r="AC16" s="558">
        <f t="shared" si="32"/>
        <v>678.1753334655001</v>
      </c>
      <c r="AD16" s="558">
        <f t="shared" si="32"/>
        <v>678.1753334655001</v>
      </c>
      <c r="AE16" s="558">
        <f t="shared" si="32"/>
        <v>678.1753334655001</v>
      </c>
      <c r="AF16" s="558">
        <f>AF15*$B$61</f>
        <v>698.5205934694651</v>
      </c>
      <c r="AG16" s="558">
        <f t="shared" si="32"/>
        <v>698.5205934694651</v>
      </c>
      <c r="AH16" s="558">
        <f t="shared" si="32"/>
        <v>698.5205934694651</v>
      </c>
      <c r="AI16" s="558">
        <f t="shared" si="32"/>
        <v>698.5205934694651</v>
      </c>
      <c r="AJ16" s="558">
        <f t="shared" si="32"/>
        <v>719.4762112735491</v>
      </c>
      <c r="AK16" s="558">
        <f t="shared" si="32"/>
        <v>719.4762112735491</v>
      </c>
      <c r="AL16" s="558">
        <f t="shared" si="32"/>
        <v>719.4762112735491</v>
      </c>
      <c r="AM16" s="558">
        <f t="shared" si="32"/>
        <v>719.4762112735491</v>
      </c>
      <c r="AN16" s="558">
        <f t="shared" si="32"/>
        <v>741.06049761175541</v>
      </c>
      <c r="AO16" s="558">
        <f t="shared" si="32"/>
        <v>741.06049761175541</v>
      </c>
      <c r="AP16" s="558">
        <f t="shared" si="32"/>
        <v>741.06049761175541</v>
      </c>
      <c r="AQ16" s="558">
        <f t="shared" si="32"/>
        <v>741.06049761175541</v>
      </c>
      <c r="AR16" s="113"/>
      <c r="AS16" s="113">
        <f>0.3*AS15</f>
        <v>0</v>
      </c>
      <c r="AT16" s="558">
        <f t="shared" si="8"/>
        <v>2340</v>
      </c>
      <c r="AU16" s="558">
        <f t="shared" si="9"/>
        <v>2410.2000000000003</v>
      </c>
      <c r="AV16" s="558">
        <f t="shared" si="10"/>
        <v>2482.5059999999999</v>
      </c>
      <c r="AW16" s="558">
        <f t="shared" si="11"/>
        <v>2556.9811800000002</v>
      </c>
      <c r="AX16" s="558">
        <f t="shared" si="12"/>
        <v>2633.6906153999998</v>
      </c>
      <c r="AY16" s="558">
        <f t="shared" si="13"/>
        <v>2712.7013338620004</v>
      </c>
      <c r="AZ16" s="558">
        <f t="shared" si="14"/>
        <v>2794.0823738778604</v>
      </c>
      <c r="BA16" s="115">
        <f t="shared" si="15"/>
        <v>2877.9048450941964</v>
      </c>
      <c r="BB16" s="115">
        <f t="shared" si="16"/>
        <v>2964.2419904470216</v>
      </c>
      <c r="BC16" s="115">
        <f t="shared" si="17"/>
        <v>2964.2419904470216</v>
      </c>
    </row>
    <row r="17" spans="1:55" x14ac:dyDescent="0.3">
      <c r="A17" s="566" t="s">
        <v>117</v>
      </c>
      <c r="B17" s="561"/>
      <c r="C17" s="567"/>
      <c r="D17" s="561"/>
      <c r="E17" s="561"/>
      <c r="F17" s="561"/>
      <c r="G17" s="561"/>
      <c r="H17" s="561"/>
      <c r="I17" s="561"/>
      <c r="J17" s="561"/>
      <c r="K17" s="561"/>
      <c r="L17" s="561"/>
      <c r="M17" s="561"/>
      <c r="N17" s="561"/>
      <c r="O17" s="561"/>
      <c r="P17" s="561"/>
      <c r="Q17" s="561"/>
      <c r="R17" s="561"/>
      <c r="S17" s="561"/>
      <c r="T17" s="561"/>
      <c r="U17" s="561"/>
      <c r="V17" s="561"/>
      <c r="W17" s="561"/>
      <c r="X17" s="561"/>
      <c r="Y17" s="561"/>
      <c r="Z17" s="561"/>
      <c r="AA17" s="561"/>
      <c r="AB17" s="561"/>
      <c r="AC17" s="561"/>
      <c r="AD17" s="561"/>
      <c r="AE17" s="561"/>
      <c r="AF17" s="561"/>
      <c r="AG17" s="561"/>
      <c r="AH17" s="561"/>
      <c r="AI17" s="561"/>
      <c r="AJ17" s="561"/>
      <c r="AK17" s="561"/>
      <c r="AL17" s="561"/>
      <c r="AM17" s="561"/>
      <c r="AN17" s="561"/>
      <c r="AO17" s="561"/>
      <c r="AP17" s="561"/>
      <c r="AQ17" s="561"/>
      <c r="AR17" s="95"/>
      <c r="AS17" s="116">
        <f t="shared" si="7"/>
        <v>0</v>
      </c>
      <c r="AT17" s="392">
        <f t="shared" si="8"/>
        <v>0</v>
      </c>
      <c r="AU17" s="392">
        <f t="shared" si="9"/>
        <v>0</v>
      </c>
      <c r="AV17" s="392">
        <f t="shared" si="10"/>
        <v>0</v>
      </c>
      <c r="AW17" s="392">
        <f t="shared" si="11"/>
        <v>0</v>
      </c>
      <c r="AX17" s="392">
        <f t="shared" si="12"/>
        <v>0</v>
      </c>
      <c r="AY17" s="392">
        <f t="shared" si="13"/>
        <v>0</v>
      </c>
      <c r="AZ17" s="392">
        <f t="shared" si="14"/>
        <v>0</v>
      </c>
      <c r="BA17" s="392">
        <f t="shared" si="15"/>
        <v>0</v>
      </c>
      <c r="BB17" s="392">
        <f t="shared" si="16"/>
        <v>0</v>
      </c>
      <c r="BC17" s="392">
        <f t="shared" si="17"/>
        <v>0</v>
      </c>
    </row>
    <row r="18" spans="1:55" x14ac:dyDescent="0.3">
      <c r="A18" s="608" t="s">
        <v>419</v>
      </c>
      <c r="B18" s="590">
        <v>0</v>
      </c>
      <c r="C18" s="568">
        <v>0</v>
      </c>
      <c r="D18" s="561">
        <f>$B$18*C18*0</f>
        <v>0</v>
      </c>
      <c r="E18" s="561">
        <v>0</v>
      </c>
      <c r="F18" s="561">
        <f>$B$18*$C$18*0</f>
        <v>0</v>
      </c>
      <c r="G18" s="561">
        <f>$B$18*$C$18*0</f>
        <v>0</v>
      </c>
      <c r="H18" s="561">
        <f t="shared" ref="H18:K18" si="33">$B$18*$C$18*3</f>
        <v>0</v>
      </c>
      <c r="I18" s="561">
        <f t="shared" si="33"/>
        <v>0</v>
      </c>
      <c r="J18" s="561">
        <f t="shared" si="33"/>
        <v>0</v>
      </c>
      <c r="K18" s="561">
        <f t="shared" si="33"/>
        <v>0</v>
      </c>
      <c r="L18" s="561">
        <f>K18*(1+допущения!$C$37)</f>
        <v>0</v>
      </c>
      <c r="M18" s="561">
        <f>L18</f>
        <v>0</v>
      </c>
      <c r="N18" s="561">
        <f t="shared" ref="N18:O18" si="34">M18</f>
        <v>0</v>
      </c>
      <c r="O18" s="561">
        <f t="shared" si="34"/>
        <v>0</v>
      </c>
      <c r="P18" s="561">
        <f>O18*(1+допущения!$C$37)</f>
        <v>0</v>
      </c>
      <c r="Q18" s="561">
        <f>P18</f>
        <v>0</v>
      </c>
      <c r="R18" s="561">
        <f t="shared" ref="R18:S18" si="35">Q18</f>
        <v>0</v>
      </c>
      <c r="S18" s="561">
        <f t="shared" si="35"/>
        <v>0</v>
      </c>
      <c r="T18" s="561">
        <f>S18*(1+допущения!$C$37)</f>
        <v>0</v>
      </c>
      <c r="U18" s="561">
        <f>T18</f>
        <v>0</v>
      </c>
      <c r="V18" s="561">
        <f>U18</f>
        <v>0</v>
      </c>
      <c r="W18" s="561">
        <f>V18</f>
        <v>0</v>
      </c>
      <c r="X18" s="561">
        <f>W18*(1+допущения!$C$37)</f>
        <v>0</v>
      </c>
      <c r="Y18" s="561">
        <f>X18</f>
        <v>0</v>
      </c>
      <c r="Z18" s="561">
        <f>Y18</f>
        <v>0</v>
      </c>
      <c r="AA18" s="561">
        <f>Z18</f>
        <v>0</v>
      </c>
      <c r="AB18" s="561">
        <f>AA18*(1+допущения!$C$37)</f>
        <v>0</v>
      </c>
      <c r="AC18" s="561">
        <f>AB18</f>
        <v>0</v>
      </c>
      <c r="AD18" s="561">
        <f>AC18</f>
        <v>0</v>
      </c>
      <c r="AE18" s="561">
        <f>AD18</f>
        <v>0</v>
      </c>
      <c r="AF18" s="561">
        <f>AE18*(1+допущения!$C$37)</f>
        <v>0</v>
      </c>
      <c r="AG18" s="561">
        <f>AF18</f>
        <v>0</v>
      </c>
      <c r="AH18" s="561">
        <f>AG18</f>
        <v>0</v>
      </c>
      <c r="AI18" s="561">
        <f>AH18</f>
        <v>0</v>
      </c>
      <c r="AJ18" s="561">
        <f>AI18*(1+допущения!$C$37)</f>
        <v>0</v>
      </c>
      <c r="AK18" s="561">
        <f>AJ18</f>
        <v>0</v>
      </c>
      <c r="AL18" s="561">
        <f>AK18</f>
        <v>0</v>
      </c>
      <c r="AM18" s="561">
        <f>AL18</f>
        <v>0</v>
      </c>
      <c r="AN18" s="561">
        <f>AM18*(1+допущения!$C$37)</f>
        <v>0</v>
      </c>
      <c r="AO18" s="561">
        <f>AN18</f>
        <v>0</v>
      </c>
      <c r="AP18" s="561">
        <f>AO18</f>
        <v>0</v>
      </c>
      <c r="AQ18" s="561">
        <f>AP18</f>
        <v>0</v>
      </c>
      <c r="AR18" s="95"/>
      <c r="AS18" s="116">
        <f t="shared" si="7"/>
        <v>0</v>
      </c>
      <c r="AT18" s="392">
        <f t="shared" si="8"/>
        <v>0</v>
      </c>
      <c r="AU18" s="392">
        <f t="shared" si="9"/>
        <v>0</v>
      </c>
      <c r="AV18" s="392">
        <f t="shared" si="10"/>
        <v>0</v>
      </c>
      <c r="AW18" s="392">
        <f t="shared" si="11"/>
        <v>0</v>
      </c>
      <c r="AX18" s="392">
        <f t="shared" si="12"/>
        <v>0</v>
      </c>
      <c r="AY18" s="392">
        <f t="shared" si="13"/>
        <v>0</v>
      </c>
      <c r="AZ18" s="392">
        <f t="shared" si="14"/>
        <v>0</v>
      </c>
      <c r="BA18" s="392">
        <f t="shared" si="15"/>
        <v>0</v>
      </c>
      <c r="BB18" s="392">
        <f t="shared" si="16"/>
        <v>0</v>
      </c>
      <c r="BC18" s="392">
        <f t="shared" ref="BC18:BC58" si="36">BB18</f>
        <v>0</v>
      </c>
    </row>
    <row r="19" spans="1:55" x14ac:dyDescent="0.3">
      <c r="A19" s="551" t="s">
        <v>118</v>
      </c>
      <c r="B19" s="590">
        <v>0</v>
      </c>
      <c r="C19" s="568">
        <v>0</v>
      </c>
      <c r="D19" s="561">
        <f>$B$19*$C$19*3</f>
        <v>0</v>
      </c>
      <c r="E19" s="561">
        <v>0</v>
      </c>
      <c r="F19" s="561">
        <f t="shared" ref="F19:AQ19" si="37">$B$19*$C$19*3</f>
        <v>0</v>
      </c>
      <c r="G19" s="561" t="s">
        <v>119</v>
      </c>
      <c r="H19" s="561">
        <f t="shared" si="37"/>
        <v>0</v>
      </c>
      <c r="I19" s="561">
        <f t="shared" si="37"/>
        <v>0</v>
      </c>
      <c r="J19" s="561">
        <f t="shared" si="37"/>
        <v>0</v>
      </c>
      <c r="K19" s="561">
        <f t="shared" si="37"/>
        <v>0</v>
      </c>
      <c r="L19" s="561">
        <f t="shared" si="37"/>
        <v>0</v>
      </c>
      <c r="M19" s="561">
        <f t="shared" si="37"/>
        <v>0</v>
      </c>
      <c r="N19" s="561">
        <f t="shared" si="37"/>
        <v>0</v>
      </c>
      <c r="O19" s="561">
        <f t="shared" si="37"/>
        <v>0</v>
      </c>
      <c r="P19" s="561">
        <f t="shared" si="37"/>
        <v>0</v>
      </c>
      <c r="Q19" s="561">
        <f t="shared" si="37"/>
        <v>0</v>
      </c>
      <c r="R19" s="561">
        <f t="shared" si="37"/>
        <v>0</v>
      </c>
      <c r="S19" s="561">
        <f t="shared" si="37"/>
        <v>0</v>
      </c>
      <c r="T19" s="561">
        <f t="shared" si="37"/>
        <v>0</v>
      </c>
      <c r="U19" s="561">
        <f t="shared" si="37"/>
        <v>0</v>
      </c>
      <c r="V19" s="561">
        <f t="shared" si="37"/>
        <v>0</v>
      </c>
      <c r="W19" s="561">
        <f t="shared" si="37"/>
        <v>0</v>
      </c>
      <c r="X19" s="561">
        <f t="shared" si="37"/>
        <v>0</v>
      </c>
      <c r="Y19" s="561">
        <f t="shared" si="37"/>
        <v>0</v>
      </c>
      <c r="Z19" s="561">
        <f t="shared" si="37"/>
        <v>0</v>
      </c>
      <c r="AA19" s="561">
        <f t="shared" si="37"/>
        <v>0</v>
      </c>
      <c r="AB19" s="561">
        <f t="shared" si="37"/>
        <v>0</v>
      </c>
      <c r="AC19" s="561">
        <f t="shared" si="37"/>
        <v>0</v>
      </c>
      <c r="AD19" s="561">
        <f t="shared" si="37"/>
        <v>0</v>
      </c>
      <c r="AE19" s="561">
        <f t="shared" si="37"/>
        <v>0</v>
      </c>
      <c r="AF19" s="561">
        <f t="shared" si="37"/>
        <v>0</v>
      </c>
      <c r="AG19" s="561">
        <f t="shared" si="37"/>
        <v>0</v>
      </c>
      <c r="AH19" s="561">
        <f t="shared" si="37"/>
        <v>0</v>
      </c>
      <c r="AI19" s="561">
        <f t="shared" si="37"/>
        <v>0</v>
      </c>
      <c r="AJ19" s="561">
        <f t="shared" si="37"/>
        <v>0</v>
      </c>
      <c r="AK19" s="561">
        <f t="shared" si="37"/>
        <v>0</v>
      </c>
      <c r="AL19" s="561">
        <f t="shared" si="37"/>
        <v>0</v>
      </c>
      <c r="AM19" s="561">
        <f t="shared" si="37"/>
        <v>0</v>
      </c>
      <c r="AN19" s="561">
        <f t="shared" si="37"/>
        <v>0</v>
      </c>
      <c r="AO19" s="561">
        <f t="shared" si="37"/>
        <v>0</v>
      </c>
      <c r="AP19" s="561">
        <f t="shared" si="37"/>
        <v>0</v>
      </c>
      <c r="AQ19" s="561">
        <f t="shared" si="37"/>
        <v>0</v>
      </c>
      <c r="AR19" s="95"/>
      <c r="AS19" s="116">
        <f t="shared" si="7"/>
        <v>0</v>
      </c>
      <c r="AT19" s="392">
        <f t="shared" si="8"/>
        <v>0</v>
      </c>
      <c r="AU19" s="392">
        <f t="shared" si="9"/>
        <v>0</v>
      </c>
      <c r="AV19" s="392">
        <f t="shared" si="10"/>
        <v>0</v>
      </c>
      <c r="AW19" s="392">
        <f t="shared" si="11"/>
        <v>0</v>
      </c>
      <c r="AX19" s="392">
        <f t="shared" si="12"/>
        <v>0</v>
      </c>
      <c r="AY19" s="392">
        <f t="shared" si="13"/>
        <v>0</v>
      </c>
      <c r="AZ19" s="392">
        <f t="shared" si="14"/>
        <v>0</v>
      </c>
      <c r="BA19" s="392">
        <f t="shared" si="15"/>
        <v>0</v>
      </c>
      <c r="BB19" s="392">
        <f t="shared" si="16"/>
        <v>0</v>
      </c>
      <c r="BC19" s="392">
        <f t="shared" si="36"/>
        <v>0</v>
      </c>
    </row>
    <row r="20" spans="1:55" x14ac:dyDescent="0.3">
      <c r="A20" s="551" t="s">
        <v>120</v>
      </c>
      <c r="B20" s="590">
        <v>0</v>
      </c>
      <c r="C20" s="568">
        <v>0</v>
      </c>
      <c r="D20" s="561">
        <f>$B$20*C20*3</f>
        <v>0</v>
      </c>
      <c r="E20" s="561">
        <f t="shared" ref="E20:AQ20" si="38">$B$20*D20*3</f>
        <v>0</v>
      </c>
      <c r="F20" s="561">
        <f t="shared" si="38"/>
        <v>0</v>
      </c>
      <c r="G20" s="561">
        <f t="shared" si="38"/>
        <v>0</v>
      </c>
      <c r="H20" s="561">
        <f t="shared" si="38"/>
        <v>0</v>
      </c>
      <c r="I20" s="561">
        <f t="shared" si="38"/>
        <v>0</v>
      </c>
      <c r="J20" s="561">
        <f t="shared" si="38"/>
        <v>0</v>
      </c>
      <c r="K20" s="561">
        <f t="shared" si="38"/>
        <v>0</v>
      </c>
      <c r="L20" s="561">
        <f t="shared" si="38"/>
        <v>0</v>
      </c>
      <c r="M20" s="561">
        <f t="shared" si="38"/>
        <v>0</v>
      </c>
      <c r="N20" s="561">
        <f t="shared" si="38"/>
        <v>0</v>
      </c>
      <c r="O20" s="561">
        <f t="shared" si="38"/>
        <v>0</v>
      </c>
      <c r="P20" s="561">
        <f t="shared" si="38"/>
        <v>0</v>
      </c>
      <c r="Q20" s="561">
        <f t="shared" si="38"/>
        <v>0</v>
      </c>
      <c r="R20" s="561">
        <f t="shared" si="38"/>
        <v>0</v>
      </c>
      <c r="S20" s="561">
        <f t="shared" si="38"/>
        <v>0</v>
      </c>
      <c r="T20" s="561">
        <f t="shared" si="38"/>
        <v>0</v>
      </c>
      <c r="U20" s="561">
        <f t="shared" si="38"/>
        <v>0</v>
      </c>
      <c r="V20" s="561">
        <f t="shared" si="38"/>
        <v>0</v>
      </c>
      <c r="W20" s="561">
        <f t="shared" si="38"/>
        <v>0</v>
      </c>
      <c r="X20" s="561">
        <f t="shared" si="38"/>
        <v>0</v>
      </c>
      <c r="Y20" s="561">
        <f t="shared" si="38"/>
        <v>0</v>
      </c>
      <c r="Z20" s="561">
        <f t="shared" si="38"/>
        <v>0</v>
      </c>
      <c r="AA20" s="561">
        <f t="shared" si="38"/>
        <v>0</v>
      </c>
      <c r="AB20" s="561">
        <f t="shared" si="38"/>
        <v>0</v>
      </c>
      <c r="AC20" s="561">
        <f t="shared" si="38"/>
        <v>0</v>
      </c>
      <c r="AD20" s="561">
        <f t="shared" si="38"/>
        <v>0</v>
      </c>
      <c r="AE20" s="561">
        <f t="shared" si="38"/>
        <v>0</v>
      </c>
      <c r="AF20" s="561">
        <f t="shared" si="38"/>
        <v>0</v>
      </c>
      <c r="AG20" s="561">
        <f t="shared" si="38"/>
        <v>0</v>
      </c>
      <c r="AH20" s="561">
        <f t="shared" si="38"/>
        <v>0</v>
      </c>
      <c r="AI20" s="561">
        <f t="shared" si="38"/>
        <v>0</v>
      </c>
      <c r="AJ20" s="561">
        <f t="shared" si="38"/>
        <v>0</v>
      </c>
      <c r="AK20" s="561">
        <f t="shared" si="38"/>
        <v>0</v>
      </c>
      <c r="AL20" s="561">
        <f t="shared" si="38"/>
        <v>0</v>
      </c>
      <c r="AM20" s="561">
        <f t="shared" si="38"/>
        <v>0</v>
      </c>
      <c r="AN20" s="561">
        <f t="shared" si="38"/>
        <v>0</v>
      </c>
      <c r="AO20" s="561">
        <f t="shared" si="38"/>
        <v>0</v>
      </c>
      <c r="AP20" s="561">
        <f t="shared" si="38"/>
        <v>0</v>
      </c>
      <c r="AQ20" s="561">
        <f t="shared" si="38"/>
        <v>0</v>
      </c>
      <c r="AR20" s="95"/>
      <c r="AS20" s="116">
        <f t="shared" si="7"/>
        <v>0</v>
      </c>
      <c r="AT20" s="392">
        <f t="shared" si="8"/>
        <v>0</v>
      </c>
      <c r="AU20" s="392">
        <f t="shared" si="9"/>
        <v>0</v>
      </c>
      <c r="AV20" s="392">
        <f t="shared" si="10"/>
        <v>0</v>
      </c>
      <c r="AW20" s="392">
        <f t="shared" si="11"/>
        <v>0</v>
      </c>
      <c r="AX20" s="392">
        <f t="shared" si="12"/>
        <v>0</v>
      </c>
      <c r="AY20" s="392">
        <f t="shared" si="13"/>
        <v>0</v>
      </c>
      <c r="AZ20" s="392">
        <f t="shared" si="14"/>
        <v>0</v>
      </c>
      <c r="BA20" s="392">
        <f t="shared" si="15"/>
        <v>0</v>
      </c>
      <c r="BB20" s="392">
        <f t="shared" si="16"/>
        <v>0</v>
      </c>
      <c r="BC20" s="392">
        <f t="shared" si="36"/>
        <v>0</v>
      </c>
    </row>
    <row r="21" spans="1:55" x14ac:dyDescent="0.3">
      <c r="A21" s="551" t="s">
        <v>121</v>
      </c>
      <c r="B21" s="590">
        <v>0</v>
      </c>
      <c r="C21" s="568">
        <v>0</v>
      </c>
      <c r="D21" s="561">
        <f>$B$21*C21*3</f>
        <v>0</v>
      </c>
      <c r="E21" s="561">
        <f t="shared" ref="E21:AQ21" si="39">$B$21*D21*3</f>
        <v>0</v>
      </c>
      <c r="F21" s="561">
        <f t="shared" si="39"/>
        <v>0</v>
      </c>
      <c r="G21" s="561">
        <f t="shared" si="39"/>
        <v>0</v>
      </c>
      <c r="H21" s="561">
        <f t="shared" si="39"/>
        <v>0</v>
      </c>
      <c r="I21" s="561">
        <f t="shared" si="39"/>
        <v>0</v>
      </c>
      <c r="J21" s="561">
        <f t="shared" si="39"/>
        <v>0</v>
      </c>
      <c r="K21" s="561">
        <f t="shared" si="39"/>
        <v>0</v>
      </c>
      <c r="L21" s="561">
        <f t="shared" si="39"/>
        <v>0</v>
      </c>
      <c r="M21" s="561">
        <f t="shared" si="39"/>
        <v>0</v>
      </c>
      <c r="N21" s="561">
        <f t="shared" si="39"/>
        <v>0</v>
      </c>
      <c r="O21" s="561">
        <f t="shared" si="39"/>
        <v>0</v>
      </c>
      <c r="P21" s="561">
        <f t="shared" si="39"/>
        <v>0</v>
      </c>
      <c r="Q21" s="561">
        <f t="shared" si="39"/>
        <v>0</v>
      </c>
      <c r="R21" s="561">
        <f t="shared" si="39"/>
        <v>0</v>
      </c>
      <c r="S21" s="561">
        <f t="shared" si="39"/>
        <v>0</v>
      </c>
      <c r="T21" s="561">
        <f t="shared" si="39"/>
        <v>0</v>
      </c>
      <c r="U21" s="561">
        <f t="shared" si="39"/>
        <v>0</v>
      </c>
      <c r="V21" s="561">
        <f t="shared" si="39"/>
        <v>0</v>
      </c>
      <c r="W21" s="561">
        <f t="shared" si="39"/>
        <v>0</v>
      </c>
      <c r="X21" s="561">
        <f t="shared" si="39"/>
        <v>0</v>
      </c>
      <c r="Y21" s="561">
        <f t="shared" si="39"/>
        <v>0</v>
      </c>
      <c r="Z21" s="561">
        <f t="shared" si="39"/>
        <v>0</v>
      </c>
      <c r="AA21" s="561">
        <f t="shared" si="39"/>
        <v>0</v>
      </c>
      <c r="AB21" s="561">
        <f t="shared" si="39"/>
        <v>0</v>
      </c>
      <c r="AC21" s="561">
        <f t="shared" si="39"/>
        <v>0</v>
      </c>
      <c r="AD21" s="561">
        <f t="shared" si="39"/>
        <v>0</v>
      </c>
      <c r="AE21" s="561">
        <f t="shared" si="39"/>
        <v>0</v>
      </c>
      <c r="AF21" s="561">
        <f t="shared" si="39"/>
        <v>0</v>
      </c>
      <c r="AG21" s="561">
        <f t="shared" si="39"/>
        <v>0</v>
      </c>
      <c r="AH21" s="561">
        <f t="shared" si="39"/>
        <v>0</v>
      </c>
      <c r="AI21" s="561">
        <f t="shared" si="39"/>
        <v>0</v>
      </c>
      <c r="AJ21" s="561">
        <f t="shared" si="39"/>
        <v>0</v>
      </c>
      <c r="AK21" s="561">
        <f t="shared" si="39"/>
        <v>0</v>
      </c>
      <c r="AL21" s="561">
        <f t="shared" si="39"/>
        <v>0</v>
      </c>
      <c r="AM21" s="561">
        <f t="shared" si="39"/>
        <v>0</v>
      </c>
      <c r="AN21" s="561">
        <f t="shared" si="39"/>
        <v>0</v>
      </c>
      <c r="AO21" s="561">
        <f t="shared" si="39"/>
        <v>0</v>
      </c>
      <c r="AP21" s="561">
        <f t="shared" si="39"/>
        <v>0</v>
      </c>
      <c r="AQ21" s="561">
        <f t="shared" si="39"/>
        <v>0</v>
      </c>
      <c r="AR21" s="95"/>
      <c r="AS21" s="116">
        <f t="shared" si="7"/>
        <v>0</v>
      </c>
      <c r="AT21" s="392">
        <f t="shared" si="8"/>
        <v>0</v>
      </c>
      <c r="AU21" s="392">
        <f t="shared" si="9"/>
        <v>0</v>
      </c>
      <c r="AV21" s="392">
        <f t="shared" si="10"/>
        <v>0</v>
      </c>
      <c r="AW21" s="392">
        <f t="shared" si="11"/>
        <v>0</v>
      </c>
      <c r="AX21" s="392">
        <f t="shared" si="12"/>
        <v>0</v>
      </c>
      <c r="AY21" s="392">
        <f t="shared" si="13"/>
        <v>0</v>
      </c>
      <c r="AZ21" s="392">
        <f t="shared" si="14"/>
        <v>0</v>
      </c>
      <c r="BA21" s="392">
        <f t="shared" si="15"/>
        <v>0</v>
      </c>
      <c r="BB21" s="392">
        <f t="shared" si="16"/>
        <v>0</v>
      </c>
      <c r="BC21" s="392">
        <f t="shared" si="36"/>
        <v>0</v>
      </c>
    </row>
    <row r="22" spans="1:55" x14ac:dyDescent="0.3">
      <c r="A22" s="551" t="s">
        <v>122</v>
      </c>
      <c r="B22" s="590">
        <v>0</v>
      </c>
      <c r="C22" s="568">
        <v>0</v>
      </c>
      <c r="D22" s="561">
        <f>$B$22*C22*3</f>
        <v>0</v>
      </c>
      <c r="E22" s="561">
        <f t="shared" ref="E22:AQ22" si="40">$B$22*D22*3</f>
        <v>0</v>
      </c>
      <c r="F22" s="561">
        <f t="shared" si="40"/>
        <v>0</v>
      </c>
      <c r="G22" s="561">
        <f t="shared" si="40"/>
        <v>0</v>
      </c>
      <c r="H22" s="561">
        <f t="shared" si="40"/>
        <v>0</v>
      </c>
      <c r="I22" s="561">
        <f t="shared" si="40"/>
        <v>0</v>
      </c>
      <c r="J22" s="561">
        <f t="shared" si="40"/>
        <v>0</v>
      </c>
      <c r="K22" s="561">
        <f t="shared" si="40"/>
        <v>0</v>
      </c>
      <c r="L22" s="561">
        <f t="shared" si="40"/>
        <v>0</v>
      </c>
      <c r="M22" s="561">
        <f t="shared" si="40"/>
        <v>0</v>
      </c>
      <c r="N22" s="561">
        <f t="shared" si="40"/>
        <v>0</v>
      </c>
      <c r="O22" s="561">
        <f t="shared" si="40"/>
        <v>0</v>
      </c>
      <c r="P22" s="561">
        <f t="shared" si="40"/>
        <v>0</v>
      </c>
      <c r="Q22" s="561">
        <f t="shared" si="40"/>
        <v>0</v>
      </c>
      <c r="R22" s="561">
        <f t="shared" si="40"/>
        <v>0</v>
      </c>
      <c r="S22" s="561">
        <f t="shared" si="40"/>
        <v>0</v>
      </c>
      <c r="T22" s="561">
        <f t="shared" si="40"/>
        <v>0</v>
      </c>
      <c r="U22" s="561">
        <f t="shared" si="40"/>
        <v>0</v>
      </c>
      <c r="V22" s="561">
        <f t="shared" si="40"/>
        <v>0</v>
      </c>
      <c r="W22" s="561">
        <f t="shared" si="40"/>
        <v>0</v>
      </c>
      <c r="X22" s="561">
        <f t="shared" si="40"/>
        <v>0</v>
      </c>
      <c r="Y22" s="561">
        <f t="shared" si="40"/>
        <v>0</v>
      </c>
      <c r="Z22" s="561">
        <f t="shared" si="40"/>
        <v>0</v>
      </c>
      <c r="AA22" s="561">
        <f t="shared" si="40"/>
        <v>0</v>
      </c>
      <c r="AB22" s="561">
        <f t="shared" si="40"/>
        <v>0</v>
      </c>
      <c r="AC22" s="561">
        <f t="shared" si="40"/>
        <v>0</v>
      </c>
      <c r="AD22" s="561">
        <f t="shared" si="40"/>
        <v>0</v>
      </c>
      <c r="AE22" s="561">
        <f t="shared" si="40"/>
        <v>0</v>
      </c>
      <c r="AF22" s="561">
        <f t="shared" si="40"/>
        <v>0</v>
      </c>
      <c r="AG22" s="561">
        <f t="shared" si="40"/>
        <v>0</v>
      </c>
      <c r="AH22" s="561">
        <f t="shared" si="40"/>
        <v>0</v>
      </c>
      <c r="AI22" s="561">
        <f t="shared" si="40"/>
        <v>0</v>
      </c>
      <c r="AJ22" s="561">
        <f t="shared" si="40"/>
        <v>0</v>
      </c>
      <c r="AK22" s="561">
        <f t="shared" si="40"/>
        <v>0</v>
      </c>
      <c r="AL22" s="561">
        <f t="shared" si="40"/>
        <v>0</v>
      </c>
      <c r="AM22" s="561">
        <f t="shared" si="40"/>
        <v>0</v>
      </c>
      <c r="AN22" s="561">
        <f t="shared" si="40"/>
        <v>0</v>
      </c>
      <c r="AO22" s="561">
        <f t="shared" si="40"/>
        <v>0</v>
      </c>
      <c r="AP22" s="561">
        <f t="shared" si="40"/>
        <v>0</v>
      </c>
      <c r="AQ22" s="561">
        <f t="shared" si="40"/>
        <v>0</v>
      </c>
      <c r="AR22" s="95"/>
      <c r="AS22" s="116">
        <f t="shared" si="7"/>
        <v>0</v>
      </c>
      <c r="AT22" s="392">
        <f t="shared" si="8"/>
        <v>0</v>
      </c>
      <c r="AU22" s="392">
        <f t="shared" si="9"/>
        <v>0</v>
      </c>
      <c r="AV22" s="392">
        <f t="shared" si="10"/>
        <v>0</v>
      </c>
      <c r="AW22" s="392">
        <f t="shared" si="11"/>
        <v>0</v>
      </c>
      <c r="AX22" s="392">
        <f t="shared" si="12"/>
        <v>0</v>
      </c>
      <c r="AY22" s="392">
        <f t="shared" si="13"/>
        <v>0</v>
      </c>
      <c r="AZ22" s="392">
        <f t="shared" si="14"/>
        <v>0</v>
      </c>
      <c r="BA22" s="392">
        <f t="shared" si="15"/>
        <v>0</v>
      </c>
      <c r="BB22" s="392">
        <f t="shared" si="16"/>
        <v>0</v>
      </c>
      <c r="BC22" s="392">
        <f t="shared" si="36"/>
        <v>0</v>
      </c>
    </row>
    <row r="23" spans="1:55" s="108" customFormat="1" ht="28.8" x14ac:dyDescent="0.3">
      <c r="A23" s="554" t="s">
        <v>113</v>
      </c>
      <c r="B23" s="111">
        <f>SUM(B18:B22)</f>
        <v>0</v>
      </c>
      <c r="C23" s="564"/>
      <c r="D23" s="555">
        <f>SUM(D18:D22)</f>
        <v>0</v>
      </c>
      <c r="E23" s="555">
        <f t="shared" ref="E23:AQ23" si="41">SUM(E18:E22)</f>
        <v>0</v>
      </c>
      <c r="F23" s="555">
        <f t="shared" si="41"/>
        <v>0</v>
      </c>
      <c r="G23" s="555">
        <f t="shared" si="41"/>
        <v>0</v>
      </c>
      <c r="H23" s="555">
        <f t="shared" si="41"/>
        <v>0</v>
      </c>
      <c r="I23" s="555">
        <f t="shared" si="41"/>
        <v>0</v>
      </c>
      <c r="J23" s="555">
        <f t="shared" si="41"/>
        <v>0</v>
      </c>
      <c r="K23" s="555">
        <f t="shared" si="41"/>
        <v>0</v>
      </c>
      <c r="L23" s="555">
        <f t="shared" si="41"/>
        <v>0</v>
      </c>
      <c r="M23" s="555">
        <f t="shared" si="41"/>
        <v>0</v>
      </c>
      <c r="N23" s="555">
        <f t="shared" si="41"/>
        <v>0</v>
      </c>
      <c r="O23" s="555">
        <f t="shared" si="41"/>
        <v>0</v>
      </c>
      <c r="P23" s="555">
        <f t="shared" si="41"/>
        <v>0</v>
      </c>
      <c r="Q23" s="555">
        <f t="shared" si="41"/>
        <v>0</v>
      </c>
      <c r="R23" s="555">
        <f t="shared" si="41"/>
        <v>0</v>
      </c>
      <c r="S23" s="555">
        <f t="shared" si="41"/>
        <v>0</v>
      </c>
      <c r="T23" s="555">
        <f t="shared" si="41"/>
        <v>0</v>
      </c>
      <c r="U23" s="555">
        <f t="shared" si="41"/>
        <v>0</v>
      </c>
      <c r="V23" s="555">
        <f t="shared" si="41"/>
        <v>0</v>
      </c>
      <c r="W23" s="555">
        <f t="shared" si="41"/>
        <v>0</v>
      </c>
      <c r="X23" s="555">
        <f t="shared" si="41"/>
        <v>0</v>
      </c>
      <c r="Y23" s="555">
        <f t="shared" si="41"/>
        <v>0</v>
      </c>
      <c r="Z23" s="555">
        <f t="shared" si="41"/>
        <v>0</v>
      </c>
      <c r="AA23" s="555">
        <f t="shared" si="41"/>
        <v>0</v>
      </c>
      <c r="AB23" s="555">
        <f t="shared" si="41"/>
        <v>0</v>
      </c>
      <c r="AC23" s="555">
        <f t="shared" si="41"/>
        <v>0</v>
      </c>
      <c r="AD23" s="555">
        <f t="shared" si="41"/>
        <v>0</v>
      </c>
      <c r="AE23" s="555">
        <f t="shared" si="41"/>
        <v>0</v>
      </c>
      <c r="AF23" s="555">
        <f t="shared" si="41"/>
        <v>0</v>
      </c>
      <c r="AG23" s="555">
        <f t="shared" si="41"/>
        <v>0</v>
      </c>
      <c r="AH23" s="555">
        <f t="shared" si="41"/>
        <v>0</v>
      </c>
      <c r="AI23" s="555">
        <f t="shared" si="41"/>
        <v>0</v>
      </c>
      <c r="AJ23" s="555">
        <f t="shared" si="41"/>
        <v>0</v>
      </c>
      <c r="AK23" s="555">
        <f t="shared" si="41"/>
        <v>0</v>
      </c>
      <c r="AL23" s="555">
        <f t="shared" si="41"/>
        <v>0</v>
      </c>
      <c r="AM23" s="555">
        <f t="shared" si="41"/>
        <v>0</v>
      </c>
      <c r="AN23" s="555">
        <f t="shared" si="41"/>
        <v>0</v>
      </c>
      <c r="AO23" s="555">
        <f t="shared" si="41"/>
        <v>0</v>
      </c>
      <c r="AP23" s="555">
        <f t="shared" si="41"/>
        <v>0</v>
      </c>
      <c r="AQ23" s="555">
        <f t="shared" si="41"/>
        <v>0</v>
      </c>
      <c r="AR23" s="110"/>
      <c r="AS23" s="110">
        <f t="shared" si="7"/>
        <v>0</v>
      </c>
      <c r="AT23" s="555">
        <f t="shared" si="8"/>
        <v>0</v>
      </c>
      <c r="AU23" s="555">
        <f t="shared" si="9"/>
        <v>0</v>
      </c>
      <c r="AV23" s="555">
        <f t="shared" si="10"/>
        <v>0</v>
      </c>
      <c r="AW23" s="555">
        <f t="shared" si="11"/>
        <v>0</v>
      </c>
      <c r="AX23" s="555">
        <f t="shared" si="12"/>
        <v>0</v>
      </c>
      <c r="AY23" s="555">
        <f t="shared" si="13"/>
        <v>0</v>
      </c>
      <c r="AZ23" s="555">
        <f t="shared" si="14"/>
        <v>0</v>
      </c>
      <c r="BA23" s="555">
        <f t="shared" si="15"/>
        <v>0</v>
      </c>
      <c r="BB23" s="111">
        <f t="shared" si="16"/>
        <v>0</v>
      </c>
      <c r="BC23" s="111">
        <f t="shared" si="36"/>
        <v>0</v>
      </c>
    </row>
    <row r="24" spans="1:55" s="112" customFormat="1" ht="18" customHeight="1" x14ac:dyDescent="0.3">
      <c r="A24" s="557" t="s">
        <v>114</v>
      </c>
      <c r="B24" s="558"/>
      <c r="C24" s="565"/>
      <c r="D24" s="558">
        <f>D23*$B$61</f>
        <v>0</v>
      </c>
      <c r="E24" s="558">
        <f t="shared" ref="E24:AQ24" si="42">E23*$B$61</f>
        <v>0</v>
      </c>
      <c r="F24" s="558">
        <f t="shared" si="42"/>
        <v>0</v>
      </c>
      <c r="G24" s="558">
        <f t="shared" si="42"/>
        <v>0</v>
      </c>
      <c r="H24" s="558">
        <f t="shared" si="42"/>
        <v>0</v>
      </c>
      <c r="I24" s="558">
        <f t="shared" si="42"/>
        <v>0</v>
      </c>
      <c r="J24" s="558">
        <f t="shared" si="42"/>
        <v>0</v>
      </c>
      <c r="K24" s="558">
        <f t="shared" si="42"/>
        <v>0</v>
      </c>
      <c r="L24" s="558">
        <f t="shared" si="42"/>
        <v>0</v>
      </c>
      <c r="M24" s="558">
        <f t="shared" si="42"/>
        <v>0</v>
      </c>
      <c r="N24" s="558">
        <f t="shared" si="42"/>
        <v>0</v>
      </c>
      <c r="O24" s="558">
        <f t="shared" si="42"/>
        <v>0</v>
      </c>
      <c r="P24" s="558">
        <f t="shared" si="42"/>
        <v>0</v>
      </c>
      <c r="Q24" s="558">
        <f t="shared" si="42"/>
        <v>0</v>
      </c>
      <c r="R24" s="558">
        <f t="shared" si="42"/>
        <v>0</v>
      </c>
      <c r="S24" s="558">
        <f t="shared" si="42"/>
        <v>0</v>
      </c>
      <c r="T24" s="558">
        <f t="shared" si="42"/>
        <v>0</v>
      </c>
      <c r="U24" s="558">
        <f t="shared" si="42"/>
        <v>0</v>
      </c>
      <c r="V24" s="558">
        <f t="shared" si="42"/>
        <v>0</v>
      </c>
      <c r="W24" s="558">
        <f t="shared" si="42"/>
        <v>0</v>
      </c>
      <c r="X24" s="558">
        <f t="shared" si="42"/>
        <v>0</v>
      </c>
      <c r="Y24" s="558">
        <f t="shared" si="42"/>
        <v>0</v>
      </c>
      <c r="Z24" s="558">
        <f t="shared" si="42"/>
        <v>0</v>
      </c>
      <c r="AA24" s="558">
        <f t="shared" si="42"/>
        <v>0</v>
      </c>
      <c r="AB24" s="558">
        <f t="shared" si="42"/>
        <v>0</v>
      </c>
      <c r="AC24" s="558">
        <f t="shared" si="42"/>
        <v>0</v>
      </c>
      <c r="AD24" s="558">
        <f t="shared" si="42"/>
        <v>0</v>
      </c>
      <c r="AE24" s="558">
        <f t="shared" si="42"/>
        <v>0</v>
      </c>
      <c r="AF24" s="558">
        <f t="shared" si="42"/>
        <v>0</v>
      </c>
      <c r="AG24" s="558">
        <f t="shared" si="42"/>
        <v>0</v>
      </c>
      <c r="AH24" s="558">
        <f t="shared" si="42"/>
        <v>0</v>
      </c>
      <c r="AI24" s="558">
        <f t="shared" si="42"/>
        <v>0</v>
      </c>
      <c r="AJ24" s="558">
        <f t="shared" si="42"/>
        <v>0</v>
      </c>
      <c r="AK24" s="558">
        <f t="shared" si="42"/>
        <v>0</v>
      </c>
      <c r="AL24" s="558">
        <f t="shared" si="42"/>
        <v>0</v>
      </c>
      <c r="AM24" s="558">
        <f t="shared" si="42"/>
        <v>0</v>
      </c>
      <c r="AN24" s="558">
        <f t="shared" si="42"/>
        <v>0</v>
      </c>
      <c r="AO24" s="558">
        <f t="shared" si="42"/>
        <v>0</v>
      </c>
      <c r="AP24" s="558">
        <f t="shared" si="42"/>
        <v>0</v>
      </c>
      <c r="AQ24" s="558">
        <f t="shared" si="42"/>
        <v>0</v>
      </c>
      <c r="AR24" s="113"/>
      <c r="AS24" s="113">
        <f t="shared" si="7"/>
        <v>0</v>
      </c>
      <c r="AT24" s="558">
        <f t="shared" si="8"/>
        <v>0</v>
      </c>
      <c r="AU24" s="558">
        <f t="shared" si="9"/>
        <v>0</v>
      </c>
      <c r="AV24" s="558">
        <f t="shared" si="10"/>
        <v>0</v>
      </c>
      <c r="AW24" s="558">
        <f t="shared" si="11"/>
        <v>0</v>
      </c>
      <c r="AX24" s="558">
        <f t="shared" si="12"/>
        <v>0</v>
      </c>
      <c r="AY24" s="558">
        <f t="shared" si="13"/>
        <v>0</v>
      </c>
      <c r="AZ24" s="558">
        <f t="shared" si="14"/>
        <v>0</v>
      </c>
      <c r="BA24" s="115">
        <f t="shared" si="15"/>
        <v>0</v>
      </c>
      <c r="BB24" s="115">
        <f t="shared" si="16"/>
        <v>0</v>
      </c>
      <c r="BC24" s="115">
        <f t="shared" si="36"/>
        <v>0</v>
      </c>
    </row>
    <row r="25" spans="1:55" x14ac:dyDescent="0.3">
      <c r="A25" s="551" t="s">
        <v>123</v>
      </c>
      <c r="B25" s="590">
        <v>0</v>
      </c>
      <c r="C25" s="568">
        <v>0</v>
      </c>
      <c r="D25" s="561">
        <f>$B$25*$C$25*3</f>
        <v>0</v>
      </c>
      <c r="E25" s="561">
        <f t="shared" ref="E25:AQ25" si="43">$B$25*$C$25*3</f>
        <v>0</v>
      </c>
      <c r="F25" s="561">
        <f t="shared" si="43"/>
        <v>0</v>
      </c>
      <c r="G25" s="561">
        <f t="shared" si="43"/>
        <v>0</v>
      </c>
      <c r="H25" s="561">
        <f t="shared" si="43"/>
        <v>0</v>
      </c>
      <c r="I25" s="561">
        <f t="shared" si="43"/>
        <v>0</v>
      </c>
      <c r="J25" s="561">
        <f t="shared" si="43"/>
        <v>0</v>
      </c>
      <c r="K25" s="561">
        <f t="shared" si="43"/>
        <v>0</v>
      </c>
      <c r="L25" s="561">
        <f t="shared" si="43"/>
        <v>0</v>
      </c>
      <c r="M25" s="561">
        <f t="shared" si="43"/>
        <v>0</v>
      </c>
      <c r="N25" s="561">
        <f t="shared" si="43"/>
        <v>0</v>
      </c>
      <c r="O25" s="561">
        <f t="shared" si="43"/>
        <v>0</v>
      </c>
      <c r="P25" s="561">
        <f t="shared" si="43"/>
        <v>0</v>
      </c>
      <c r="Q25" s="561">
        <f t="shared" si="43"/>
        <v>0</v>
      </c>
      <c r="R25" s="561">
        <f t="shared" si="43"/>
        <v>0</v>
      </c>
      <c r="S25" s="561">
        <f t="shared" si="43"/>
        <v>0</v>
      </c>
      <c r="T25" s="561">
        <f t="shared" si="43"/>
        <v>0</v>
      </c>
      <c r="U25" s="561">
        <f t="shared" si="43"/>
        <v>0</v>
      </c>
      <c r="V25" s="561">
        <f t="shared" si="43"/>
        <v>0</v>
      </c>
      <c r="W25" s="561">
        <f t="shared" si="43"/>
        <v>0</v>
      </c>
      <c r="X25" s="561">
        <f t="shared" si="43"/>
        <v>0</v>
      </c>
      <c r="Y25" s="561">
        <f t="shared" si="43"/>
        <v>0</v>
      </c>
      <c r="Z25" s="561">
        <f t="shared" si="43"/>
        <v>0</v>
      </c>
      <c r="AA25" s="561">
        <f t="shared" si="43"/>
        <v>0</v>
      </c>
      <c r="AB25" s="561">
        <f t="shared" si="43"/>
        <v>0</v>
      </c>
      <c r="AC25" s="561">
        <f t="shared" si="43"/>
        <v>0</v>
      </c>
      <c r="AD25" s="561">
        <f t="shared" si="43"/>
        <v>0</v>
      </c>
      <c r="AE25" s="561">
        <f t="shared" si="43"/>
        <v>0</v>
      </c>
      <c r="AF25" s="561">
        <f t="shared" si="43"/>
        <v>0</v>
      </c>
      <c r="AG25" s="561">
        <f t="shared" si="43"/>
        <v>0</v>
      </c>
      <c r="AH25" s="561">
        <f t="shared" si="43"/>
        <v>0</v>
      </c>
      <c r="AI25" s="561">
        <f t="shared" si="43"/>
        <v>0</v>
      </c>
      <c r="AJ25" s="561">
        <f t="shared" si="43"/>
        <v>0</v>
      </c>
      <c r="AK25" s="561">
        <f t="shared" si="43"/>
        <v>0</v>
      </c>
      <c r="AL25" s="561">
        <f t="shared" si="43"/>
        <v>0</v>
      </c>
      <c r="AM25" s="561">
        <f t="shared" si="43"/>
        <v>0</v>
      </c>
      <c r="AN25" s="561">
        <f t="shared" si="43"/>
        <v>0</v>
      </c>
      <c r="AO25" s="561">
        <f t="shared" si="43"/>
        <v>0</v>
      </c>
      <c r="AP25" s="561">
        <f t="shared" si="43"/>
        <v>0</v>
      </c>
      <c r="AQ25" s="561">
        <f t="shared" si="43"/>
        <v>0</v>
      </c>
      <c r="AR25" s="95"/>
      <c r="AS25" s="116">
        <f t="shared" si="7"/>
        <v>0</v>
      </c>
      <c r="AT25" s="392">
        <f t="shared" si="8"/>
        <v>0</v>
      </c>
      <c r="AU25" s="392">
        <f t="shared" si="9"/>
        <v>0</v>
      </c>
      <c r="AV25" s="392">
        <f t="shared" si="10"/>
        <v>0</v>
      </c>
      <c r="AW25" s="392">
        <f t="shared" si="11"/>
        <v>0</v>
      </c>
      <c r="AX25" s="392">
        <f t="shared" si="12"/>
        <v>0</v>
      </c>
      <c r="AY25" s="392">
        <f t="shared" si="13"/>
        <v>0</v>
      </c>
      <c r="AZ25" s="392">
        <f t="shared" si="14"/>
        <v>0</v>
      </c>
      <c r="BA25" s="392">
        <f t="shared" si="15"/>
        <v>0</v>
      </c>
      <c r="BB25" s="392">
        <f t="shared" si="16"/>
        <v>0</v>
      </c>
      <c r="BC25" s="392">
        <f t="shared" si="36"/>
        <v>0</v>
      </c>
    </row>
    <row r="26" spans="1:55" s="108" customFormat="1" ht="28.8" x14ac:dyDescent="0.3">
      <c r="A26" s="554" t="s">
        <v>113</v>
      </c>
      <c r="B26" s="111"/>
      <c r="C26" s="564"/>
      <c r="D26" s="555">
        <f>SUM(D25)</f>
        <v>0</v>
      </c>
      <c r="E26" s="555">
        <f t="shared" ref="E26:AQ26" si="44">SUM(E25)</f>
        <v>0</v>
      </c>
      <c r="F26" s="555">
        <f t="shared" si="44"/>
        <v>0</v>
      </c>
      <c r="G26" s="555">
        <f t="shared" si="44"/>
        <v>0</v>
      </c>
      <c r="H26" s="555">
        <f t="shared" si="44"/>
        <v>0</v>
      </c>
      <c r="I26" s="555">
        <f t="shared" si="44"/>
        <v>0</v>
      </c>
      <c r="J26" s="555">
        <f t="shared" si="44"/>
        <v>0</v>
      </c>
      <c r="K26" s="555">
        <f t="shared" si="44"/>
        <v>0</v>
      </c>
      <c r="L26" s="555">
        <f t="shared" si="44"/>
        <v>0</v>
      </c>
      <c r="M26" s="555">
        <f t="shared" si="44"/>
        <v>0</v>
      </c>
      <c r="N26" s="555">
        <f t="shared" si="44"/>
        <v>0</v>
      </c>
      <c r="O26" s="555">
        <f t="shared" si="44"/>
        <v>0</v>
      </c>
      <c r="P26" s="555">
        <f t="shared" si="44"/>
        <v>0</v>
      </c>
      <c r="Q26" s="555">
        <f t="shared" si="44"/>
        <v>0</v>
      </c>
      <c r="R26" s="555">
        <f t="shared" si="44"/>
        <v>0</v>
      </c>
      <c r="S26" s="555">
        <f t="shared" si="44"/>
        <v>0</v>
      </c>
      <c r="T26" s="555">
        <f t="shared" si="44"/>
        <v>0</v>
      </c>
      <c r="U26" s="555">
        <f t="shared" si="44"/>
        <v>0</v>
      </c>
      <c r="V26" s="555">
        <f t="shared" si="44"/>
        <v>0</v>
      </c>
      <c r="W26" s="555">
        <f t="shared" si="44"/>
        <v>0</v>
      </c>
      <c r="X26" s="555">
        <f t="shared" si="44"/>
        <v>0</v>
      </c>
      <c r="Y26" s="555">
        <f t="shared" si="44"/>
        <v>0</v>
      </c>
      <c r="Z26" s="555">
        <f t="shared" si="44"/>
        <v>0</v>
      </c>
      <c r="AA26" s="555">
        <f t="shared" si="44"/>
        <v>0</v>
      </c>
      <c r="AB26" s="555">
        <f t="shared" si="44"/>
        <v>0</v>
      </c>
      <c r="AC26" s="555">
        <f t="shared" si="44"/>
        <v>0</v>
      </c>
      <c r="AD26" s="555">
        <f t="shared" si="44"/>
        <v>0</v>
      </c>
      <c r="AE26" s="555">
        <f t="shared" si="44"/>
        <v>0</v>
      </c>
      <c r="AF26" s="555">
        <f t="shared" si="44"/>
        <v>0</v>
      </c>
      <c r="AG26" s="555">
        <f t="shared" si="44"/>
        <v>0</v>
      </c>
      <c r="AH26" s="555">
        <f t="shared" si="44"/>
        <v>0</v>
      </c>
      <c r="AI26" s="555">
        <f t="shared" si="44"/>
        <v>0</v>
      </c>
      <c r="AJ26" s="555">
        <f t="shared" si="44"/>
        <v>0</v>
      </c>
      <c r="AK26" s="555">
        <f t="shared" si="44"/>
        <v>0</v>
      </c>
      <c r="AL26" s="555">
        <f t="shared" si="44"/>
        <v>0</v>
      </c>
      <c r="AM26" s="555">
        <f t="shared" si="44"/>
        <v>0</v>
      </c>
      <c r="AN26" s="555">
        <f t="shared" si="44"/>
        <v>0</v>
      </c>
      <c r="AO26" s="555">
        <f t="shared" si="44"/>
        <v>0</v>
      </c>
      <c r="AP26" s="555">
        <f t="shared" si="44"/>
        <v>0</v>
      </c>
      <c r="AQ26" s="555">
        <f t="shared" si="44"/>
        <v>0</v>
      </c>
      <c r="AR26" s="110"/>
      <c r="AS26" s="110">
        <f t="shared" si="7"/>
        <v>0</v>
      </c>
      <c r="AT26" s="555">
        <f t="shared" si="8"/>
        <v>0</v>
      </c>
      <c r="AU26" s="555">
        <f t="shared" si="9"/>
        <v>0</v>
      </c>
      <c r="AV26" s="555">
        <f t="shared" si="10"/>
        <v>0</v>
      </c>
      <c r="AW26" s="555">
        <f t="shared" si="11"/>
        <v>0</v>
      </c>
      <c r="AX26" s="555">
        <f t="shared" si="12"/>
        <v>0</v>
      </c>
      <c r="AY26" s="555">
        <f t="shared" si="13"/>
        <v>0</v>
      </c>
      <c r="AZ26" s="555">
        <f t="shared" si="14"/>
        <v>0</v>
      </c>
      <c r="BA26" s="555">
        <f t="shared" si="15"/>
        <v>0</v>
      </c>
      <c r="BB26" s="111">
        <f t="shared" si="16"/>
        <v>0</v>
      </c>
      <c r="BC26" s="111">
        <f t="shared" si="36"/>
        <v>0</v>
      </c>
    </row>
    <row r="27" spans="1:55" s="112" customFormat="1" ht="18.75" customHeight="1" x14ac:dyDescent="0.3">
      <c r="A27" s="557" t="s">
        <v>114</v>
      </c>
      <c r="B27" s="114"/>
      <c r="C27" s="565"/>
      <c r="D27" s="558">
        <f>D26*$B$61</f>
        <v>0</v>
      </c>
      <c r="E27" s="558">
        <f t="shared" ref="E27:AQ27" si="45">E26*$B$61</f>
        <v>0</v>
      </c>
      <c r="F27" s="558">
        <f t="shared" si="45"/>
        <v>0</v>
      </c>
      <c r="G27" s="558">
        <f t="shared" si="45"/>
        <v>0</v>
      </c>
      <c r="H27" s="558">
        <f t="shared" si="45"/>
        <v>0</v>
      </c>
      <c r="I27" s="558">
        <f t="shared" si="45"/>
        <v>0</v>
      </c>
      <c r="J27" s="558">
        <f t="shared" si="45"/>
        <v>0</v>
      </c>
      <c r="K27" s="558">
        <f t="shared" si="45"/>
        <v>0</v>
      </c>
      <c r="L27" s="558">
        <f t="shared" si="45"/>
        <v>0</v>
      </c>
      <c r="M27" s="558">
        <f t="shared" si="45"/>
        <v>0</v>
      </c>
      <c r="N27" s="558">
        <f t="shared" si="45"/>
        <v>0</v>
      </c>
      <c r="O27" s="558">
        <f t="shared" si="45"/>
        <v>0</v>
      </c>
      <c r="P27" s="558">
        <f t="shared" si="45"/>
        <v>0</v>
      </c>
      <c r="Q27" s="558">
        <f t="shared" si="45"/>
        <v>0</v>
      </c>
      <c r="R27" s="558">
        <f t="shared" si="45"/>
        <v>0</v>
      </c>
      <c r="S27" s="558">
        <f t="shared" si="45"/>
        <v>0</v>
      </c>
      <c r="T27" s="558">
        <f t="shared" si="45"/>
        <v>0</v>
      </c>
      <c r="U27" s="558">
        <f t="shared" si="45"/>
        <v>0</v>
      </c>
      <c r="V27" s="558">
        <f t="shared" si="45"/>
        <v>0</v>
      </c>
      <c r="W27" s="558">
        <f t="shared" si="45"/>
        <v>0</v>
      </c>
      <c r="X27" s="558">
        <f t="shared" si="45"/>
        <v>0</v>
      </c>
      <c r="Y27" s="558">
        <f t="shared" si="45"/>
        <v>0</v>
      </c>
      <c r="Z27" s="558">
        <f t="shared" si="45"/>
        <v>0</v>
      </c>
      <c r="AA27" s="558">
        <f t="shared" si="45"/>
        <v>0</v>
      </c>
      <c r="AB27" s="558">
        <f t="shared" si="45"/>
        <v>0</v>
      </c>
      <c r="AC27" s="558">
        <f t="shared" si="45"/>
        <v>0</v>
      </c>
      <c r="AD27" s="558">
        <f t="shared" si="45"/>
        <v>0</v>
      </c>
      <c r="AE27" s="558">
        <f t="shared" si="45"/>
        <v>0</v>
      </c>
      <c r="AF27" s="558">
        <f t="shared" si="45"/>
        <v>0</v>
      </c>
      <c r="AG27" s="558">
        <f t="shared" si="45"/>
        <v>0</v>
      </c>
      <c r="AH27" s="558">
        <f t="shared" si="45"/>
        <v>0</v>
      </c>
      <c r="AI27" s="558">
        <f t="shared" si="45"/>
        <v>0</v>
      </c>
      <c r="AJ27" s="558">
        <f t="shared" si="45"/>
        <v>0</v>
      </c>
      <c r="AK27" s="558">
        <f t="shared" si="45"/>
        <v>0</v>
      </c>
      <c r="AL27" s="558">
        <f t="shared" si="45"/>
        <v>0</v>
      </c>
      <c r="AM27" s="558">
        <f t="shared" si="45"/>
        <v>0</v>
      </c>
      <c r="AN27" s="558">
        <f t="shared" si="45"/>
        <v>0</v>
      </c>
      <c r="AO27" s="558">
        <f t="shared" si="45"/>
        <v>0</v>
      </c>
      <c r="AP27" s="558">
        <f t="shared" si="45"/>
        <v>0</v>
      </c>
      <c r="AQ27" s="558">
        <f t="shared" si="45"/>
        <v>0</v>
      </c>
      <c r="AR27" s="113"/>
      <c r="AS27" s="113">
        <f t="shared" si="7"/>
        <v>0</v>
      </c>
      <c r="AT27" s="558">
        <f t="shared" si="8"/>
        <v>0</v>
      </c>
      <c r="AU27" s="558">
        <f t="shared" si="9"/>
        <v>0</v>
      </c>
      <c r="AV27" s="558">
        <f t="shared" si="10"/>
        <v>0</v>
      </c>
      <c r="AW27" s="558">
        <f t="shared" si="11"/>
        <v>0</v>
      </c>
      <c r="AX27" s="558">
        <f t="shared" si="12"/>
        <v>0</v>
      </c>
      <c r="AY27" s="558">
        <f t="shared" si="13"/>
        <v>0</v>
      </c>
      <c r="AZ27" s="558">
        <f t="shared" si="14"/>
        <v>0</v>
      </c>
      <c r="BA27" s="558">
        <f t="shared" si="15"/>
        <v>0</v>
      </c>
      <c r="BB27" s="115">
        <f t="shared" si="16"/>
        <v>0</v>
      </c>
      <c r="BC27" s="115">
        <f t="shared" si="36"/>
        <v>0</v>
      </c>
    </row>
    <row r="28" spans="1:55" ht="28.8" x14ac:dyDescent="0.3">
      <c r="A28" s="566" t="s">
        <v>124</v>
      </c>
      <c r="B28" s="107"/>
      <c r="C28" s="567"/>
      <c r="D28" s="561"/>
      <c r="E28" s="561"/>
      <c r="F28" s="561"/>
      <c r="G28" s="561"/>
      <c r="H28" s="561"/>
      <c r="I28" s="561"/>
      <c r="J28" s="561"/>
      <c r="K28" s="561"/>
      <c r="L28" s="561"/>
      <c r="M28" s="561"/>
      <c r="N28" s="561"/>
      <c r="O28" s="561"/>
      <c r="P28" s="561"/>
      <c r="Q28" s="561"/>
      <c r="R28" s="561"/>
      <c r="S28" s="561"/>
      <c r="T28" s="561"/>
      <c r="U28" s="561"/>
      <c r="V28" s="561"/>
      <c r="W28" s="561"/>
      <c r="X28" s="561"/>
      <c r="Y28" s="561"/>
      <c r="Z28" s="561"/>
      <c r="AA28" s="561"/>
      <c r="AB28" s="561"/>
      <c r="AC28" s="561"/>
      <c r="AD28" s="561"/>
      <c r="AE28" s="561"/>
      <c r="AF28" s="561"/>
      <c r="AG28" s="561"/>
      <c r="AH28" s="561"/>
      <c r="AI28" s="561"/>
      <c r="AJ28" s="561"/>
      <c r="AK28" s="561"/>
      <c r="AL28" s="561"/>
      <c r="AM28" s="561"/>
      <c r="AN28" s="561"/>
      <c r="AO28" s="561"/>
      <c r="AP28" s="561"/>
      <c r="AQ28" s="561"/>
      <c r="AR28" s="95"/>
      <c r="AS28" s="116"/>
      <c r="AT28" s="561"/>
      <c r="AU28" s="561"/>
      <c r="AV28" s="561"/>
      <c r="AW28" s="561"/>
      <c r="AX28" s="561"/>
      <c r="AY28" s="561"/>
      <c r="AZ28" s="561"/>
      <c r="BA28" s="561"/>
      <c r="BB28" s="561"/>
      <c r="BC28" s="561"/>
    </row>
    <row r="29" spans="1:55" x14ac:dyDescent="0.3">
      <c r="A29" s="551" t="s">
        <v>125</v>
      </c>
      <c r="B29" s="590">
        <v>0</v>
      </c>
      <c r="C29" s="568">
        <v>0</v>
      </c>
      <c r="D29" s="561">
        <f>$B$29*$C$29*3</f>
        <v>0</v>
      </c>
      <c r="E29" s="561">
        <f t="shared" ref="E29:AQ29" si="46">$B$29*$C$29*3</f>
        <v>0</v>
      </c>
      <c r="F29" s="561">
        <f t="shared" si="46"/>
        <v>0</v>
      </c>
      <c r="G29" s="561">
        <f t="shared" si="46"/>
        <v>0</v>
      </c>
      <c r="H29" s="561">
        <f t="shared" si="46"/>
        <v>0</v>
      </c>
      <c r="I29" s="561">
        <f t="shared" si="46"/>
        <v>0</v>
      </c>
      <c r="J29" s="561">
        <f t="shared" si="46"/>
        <v>0</v>
      </c>
      <c r="K29" s="561">
        <f t="shared" si="46"/>
        <v>0</v>
      </c>
      <c r="L29" s="561">
        <f t="shared" si="46"/>
        <v>0</v>
      </c>
      <c r="M29" s="561">
        <f t="shared" si="46"/>
        <v>0</v>
      </c>
      <c r="N29" s="561">
        <f t="shared" si="46"/>
        <v>0</v>
      </c>
      <c r="O29" s="561">
        <f t="shared" si="46"/>
        <v>0</v>
      </c>
      <c r="P29" s="561">
        <f t="shared" si="46"/>
        <v>0</v>
      </c>
      <c r="Q29" s="561">
        <f t="shared" si="46"/>
        <v>0</v>
      </c>
      <c r="R29" s="561">
        <f t="shared" si="46"/>
        <v>0</v>
      </c>
      <c r="S29" s="561">
        <f t="shared" si="46"/>
        <v>0</v>
      </c>
      <c r="T29" s="561">
        <f t="shared" si="46"/>
        <v>0</v>
      </c>
      <c r="U29" s="561">
        <f t="shared" si="46"/>
        <v>0</v>
      </c>
      <c r="V29" s="561">
        <f t="shared" si="46"/>
        <v>0</v>
      </c>
      <c r="W29" s="561">
        <f t="shared" si="46"/>
        <v>0</v>
      </c>
      <c r="X29" s="561">
        <f t="shared" si="46"/>
        <v>0</v>
      </c>
      <c r="Y29" s="561">
        <f t="shared" si="46"/>
        <v>0</v>
      </c>
      <c r="Z29" s="561">
        <f t="shared" si="46"/>
        <v>0</v>
      </c>
      <c r="AA29" s="561">
        <f t="shared" si="46"/>
        <v>0</v>
      </c>
      <c r="AB29" s="561">
        <f t="shared" si="46"/>
        <v>0</v>
      </c>
      <c r="AC29" s="561">
        <f t="shared" si="46"/>
        <v>0</v>
      </c>
      <c r="AD29" s="561">
        <f t="shared" si="46"/>
        <v>0</v>
      </c>
      <c r="AE29" s="561">
        <f t="shared" si="46"/>
        <v>0</v>
      </c>
      <c r="AF29" s="561">
        <f t="shared" si="46"/>
        <v>0</v>
      </c>
      <c r="AG29" s="561">
        <f t="shared" si="46"/>
        <v>0</v>
      </c>
      <c r="AH29" s="561">
        <f t="shared" si="46"/>
        <v>0</v>
      </c>
      <c r="AI29" s="561">
        <f t="shared" si="46"/>
        <v>0</v>
      </c>
      <c r="AJ29" s="561">
        <f t="shared" si="46"/>
        <v>0</v>
      </c>
      <c r="AK29" s="561">
        <f t="shared" si="46"/>
        <v>0</v>
      </c>
      <c r="AL29" s="561">
        <f t="shared" si="46"/>
        <v>0</v>
      </c>
      <c r="AM29" s="561">
        <f t="shared" si="46"/>
        <v>0</v>
      </c>
      <c r="AN29" s="561">
        <f t="shared" si="46"/>
        <v>0</v>
      </c>
      <c r="AO29" s="561">
        <f t="shared" si="46"/>
        <v>0</v>
      </c>
      <c r="AP29" s="561">
        <f t="shared" si="46"/>
        <v>0</v>
      </c>
      <c r="AQ29" s="561">
        <f t="shared" si="46"/>
        <v>0</v>
      </c>
      <c r="AR29" s="95"/>
      <c r="AS29" s="116">
        <f t="shared" si="7"/>
        <v>0</v>
      </c>
      <c r="AT29" s="392">
        <f t="shared" si="8"/>
        <v>0</v>
      </c>
      <c r="AU29" s="392">
        <f t="shared" si="9"/>
        <v>0</v>
      </c>
      <c r="AV29" s="392">
        <f t="shared" si="10"/>
        <v>0</v>
      </c>
      <c r="AW29" s="392">
        <f t="shared" si="11"/>
        <v>0</v>
      </c>
      <c r="AX29" s="392">
        <f t="shared" si="12"/>
        <v>0</v>
      </c>
      <c r="AY29" s="392">
        <f t="shared" si="13"/>
        <v>0</v>
      </c>
      <c r="AZ29" s="392">
        <f t="shared" si="14"/>
        <v>0</v>
      </c>
      <c r="BA29" s="392">
        <f t="shared" si="15"/>
        <v>0</v>
      </c>
      <c r="BB29" s="392">
        <f t="shared" si="16"/>
        <v>0</v>
      </c>
      <c r="BC29" s="392">
        <f t="shared" si="36"/>
        <v>0</v>
      </c>
    </row>
    <row r="30" spans="1:55" x14ac:dyDescent="0.3">
      <c r="A30" s="551" t="s">
        <v>126</v>
      </c>
      <c r="B30" s="590">
        <v>0</v>
      </c>
      <c r="C30" s="568">
        <v>0</v>
      </c>
      <c r="D30" s="561">
        <f>$B$30*$C$30*3</f>
        <v>0</v>
      </c>
      <c r="E30" s="561">
        <f t="shared" ref="E30:AQ30" si="47">$B$30*$C$30*3</f>
        <v>0</v>
      </c>
      <c r="F30" s="561">
        <f t="shared" si="47"/>
        <v>0</v>
      </c>
      <c r="G30" s="561">
        <f t="shared" si="47"/>
        <v>0</v>
      </c>
      <c r="H30" s="561">
        <f t="shared" si="47"/>
        <v>0</v>
      </c>
      <c r="I30" s="561">
        <f t="shared" si="47"/>
        <v>0</v>
      </c>
      <c r="J30" s="561">
        <f t="shared" si="47"/>
        <v>0</v>
      </c>
      <c r="K30" s="561">
        <f t="shared" si="47"/>
        <v>0</v>
      </c>
      <c r="L30" s="561">
        <f t="shared" si="47"/>
        <v>0</v>
      </c>
      <c r="M30" s="561">
        <f t="shared" si="47"/>
        <v>0</v>
      </c>
      <c r="N30" s="561">
        <f t="shared" si="47"/>
        <v>0</v>
      </c>
      <c r="O30" s="561">
        <f t="shared" si="47"/>
        <v>0</v>
      </c>
      <c r="P30" s="561">
        <f t="shared" si="47"/>
        <v>0</v>
      </c>
      <c r="Q30" s="561">
        <f t="shared" si="47"/>
        <v>0</v>
      </c>
      <c r="R30" s="561">
        <f t="shared" si="47"/>
        <v>0</v>
      </c>
      <c r="S30" s="561">
        <f t="shared" si="47"/>
        <v>0</v>
      </c>
      <c r="T30" s="561">
        <f t="shared" si="47"/>
        <v>0</v>
      </c>
      <c r="U30" s="561">
        <f t="shared" si="47"/>
        <v>0</v>
      </c>
      <c r="V30" s="561">
        <f t="shared" si="47"/>
        <v>0</v>
      </c>
      <c r="W30" s="561">
        <f t="shared" si="47"/>
        <v>0</v>
      </c>
      <c r="X30" s="561">
        <f t="shared" si="47"/>
        <v>0</v>
      </c>
      <c r="Y30" s="561">
        <f t="shared" si="47"/>
        <v>0</v>
      </c>
      <c r="Z30" s="561">
        <f t="shared" si="47"/>
        <v>0</v>
      </c>
      <c r="AA30" s="561">
        <f t="shared" si="47"/>
        <v>0</v>
      </c>
      <c r="AB30" s="561">
        <f t="shared" si="47"/>
        <v>0</v>
      </c>
      <c r="AC30" s="561">
        <f t="shared" si="47"/>
        <v>0</v>
      </c>
      <c r="AD30" s="561">
        <f t="shared" si="47"/>
        <v>0</v>
      </c>
      <c r="AE30" s="561">
        <f t="shared" si="47"/>
        <v>0</v>
      </c>
      <c r="AF30" s="561">
        <f t="shared" si="47"/>
        <v>0</v>
      </c>
      <c r="AG30" s="561">
        <f t="shared" si="47"/>
        <v>0</v>
      </c>
      <c r="AH30" s="561">
        <f t="shared" si="47"/>
        <v>0</v>
      </c>
      <c r="AI30" s="561">
        <f t="shared" si="47"/>
        <v>0</v>
      </c>
      <c r="AJ30" s="561">
        <f t="shared" si="47"/>
        <v>0</v>
      </c>
      <c r="AK30" s="561">
        <f t="shared" si="47"/>
        <v>0</v>
      </c>
      <c r="AL30" s="561">
        <f t="shared" si="47"/>
        <v>0</v>
      </c>
      <c r="AM30" s="561">
        <f t="shared" si="47"/>
        <v>0</v>
      </c>
      <c r="AN30" s="561">
        <f t="shared" si="47"/>
        <v>0</v>
      </c>
      <c r="AO30" s="561">
        <f t="shared" si="47"/>
        <v>0</v>
      </c>
      <c r="AP30" s="561">
        <f t="shared" si="47"/>
        <v>0</v>
      </c>
      <c r="AQ30" s="561">
        <f t="shared" si="47"/>
        <v>0</v>
      </c>
      <c r="AR30" s="95"/>
      <c r="AS30" s="116">
        <f t="shared" si="7"/>
        <v>0</v>
      </c>
      <c r="AT30" s="392">
        <f t="shared" si="8"/>
        <v>0</v>
      </c>
      <c r="AU30" s="392">
        <f t="shared" si="9"/>
        <v>0</v>
      </c>
      <c r="AV30" s="392">
        <f t="shared" si="10"/>
        <v>0</v>
      </c>
      <c r="AW30" s="392">
        <f t="shared" si="11"/>
        <v>0</v>
      </c>
      <c r="AX30" s="392">
        <f t="shared" si="12"/>
        <v>0</v>
      </c>
      <c r="AY30" s="392">
        <f t="shared" si="13"/>
        <v>0</v>
      </c>
      <c r="AZ30" s="392">
        <f t="shared" si="14"/>
        <v>0</v>
      </c>
      <c r="BA30" s="392">
        <f t="shared" si="15"/>
        <v>0</v>
      </c>
      <c r="BB30" s="392">
        <f t="shared" si="16"/>
        <v>0</v>
      </c>
      <c r="BC30" s="392">
        <f t="shared" si="36"/>
        <v>0</v>
      </c>
    </row>
    <row r="31" spans="1:55" x14ac:dyDescent="0.3">
      <c r="A31" s="551" t="s">
        <v>127</v>
      </c>
      <c r="B31" s="590">
        <v>0</v>
      </c>
      <c r="C31" s="568">
        <v>0</v>
      </c>
      <c r="D31" s="561">
        <f>$B$31*$C$31*3</f>
        <v>0</v>
      </c>
      <c r="E31" s="561">
        <f t="shared" ref="E31:AQ31" si="48">$B$31*$C$31*3</f>
        <v>0</v>
      </c>
      <c r="F31" s="561">
        <f t="shared" si="48"/>
        <v>0</v>
      </c>
      <c r="G31" s="561">
        <f t="shared" si="48"/>
        <v>0</v>
      </c>
      <c r="H31" s="561">
        <f t="shared" si="48"/>
        <v>0</v>
      </c>
      <c r="I31" s="561">
        <f t="shared" si="48"/>
        <v>0</v>
      </c>
      <c r="J31" s="561">
        <f t="shared" si="48"/>
        <v>0</v>
      </c>
      <c r="K31" s="561">
        <f t="shared" si="48"/>
        <v>0</v>
      </c>
      <c r="L31" s="561">
        <f t="shared" si="48"/>
        <v>0</v>
      </c>
      <c r="M31" s="561">
        <f t="shared" si="48"/>
        <v>0</v>
      </c>
      <c r="N31" s="561">
        <f t="shared" si="48"/>
        <v>0</v>
      </c>
      <c r="O31" s="561">
        <f t="shared" si="48"/>
        <v>0</v>
      </c>
      <c r="P31" s="561">
        <f t="shared" si="48"/>
        <v>0</v>
      </c>
      <c r="Q31" s="561">
        <f t="shared" si="48"/>
        <v>0</v>
      </c>
      <c r="R31" s="561">
        <f t="shared" si="48"/>
        <v>0</v>
      </c>
      <c r="S31" s="561">
        <f t="shared" si="48"/>
        <v>0</v>
      </c>
      <c r="T31" s="561">
        <f t="shared" si="48"/>
        <v>0</v>
      </c>
      <c r="U31" s="561">
        <f t="shared" si="48"/>
        <v>0</v>
      </c>
      <c r="V31" s="561">
        <f t="shared" si="48"/>
        <v>0</v>
      </c>
      <c r="W31" s="561">
        <f t="shared" si="48"/>
        <v>0</v>
      </c>
      <c r="X31" s="561">
        <f t="shared" si="48"/>
        <v>0</v>
      </c>
      <c r="Y31" s="561">
        <f t="shared" si="48"/>
        <v>0</v>
      </c>
      <c r="Z31" s="561">
        <f t="shared" si="48"/>
        <v>0</v>
      </c>
      <c r="AA31" s="561">
        <f t="shared" si="48"/>
        <v>0</v>
      </c>
      <c r="AB31" s="561">
        <f t="shared" si="48"/>
        <v>0</v>
      </c>
      <c r="AC31" s="561">
        <f t="shared" si="48"/>
        <v>0</v>
      </c>
      <c r="AD31" s="561">
        <f t="shared" si="48"/>
        <v>0</v>
      </c>
      <c r="AE31" s="561">
        <f t="shared" si="48"/>
        <v>0</v>
      </c>
      <c r="AF31" s="561">
        <f t="shared" si="48"/>
        <v>0</v>
      </c>
      <c r="AG31" s="561">
        <f t="shared" si="48"/>
        <v>0</v>
      </c>
      <c r="AH31" s="561">
        <f t="shared" si="48"/>
        <v>0</v>
      </c>
      <c r="AI31" s="561">
        <f t="shared" si="48"/>
        <v>0</v>
      </c>
      <c r="AJ31" s="561">
        <f t="shared" si="48"/>
        <v>0</v>
      </c>
      <c r="AK31" s="561">
        <f t="shared" si="48"/>
        <v>0</v>
      </c>
      <c r="AL31" s="561">
        <f t="shared" si="48"/>
        <v>0</v>
      </c>
      <c r="AM31" s="561">
        <f t="shared" si="48"/>
        <v>0</v>
      </c>
      <c r="AN31" s="561">
        <f t="shared" si="48"/>
        <v>0</v>
      </c>
      <c r="AO31" s="561">
        <f t="shared" si="48"/>
        <v>0</v>
      </c>
      <c r="AP31" s="561">
        <f t="shared" si="48"/>
        <v>0</v>
      </c>
      <c r="AQ31" s="561">
        <f t="shared" si="48"/>
        <v>0</v>
      </c>
      <c r="AR31" s="95"/>
      <c r="AS31" s="116">
        <f t="shared" si="7"/>
        <v>0</v>
      </c>
      <c r="AT31" s="392">
        <f t="shared" si="8"/>
        <v>0</v>
      </c>
      <c r="AU31" s="392">
        <f t="shared" si="9"/>
        <v>0</v>
      </c>
      <c r="AV31" s="392">
        <f t="shared" si="10"/>
        <v>0</v>
      </c>
      <c r="AW31" s="392">
        <f t="shared" si="11"/>
        <v>0</v>
      </c>
      <c r="AX31" s="392">
        <f t="shared" si="12"/>
        <v>0</v>
      </c>
      <c r="AY31" s="392">
        <f t="shared" si="13"/>
        <v>0</v>
      </c>
      <c r="AZ31" s="392">
        <f t="shared" si="14"/>
        <v>0</v>
      </c>
      <c r="BA31" s="392">
        <f t="shared" si="15"/>
        <v>0</v>
      </c>
      <c r="BB31" s="392">
        <f t="shared" si="16"/>
        <v>0</v>
      </c>
      <c r="BC31" s="392">
        <f t="shared" si="36"/>
        <v>0</v>
      </c>
    </row>
    <row r="32" spans="1:55" x14ac:dyDescent="0.3">
      <c r="A32" s="551" t="s">
        <v>128</v>
      </c>
      <c r="B32" s="590">
        <v>0</v>
      </c>
      <c r="C32" s="568">
        <v>0</v>
      </c>
      <c r="D32" s="561">
        <f>$B$32*$C$32*3</f>
        <v>0</v>
      </c>
      <c r="E32" s="561">
        <f t="shared" ref="E32:AQ32" si="49">$B$32*$C$32*3</f>
        <v>0</v>
      </c>
      <c r="F32" s="561">
        <f t="shared" si="49"/>
        <v>0</v>
      </c>
      <c r="G32" s="561">
        <f t="shared" si="49"/>
        <v>0</v>
      </c>
      <c r="H32" s="561">
        <f t="shared" si="49"/>
        <v>0</v>
      </c>
      <c r="I32" s="561">
        <f t="shared" si="49"/>
        <v>0</v>
      </c>
      <c r="J32" s="561">
        <f t="shared" si="49"/>
        <v>0</v>
      </c>
      <c r="K32" s="561">
        <f t="shared" si="49"/>
        <v>0</v>
      </c>
      <c r="L32" s="561">
        <f t="shared" si="49"/>
        <v>0</v>
      </c>
      <c r="M32" s="561">
        <f t="shared" si="49"/>
        <v>0</v>
      </c>
      <c r="N32" s="561">
        <f t="shared" si="49"/>
        <v>0</v>
      </c>
      <c r="O32" s="561">
        <f t="shared" si="49"/>
        <v>0</v>
      </c>
      <c r="P32" s="561">
        <f t="shared" si="49"/>
        <v>0</v>
      </c>
      <c r="Q32" s="561">
        <f t="shared" si="49"/>
        <v>0</v>
      </c>
      <c r="R32" s="561">
        <f t="shared" si="49"/>
        <v>0</v>
      </c>
      <c r="S32" s="561">
        <f t="shared" si="49"/>
        <v>0</v>
      </c>
      <c r="T32" s="561">
        <f t="shared" si="49"/>
        <v>0</v>
      </c>
      <c r="U32" s="561">
        <f t="shared" si="49"/>
        <v>0</v>
      </c>
      <c r="V32" s="561">
        <f t="shared" si="49"/>
        <v>0</v>
      </c>
      <c r="W32" s="561">
        <f t="shared" si="49"/>
        <v>0</v>
      </c>
      <c r="X32" s="561">
        <f t="shared" si="49"/>
        <v>0</v>
      </c>
      <c r="Y32" s="561">
        <f t="shared" si="49"/>
        <v>0</v>
      </c>
      <c r="Z32" s="561">
        <f t="shared" si="49"/>
        <v>0</v>
      </c>
      <c r="AA32" s="561">
        <f t="shared" si="49"/>
        <v>0</v>
      </c>
      <c r="AB32" s="561">
        <f t="shared" si="49"/>
        <v>0</v>
      </c>
      <c r="AC32" s="561">
        <f t="shared" si="49"/>
        <v>0</v>
      </c>
      <c r="AD32" s="561">
        <f t="shared" si="49"/>
        <v>0</v>
      </c>
      <c r="AE32" s="561">
        <f t="shared" si="49"/>
        <v>0</v>
      </c>
      <c r="AF32" s="561">
        <f t="shared" si="49"/>
        <v>0</v>
      </c>
      <c r="AG32" s="561">
        <f t="shared" si="49"/>
        <v>0</v>
      </c>
      <c r="AH32" s="561">
        <f t="shared" si="49"/>
        <v>0</v>
      </c>
      <c r="AI32" s="561">
        <f t="shared" si="49"/>
        <v>0</v>
      </c>
      <c r="AJ32" s="561">
        <f t="shared" si="49"/>
        <v>0</v>
      </c>
      <c r="AK32" s="561">
        <f t="shared" si="49"/>
        <v>0</v>
      </c>
      <c r="AL32" s="561">
        <f t="shared" si="49"/>
        <v>0</v>
      </c>
      <c r="AM32" s="561">
        <f t="shared" si="49"/>
        <v>0</v>
      </c>
      <c r="AN32" s="561">
        <f t="shared" si="49"/>
        <v>0</v>
      </c>
      <c r="AO32" s="561">
        <f t="shared" si="49"/>
        <v>0</v>
      </c>
      <c r="AP32" s="561">
        <f t="shared" si="49"/>
        <v>0</v>
      </c>
      <c r="AQ32" s="561">
        <f t="shared" si="49"/>
        <v>0</v>
      </c>
      <c r="AR32" s="95"/>
      <c r="AS32" s="116">
        <f t="shared" si="7"/>
        <v>0</v>
      </c>
      <c r="AT32" s="392">
        <f t="shared" si="8"/>
        <v>0</v>
      </c>
      <c r="AU32" s="392">
        <f t="shared" si="9"/>
        <v>0</v>
      </c>
      <c r="AV32" s="392">
        <f t="shared" si="10"/>
        <v>0</v>
      </c>
      <c r="AW32" s="392">
        <f t="shared" si="11"/>
        <v>0</v>
      </c>
      <c r="AX32" s="392">
        <f t="shared" si="12"/>
        <v>0</v>
      </c>
      <c r="AY32" s="392">
        <f t="shared" si="13"/>
        <v>0</v>
      </c>
      <c r="AZ32" s="392">
        <f t="shared" si="14"/>
        <v>0</v>
      </c>
      <c r="BA32" s="392">
        <f t="shared" si="15"/>
        <v>0</v>
      </c>
      <c r="BB32" s="392">
        <f t="shared" si="16"/>
        <v>0</v>
      </c>
      <c r="BC32" s="392">
        <f t="shared" si="36"/>
        <v>0</v>
      </c>
    </row>
    <row r="33" spans="1:55" x14ac:dyDescent="0.3">
      <c r="A33" s="551" t="s">
        <v>129</v>
      </c>
      <c r="B33" s="590">
        <v>0</v>
      </c>
      <c r="C33" s="568">
        <v>0</v>
      </c>
      <c r="D33" s="561">
        <f>$B$33*$C$33*3</f>
        <v>0</v>
      </c>
      <c r="E33" s="561">
        <f t="shared" ref="E33:AQ33" si="50">$B$33*$C$33*3</f>
        <v>0</v>
      </c>
      <c r="F33" s="561">
        <f t="shared" si="50"/>
        <v>0</v>
      </c>
      <c r="G33" s="561">
        <f t="shared" si="50"/>
        <v>0</v>
      </c>
      <c r="H33" s="561">
        <f t="shared" si="50"/>
        <v>0</v>
      </c>
      <c r="I33" s="561">
        <f t="shared" si="50"/>
        <v>0</v>
      </c>
      <c r="J33" s="561">
        <f t="shared" si="50"/>
        <v>0</v>
      </c>
      <c r="K33" s="561">
        <f t="shared" si="50"/>
        <v>0</v>
      </c>
      <c r="L33" s="561">
        <f t="shared" si="50"/>
        <v>0</v>
      </c>
      <c r="M33" s="561">
        <f t="shared" si="50"/>
        <v>0</v>
      </c>
      <c r="N33" s="561">
        <f t="shared" si="50"/>
        <v>0</v>
      </c>
      <c r="O33" s="561">
        <f t="shared" si="50"/>
        <v>0</v>
      </c>
      <c r="P33" s="561">
        <f t="shared" si="50"/>
        <v>0</v>
      </c>
      <c r="Q33" s="561">
        <f t="shared" si="50"/>
        <v>0</v>
      </c>
      <c r="R33" s="561">
        <f t="shared" si="50"/>
        <v>0</v>
      </c>
      <c r="S33" s="561">
        <f t="shared" si="50"/>
        <v>0</v>
      </c>
      <c r="T33" s="561">
        <f t="shared" si="50"/>
        <v>0</v>
      </c>
      <c r="U33" s="561">
        <f t="shared" si="50"/>
        <v>0</v>
      </c>
      <c r="V33" s="561">
        <f t="shared" si="50"/>
        <v>0</v>
      </c>
      <c r="W33" s="561">
        <f t="shared" si="50"/>
        <v>0</v>
      </c>
      <c r="X33" s="561">
        <f t="shared" si="50"/>
        <v>0</v>
      </c>
      <c r="Y33" s="561">
        <f t="shared" si="50"/>
        <v>0</v>
      </c>
      <c r="Z33" s="561">
        <f t="shared" si="50"/>
        <v>0</v>
      </c>
      <c r="AA33" s="561">
        <f t="shared" si="50"/>
        <v>0</v>
      </c>
      <c r="AB33" s="561">
        <f t="shared" si="50"/>
        <v>0</v>
      </c>
      <c r="AC33" s="561">
        <f t="shared" si="50"/>
        <v>0</v>
      </c>
      <c r="AD33" s="561">
        <f t="shared" si="50"/>
        <v>0</v>
      </c>
      <c r="AE33" s="561">
        <f t="shared" si="50"/>
        <v>0</v>
      </c>
      <c r="AF33" s="561">
        <f t="shared" si="50"/>
        <v>0</v>
      </c>
      <c r="AG33" s="561">
        <f t="shared" si="50"/>
        <v>0</v>
      </c>
      <c r="AH33" s="561">
        <f t="shared" si="50"/>
        <v>0</v>
      </c>
      <c r="AI33" s="561">
        <f t="shared" si="50"/>
        <v>0</v>
      </c>
      <c r="AJ33" s="561">
        <f t="shared" si="50"/>
        <v>0</v>
      </c>
      <c r="AK33" s="561">
        <f t="shared" si="50"/>
        <v>0</v>
      </c>
      <c r="AL33" s="561">
        <f t="shared" si="50"/>
        <v>0</v>
      </c>
      <c r="AM33" s="561">
        <f t="shared" si="50"/>
        <v>0</v>
      </c>
      <c r="AN33" s="561">
        <f t="shared" si="50"/>
        <v>0</v>
      </c>
      <c r="AO33" s="561">
        <f t="shared" si="50"/>
        <v>0</v>
      </c>
      <c r="AP33" s="561">
        <f t="shared" si="50"/>
        <v>0</v>
      </c>
      <c r="AQ33" s="561">
        <f t="shared" si="50"/>
        <v>0</v>
      </c>
      <c r="AR33" s="95"/>
      <c r="AS33" s="116">
        <f t="shared" si="7"/>
        <v>0</v>
      </c>
      <c r="AT33" s="392">
        <f t="shared" si="8"/>
        <v>0</v>
      </c>
      <c r="AU33" s="392">
        <f t="shared" si="9"/>
        <v>0</v>
      </c>
      <c r="AV33" s="392">
        <f t="shared" si="10"/>
        <v>0</v>
      </c>
      <c r="AW33" s="392">
        <f t="shared" si="11"/>
        <v>0</v>
      </c>
      <c r="AX33" s="392">
        <f t="shared" si="12"/>
        <v>0</v>
      </c>
      <c r="AY33" s="392">
        <f t="shared" si="13"/>
        <v>0</v>
      </c>
      <c r="AZ33" s="392">
        <f t="shared" si="14"/>
        <v>0</v>
      </c>
      <c r="BA33" s="392">
        <f t="shared" si="15"/>
        <v>0</v>
      </c>
      <c r="BB33" s="392">
        <f t="shared" si="16"/>
        <v>0</v>
      </c>
      <c r="BC33" s="392">
        <f t="shared" si="36"/>
        <v>0</v>
      </c>
    </row>
    <row r="34" spans="1:55" s="108" customFormat="1" ht="28.8" x14ac:dyDescent="0.3">
      <c r="A34" s="554" t="s">
        <v>113</v>
      </c>
      <c r="B34" s="111"/>
      <c r="C34" s="564"/>
      <c r="D34" s="555">
        <f>SUM(D29:D33)</f>
        <v>0</v>
      </c>
      <c r="E34" s="555">
        <f t="shared" ref="E34:AQ34" si="51">SUM(E29:E33)</f>
        <v>0</v>
      </c>
      <c r="F34" s="555">
        <f t="shared" si="51"/>
        <v>0</v>
      </c>
      <c r="G34" s="555">
        <f t="shared" si="51"/>
        <v>0</v>
      </c>
      <c r="H34" s="555">
        <f t="shared" si="51"/>
        <v>0</v>
      </c>
      <c r="I34" s="555">
        <f t="shared" si="51"/>
        <v>0</v>
      </c>
      <c r="J34" s="555">
        <f t="shared" si="51"/>
        <v>0</v>
      </c>
      <c r="K34" s="555">
        <f t="shared" si="51"/>
        <v>0</v>
      </c>
      <c r="L34" s="555">
        <f t="shared" si="51"/>
        <v>0</v>
      </c>
      <c r="M34" s="555">
        <f t="shared" si="51"/>
        <v>0</v>
      </c>
      <c r="N34" s="555">
        <f t="shared" si="51"/>
        <v>0</v>
      </c>
      <c r="O34" s="555">
        <f t="shared" si="51"/>
        <v>0</v>
      </c>
      <c r="P34" s="555">
        <f t="shared" si="51"/>
        <v>0</v>
      </c>
      <c r="Q34" s="555">
        <f t="shared" si="51"/>
        <v>0</v>
      </c>
      <c r="R34" s="555">
        <f t="shared" si="51"/>
        <v>0</v>
      </c>
      <c r="S34" s="555">
        <f t="shared" si="51"/>
        <v>0</v>
      </c>
      <c r="T34" s="555">
        <f t="shared" si="51"/>
        <v>0</v>
      </c>
      <c r="U34" s="555">
        <f t="shared" si="51"/>
        <v>0</v>
      </c>
      <c r="V34" s="555">
        <f t="shared" si="51"/>
        <v>0</v>
      </c>
      <c r="W34" s="555">
        <f t="shared" si="51"/>
        <v>0</v>
      </c>
      <c r="X34" s="555">
        <f t="shared" si="51"/>
        <v>0</v>
      </c>
      <c r="Y34" s="555">
        <f t="shared" si="51"/>
        <v>0</v>
      </c>
      <c r="Z34" s="555">
        <f t="shared" si="51"/>
        <v>0</v>
      </c>
      <c r="AA34" s="555">
        <f t="shared" si="51"/>
        <v>0</v>
      </c>
      <c r="AB34" s="555">
        <f t="shared" si="51"/>
        <v>0</v>
      </c>
      <c r="AC34" s="555">
        <f t="shared" si="51"/>
        <v>0</v>
      </c>
      <c r="AD34" s="555">
        <f t="shared" si="51"/>
        <v>0</v>
      </c>
      <c r="AE34" s="555">
        <f t="shared" si="51"/>
        <v>0</v>
      </c>
      <c r="AF34" s="555">
        <f t="shared" si="51"/>
        <v>0</v>
      </c>
      <c r="AG34" s="555">
        <f t="shared" si="51"/>
        <v>0</v>
      </c>
      <c r="AH34" s="555">
        <f t="shared" si="51"/>
        <v>0</v>
      </c>
      <c r="AI34" s="555">
        <f t="shared" si="51"/>
        <v>0</v>
      </c>
      <c r="AJ34" s="555">
        <f t="shared" si="51"/>
        <v>0</v>
      </c>
      <c r="AK34" s="555">
        <f t="shared" si="51"/>
        <v>0</v>
      </c>
      <c r="AL34" s="555">
        <f t="shared" si="51"/>
        <v>0</v>
      </c>
      <c r="AM34" s="555">
        <f t="shared" si="51"/>
        <v>0</v>
      </c>
      <c r="AN34" s="555">
        <f t="shared" si="51"/>
        <v>0</v>
      </c>
      <c r="AO34" s="555">
        <f t="shared" si="51"/>
        <v>0</v>
      </c>
      <c r="AP34" s="555">
        <f t="shared" si="51"/>
        <v>0</v>
      </c>
      <c r="AQ34" s="555">
        <f t="shared" si="51"/>
        <v>0</v>
      </c>
      <c r="AR34" s="110"/>
      <c r="AS34" s="110">
        <f t="shared" si="7"/>
        <v>0</v>
      </c>
      <c r="AT34" s="555">
        <f t="shared" si="8"/>
        <v>0</v>
      </c>
      <c r="AU34" s="555">
        <f t="shared" si="9"/>
        <v>0</v>
      </c>
      <c r="AV34" s="555">
        <f t="shared" si="10"/>
        <v>0</v>
      </c>
      <c r="AW34" s="555">
        <f t="shared" si="11"/>
        <v>0</v>
      </c>
      <c r="AX34" s="555">
        <f t="shared" si="12"/>
        <v>0</v>
      </c>
      <c r="AY34" s="555">
        <f t="shared" si="13"/>
        <v>0</v>
      </c>
      <c r="AZ34" s="555">
        <f t="shared" si="14"/>
        <v>0</v>
      </c>
      <c r="BA34" s="555">
        <f t="shared" si="15"/>
        <v>0</v>
      </c>
      <c r="BB34" s="111">
        <f t="shared" si="16"/>
        <v>0</v>
      </c>
      <c r="BC34" s="111">
        <f t="shared" si="36"/>
        <v>0</v>
      </c>
    </row>
    <row r="35" spans="1:55" s="112" customFormat="1" ht="18.75" customHeight="1" x14ac:dyDescent="0.3">
      <c r="A35" s="557" t="s">
        <v>114</v>
      </c>
      <c r="B35" s="114"/>
      <c r="C35" s="565"/>
      <c r="D35" s="558">
        <f>D34*$B$61</f>
        <v>0</v>
      </c>
      <c r="E35" s="558">
        <f t="shared" ref="E35:AQ35" si="52">E34*$B$61</f>
        <v>0</v>
      </c>
      <c r="F35" s="558">
        <f t="shared" si="52"/>
        <v>0</v>
      </c>
      <c r="G35" s="558">
        <f t="shared" si="52"/>
        <v>0</v>
      </c>
      <c r="H35" s="558">
        <f t="shared" si="52"/>
        <v>0</v>
      </c>
      <c r="I35" s="558">
        <f t="shared" si="52"/>
        <v>0</v>
      </c>
      <c r="J35" s="558">
        <f t="shared" si="52"/>
        <v>0</v>
      </c>
      <c r="K35" s="558">
        <f t="shared" si="52"/>
        <v>0</v>
      </c>
      <c r="L35" s="558">
        <f t="shared" si="52"/>
        <v>0</v>
      </c>
      <c r="M35" s="558">
        <f t="shared" si="52"/>
        <v>0</v>
      </c>
      <c r="N35" s="558">
        <f t="shared" si="52"/>
        <v>0</v>
      </c>
      <c r="O35" s="558">
        <f t="shared" si="52"/>
        <v>0</v>
      </c>
      <c r="P35" s="558">
        <f t="shared" si="52"/>
        <v>0</v>
      </c>
      <c r="Q35" s="558">
        <f t="shared" si="52"/>
        <v>0</v>
      </c>
      <c r="R35" s="558">
        <f t="shared" si="52"/>
        <v>0</v>
      </c>
      <c r="S35" s="558">
        <f t="shared" si="52"/>
        <v>0</v>
      </c>
      <c r="T35" s="558">
        <f t="shared" si="52"/>
        <v>0</v>
      </c>
      <c r="U35" s="558">
        <f t="shared" si="52"/>
        <v>0</v>
      </c>
      <c r="V35" s="558">
        <f t="shared" si="52"/>
        <v>0</v>
      </c>
      <c r="W35" s="558">
        <f t="shared" si="52"/>
        <v>0</v>
      </c>
      <c r="X35" s="558">
        <f t="shared" si="52"/>
        <v>0</v>
      </c>
      <c r="Y35" s="558">
        <f t="shared" si="52"/>
        <v>0</v>
      </c>
      <c r="Z35" s="558">
        <f t="shared" si="52"/>
        <v>0</v>
      </c>
      <c r="AA35" s="558">
        <f t="shared" si="52"/>
        <v>0</v>
      </c>
      <c r="AB35" s="558">
        <f t="shared" si="52"/>
        <v>0</v>
      </c>
      <c r="AC35" s="558">
        <f t="shared" si="52"/>
        <v>0</v>
      </c>
      <c r="AD35" s="558">
        <f t="shared" si="52"/>
        <v>0</v>
      </c>
      <c r="AE35" s="558">
        <f t="shared" si="52"/>
        <v>0</v>
      </c>
      <c r="AF35" s="558">
        <f t="shared" si="52"/>
        <v>0</v>
      </c>
      <c r="AG35" s="558">
        <f t="shared" si="52"/>
        <v>0</v>
      </c>
      <c r="AH35" s="558">
        <f t="shared" si="52"/>
        <v>0</v>
      </c>
      <c r="AI35" s="558">
        <f t="shared" si="52"/>
        <v>0</v>
      </c>
      <c r="AJ35" s="558">
        <f t="shared" si="52"/>
        <v>0</v>
      </c>
      <c r="AK35" s="558">
        <f t="shared" si="52"/>
        <v>0</v>
      </c>
      <c r="AL35" s="558">
        <f t="shared" si="52"/>
        <v>0</v>
      </c>
      <c r="AM35" s="558">
        <f t="shared" si="52"/>
        <v>0</v>
      </c>
      <c r="AN35" s="558">
        <f t="shared" si="52"/>
        <v>0</v>
      </c>
      <c r="AO35" s="558">
        <f t="shared" si="52"/>
        <v>0</v>
      </c>
      <c r="AP35" s="558">
        <f t="shared" si="52"/>
        <v>0</v>
      </c>
      <c r="AQ35" s="558">
        <f t="shared" si="52"/>
        <v>0</v>
      </c>
      <c r="AR35" s="113"/>
      <c r="AS35" s="113">
        <f t="shared" si="7"/>
        <v>0</v>
      </c>
      <c r="AT35" s="113">
        <f t="shared" si="8"/>
        <v>0</v>
      </c>
      <c r="AU35" s="113">
        <f t="shared" si="9"/>
        <v>0</v>
      </c>
      <c r="AV35" s="113">
        <f t="shared" si="10"/>
        <v>0</v>
      </c>
      <c r="AW35" s="113">
        <f t="shared" si="11"/>
        <v>0</v>
      </c>
      <c r="AX35" s="113">
        <f t="shared" si="12"/>
        <v>0</v>
      </c>
      <c r="AY35" s="113">
        <f t="shared" si="13"/>
        <v>0</v>
      </c>
      <c r="AZ35" s="113">
        <f t="shared" si="14"/>
        <v>0</v>
      </c>
      <c r="BA35" s="113">
        <f t="shared" si="15"/>
        <v>0</v>
      </c>
      <c r="BB35" s="115">
        <f t="shared" si="16"/>
        <v>0</v>
      </c>
      <c r="BC35" s="115">
        <f t="shared" si="36"/>
        <v>0</v>
      </c>
    </row>
    <row r="36" spans="1:55" ht="43.2" x14ac:dyDescent="0.3">
      <c r="A36" s="566" t="s">
        <v>130</v>
      </c>
      <c r="B36" s="107"/>
      <c r="C36" s="567"/>
      <c r="D36" s="561"/>
      <c r="E36" s="561"/>
      <c r="F36" s="561"/>
      <c r="G36" s="561"/>
      <c r="H36" s="561"/>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v>0</v>
      </c>
      <c r="AK36" s="561">
        <v>0</v>
      </c>
      <c r="AL36" s="561">
        <v>0</v>
      </c>
      <c r="AM36" s="561">
        <v>0</v>
      </c>
      <c r="AN36" s="561">
        <v>0</v>
      </c>
      <c r="AO36" s="561">
        <v>0</v>
      </c>
      <c r="AP36" s="561">
        <v>0</v>
      </c>
      <c r="AQ36" s="561">
        <v>0</v>
      </c>
      <c r="AR36" s="95"/>
      <c r="AS36" s="116">
        <f t="shared" si="7"/>
        <v>0</v>
      </c>
      <c r="AT36" s="392">
        <f t="shared" si="8"/>
        <v>0</v>
      </c>
      <c r="AU36" s="392">
        <f t="shared" si="9"/>
        <v>0</v>
      </c>
      <c r="AV36" s="392">
        <f t="shared" si="10"/>
        <v>0</v>
      </c>
      <c r="AW36" s="392">
        <f t="shared" si="11"/>
        <v>0</v>
      </c>
      <c r="AX36" s="392">
        <f t="shared" si="12"/>
        <v>0</v>
      </c>
      <c r="AY36" s="392">
        <f t="shared" si="13"/>
        <v>0</v>
      </c>
      <c r="AZ36" s="392">
        <f t="shared" si="14"/>
        <v>0</v>
      </c>
      <c r="BA36" s="392">
        <f t="shared" si="15"/>
        <v>0</v>
      </c>
      <c r="BB36" s="392">
        <f t="shared" si="16"/>
        <v>0</v>
      </c>
      <c r="BC36" s="392">
        <f t="shared" si="36"/>
        <v>0</v>
      </c>
    </row>
    <row r="37" spans="1:55" x14ac:dyDescent="0.3">
      <c r="A37" s="569" t="s">
        <v>131</v>
      </c>
      <c r="B37" s="591">
        <v>0</v>
      </c>
      <c r="C37" s="570">
        <v>0</v>
      </c>
      <c r="D37" s="561">
        <f>$C$37*$B$37*3</f>
        <v>0</v>
      </c>
      <c r="E37" s="561">
        <f t="shared" ref="E37:AI45" si="53">$B$37*$C$37*3</f>
        <v>0</v>
      </c>
      <c r="F37" s="561">
        <f t="shared" si="53"/>
        <v>0</v>
      </c>
      <c r="G37" s="561">
        <f t="shared" si="53"/>
        <v>0</v>
      </c>
      <c r="H37" s="561">
        <f t="shared" si="53"/>
        <v>0</v>
      </c>
      <c r="I37" s="561">
        <f t="shared" si="53"/>
        <v>0</v>
      </c>
      <c r="J37" s="561">
        <f t="shared" si="53"/>
        <v>0</v>
      </c>
      <c r="K37" s="561">
        <f t="shared" si="53"/>
        <v>0</v>
      </c>
      <c r="L37" s="561">
        <f t="shared" si="53"/>
        <v>0</v>
      </c>
      <c r="M37" s="561">
        <f t="shared" si="53"/>
        <v>0</v>
      </c>
      <c r="N37" s="561">
        <f t="shared" si="53"/>
        <v>0</v>
      </c>
      <c r="O37" s="561">
        <f t="shared" si="53"/>
        <v>0</v>
      </c>
      <c r="P37" s="561">
        <f t="shared" si="53"/>
        <v>0</v>
      </c>
      <c r="Q37" s="561">
        <f t="shared" si="53"/>
        <v>0</v>
      </c>
      <c r="R37" s="561">
        <f t="shared" si="53"/>
        <v>0</v>
      </c>
      <c r="S37" s="561">
        <f t="shared" si="53"/>
        <v>0</v>
      </c>
      <c r="T37" s="561">
        <f t="shared" si="53"/>
        <v>0</v>
      </c>
      <c r="U37" s="561">
        <f t="shared" si="53"/>
        <v>0</v>
      </c>
      <c r="V37" s="561">
        <f t="shared" si="53"/>
        <v>0</v>
      </c>
      <c r="W37" s="561">
        <f t="shared" si="53"/>
        <v>0</v>
      </c>
      <c r="X37" s="561">
        <f t="shared" si="53"/>
        <v>0</v>
      </c>
      <c r="Y37" s="561">
        <f t="shared" si="53"/>
        <v>0</v>
      </c>
      <c r="Z37" s="561">
        <f t="shared" si="53"/>
        <v>0</v>
      </c>
      <c r="AA37" s="561">
        <f t="shared" si="53"/>
        <v>0</v>
      </c>
      <c r="AB37" s="561">
        <f t="shared" si="53"/>
        <v>0</v>
      </c>
      <c r="AC37" s="561">
        <f t="shared" si="53"/>
        <v>0</v>
      </c>
      <c r="AD37" s="561">
        <f t="shared" si="53"/>
        <v>0</v>
      </c>
      <c r="AE37" s="561">
        <f t="shared" si="53"/>
        <v>0</v>
      </c>
      <c r="AF37" s="561">
        <f t="shared" si="53"/>
        <v>0</v>
      </c>
      <c r="AG37" s="561">
        <f t="shared" si="53"/>
        <v>0</v>
      </c>
      <c r="AH37" s="561">
        <f t="shared" si="53"/>
        <v>0</v>
      </c>
      <c r="AI37" s="561">
        <f t="shared" si="53"/>
        <v>0</v>
      </c>
      <c r="AJ37" s="561">
        <v>0</v>
      </c>
      <c r="AK37" s="561">
        <v>0</v>
      </c>
      <c r="AL37" s="561">
        <v>0</v>
      </c>
      <c r="AM37" s="561">
        <v>0</v>
      </c>
      <c r="AN37" s="561">
        <v>0</v>
      </c>
      <c r="AO37" s="561">
        <v>0</v>
      </c>
      <c r="AP37" s="561">
        <v>0</v>
      </c>
      <c r="AQ37" s="561">
        <v>0</v>
      </c>
      <c r="AR37" s="95"/>
      <c r="AS37" s="116">
        <f t="shared" si="7"/>
        <v>0</v>
      </c>
      <c r="AT37" s="392">
        <f t="shared" si="8"/>
        <v>0</v>
      </c>
      <c r="AU37" s="392">
        <f t="shared" si="9"/>
        <v>0</v>
      </c>
      <c r="AV37" s="392">
        <f t="shared" si="10"/>
        <v>0</v>
      </c>
      <c r="AW37" s="392">
        <f t="shared" si="11"/>
        <v>0</v>
      </c>
      <c r="AX37" s="392">
        <f t="shared" si="12"/>
        <v>0</v>
      </c>
      <c r="AY37" s="392">
        <f t="shared" si="13"/>
        <v>0</v>
      </c>
      <c r="AZ37" s="392">
        <f t="shared" si="14"/>
        <v>0</v>
      </c>
      <c r="BA37" s="392">
        <f t="shared" si="15"/>
        <v>0</v>
      </c>
      <c r="BB37" s="392">
        <f t="shared" si="16"/>
        <v>0</v>
      </c>
      <c r="BC37" s="392">
        <f t="shared" si="36"/>
        <v>0</v>
      </c>
    </row>
    <row r="38" spans="1:55" x14ac:dyDescent="0.3">
      <c r="A38" s="569" t="s">
        <v>132</v>
      </c>
      <c r="B38" s="591">
        <v>0</v>
      </c>
      <c r="C38" s="570">
        <v>0</v>
      </c>
      <c r="D38" s="561">
        <f>$C$38*$B$38*3</f>
        <v>0</v>
      </c>
      <c r="E38" s="561">
        <f t="shared" ref="E38:V38" si="54">$B$38*$C$38*3</f>
        <v>0</v>
      </c>
      <c r="F38" s="561">
        <f t="shared" si="54"/>
        <v>0</v>
      </c>
      <c r="G38" s="561">
        <f t="shared" si="54"/>
        <v>0</v>
      </c>
      <c r="H38" s="561">
        <f t="shared" si="54"/>
        <v>0</v>
      </c>
      <c r="I38" s="561">
        <f t="shared" si="54"/>
        <v>0</v>
      </c>
      <c r="J38" s="561">
        <f t="shared" si="54"/>
        <v>0</v>
      </c>
      <c r="K38" s="561">
        <f t="shared" si="54"/>
        <v>0</v>
      </c>
      <c r="L38" s="561">
        <f t="shared" si="54"/>
        <v>0</v>
      </c>
      <c r="M38" s="561">
        <f t="shared" si="54"/>
        <v>0</v>
      </c>
      <c r="N38" s="561">
        <f t="shared" si="54"/>
        <v>0</v>
      </c>
      <c r="O38" s="561">
        <f t="shared" si="54"/>
        <v>0</v>
      </c>
      <c r="P38" s="561">
        <f t="shared" si="54"/>
        <v>0</v>
      </c>
      <c r="Q38" s="561">
        <f t="shared" si="54"/>
        <v>0</v>
      </c>
      <c r="R38" s="561">
        <f t="shared" si="54"/>
        <v>0</v>
      </c>
      <c r="S38" s="561">
        <f t="shared" si="54"/>
        <v>0</v>
      </c>
      <c r="T38" s="561">
        <f t="shared" si="54"/>
        <v>0</v>
      </c>
      <c r="U38" s="561">
        <f t="shared" si="54"/>
        <v>0</v>
      </c>
      <c r="V38" s="561">
        <f t="shared" si="54"/>
        <v>0</v>
      </c>
      <c r="W38" s="561">
        <f t="shared" si="53"/>
        <v>0</v>
      </c>
      <c r="X38" s="561">
        <f t="shared" si="53"/>
        <v>0</v>
      </c>
      <c r="Y38" s="561">
        <f t="shared" si="53"/>
        <v>0</v>
      </c>
      <c r="Z38" s="561">
        <f t="shared" si="53"/>
        <v>0</v>
      </c>
      <c r="AA38" s="561">
        <f t="shared" si="53"/>
        <v>0</v>
      </c>
      <c r="AB38" s="561">
        <f t="shared" si="53"/>
        <v>0</v>
      </c>
      <c r="AC38" s="561">
        <f t="shared" si="53"/>
        <v>0</v>
      </c>
      <c r="AD38" s="561">
        <f t="shared" si="53"/>
        <v>0</v>
      </c>
      <c r="AE38" s="561">
        <f t="shared" si="53"/>
        <v>0</v>
      </c>
      <c r="AF38" s="561">
        <f t="shared" si="53"/>
        <v>0</v>
      </c>
      <c r="AG38" s="561">
        <f t="shared" si="53"/>
        <v>0</v>
      </c>
      <c r="AH38" s="561">
        <f t="shared" si="53"/>
        <v>0</v>
      </c>
      <c r="AI38" s="561">
        <f t="shared" si="53"/>
        <v>0</v>
      </c>
      <c r="AJ38" s="561">
        <v>0</v>
      </c>
      <c r="AK38" s="561">
        <v>0</v>
      </c>
      <c r="AL38" s="561">
        <v>0</v>
      </c>
      <c r="AM38" s="561">
        <v>0</v>
      </c>
      <c r="AN38" s="561">
        <v>0</v>
      </c>
      <c r="AO38" s="561">
        <v>0</v>
      </c>
      <c r="AP38" s="561">
        <v>0</v>
      </c>
      <c r="AQ38" s="561">
        <v>0</v>
      </c>
      <c r="AR38" s="95"/>
      <c r="AS38" s="116">
        <f t="shared" si="7"/>
        <v>0</v>
      </c>
      <c r="AT38" s="392">
        <f t="shared" si="8"/>
        <v>0</v>
      </c>
      <c r="AU38" s="392">
        <f t="shared" si="9"/>
        <v>0</v>
      </c>
      <c r="AV38" s="392">
        <f t="shared" si="10"/>
        <v>0</v>
      </c>
      <c r="AW38" s="392">
        <f t="shared" si="11"/>
        <v>0</v>
      </c>
      <c r="AX38" s="392">
        <f t="shared" si="12"/>
        <v>0</v>
      </c>
      <c r="AY38" s="392">
        <f t="shared" si="13"/>
        <v>0</v>
      </c>
      <c r="AZ38" s="392">
        <f t="shared" si="14"/>
        <v>0</v>
      </c>
      <c r="BA38" s="392">
        <f t="shared" si="15"/>
        <v>0</v>
      </c>
      <c r="BB38" s="392">
        <f t="shared" si="16"/>
        <v>0</v>
      </c>
      <c r="BC38" s="392">
        <f t="shared" si="36"/>
        <v>0</v>
      </c>
    </row>
    <row r="39" spans="1:55" x14ac:dyDescent="0.3">
      <c r="A39" s="569" t="s">
        <v>133</v>
      </c>
      <c r="B39" s="591">
        <v>0</v>
      </c>
      <c r="C39" s="570">
        <v>0</v>
      </c>
      <c r="D39" s="561">
        <f>$C$39*$B$39*3</f>
        <v>0</v>
      </c>
      <c r="E39" s="561">
        <f t="shared" ref="E39:V39" si="55">$B$39*$C$39*3</f>
        <v>0</v>
      </c>
      <c r="F39" s="561">
        <f t="shared" si="55"/>
        <v>0</v>
      </c>
      <c r="G39" s="561">
        <f t="shared" si="55"/>
        <v>0</v>
      </c>
      <c r="H39" s="561">
        <f t="shared" si="55"/>
        <v>0</v>
      </c>
      <c r="I39" s="561">
        <f t="shared" si="55"/>
        <v>0</v>
      </c>
      <c r="J39" s="561">
        <f t="shared" si="55"/>
        <v>0</v>
      </c>
      <c r="K39" s="561">
        <f t="shared" si="55"/>
        <v>0</v>
      </c>
      <c r="L39" s="561">
        <f t="shared" si="55"/>
        <v>0</v>
      </c>
      <c r="M39" s="561">
        <f t="shared" si="55"/>
        <v>0</v>
      </c>
      <c r="N39" s="561">
        <f t="shared" si="55"/>
        <v>0</v>
      </c>
      <c r="O39" s="561">
        <f t="shared" si="55"/>
        <v>0</v>
      </c>
      <c r="P39" s="561">
        <f t="shared" si="55"/>
        <v>0</v>
      </c>
      <c r="Q39" s="561">
        <f t="shared" si="55"/>
        <v>0</v>
      </c>
      <c r="R39" s="561">
        <f t="shared" si="55"/>
        <v>0</v>
      </c>
      <c r="S39" s="561">
        <f t="shared" si="55"/>
        <v>0</v>
      </c>
      <c r="T39" s="561">
        <f t="shared" si="55"/>
        <v>0</v>
      </c>
      <c r="U39" s="561">
        <f t="shared" si="55"/>
        <v>0</v>
      </c>
      <c r="V39" s="561">
        <f t="shared" si="55"/>
        <v>0</v>
      </c>
      <c r="W39" s="561">
        <f t="shared" si="53"/>
        <v>0</v>
      </c>
      <c r="X39" s="561">
        <f t="shared" si="53"/>
        <v>0</v>
      </c>
      <c r="Y39" s="561">
        <f t="shared" si="53"/>
        <v>0</v>
      </c>
      <c r="Z39" s="561">
        <f t="shared" si="53"/>
        <v>0</v>
      </c>
      <c r="AA39" s="561">
        <f t="shared" si="53"/>
        <v>0</v>
      </c>
      <c r="AB39" s="561">
        <f t="shared" si="53"/>
        <v>0</v>
      </c>
      <c r="AC39" s="561">
        <f t="shared" si="53"/>
        <v>0</v>
      </c>
      <c r="AD39" s="561">
        <f t="shared" si="53"/>
        <v>0</v>
      </c>
      <c r="AE39" s="561">
        <f t="shared" si="53"/>
        <v>0</v>
      </c>
      <c r="AF39" s="561">
        <f t="shared" si="53"/>
        <v>0</v>
      </c>
      <c r="AG39" s="561">
        <f t="shared" si="53"/>
        <v>0</v>
      </c>
      <c r="AH39" s="561">
        <f t="shared" si="53"/>
        <v>0</v>
      </c>
      <c r="AI39" s="561">
        <f t="shared" si="53"/>
        <v>0</v>
      </c>
      <c r="AJ39" s="561">
        <v>0</v>
      </c>
      <c r="AK39" s="561">
        <v>0</v>
      </c>
      <c r="AL39" s="561">
        <v>0</v>
      </c>
      <c r="AM39" s="561">
        <v>0</v>
      </c>
      <c r="AN39" s="561">
        <v>0</v>
      </c>
      <c r="AO39" s="561">
        <v>0</v>
      </c>
      <c r="AP39" s="561">
        <v>0</v>
      </c>
      <c r="AQ39" s="561">
        <v>0</v>
      </c>
      <c r="AR39" s="95"/>
      <c r="AS39" s="116">
        <f t="shared" si="7"/>
        <v>0</v>
      </c>
      <c r="AT39" s="392">
        <f t="shared" si="8"/>
        <v>0</v>
      </c>
      <c r="AU39" s="392">
        <f t="shared" si="9"/>
        <v>0</v>
      </c>
      <c r="AV39" s="392">
        <f t="shared" si="10"/>
        <v>0</v>
      </c>
      <c r="AW39" s="392">
        <f t="shared" si="11"/>
        <v>0</v>
      </c>
      <c r="AX39" s="392">
        <f t="shared" si="12"/>
        <v>0</v>
      </c>
      <c r="AY39" s="392">
        <f t="shared" si="13"/>
        <v>0</v>
      </c>
      <c r="AZ39" s="392">
        <f t="shared" si="14"/>
        <v>0</v>
      </c>
      <c r="BA39" s="392">
        <f t="shared" si="15"/>
        <v>0</v>
      </c>
      <c r="BB39" s="392">
        <f t="shared" si="16"/>
        <v>0</v>
      </c>
      <c r="BC39" s="392">
        <f t="shared" si="36"/>
        <v>0</v>
      </c>
    </row>
    <row r="40" spans="1:55" x14ac:dyDescent="0.3">
      <c r="A40" s="569" t="s">
        <v>134</v>
      </c>
      <c r="B40" s="591">
        <v>0</v>
      </c>
      <c r="C40" s="570">
        <v>0</v>
      </c>
      <c r="D40" s="561">
        <f>$C$40*$B$40*3</f>
        <v>0</v>
      </c>
      <c r="E40" s="561">
        <f t="shared" ref="E40:V40" si="56">$B$40*$C$40*3</f>
        <v>0</v>
      </c>
      <c r="F40" s="561">
        <f t="shared" si="56"/>
        <v>0</v>
      </c>
      <c r="G40" s="561">
        <f t="shared" si="56"/>
        <v>0</v>
      </c>
      <c r="H40" s="561">
        <f t="shared" si="56"/>
        <v>0</v>
      </c>
      <c r="I40" s="561">
        <f t="shared" si="56"/>
        <v>0</v>
      </c>
      <c r="J40" s="561">
        <f t="shared" si="56"/>
        <v>0</v>
      </c>
      <c r="K40" s="561">
        <f t="shared" si="56"/>
        <v>0</v>
      </c>
      <c r="L40" s="561">
        <f t="shared" si="56"/>
        <v>0</v>
      </c>
      <c r="M40" s="561">
        <f t="shared" si="56"/>
        <v>0</v>
      </c>
      <c r="N40" s="561">
        <f t="shared" si="56"/>
        <v>0</v>
      </c>
      <c r="O40" s="561">
        <f t="shared" si="56"/>
        <v>0</v>
      </c>
      <c r="P40" s="561">
        <f t="shared" si="56"/>
        <v>0</v>
      </c>
      <c r="Q40" s="561">
        <f t="shared" si="56"/>
        <v>0</v>
      </c>
      <c r="R40" s="561">
        <f t="shared" si="56"/>
        <v>0</v>
      </c>
      <c r="S40" s="561">
        <f t="shared" si="56"/>
        <v>0</v>
      </c>
      <c r="T40" s="561">
        <f t="shared" si="56"/>
        <v>0</v>
      </c>
      <c r="U40" s="561">
        <f t="shared" si="56"/>
        <v>0</v>
      </c>
      <c r="V40" s="561">
        <f t="shared" si="56"/>
        <v>0</v>
      </c>
      <c r="W40" s="561">
        <f t="shared" si="53"/>
        <v>0</v>
      </c>
      <c r="X40" s="561">
        <f t="shared" si="53"/>
        <v>0</v>
      </c>
      <c r="Y40" s="561">
        <f t="shared" si="53"/>
        <v>0</v>
      </c>
      <c r="Z40" s="561">
        <f t="shared" si="53"/>
        <v>0</v>
      </c>
      <c r="AA40" s="561">
        <f t="shared" si="53"/>
        <v>0</v>
      </c>
      <c r="AB40" s="561">
        <f t="shared" si="53"/>
        <v>0</v>
      </c>
      <c r="AC40" s="561">
        <f t="shared" si="53"/>
        <v>0</v>
      </c>
      <c r="AD40" s="561">
        <f t="shared" si="53"/>
        <v>0</v>
      </c>
      <c r="AE40" s="561">
        <f t="shared" si="53"/>
        <v>0</v>
      </c>
      <c r="AF40" s="561">
        <f t="shared" si="53"/>
        <v>0</v>
      </c>
      <c r="AG40" s="561">
        <f t="shared" si="53"/>
        <v>0</v>
      </c>
      <c r="AH40" s="561">
        <f t="shared" si="53"/>
        <v>0</v>
      </c>
      <c r="AI40" s="561">
        <f t="shared" si="53"/>
        <v>0</v>
      </c>
      <c r="AJ40" s="561">
        <v>0</v>
      </c>
      <c r="AK40" s="561">
        <v>0</v>
      </c>
      <c r="AL40" s="561">
        <v>0</v>
      </c>
      <c r="AM40" s="561">
        <v>0</v>
      </c>
      <c r="AN40" s="561">
        <v>0</v>
      </c>
      <c r="AO40" s="561">
        <v>0</v>
      </c>
      <c r="AP40" s="561">
        <v>0</v>
      </c>
      <c r="AQ40" s="561">
        <v>0</v>
      </c>
      <c r="AR40" s="95"/>
      <c r="AS40" s="116">
        <f t="shared" si="7"/>
        <v>0</v>
      </c>
      <c r="AT40" s="392">
        <f t="shared" si="8"/>
        <v>0</v>
      </c>
      <c r="AU40" s="392">
        <f t="shared" si="9"/>
        <v>0</v>
      </c>
      <c r="AV40" s="392">
        <f t="shared" si="10"/>
        <v>0</v>
      </c>
      <c r="AW40" s="392">
        <f t="shared" si="11"/>
        <v>0</v>
      </c>
      <c r="AX40" s="392">
        <f t="shared" si="12"/>
        <v>0</v>
      </c>
      <c r="AY40" s="392">
        <f t="shared" si="13"/>
        <v>0</v>
      </c>
      <c r="AZ40" s="392">
        <f t="shared" si="14"/>
        <v>0</v>
      </c>
      <c r="BA40" s="392">
        <f t="shared" si="15"/>
        <v>0</v>
      </c>
      <c r="BB40" s="392">
        <f t="shared" si="16"/>
        <v>0</v>
      </c>
      <c r="BC40" s="392">
        <f t="shared" si="36"/>
        <v>0</v>
      </c>
    </row>
    <row r="41" spans="1:55" x14ac:dyDescent="0.3">
      <c r="A41" s="569" t="s">
        <v>135</v>
      </c>
      <c r="B41" s="591">
        <v>0</v>
      </c>
      <c r="C41" s="570">
        <v>0</v>
      </c>
      <c r="D41" s="561">
        <f>$C$41*$B$41*3</f>
        <v>0</v>
      </c>
      <c r="E41" s="561">
        <f t="shared" ref="E41:V41" si="57">$B$41*$C$41*3</f>
        <v>0</v>
      </c>
      <c r="F41" s="561">
        <f t="shared" si="57"/>
        <v>0</v>
      </c>
      <c r="G41" s="561">
        <f t="shared" si="57"/>
        <v>0</v>
      </c>
      <c r="H41" s="561">
        <f t="shared" si="57"/>
        <v>0</v>
      </c>
      <c r="I41" s="561">
        <f t="shared" si="57"/>
        <v>0</v>
      </c>
      <c r="J41" s="561">
        <f t="shared" si="57"/>
        <v>0</v>
      </c>
      <c r="K41" s="561">
        <f t="shared" si="57"/>
        <v>0</v>
      </c>
      <c r="L41" s="561">
        <f t="shared" si="57"/>
        <v>0</v>
      </c>
      <c r="M41" s="561">
        <f t="shared" si="57"/>
        <v>0</v>
      </c>
      <c r="N41" s="561">
        <f t="shared" si="57"/>
        <v>0</v>
      </c>
      <c r="O41" s="561">
        <f t="shared" si="57"/>
        <v>0</v>
      </c>
      <c r="P41" s="561">
        <f t="shared" si="57"/>
        <v>0</v>
      </c>
      <c r="Q41" s="561">
        <f t="shared" si="57"/>
        <v>0</v>
      </c>
      <c r="R41" s="561">
        <f t="shared" si="57"/>
        <v>0</v>
      </c>
      <c r="S41" s="561">
        <f t="shared" si="57"/>
        <v>0</v>
      </c>
      <c r="T41" s="561">
        <f t="shared" si="57"/>
        <v>0</v>
      </c>
      <c r="U41" s="561">
        <f t="shared" si="57"/>
        <v>0</v>
      </c>
      <c r="V41" s="561">
        <f t="shared" si="57"/>
        <v>0</v>
      </c>
      <c r="W41" s="561">
        <f t="shared" si="53"/>
        <v>0</v>
      </c>
      <c r="X41" s="561">
        <f t="shared" si="53"/>
        <v>0</v>
      </c>
      <c r="Y41" s="561">
        <f t="shared" si="53"/>
        <v>0</v>
      </c>
      <c r="Z41" s="561">
        <f t="shared" si="53"/>
        <v>0</v>
      </c>
      <c r="AA41" s="561">
        <f t="shared" si="53"/>
        <v>0</v>
      </c>
      <c r="AB41" s="561">
        <f t="shared" si="53"/>
        <v>0</v>
      </c>
      <c r="AC41" s="561">
        <f t="shared" si="53"/>
        <v>0</v>
      </c>
      <c r="AD41" s="561">
        <f t="shared" si="53"/>
        <v>0</v>
      </c>
      <c r="AE41" s="561">
        <f t="shared" si="53"/>
        <v>0</v>
      </c>
      <c r="AF41" s="561">
        <f t="shared" si="53"/>
        <v>0</v>
      </c>
      <c r="AG41" s="561">
        <f t="shared" si="53"/>
        <v>0</v>
      </c>
      <c r="AH41" s="561">
        <f t="shared" si="53"/>
        <v>0</v>
      </c>
      <c r="AI41" s="561">
        <f t="shared" si="53"/>
        <v>0</v>
      </c>
      <c r="AJ41" s="561">
        <v>0</v>
      </c>
      <c r="AK41" s="561">
        <v>0</v>
      </c>
      <c r="AL41" s="561">
        <v>0</v>
      </c>
      <c r="AM41" s="561">
        <v>0</v>
      </c>
      <c r="AN41" s="561">
        <v>0</v>
      </c>
      <c r="AO41" s="561">
        <v>0</v>
      </c>
      <c r="AP41" s="561">
        <v>0</v>
      </c>
      <c r="AQ41" s="561">
        <v>0</v>
      </c>
      <c r="AR41" s="95"/>
      <c r="AS41" s="116">
        <f t="shared" si="7"/>
        <v>0</v>
      </c>
      <c r="AT41" s="392">
        <f t="shared" si="8"/>
        <v>0</v>
      </c>
      <c r="AU41" s="392">
        <f t="shared" si="9"/>
        <v>0</v>
      </c>
      <c r="AV41" s="392">
        <f t="shared" si="10"/>
        <v>0</v>
      </c>
      <c r="AW41" s="392">
        <f t="shared" si="11"/>
        <v>0</v>
      </c>
      <c r="AX41" s="392">
        <f t="shared" si="12"/>
        <v>0</v>
      </c>
      <c r="AY41" s="392">
        <f t="shared" si="13"/>
        <v>0</v>
      </c>
      <c r="AZ41" s="392">
        <f t="shared" si="14"/>
        <v>0</v>
      </c>
      <c r="BA41" s="392">
        <f t="shared" si="15"/>
        <v>0</v>
      </c>
      <c r="BB41" s="392">
        <f t="shared" si="16"/>
        <v>0</v>
      </c>
      <c r="BC41" s="392">
        <f t="shared" si="36"/>
        <v>0</v>
      </c>
    </row>
    <row r="42" spans="1:55" x14ac:dyDescent="0.3">
      <c r="A42" s="569" t="s">
        <v>136</v>
      </c>
      <c r="B42" s="591">
        <v>0</v>
      </c>
      <c r="C42" s="570">
        <v>0</v>
      </c>
      <c r="D42" s="561">
        <f>$C$42*$B$42*3</f>
        <v>0</v>
      </c>
      <c r="E42" s="561">
        <f t="shared" ref="E42:V42" si="58">$B$42*$C$42*3</f>
        <v>0</v>
      </c>
      <c r="F42" s="561">
        <f t="shared" si="58"/>
        <v>0</v>
      </c>
      <c r="G42" s="561">
        <f t="shared" si="58"/>
        <v>0</v>
      </c>
      <c r="H42" s="561">
        <f t="shared" si="58"/>
        <v>0</v>
      </c>
      <c r="I42" s="561">
        <f t="shared" si="58"/>
        <v>0</v>
      </c>
      <c r="J42" s="561">
        <f t="shared" si="58"/>
        <v>0</v>
      </c>
      <c r="K42" s="561">
        <f t="shared" si="58"/>
        <v>0</v>
      </c>
      <c r="L42" s="561">
        <f t="shared" si="58"/>
        <v>0</v>
      </c>
      <c r="M42" s="561">
        <f t="shared" si="58"/>
        <v>0</v>
      </c>
      <c r="N42" s="561">
        <f t="shared" si="58"/>
        <v>0</v>
      </c>
      <c r="O42" s="561">
        <f t="shared" si="58"/>
        <v>0</v>
      </c>
      <c r="P42" s="561">
        <f t="shared" si="58"/>
        <v>0</v>
      </c>
      <c r="Q42" s="561">
        <f t="shared" si="58"/>
        <v>0</v>
      </c>
      <c r="R42" s="561">
        <f t="shared" si="58"/>
        <v>0</v>
      </c>
      <c r="S42" s="561">
        <f t="shared" si="58"/>
        <v>0</v>
      </c>
      <c r="T42" s="561">
        <f t="shared" si="58"/>
        <v>0</v>
      </c>
      <c r="U42" s="561">
        <f t="shared" si="58"/>
        <v>0</v>
      </c>
      <c r="V42" s="561">
        <f t="shared" si="58"/>
        <v>0</v>
      </c>
      <c r="W42" s="561">
        <f t="shared" si="53"/>
        <v>0</v>
      </c>
      <c r="X42" s="561">
        <f t="shared" si="53"/>
        <v>0</v>
      </c>
      <c r="Y42" s="561">
        <f t="shared" si="53"/>
        <v>0</v>
      </c>
      <c r="Z42" s="561">
        <f t="shared" si="53"/>
        <v>0</v>
      </c>
      <c r="AA42" s="561">
        <f t="shared" si="53"/>
        <v>0</v>
      </c>
      <c r="AB42" s="561">
        <f t="shared" si="53"/>
        <v>0</v>
      </c>
      <c r="AC42" s="561">
        <f t="shared" si="53"/>
        <v>0</v>
      </c>
      <c r="AD42" s="561">
        <f t="shared" si="53"/>
        <v>0</v>
      </c>
      <c r="AE42" s="561">
        <f t="shared" si="53"/>
        <v>0</v>
      </c>
      <c r="AF42" s="561">
        <f t="shared" si="53"/>
        <v>0</v>
      </c>
      <c r="AG42" s="561">
        <f t="shared" si="53"/>
        <v>0</v>
      </c>
      <c r="AH42" s="561">
        <f t="shared" si="53"/>
        <v>0</v>
      </c>
      <c r="AI42" s="561">
        <f t="shared" si="53"/>
        <v>0</v>
      </c>
      <c r="AJ42" s="561">
        <v>0</v>
      </c>
      <c r="AK42" s="561">
        <v>0</v>
      </c>
      <c r="AL42" s="561">
        <v>0</v>
      </c>
      <c r="AM42" s="561">
        <v>0</v>
      </c>
      <c r="AN42" s="561">
        <v>0</v>
      </c>
      <c r="AO42" s="561">
        <v>0</v>
      </c>
      <c r="AP42" s="561">
        <v>0</v>
      </c>
      <c r="AQ42" s="561">
        <v>0</v>
      </c>
      <c r="AR42" s="95"/>
      <c r="AS42" s="116">
        <f t="shared" si="7"/>
        <v>0</v>
      </c>
      <c r="AT42" s="392">
        <f t="shared" si="8"/>
        <v>0</v>
      </c>
      <c r="AU42" s="392">
        <f t="shared" si="9"/>
        <v>0</v>
      </c>
      <c r="AV42" s="392">
        <f t="shared" si="10"/>
        <v>0</v>
      </c>
      <c r="AW42" s="392">
        <f t="shared" si="11"/>
        <v>0</v>
      </c>
      <c r="AX42" s="392">
        <f t="shared" si="12"/>
        <v>0</v>
      </c>
      <c r="AY42" s="392">
        <f t="shared" si="13"/>
        <v>0</v>
      </c>
      <c r="AZ42" s="392">
        <f t="shared" si="14"/>
        <v>0</v>
      </c>
      <c r="BA42" s="392">
        <f t="shared" si="15"/>
        <v>0</v>
      </c>
      <c r="BB42" s="392">
        <f t="shared" si="16"/>
        <v>0</v>
      </c>
      <c r="BC42" s="392">
        <f t="shared" si="36"/>
        <v>0</v>
      </c>
    </row>
    <row r="43" spans="1:55" x14ac:dyDescent="0.3">
      <c r="A43" s="569" t="s">
        <v>137</v>
      </c>
      <c r="B43" s="591">
        <v>0</v>
      </c>
      <c r="C43" s="570">
        <v>0</v>
      </c>
      <c r="D43" s="561">
        <f>$C$43*$B$43*3</f>
        <v>0</v>
      </c>
      <c r="E43" s="561">
        <f t="shared" ref="E43:V43" si="59">$B$43*$C$43*3</f>
        <v>0</v>
      </c>
      <c r="F43" s="561">
        <f t="shared" si="59"/>
        <v>0</v>
      </c>
      <c r="G43" s="561">
        <f t="shared" si="59"/>
        <v>0</v>
      </c>
      <c r="H43" s="561">
        <f t="shared" si="59"/>
        <v>0</v>
      </c>
      <c r="I43" s="561">
        <f t="shared" si="59"/>
        <v>0</v>
      </c>
      <c r="J43" s="561">
        <f t="shared" si="59"/>
        <v>0</v>
      </c>
      <c r="K43" s="561">
        <f t="shared" si="59"/>
        <v>0</v>
      </c>
      <c r="L43" s="561">
        <f t="shared" si="59"/>
        <v>0</v>
      </c>
      <c r="M43" s="561">
        <f t="shared" si="59"/>
        <v>0</v>
      </c>
      <c r="N43" s="561">
        <f t="shared" si="59"/>
        <v>0</v>
      </c>
      <c r="O43" s="561">
        <f t="shared" si="59"/>
        <v>0</v>
      </c>
      <c r="P43" s="561">
        <f t="shared" si="59"/>
        <v>0</v>
      </c>
      <c r="Q43" s="561">
        <f t="shared" si="59"/>
        <v>0</v>
      </c>
      <c r="R43" s="561">
        <f t="shared" si="59"/>
        <v>0</v>
      </c>
      <c r="S43" s="561">
        <f t="shared" si="59"/>
        <v>0</v>
      </c>
      <c r="T43" s="561">
        <f t="shared" si="59"/>
        <v>0</v>
      </c>
      <c r="U43" s="561">
        <f t="shared" si="59"/>
        <v>0</v>
      </c>
      <c r="V43" s="561">
        <f t="shared" si="59"/>
        <v>0</v>
      </c>
      <c r="W43" s="561">
        <f t="shared" si="53"/>
        <v>0</v>
      </c>
      <c r="X43" s="561">
        <f t="shared" si="53"/>
        <v>0</v>
      </c>
      <c r="Y43" s="561">
        <f t="shared" si="53"/>
        <v>0</v>
      </c>
      <c r="Z43" s="561">
        <f t="shared" si="53"/>
        <v>0</v>
      </c>
      <c r="AA43" s="561">
        <f t="shared" si="53"/>
        <v>0</v>
      </c>
      <c r="AB43" s="561">
        <f t="shared" si="53"/>
        <v>0</v>
      </c>
      <c r="AC43" s="561">
        <f t="shared" si="53"/>
        <v>0</v>
      </c>
      <c r="AD43" s="561">
        <f t="shared" si="53"/>
        <v>0</v>
      </c>
      <c r="AE43" s="561">
        <f t="shared" si="53"/>
        <v>0</v>
      </c>
      <c r="AF43" s="561">
        <f t="shared" si="53"/>
        <v>0</v>
      </c>
      <c r="AG43" s="561">
        <f t="shared" si="53"/>
        <v>0</v>
      </c>
      <c r="AH43" s="561">
        <f t="shared" si="53"/>
        <v>0</v>
      </c>
      <c r="AI43" s="561">
        <f t="shared" si="53"/>
        <v>0</v>
      </c>
      <c r="AJ43" s="561">
        <v>0</v>
      </c>
      <c r="AK43" s="561">
        <v>0</v>
      </c>
      <c r="AL43" s="561">
        <v>0</v>
      </c>
      <c r="AM43" s="561">
        <v>0</v>
      </c>
      <c r="AN43" s="561">
        <v>0</v>
      </c>
      <c r="AO43" s="561">
        <v>0</v>
      </c>
      <c r="AP43" s="561">
        <v>0</v>
      </c>
      <c r="AQ43" s="561">
        <v>0</v>
      </c>
      <c r="AR43" s="95"/>
      <c r="AS43" s="116">
        <f t="shared" si="7"/>
        <v>0</v>
      </c>
      <c r="AT43" s="392">
        <f t="shared" si="8"/>
        <v>0</v>
      </c>
      <c r="AU43" s="392">
        <f t="shared" si="9"/>
        <v>0</v>
      </c>
      <c r="AV43" s="392">
        <f t="shared" si="10"/>
        <v>0</v>
      </c>
      <c r="AW43" s="392">
        <f t="shared" si="11"/>
        <v>0</v>
      </c>
      <c r="AX43" s="392">
        <f t="shared" si="12"/>
        <v>0</v>
      </c>
      <c r="AY43" s="392">
        <f t="shared" si="13"/>
        <v>0</v>
      </c>
      <c r="AZ43" s="392">
        <f t="shared" si="14"/>
        <v>0</v>
      </c>
      <c r="BA43" s="392">
        <f t="shared" si="15"/>
        <v>0</v>
      </c>
      <c r="BB43" s="392">
        <f t="shared" si="16"/>
        <v>0</v>
      </c>
      <c r="BC43" s="392">
        <f t="shared" si="36"/>
        <v>0</v>
      </c>
    </row>
    <row r="44" spans="1:55" x14ac:dyDescent="0.3">
      <c r="A44" s="569" t="s">
        <v>138</v>
      </c>
      <c r="B44" s="591">
        <v>0</v>
      </c>
      <c r="C44" s="570">
        <v>0</v>
      </c>
      <c r="D44" s="561">
        <f>$C$44*$B$44*3</f>
        <v>0</v>
      </c>
      <c r="E44" s="561">
        <f t="shared" ref="E44:V44" si="60">$B$44*$C$44*3</f>
        <v>0</v>
      </c>
      <c r="F44" s="561">
        <f t="shared" si="60"/>
        <v>0</v>
      </c>
      <c r="G44" s="561">
        <f t="shared" si="60"/>
        <v>0</v>
      </c>
      <c r="H44" s="561">
        <f t="shared" si="60"/>
        <v>0</v>
      </c>
      <c r="I44" s="561">
        <f t="shared" si="60"/>
        <v>0</v>
      </c>
      <c r="J44" s="561">
        <f t="shared" si="60"/>
        <v>0</v>
      </c>
      <c r="K44" s="561">
        <f t="shared" si="60"/>
        <v>0</v>
      </c>
      <c r="L44" s="561">
        <f t="shared" si="60"/>
        <v>0</v>
      </c>
      <c r="M44" s="561">
        <f t="shared" si="60"/>
        <v>0</v>
      </c>
      <c r="N44" s="561">
        <f t="shared" si="60"/>
        <v>0</v>
      </c>
      <c r="O44" s="561">
        <f t="shared" si="60"/>
        <v>0</v>
      </c>
      <c r="P44" s="561">
        <f t="shared" si="60"/>
        <v>0</v>
      </c>
      <c r="Q44" s="561">
        <f t="shared" si="60"/>
        <v>0</v>
      </c>
      <c r="R44" s="561">
        <f t="shared" si="60"/>
        <v>0</v>
      </c>
      <c r="S44" s="561">
        <f t="shared" si="60"/>
        <v>0</v>
      </c>
      <c r="T44" s="561">
        <f t="shared" si="60"/>
        <v>0</v>
      </c>
      <c r="U44" s="561">
        <f t="shared" si="60"/>
        <v>0</v>
      </c>
      <c r="V44" s="561">
        <f t="shared" si="60"/>
        <v>0</v>
      </c>
      <c r="W44" s="561">
        <f t="shared" si="53"/>
        <v>0</v>
      </c>
      <c r="X44" s="561">
        <f t="shared" si="53"/>
        <v>0</v>
      </c>
      <c r="Y44" s="561">
        <f t="shared" si="53"/>
        <v>0</v>
      </c>
      <c r="Z44" s="561">
        <f t="shared" si="53"/>
        <v>0</v>
      </c>
      <c r="AA44" s="561">
        <f t="shared" si="53"/>
        <v>0</v>
      </c>
      <c r="AB44" s="561">
        <f t="shared" si="53"/>
        <v>0</v>
      </c>
      <c r="AC44" s="561">
        <f t="shared" si="53"/>
        <v>0</v>
      </c>
      <c r="AD44" s="561">
        <f t="shared" si="53"/>
        <v>0</v>
      </c>
      <c r="AE44" s="561">
        <f t="shared" si="53"/>
        <v>0</v>
      </c>
      <c r="AF44" s="561">
        <f t="shared" si="53"/>
        <v>0</v>
      </c>
      <c r="AG44" s="561">
        <f t="shared" si="53"/>
        <v>0</v>
      </c>
      <c r="AH44" s="561">
        <f t="shared" si="53"/>
        <v>0</v>
      </c>
      <c r="AI44" s="561">
        <f t="shared" si="53"/>
        <v>0</v>
      </c>
      <c r="AJ44" s="561">
        <v>0</v>
      </c>
      <c r="AK44" s="561">
        <v>0</v>
      </c>
      <c r="AL44" s="561">
        <v>0</v>
      </c>
      <c r="AM44" s="561">
        <v>0</v>
      </c>
      <c r="AN44" s="561">
        <v>0</v>
      </c>
      <c r="AO44" s="561">
        <v>0</v>
      </c>
      <c r="AP44" s="561">
        <v>0</v>
      </c>
      <c r="AQ44" s="561">
        <v>0</v>
      </c>
      <c r="AR44" s="95"/>
      <c r="AS44" s="116">
        <f t="shared" si="7"/>
        <v>0</v>
      </c>
      <c r="AT44" s="392">
        <f t="shared" si="8"/>
        <v>0</v>
      </c>
      <c r="AU44" s="392">
        <f t="shared" si="9"/>
        <v>0</v>
      </c>
      <c r="AV44" s="392">
        <f t="shared" si="10"/>
        <v>0</v>
      </c>
      <c r="AW44" s="392">
        <f t="shared" si="11"/>
        <v>0</v>
      </c>
      <c r="AX44" s="392">
        <f t="shared" si="12"/>
        <v>0</v>
      </c>
      <c r="AY44" s="392">
        <f t="shared" si="13"/>
        <v>0</v>
      </c>
      <c r="AZ44" s="392">
        <f t="shared" si="14"/>
        <v>0</v>
      </c>
      <c r="BA44" s="392">
        <f t="shared" si="15"/>
        <v>0</v>
      </c>
      <c r="BB44" s="392">
        <f t="shared" si="16"/>
        <v>0</v>
      </c>
      <c r="BC44" s="392">
        <f t="shared" si="36"/>
        <v>0</v>
      </c>
    </row>
    <row r="45" spans="1:55" x14ac:dyDescent="0.3">
      <c r="A45" s="569" t="s">
        <v>139</v>
      </c>
      <c r="B45" s="591">
        <v>0</v>
      </c>
      <c r="C45" s="570">
        <v>0</v>
      </c>
      <c r="D45" s="561">
        <f>$C$45*$B$45*3</f>
        <v>0</v>
      </c>
      <c r="E45" s="561">
        <f>$B$45*$C$45*3</f>
        <v>0</v>
      </c>
      <c r="F45" s="561">
        <f t="shared" ref="F45:V45" si="61">$B$45*$C$45*3</f>
        <v>0</v>
      </c>
      <c r="G45" s="561">
        <f t="shared" si="61"/>
        <v>0</v>
      </c>
      <c r="H45" s="561">
        <f t="shared" si="61"/>
        <v>0</v>
      </c>
      <c r="I45" s="561">
        <f t="shared" si="61"/>
        <v>0</v>
      </c>
      <c r="J45" s="561">
        <f t="shared" si="61"/>
        <v>0</v>
      </c>
      <c r="K45" s="561">
        <f t="shared" si="61"/>
        <v>0</v>
      </c>
      <c r="L45" s="561">
        <f t="shared" si="61"/>
        <v>0</v>
      </c>
      <c r="M45" s="561">
        <f t="shared" si="61"/>
        <v>0</v>
      </c>
      <c r="N45" s="561">
        <f t="shared" si="61"/>
        <v>0</v>
      </c>
      <c r="O45" s="561">
        <f t="shared" si="61"/>
        <v>0</v>
      </c>
      <c r="P45" s="561">
        <f t="shared" si="61"/>
        <v>0</v>
      </c>
      <c r="Q45" s="561">
        <f t="shared" si="61"/>
        <v>0</v>
      </c>
      <c r="R45" s="561">
        <f t="shared" si="61"/>
        <v>0</v>
      </c>
      <c r="S45" s="561">
        <f t="shared" si="61"/>
        <v>0</v>
      </c>
      <c r="T45" s="561">
        <f t="shared" si="61"/>
        <v>0</v>
      </c>
      <c r="U45" s="561">
        <f t="shared" si="61"/>
        <v>0</v>
      </c>
      <c r="V45" s="561">
        <f t="shared" si="61"/>
        <v>0</v>
      </c>
      <c r="W45" s="561">
        <f t="shared" si="53"/>
        <v>0</v>
      </c>
      <c r="X45" s="561">
        <f t="shared" si="53"/>
        <v>0</v>
      </c>
      <c r="Y45" s="561">
        <f t="shared" si="53"/>
        <v>0</v>
      </c>
      <c r="Z45" s="561">
        <f t="shared" si="53"/>
        <v>0</v>
      </c>
      <c r="AA45" s="561">
        <f t="shared" si="53"/>
        <v>0</v>
      </c>
      <c r="AB45" s="561">
        <f t="shared" si="53"/>
        <v>0</v>
      </c>
      <c r="AC45" s="561">
        <f t="shared" si="53"/>
        <v>0</v>
      </c>
      <c r="AD45" s="561">
        <f t="shared" si="53"/>
        <v>0</v>
      </c>
      <c r="AE45" s="561">
        <f t="shared" si="53"/>
        <v>0</v>
      </c>
      <c r="AF45" s="561">
        <f t="shared" si="53"/>
        <v>0</v>
      </c>
      <c r="AG45" s="561">
        <f t="shared" si="53"/>
        <v>0</v>
      </c>
      <c r="AH45" s="561">
        <f t="shared" si="53"/>
        <v>0</v>
      </c>
      <c r="AI45" s="561">
        <f t="shared" si="53"/>
        <v>0</v>
      </c>
      <c r="AJ45" s="561">
        <v>0</v>
      </c>
      <c r="AK45" s="561">
        <v>0</v>
      </c>
      <c r="AL45" s="561">
        <v>0</v>
      </c>
      <c r="AM45" s="561">
        <v>0</v>
      </c>
      <c r="AN45" s="561">
        <v>0</v>
      </c>
      <c r="AO45" s="561">
        <v>0</v>
      </c>
      <c r="AP45" s="561">
        <v>0</v>
      </c>
      <c r="AQ45" s="561">
        <v>0</v>
      </c>
      <c r="AR45" s="95"/>
      <c r="AS45" s="116">
        <f t="shared" si="7"/>
        <v>0</v>
      </c>
      <c r="AT45" s="392">
        <f t="shared" si="8"/>
        <v>0</v>
      </c>
      <c r="AU45" s="392">
        <f t="shared" si="9"/>
        <v>0</v>
      </c>
      <c r="AV45" s="392">
        <f t="shared" si="10"/>
        <v>0</v>
      </c>
      <c r="AW45" s="392">
        <f t="shared" si="11"/>
        <v>0</v>
      </c>
      <c r="AX45" s="392">
        <f t="shared" si="12"/>
        <v>0</v>
      </c>
      <c r="AY45" s="392">
        <f t="shared" si="13"/>
        <v>0</v>
      </c>
      <c r="AZ45" s="392">
        <f t="shared" si="14"/>
        <v>0</v>
      </c>
      <c r="BA45" s="392">
        <f t="shared" si="15"/>
        <v>0</v>
      </c>
      <c r="BB45" s="392">
        <f t="shared" si="16"/>
        <v>0</v>
      </c>
      <c r="BC45" s="392">
        <f t="shared" si="36"/>
        <v>0</v>
      </c>
    </row>
    <row r="46" spans="1:55" ht="28.8" x14ac:dyDescent="0.3">
      <c r="A46" s="569" t="s">
        <v>140</v>
      </c>
      <c r="B46" s="591">
        <v>0</v>
      </c>
      <c r="C46" s="570">
        <v>0</v>
      </c>
      <c r="D46" s="561">
        <f>$C$46*$B$46*3</f>
        <v>0</v>
      </c>
      <c r="E46" s="561">
        <f t="shared" ref="E46:AQ46" si="62">$C$46*$B$46*3</f>
        <v>0</v>
      </c>
      <c r="F46" s="561">
        <f t="shared" si="62"/>
        <v>0</v>
      </c>
      <c r="G46" s="561">
        <f t="shared" si="62"/>
        <v>0</v>
      </c>
      <c r="H46" s="561">
        <f t="shared" si="62"/>
        <v>0</v>
      </c>
      <c r="I46" s="561">
        <f t="shared" si="62"/>
        <v>0</v>
      </c>
      <c r="J46" s="561">
        <f t="shared" si="62"/>
        <v>0</v>
      </c>
      <c r="K46" s="561">
        <f t="shared" si="62"/>
        <v>0</v>
      </c>
      <c r="L46" s="561">
        <f t="shared" si="62"/>
        <v>0</v>
      </c>
      <c r="M46" s="561">
        <f t="shared" si="62"/>
        <v>0</v>
      </c>
      <c r="N46" s="561">
        <f t="shared" si="62"/>
        <v>0</v>
      </c>
      <c r="O46" s="561">
        <f t="shared" si="62"/>
        <v>0</v>
      </c>
      <c r="P46" s="561">
        <f t="shared" si="62"/>
        <v>0</v>
      </c>
      <c r="Q46" s="561">
        <f t="shared" si="62"/>
        <v>0</v>
      </c>
      <c r="R46" s="561">
        <f t="shared" si="62"/>
        <v>0</v>
      </c>
      <c r="S46" s="561">
        <f t="shared" si="62"/>
        <v>0</v>
      </c>
      <c r="T46" s="561">
        <f t="shared" si="62"/>
        <v>0</v>
      </c>
      <c r="U46" s="561">
        <f t="shared" si="62"/>
        <v>0</v>
      </c>
      <c r="V46" s="561">
        <f t="shared" si="62"/>
        <v>0</v>
      </c>
      <c r="W46" s="561">
        <f t="shared" si="62"/>
        <v>0</v>
      </c>
      <c r="X46" s="561">
        <f t="shared" si="62"/>
        <v>0</v>
      </c>
      <c r="Y46" s="561">
        <f t="shared" si="62"/>
        <v>0</v>
      </c>
      <c r="Z46" s="561">
        <f t="shared" si="62"/>
        <v>0</v>
      </c>
      <c r="AA46" s="561">
        <f t="shared" si="62"/>
        <v>0</v>
      </c>
      <c r="AB46" s="561">
        <f t="shared" si="62"/>
        <v>0</v>
      </c>
      <c r="AC46" s="561">
        <f t="shared" si="62"/>
        <v>0</v>
      </c>
      <c r="AD46" s="561">
        <f t="shared" si="62"/>
        <v>0</v>
      </c>
      <c r="AE46" s="561">
        <f t="shared" si="62"/>
        <v>0</v>
      </c>
      <c r="AF46" s="561">
        <f t="shared" si="62"/>
        <v>0</v>
      </c>
      <c r="AG46" s="561">
        <f t="shared" si="62"/>
        <v>0</v>
      </c>
      <c r="AH46" s="561">
        <f t="shared" si="62"/>
        <v>0</v>
      </c>
      <c r="AI46" s="561">
        <f t="shared" si="62"/>
        <v>0</v>
      </c>
      <c r="AJ46" s="561">
        <f t="shared" si="62"/>
        <v>0</v>
      </c>
      <c r="AK46" s="561">
        <f t="shared" si="62"/>
        <v>0</v>
      </c>
      <c r="AL46" s="561">
        <f t="shared" si="62"/>
        <v>0</v>
      </c>
      <c r="AM46" s="561">
        <f t="shared" si="62"/>
        <v>0</v>
      </c>
      <c r="AN46" s="561">
        <f t="shared" si="62"/>
        <v>0</v>
      </c>
      <c r="AO46" s="561">
        <f t="shared" si="62"/>
        <v>0</v>
      </c>
      <c r="AP46" s="561">
        <f t="shared" si="62"/>
        <v>0</v>
      </c>
      <c r="AQ46" s="561">
        <f t="shared" si="62"/>
        <v>0</v>
      </c>
      <c r="AR46" s="95"/>
      <c r="AS46" s="116">
        <f t="shared" si="7"/>
        <v>0</v>
      </c>
      <c r="AT46" s="392">
        <f t="shared" si="8"/>
        <v>0</v>
      </c>
      <c r="AU46" s="392">
        <f t="shared" si="9"/>
        <v>0</v>
      </c>
      <c r="AV46" s="392">
        <f t="shared" si="10"/>
        <v>0</v>
      </c>
      <c r="AW46" s="392">
        <f t="shared" si="11"/>
        <v>0</v>
      </c>
      <c r="AX46" s="392">
        <f t="shared" si="12"/>
        <v>0</v>
      </c>
      <c r="AY46" s="392">
        <f t="shared" si="13"/>
        <v>0</v>
      </c>
      <c r="AZ46" s="392">
        <f t="shared" si="14"/>
        <v>0</v>
      </c>
      <c r="BA46" s="392">
        <f t="shared" si="15"/>
        <v>0</v>
      </c>
      <c r="BB46" s="392">
        <f t="shared" si="16"/>
        <v>0</v>
      </c>
      <c r="BC46" s="392">
        <f t="shared" si="36"/>
        <v>0</v>
      </c>
    </row>
    <row r="47" spans="1:55" s="108" customFormat="1" ht="28.8" x14ac:dyDescent="0.3">
      <c r="A47" s="554" t="s">
        <v>113</v>
      </c>
      <c r="B47" s="111">
        <f>SUM(B37:B46)</f>
        <v>0</v>
      </c>
      <c r="C47" s="555">
        <f>SUM(C37:C46)</f>
        <v>0</v>
      </c>
      <c r="D47" s="555">
        <f>SUM(D37:D46)</f>
        <v>0</v>
      </c>
      <c r="E47" s="555">
        <f>SUM(E37:E46)</f>
        <v>0</v>
      </c>
      <c r="F47" s="555">
        <f t="shared" ref="F47:AQ47" si="63">SUM(F37:F46)</f>
        <v>0</v>
      </c>
      <c r="G47" s="555">
        <f t="shared" si="63"/>
        <v>0</v>
      </c>
      <c r="H47" s="555">
        <f t="shared" si="63"/>
        <v>0</v>
      </c>
      <c r="I47" s="555">
        <f t="shared" si="63"/>
        <v>0</v>
      </c>
      <c r="J47" s="555">
        <f t="shared" si="63"/>
        <v>0</v>
      </c>
      <c r="K47" s="555">
        <f t="shared" si="63"/>
        <v>0</v>
      </c>
      <c r="L47" s="555">
        <f t="shared" si="63"/>
        <v>0</v>
      </c>
      <c r="M47" s="555">
        <f t="shared" si="63"/>
        <v>0</v>
      </c>
      <c r="N47" s="555">
        <f t="shared" si="63"/>
        <v>0</v>
      </c>
      <c r="O47" s="555">
        <f t="shared" si="63"/>
        <v>0</v>
      </c>
      <c r="P47" s="555">
        <f t="shared" si="63"/>
        <v>0</v>
      </c>
      <c r="Q47" s="555">
        <f t="shared" si="63"/>
        <v>0</v>
      </c>
      <c r="R47" s="555">
        <f t="shared" si="63"/>
        <v>0</v>
      </c>
      <c r="S47" s="555">
        <f t="shared" si="63"/>
        <v>0</v>
      </c>
      <c r="T47" s="555">
        <f t="shared" si="63"/>
        <v>0</v>
      </c>
      <c r="U47" s="555">
        <f t="shared" si="63"/>
        <v>0</v>
      </c>
      <c r="V47" s="555">
        <f t="shared" si="63"/>
        <v>0</v>
      </c>
      <c r="W47" s="555">
        <f t="shared" si="63"/>
        <v>0</v>
      </c>
      <c r="X47" s="555">
        <f t="shared" si="63"/>
        <v>0</v>
      </c>
      <c r="Y47" s="555">
        <f t="shared" si="63"/>
        <v>0</v>
      </c>
      <c r="Z47" s="555">
        <f t="shared" si="63"/>
        <v>0</v>
      </c>
      <c r="AA47" s="555">
        <f t="shared" si="63"/>
        <v>0</v>
      </c>
      <c r="AB47" s="555">
        <f t="shared" si="63"/>
        <v>0</v>
      </c>
      <c r="AC47" s="555">
        <f t="shared" si="63"/>
        <v>0</v>
      </c>
      <c r="AD47" s="555">
        <f t="shared" si="63"/>
        <v>0</v>
      </c>
      <c r="AE47" s="555">
        <f t="shared" si="63"/>
        <v>0</v>
      </c>
      <c r="AF47" s="555">
        <f t="shared" si="63"/>
        <v>0</v>
      </c>
      <c r="AG47" s="555">
        <f t="shared" si="63"/>
        <v>0</v>
      </c>
      <c r="AH47" s="555">
        <f t="shared" si="63"/>
        <v>0</v>
      </c>
      <c r="AI47" s="555">
        <f t="shared" si="63"/>
        <v>0</v>
      </c>
      <c r="AJ47" s="555">
        <f t="shared" si="63"/>
        <v>0</v>
      </c>
      <c r="AK47" s="555">
        <f t="shared" si="63"/>
        <v>0</v>
      </c>
      <c r="AL47" s="555">
        <f t="shared" si="63"/>
        <v>0</v>
      </c>
      <c r="AM47" s="555">
        <f t="shared" si="63"/>
        <v>0</v>
      </c>
      <c r="AN47" s="555">
        <f t="shared" si="63"/>
        <v>0</v>
      </c>
      <c r="AO47" s="555">
        <f t="shared" si="63"/>
        <v>0</v>
      </c>
      <c r="AP47" s="555">
        <f t="shared" si="63"/>
        <v>0</v>
      </c>
      <c r="AQ47" s="555">
        <f t="shared" si="63"/>
        <v>0</v>
      </c>
      <c r="AR47" s="110"/>
      <c r="AS47" s="110">
        <f t="shared" si="7"/>
        <v>0</v>
      </c>
      <c r="AT47" s="110">
        <f t="shared" si="8"/>
        <v>0</v>
      </c>
      <c r="AU47" s="110">
        <f t="shared" si="9"/>
        <v>0</v>
      </c>
      <c r="AV47" s="110">
        <f t="shared" si="10"/>
        <v>0</v>
      </c>
      <c r="AW47" s="110">
        <f t="shared" si="11"/>
        <v>0</v>
      </c>
      <c r="AX47" s="110">
        <f t="shared" si="12"/>
        <v>0</v>
      </c>
      <c r="AY47" s="110">
        <f t="shared" si="13"/>
        <v>0</v>
      </c>
      <c r="AZ47" s="110">
        <f t="shared" si="14"/>
        <v>0</v>
      </c>
      <c r="BA47" s="110">
        <f t="shared" si="15"/>
        <v>0</v>
      </c>
      <c r="BB47" s="111">
        <f t="shared" si="16"/>
        <v>0</v>
      </c>
      <c r="BC47" s="111">
        <f t="shared" si="36"/>
        <v>0</v>
      </c>
    </row>
    <row r="48" spans="1:55" s="112" customFormat="1" x14ac:dyDescent="0.3">
      <c r="A48" s="557" t="s">
        <v>114</v>
      </c>
      <c r="B48" s="571"/>
      <c r="C48" s="565"/>
      <c r="D48" s="558">
        <f>D47*$B$61</f>
        <v>0</v>
      </c>
      <c r="E48" s="558">
        <f t="shared" ref="E48:AQ48" si="64">E47*$B$61</f>
        <v>0</v>
      </c>
      <c r="F48" s="558">
        <f t="shared" si="64"/>
        <v>0</v>
      </c>
      <c r="G48" s="558">
        <f t="shared" si="64"/>
        <v>0</v>
      </c>
      <c r="H48" s="558">
        <f t="shared" si="64"/>
        <v>0</v>
      </c>
      <c r="I48" s="558">
        <f t="shared" si="64"/>
        <v>0</v>
      </c>
      <c r="J48" s="558">
        <f t="shared" si="64"/>
        <v>0</v>
      </c>
      <c r="K48" s="558">
        <f t="shared" si="64"/>
        <v>0</v>
      </c>
      <c r="L48" s="558">
        <f t="shared" si="64"/>
        <v>0</v>
      </c>
      <c r="M48" s="558">
        <f t="shared" si="64"/>
        <v>0</v>
      </c>
      <c r="N48" s="558">
        <f t="shared" si="64"/>
        <v>0</v>
      </c>
      <c r="O48" s="558">
        <f t="shared" si="64"/>
        <v>0</v>
      </c>
      <c r="P48" s="558">
        <f t="shared" si="64"/>
        <v>0</v>
      </c>
      <c r="Q48" s="558">
        <f t="shared" si="64"/>
        <v>0</v>
      </c>
      <c r="R48" s="558">
        <f t="shared" si="64"/>
        <v>0</v>
      </c>
      <c r="S48" s="558">
        <f t="shared" si="64"/>
        <v>0</v>
      </c>
      <c r="T48" s="558">
        <f t="shared" si="64"/>
        <v>0</v>
      </c>
      <c r="U48" s="558">
        <f t="shared" si="64"/>
        <v>0</v>
      </c>
      <c r="V48" s="558">
        <f t="shared" si="64"/>
        <v>0</v>
      </c>
      <c r="W48" s="558">
        <f t="shared" si="64"/>
        <v>0</v>
      </c>
      <c r="X48" s="558">
        <f t="shared" si="64"/>
        <v>0</v>
      </c>
      <c r="Y48" s="558">
        <f t="shared" si="64"/>
        <v>0</v>
      </c>
      <c r="Z48" s="558">
        <f t="shared" si="64"/>
        <v>0</v>
      </c>
      <c r="AA48" s="558">
        <f t="shared" si="64"/>
        <v>0</v>
      </c>
      <c r="AB48" s="558">
        <f t="shared" si="64"/>
        <v>0</v>
      </c>
      <c r="AC48" s="558">
        <f t="shared" si="64"/>
        <v>0</v>
      </c>
      <c r="AD48" s="558">
        <f t="shared" si="64"/>
        <v>0</v>
      </c>
      <c r="AE48" s="558">
        <f t="shared" si="64"/>
        <v>0</v>
      </c>
      <c r="AF48" s="558">
        <f t="shared" si="64"/>
        <v>0</v>
      </c>
      <c r="AG48" s="558">
        <f t="shared" si="64"/>
        <v>0</v>
      </c>
      <c r="AH48" s="558">
        <f t="shared" si="64"/>
        <v>0</v>
      </c>
      <c r="AI48" s="558">
        <f t="shared" si="64"/>
        <v>0</v>
      </c>
      <c r="AJ48" s="558">
        <f t="shared" si="64"/>
        <v>0</v>
      </c>
      <c r="AK48" s="558">
        <f t="shared" si="64"/>
        <v>0</v>
      </c>
      <c r="AL48" s="558">
        <f t="shared" si="64"/>
        <v>0</v>
      </c>
      <c r="AM48" s="558">
        <f t="shared" si="64"/>
        <v>0</v>
      </c>
      <c r="AN48" s="558">
        <f t="shared" si="64"/>
        <v>0</v>
      </c>
      <c r="AO48" s="558">
        <f t="shared" si="64"/>
        <v>0</v>
      </c>
      <c r="AP48" s="558">
        <f t="shared" si="64"/>
        <v>0</v>
      </c>
      <c r="AQ48" s="558">
        <f t="shared" si="64"/>
        <v>0</v>
      </c>
      <c r="AR48" s="113"/>
      <c r="AS48" s="113">
        <f t="shared" si="7"/>
        <v>0</v>
      </c>
      <c r="AT48" s="113">
        <f t="shared" si="8"/>
        <v>0</v>
      </c>
      <c r="AU48" s="113">
        <f t="shared" si="9"/>
        <v>0</v>
      </c>
      <c r="AV48" s="113">
        <f t="shared" si="10"/>
        <v>0</v>
      </c>
      <c r="AW48" s="113">
        <f t="shared" si="11"/>
        <v>0</v>
      </c>
      <c r="AX48" s="113">
        <f t="shared" si="12"/>
        <v>0</v>
      </c>
      <c r="AY48" s="113">
        <f t="shared" si="13"/>
        <v>0</v>
      </c>
      <c r="AZ48" s="113">
        <f t="shared" si="14"/>
        <v>0</v>
      </c>
      <c r="BA48" s="113">
        <f t="shared" si="15"/>
        <v>0</v>
      </c>
      <c r="BB48" s="115">
        <f t="shared" si="16"/>
        <v>0</v>
      </c>
      <c r="BC48" s="115">
        <f t="shared" si="36"/>
        <v>0</v>
      </c>
    </row>
    <row r="49" spans="1:56" s="397" customFormat="1" x14ac:dyDescent="0.3">
      <c r="A49" s="572" t="s">
        <v>142</v>
      </c>
      <c r="B49" s="573"/>
      <c r="C49" s="574"/>
      <c r="D49" s="573">
        <f>D6+D15+D23+D26+D34+D47</f>
        <v>0</v>
      </c>
      <c r="E49" s="573">
        <f t="shared" ref="E49:G49" si="65">E6+E15+E23+E26+E34+E47</f>
        <v>0</v>
      </c>
      <c r="F49" s="573">
        <f t="shared" si="65"/>
        <v>0</v>
      </c>
      <c r="G49" s="573">
        <f t="shared" si="65"/>
        <v>0</v>
      </c>
      <c r="H49" s="573">
        <f>H6+H15+H23+H26+H34+H47</f>
        <v>2940</v>
      </c>
      <c r="I49" s="573">
        <f t="shared" ref="I49:BB49" si="66">I6+I15+I23+I26+I34+I47</f>
        <v>2940</v>
      </c>
      <c r="J49" s="573">
        <f t="shared" si="66"/>
        <v>2940</v>
      </c>
      <c r="K49" s="573">
        <f t="shared" si="66"/>
        <v>2940</v>
      </c>
      <c r="L49" s="573">
        <f t="shared" si="66"/>
        <v>3028.2000000000003</v>
      </c>
      <c r="M49" s="573">
        <f t="shared" si="66"/>
        <v>3028.2000000000003</v>
      </c>
      <c r="N49" s="573">
        <f t="shared" si="66"/>
        <v>3028.2000000000003</v>
      </c>
      <c r="O49" s="573">
        <f t="shared" si="66"/>
        <v>3028.2000000000003</v>
      </c>
      <c r="P49" s="573">
        <f t="shared" si="66"/>
        <v>3119.0460000000003</v>
      </c>
      <c r="Q49" s="573">
        <f t="shared" si="66"/>
        <v>3119.0460000000003</v>
      </c>
      <c r="R49" s="573">
        <f t="shared" si="66"/>
        <v>3119.0460000000003</v>
      </c>
      <c r="S49" s="573">
        <f t="shared" si="66"/>
        <v>3119.0460000000003</v>
      </c>
      <c r="T49" s="573">
        <f t="shared" si="66"/>
        <v>3212.6173800000006</v>
      </c>
      <c r="U49" s="573">
        <f t="shared" si="66"/>
        <v>3212.6173800000006</v>
      </c>
      <c r="V49" s="573">
        <f t="shared" si="66"/>
        <v>3212.6173800000006</v>
      </c>
      <c r="W49" s="573">
        <f t="shared" si="66"/>
        <v>3212.6173800000006</v>
      </c>
      <c r="X49" s="573">
        <f t="shared" si="66"/>
        <v>3308.9959014000001</v>
      </c>
      <c r="Y49" s="573">
        <f t="shared" si="66"/>
        <v>3308.9959014000001</v>
      </c>
      <c r="Z49" s="573">
        <f t="shared" si="66"/>
        <v>3308.9959014000001</v>
      </c>
      <c r="AA49" s="573">
        <f t="shared" si="66"/>
        <v>3308.9959014000001</v>
      </c>
      <c r="AB49" s="573">
        <f t="shared" si="66"/>
        <v>3408.2657784420007</v>
      </c>
      <c r="AC49" s="573">
        <f t="shared" si="66"/>
        <v>3408.2657784420007</v>
      </c>
      <c r="AD49" s="573">
        <f t="shared" si="66"/>
        <v>3408.2657784420007</v>
      </c>
      <c r="AE49" s="573">
        <f t="shared" si="66"/>
        <v>3408.2657784420007</v>
      </c>
      <c r="AF49" s="573">
        <f t="shared" si="66"/>
        <v>3524.5989317980057</v>
      </c>
      <c r="AG49" s="573">
        <f t="shared" si="66"/>
        <v>3524.5989317980057</v>
      </c>
      <c r="AH49" s="573">
        <f t="shared" si="66"/>
        <v>3524.5989317980057</v>
      </c>
      <c r="AI49" s="573">
        <f t="shared" si="66"/>
        <v>3524.5989317980057</v>
      </c>
      <c r="AJ49" s="573">
        <f t="shared" si="66"/>
        <v>3630.336899751946</v>
      </c>
      <c r="AK49" s="573">
        <f t="shared" si="66"/>
        <v>3630.336899751946</v>
      </c>
      <c r="AL49" s="573">
        <f t="shared" si="66"/>
        <v>3630.336899751946</v>
      </c>
      <c r="AM49" s="573">
        <f t="shared" si="66"/>
        <v>3630.336899751946</v>
      </c>
      <c r="AN49" s="573">
        <f t="shared" si="66"/>
        <v>3739.2470067445038</v>
      </c>
      <c r="AO49" s="573">
        <f t="shared" si="66"/>
        <v>3739.2470067445038</v>
      </c>
      <c r="AP49" s="573">
        <f t="shared" si="66"/>
        <v>3739.2470067445038</v>
      </c>
      <c r="AQ49" s="573">
        <f t="shared" si="66"/>
        <v>3739.2470067445038</v>
      </c>
      <c r="AR49" s="573">
        <f t="shared" si="66"/>
        <v>0</v>
      </c>
      <c r="AS49" s="573">
        <f t="shared" si="66"/>
        <v>0</v>
      </c>
      <c r="AT49" s="573">
        <f t="shared" si="66"/>
        <v>11760</v>
      </c>
      <c r="AU49" s="573">
        <f t="shared" si="66"/>
        <v>12112.800000000001</v>
      </c>
      <c r="AV49" s="573">
        <f t="shared" si="66"/>
        <v>12476.184000000001</v>
      </c>
      <c r="AW49" s="573">
        <f t="shared" si="66"/>
        <v>12850.469520000002</v>
      </c>
      <c r="AX49" s="573">
        <f t="shared" si="66"/>
        <v>13235.9836056</v>
      </c>
      <c r="AY49" s="573">
        <f t="shared" si="66"/>
        <v>13633.063113768003</v>
      </c>
      <c r="AZ49" s="573">
        <f t="shared" si="66"/>
        <v>14098.395727192023</v>
      </c>
      <c r="BA49" s="573">
        <f t="shared" si="66"/>
        <v>14521.347599007784</v>
      </c>
      <c r="BB49" s="573">
        <f t="shared" si="66"/>
        <v>14956.988026978015</v>
      </c>
      <c r="BC49" s="396">
        <f t="shared" si="36"/>
        <v>14956.988026978015</v>
      </c>
      <c r="BD49" s="592"/>
    </row>
    <row r="50" spans="1:56" s="119" customFormat="1" x14ac:dyDescent="0.3">
      <c r="A50" s="575" t="s">
        <v>143</v>
      </c>
      <c r="B50" s="576"/>
      <c r="C50" s="567"/>
      <c r="D50" s="576"/>
      <c r="E50" s="576"/>
      <c r="F50" s="576"/>
      <c r="G50" s="576">
        <f>SUM(D49:G49)</f>
        <v>0</v>
      </c>
      <c r="H50" s="576"/>
      <c r="I50" s="576"/>
      <c r="J50" s="576"/>
      <c r="K50" s="576">
        <f>SUM(H49:K49)</f>
        <v>11760</v>
      </c>
      <c r="L50" s="576"/>
      <c r="M50" s="576"/>
      <c r="N50" s="576"/>
      <c r="O50" s="576">
        <f>SUM(L49:O49)</f>
        <v>12112.800000000001</v>
      </c>
      <c r="P50" s="576"/>
      <c r="Q50" s="576"/>
      <c r="R50" s="576"/>
      <c r="S50" s="576">
        <f>SUM(P49:S49)</f>
        <v>12476.184000000001</v>
      </c>
      <c r="T50" s="576"/>
      <c r="U50" s="576"/>
      <c r="V50" s="576"/>
      <c r="W50" s="576">
        <f t="shared" ref="W50:AI50" si="67">SUM(T49:W49)</f>
        <v>12850.469520000002</v>
      </c>
      <c r="X50" s="576"/>
      <c r="Y50" s="576"/>
      <c r="Z50" s="576"/>
      <c r="AA50" s="576">
        <f t="shared" si="67"/>
        <v>13235.9836056</v>
      </c>
      <c r="AB50" s="576"/>
      <c r="AC50" s="576"/>
      <c r="AD50" s="576"/>
      <c r="AE50" s="576">
        <f t="shared" si="67"/>
        <v>13633.063113768003</v>
      </c>
      <c r="AF50" s="576"/>
      <c r="AG50" s="576"/>
      <c r="AH50" s="576"/>
      <c r="AI50" s="576">
        <f t="shared" si="67"/>
        <v>14098.395727192023</v>
      </c>
      <c r="AJ50" s="576"/>
      <c r="AK50" s="576"/>
      <c r="AL50" s="576"/>
      <c r="AM50" s="576">
        <f>SUM(AJ49:AM49)</f>
        <v>14521.347599007784</v>
      </c>
      <c r="AN50" s="576"/>
      <c r="AO50" s="576"/>
      <c r="AP50" s="576"/>
      <c r="AQ50" s="576">
        <f>SUM(AN49:AQ49)</f>
        <v>14956.988026978015</v>
      </c>
      <c r="AR50" s="120"/>
      <c r="AS50" s="116">
        <f>AS49</f>
        <v>0</v>
      </c>
      <c r="AT50" s="392">
        <f t="shared" si="8"/>
        <v>11760</v>
      </c>
      <c r="AU50" s="392">
        <f t="shared" si="9"/>
        <v>12112.800000000001</v>
      </c>
      <c r="AV50" s="392">
        <f t="shared" si="10"/>
        <v>12476.184000000001</v>
      </c>
      <c r="AW50" s="392">
        <f t="shared" si="11"/>
        <v>12850.469520000002</v>
      </c>
      <c r="AX50" s="392">
        <f t="shared" si="12"/>
        <v>13235.9836056</v>
      </c>
      <c r="AY50" s="392">
        <f t="shared" si="13"/>
        <v>13633.063113768003</v>
      </c>
      <c r="AZ50" s="392">
        <f t="shared" si="14"/>
        <v>14098.395727192023</v>
      </c>
      <c r="BA50" s="392">
        <f t="shared" si="15"/>
        <v>14521.347599007784</v>
      </c>
      <c r="BB50" s="392">
        <f t="shared" si="16"/>
        <v>14956.988026978015</v>
      </c>
      <c r="BC50" s="392">
        <f t="shared" si="36"/>
        <v>14956.988026978015</v>
      </c>
    </row>
    <row r="51" spans="1:56" s="397" customFormat="1" ht="28.5" customHeight="1" x14ac:dyDescent="0.3">
      <c r="A51" s="572" t="s">
        <v>144</v>
      </c>
      <c r="B51" s="573"/>
      <c r="C51" s="574"/>
      <c r="D51" s="573">
        <f>D7+D16+D24+D27+D35+D48</f>
        <v>0</v>
      </c>
      <c r="E51" s="573">
        <f>E7+E16+E24+E27+E35+E48</f>
        <v>0</v>
      </c>
      <c r="F51" s="573">
        <f>F7+F16+F24+F27+F35+F48</f>
        <v>0</v>
      </c>
      <c r="G51" s="573">
        <f>G7+G16+G24+G27+G35+G48</f>
        <v>0</v>
      </c>
      <c r="H51" s="573">
        <f t="shared" ref="H51:R51" si="68">H7+H16+H24+H27+H35+H48</f>
        <v>882</v>
      </c>
      <c r="I51" s="573">
        <f t="shared" si="68"/>
        <v>882</v>
      </c>
      <c r="J51" s="573">
        <f>J7+J16+J24+J27+J35+J48</f>
        <v>882</v>
      </c>
      <c r="K51" s="573">
        <f t="shared" si="68"/>
        <v>882</v>
      </c>
      <c r="L51" s="573">
        <f t="shared" si="68"/>
        <v>908.46</v>
      </c>
      <c r="M51" s="573">
        <f t="shared" si="68"/>
        <v>908.46</v>
      </c>
      <c r="N51" s="573">
        <f t="shared" si="68"/>
        <v>908.46</v>
      </c>
      <c r="O51" s="573">
        <f t="shared" si="68"/>
        <v>908.46</v>
      </c>
      <c r="P51" s="573">
        <f t="shared" si="68"/>
        <v>935.71379999999999</v>
      </c>
      <c r="Q51" s="573">
        <f t="shared" si="68"/>
        <v>935.71379999999999</v>
      </c>
      <c r="R51" s="573">
        <f t="shared" si="68"/>
        <v>935.71379999999999</v>
      </c>
      <c r="S51" s="573">
        <f>S7+S16+S24+S27+S35+S48</f>
        <v>935.71379999999999</v>
      </c>
      <c r="T51" s="573">
        <f>T7+T16+T24+T27+T35+T48</f>
        <v>963.785214</v>
      </c>
      <c r="U51" s="573">
        <f>U7+U16+U24+U27+U35+U48</f>
        <v>963.785214</v>
      </c>
      <c r="V51" s="573">
        <f>V7+V16+V24+V27+V35+V48</f>
        <v>963.785214</v>
      </c>
      <c r="W51" s="573">
        <f t="shared" ref="W51:AH51" si="69">W7+W16+W24+W27+W35+W48</f>
        <v>963.785214</v>
      </c>
      <c r="X51" s="573">
        <f t="shared" si="69"/>
        <v>992.69877041999996</v>
      </c>
      <c r="Y51" s="573">
        <f t="shared" si="69"/>
        <v>992.69877041999996</v>
      </c>
      <c r="Z51" s="573">
        <f t="shared" si="69"/>
        <v>992.69877041999996</v>
      </c>
      <c r="AA51" s="573">
        <f t="shared" si="69"/>
        <v>992.69877041999996</v>
      </c>
      <c r="AB51" s="573">
        <f t="shared" si="69"/>
        <v>1022.4797335326002</v>
      </c>
      <c r="AC51" s="573">
        <f t="shared" si="69"/>
        <v>1022.4797335326002</v>
      </c>
      <c r="AD51" s="573">
        <f t="shared" si="69"/>
        <v>1022.4797335326002</v>
      </c>
      <c r="AE51" s="573">
        <f t="shared" si="69"/>
        <v>1022.4797335326002</v>
      </c>
      <c r="AF51" s="573">
        <f t="shared" si="69"/>
        <v>1057.3796795394016</v>
      </c>
      <c r="AG51" s="573">
        <f t="shared" si="69"/>
        <v>1057.3796795394016</v>
      </c>
      <c r="AH51" s="573">
        <f t="shared" si="69"/>
        <v>1057.3796795394016</v>
      </c>
      <c r="AI51" s="573">
        <f>AI7+AI16+AI24+AI27+AI35+AI48</f>
        <v>1057.3796795394016</v>
      </c>
      <c r="AJ51" s="573">
        <f t="shared" ref="AJ51:AQ51" si="70">AJ7+AJ16+AJ24+AJ27+AJ35+AJ48</f>
        <v>1089.1010699255837</v>
      </c>
      <c r="AK51" s="573">
        <f t="shared" si="70"/>
        <v>1089.1010699255837</v>
      </c>
      <c r="AL51" s="573">
        <f t="shared" si="70"/>
        <v>1089.1010699255837</v>
      </c>
      <c r="AM51" s="573">
        <f t="shared" si="70"/>
        <v>1089.1010699255837</v>
      </c>
      <c r="AN51" s="573">
        <f t="shared" si="70"/>
        <v>1121.7741020233511</v>
      </c>
      <c r="AO51" s="573">
        <f t="shared" si="70"/>
        <v>1121.7741020233511</v>
      </c>
      <c r="AP51" s="573">
        <f t="shared" si="70"/>
        <v>1121.7741020233511</v>
      </c>
      <c r="AQ51" s="573">
        <f t="shared" si="70"/>
        <v>1121.7741020233511</v>
      </c>
      <c r="AR51" s="395"/>
      <c r="AS51" s="395">
        <f>0.3*AS49</f>
        <v>0</v>
      </c>
      <c r="AT51" s="573">
        <f t="shared" si="8"/>
        <v>3528</v>
      </c>
      <c r="AU51" s="573">
        <f t="shared" si="9"/>
        <v>3633.84</v>
      </c>
      <c r="AV51" s="573">
        <f t="shared" si="10"/>
        <v>3742.8552</v>
      </c>
      <c r="AW51" s="573">
        <f t="shared" si="11"/>
        <v>3855.140856</v>
      </c>
      <c r="AX51" s="573">
        <f t="shared" si="12"/>
        <v>3970.7950816799998</v>
      </c>
      <c r="AY51" s="573">
        <f t="shared" si="13"/>
        <v>4089.9189341304009</v>
      </c>
      <c r="AZ51" s="573">
        <f t="shared" si="14"/>
        <v>4229.5187181576066</v>
      </c>
      <c r="BA51" s="396">
        <f t="shared" si="15"/>
        <v>4356.4042797023349</v>
      </c>
      <c r="BB51" s="396">
        <f t="shared" si="16"/>
        <v>4487.0964080934045</v>
      </c>
      <c r="BC51" s="396">
        <f t="shared" si="36"/>
        <v>4487.0964080934045</v>
      </c>
    </row>
    <row r="52" spans="1:56" x14ac:dyDescent="0.3">
      <c r="A52" s="566" t="s">
        <v>145</v>
      </c>
      <c r="B52" s="561"/>
      <c r="C52" s="567"/>
      <c r="D52" s="561">
        <f>D49+D51</f>
        <v>0</v>
      </c>
      <c r="E52" s="561">
        <f t="shared" ref="E52:T52" si="71">E49+E51</f>
        <v>0</v>
      </c>
      <c r="F52" s="561">
        <f t="shared" si="71"/>
        <v>0</v>
      </c>
      <c r="G52" s="561">
        <f t="shared" si="71"/>
        <v>0</v>
      </c>
      <c r="H52" s="561">
        <f t="shared" si="71"/>
        <v>3822</v>
      </c>
      <c r="I52" s="561">
        <f t="shared" si="71"/>
        <v>3822</v>
      </c>
      <c r="J52" s="561">
        <f t="shared" si="71"/>
        <v>3822</v>
      </c>
      <c r="K52" s="561">
        <f t="shared" si="71"/>
        <v>3822</v>
      </c>
      <c r="L52" s="561">
        <f t="shared" si="71"/>
        <v>3936.6600000000003</v>
      </c>
      <c r="M52" s="561">
        <f t="shared" si="71"/>
        <v>3936.6600000000003</v>
      </c>
      <c r="N52" s="561">
        <f t="shared" si="71"/>
        <v>3936.6600000000003</v>
      </c>
      <c r="O52" s="561">
        <f t="shared" si="71"/>
        <v>3936.6600000000003</v>
      </c>
      <c r="P52" s="561">
        <f t="shared" si="71"/>
        <v>4054.7598000000003</v>
      </c>
      <c r="Q52" s="561">
        <f t="shared" si="71"/>
        <v>4054.7598000000003</v>
      </c>
      <c r="R52" s="561">
        <f t="shared" si="71"/>
        <v>4054.7598000000003</v>
      </c>
      <c r="S52" s="561">
        <f t="shared" si="71"/>
        <v>4054.7598000000003</v>
      </c>
      <c r="T52" s="561">
        <f t="shared" si="71"/>
        <v>4176.402594000001</v>
      </c>
      <c r="U52" s="561">
        <f>U49+U51</f>
        <v>4176.402594000001</v>
      </c>
      <c r="V52" s="561">
        <f>V49+V51</f>
        <v>4176.402594000001</v>
      </c>
      <c r="W52" s="561">
        <f t="shared" ref="W52:AI52" si="72">W49+W51</f>
        <v>4176.402594000001</v>
      </c>
      <c r="X52" s="561">
        <f t="shared" si="72"/>
        <v>4301.6946718199997</v>
      </c>
      <c r="Y52" s="561">
        <f t="shared" si="72"/>
        <v>4301.6946718199997</v>
      </c>
      <c r="Z52" s="561">
        <f t="shared" si="72"/>
        <v>4301.6946718199997</v>
      </c>
      <c r="AA52" s="561">
        <f t="shared" si="72"/>
        <v>4301.6946718199997</v>
      </c>
      <c r="AB52" s="561">
        <f t="shared" si="72"/>
        <v>4430.745511974601</v>
      </c>
      <c r="AC52" s="561">
        <f t="shared" si="72"/>
        <v>4430.745511974601</v>
      </c>
      <c r="AD52" s="561">
        <f t="shared" si="72"/>
        <v>4430.745511974601</v>
      </c>
      <c r="AE52" s="561">
        <f t="shared" si="72"/>
        <v>4430.745511974601</v>
      </c>
      <c r="AF52" s="561">
        <f t="shared" si="72"/>
        <v>4581.9786113374075</v>
      </c>
      <c r="AG52" s="561">
        <f t="shared" si="72"/>
        <v>4581.9786113374075</v>
      </c>
      <c r="AH52" s="561">
        <f t="shared" si="72"/>
        <v>4581.9786113374075</v>
      </c>
      <c r="AI52" s="561">
        <f t="shared" si="72"/>
        <v>4581.9786113374075</v>
      </c>
      <c r="AJ52" s="561">
        <f t="shared" ref="AJ52:AQ52" si="73">AJ49+AJ51</f>
        <v>4719.4379696775295</v>
      </c>
      <c r="AK52" s="561">
        <f t="shared" si="73"/>
        <v>4719.4379696775295</v>
      </c>
      <c r="AL52" s="561">
        <f t="shared" si="73"/>
        <v>4719.4379696775295</v>
      </c>
      <c r="AM52" s="561">
        <f t="shared" si="73"/>
        <v>4719.4379696775295</v>
      </c>
      <c r="AN52" s="561">
        <f t="shared" si="73"/>
        <v>4861.0211087678545</v>
      </c>
      <c r="AO52" s="561">
        <f t="shared" si="73"/>
        <v>4861.0211087678545</v>
      </c>
      <c r="AP52" s="561">
        <f t="shared" si="73"/>
        <v>4861.0211087678545</v>
      </c>
      <c r="AQ52" s="561">
        <f t="shared" si="73"/>
        <v>4861.0211087678545</v>
      </c>
      <c r="AR52" s="95"/>
      <c r="AS52" s="116">
        <f>AS49+AS51</f>
        <v>0</v>
      </c>
      <c r="AT52" s="561">
        <f t="shared" si="8"/>
        <v>15288</v>
      </c>
      <c r="AU52" s="561">
        <f t="shared" si="9"/>
        <v>15746.640000000001</v>
      </c>
      <c r="AV52" s="561">
        <f t="shared" si="10"/>
        <v>16219.039200000001</v>
      </c>
      <c r="AW52" s="561">
        <f t="shared" si="11"/>
        <v>16705.610376000004</v>
      </c>
      <c r="AX52" s="561">
        <f t="shared" si="12"/>
        <v>17206.778687279999</v>
      </c>
      <c r="AY52" s="561">
        <f t="shared" si="13"/>
        <v>17722.982047898404</v>
      </c>
      <c r="AZ52" s="561">
        <f t="shared" si="14"/>
        <v>18327.91444534963</v>
      </c>
      <c r="BA52" s="561">
        <f t="shared" si="15"/>
        <v>18877.751878710118</v>
      </c>
      <c r="BB52" s="561">
        <f t="shared" si="16"/>
        <v>19444.084435071418</v>
      </c>
      <c r="BC52" s="561">
        <f t="shared" si="36"/>
        <v>19444.084435071418</v>
      </c>
    </row>
    <row r="53" spans="1:56" s="400" customFormat="1" ht="28.8" x14ac:dyDescent="0.3">
      <c r="A53" s="577" t="s">
        <v>146</v>
      </c>
      <c r="B53" s="578"/>
      <c r="C53" s="579"/>
      <c r="D53" s="578">
        <f>D49*$B$60</f>
        <v>0</v>
      </c>
      <c r="E53" s="578">
        <f t="shared" ref="E53:AQ53" si="74">E49*$B$60</f>
        <v>0</v>
      </c>
      <c r="F53" s="578">
        <f t="shared" si="74"/>
        <v>0</v>
      </c>
      <c r="G53" s="578">
        <f t="shared" si="74"/>
        <v>0</v>
      </c>
      <c r="H53" s="578">
        <f t="shared" si="74"/>
        <v>41.160000000000004</v>
      </c>
      <c r="I53" s="578">
        <f t="shared" si="74"/>
        <v>41.160000000000004</v>
      </c>
      <c r="J53" s="578">
        <f t="shared" si="74"/>
        <v>41.160000000000004</v>
      </c>
      <c r="K53" s="578">
        <f t="shared" si="74"/>
        <v>41.160000000000004</v>
      </c>
      <c r="L53" s="578">
        <f t="shared" si="74"/>
        <v>42.394800000000004</v>
      </c>
      <c r="M53" s="578">
        <f t="shared" si="74"/>
        <v>42.394800000000004</v>
      </c>
      <c r="N53" s="578">
        <f t="shared" si="74"/>
        <v>42.394800000000004</v>
      </c>
      <c r="O53" s="578">
        <f t="shared" si="74"/>
        <v>42.394800000000004</v>
      </c>
      <c r="P53" s="578">
        <f t="shared" si="74"/>
        <v>43.666644000000005</v>
      </c>
      <c r="Q53" s="578">
        <f t="shared" si="74"/>
        <v>43.666644000000005</v>
      </c>
      <c r="R53" s="578">
        <f t="shared" si="74"/>
        <v>43.666644000000005</v>
      </c>
      <c r="S53" s="578">
        <f t="shared" si="74"/>
        <v>43.666644000000005</v>
      </c>
      <c r="T53" s="578">
        <f t="shared" si="74"/>
        <v>44.976643320000008</v>
      </c>
      <c r="U53" s="578">
        <f t="shared" si="74"/>
        <v>44.976643320000008</v>
      </c>
      <c r="V53" s="578">
        <f t="shared" si="74"/>
        <v>44.976643320000008</v>
      </c>
      <c r="W53" s="578">
        <f t="shared" si="74"/>
        <v>44.976643320000008</v>
      </c>
      <c r="X53" s="578">
        <f t="shared" si="74"/>
        <v>46.325942619599999</v>
      </c>
      <c r="Y53" s="578">
        <f t="shared" si="74"/>
        <v>46.325942619599999</v>
      </c>
      <c r="Z53" s="578">
        <f t="shared" si="74"/>
        <v>46.325942619599999</v>
      </c>
      <c r="AA53" s="578">
        <f t="shared" si="74"/>
        <v>46.325942619599999</v>
      </c>
      <c r="AB53" s="578">
        <f t="shared" si="74"/>
        <v>47.71572089818801</v>
      </c>
      <c r="AC53" s="578">
        <f t="shared" si="74"/>
        <v>47.71572089818801</v>
      </c>
      <c r="AD53" s="578">
        <f t="shared" si="74"/>
        <v>47.71572089818801</v>
      </c>
      <c r="AE53" s="578">
        <f t="shared" si="74"/>
        <v>47.71572089818801</v>
      </c>
      <c r="AF53" s="578">
        <f t="shared" si="74"/>
        <v>49.344385045172082</v>
      </c>
      <c r="AG53" s="578">
        <f t="shared" si="74"/>
        <v>49.344385045172082</v>
      </c>
      <c r="AH53" s="578">
        <f t="shared" si="74"/>
        <v>49.344385045172082</v>
      </c>
      <c r="AI53" s="578">
        <f t="shared" si="74"/>
        <v>49.344385045172082</v>
      </c>
      <c r="AJ53" s="578">
        <f t="shared" si="74"/>
        <v>50.824716596527246</v>
      </c>
      <c r="AK53" s="578">
        <f t="shared" si="74"/>
        <v>50.824716596527246</v>
      </c>
      <c r="AL53" s="578">
        <f t="shared" si="74"/>
        <v>50.824716596527246</v>
      </c>
      <c r="AM53" s="578">
        <f t="shared" si="74"/>
        <v>50.824716596527246</v>
      </c>
      <c r="AN53" s="578">
        <f t="shared" si="74"/>
        <v>52.349458094423056</v>
      </c>
      <c r="AO53" s="578">
        <f t="shared" si="74"/>
        <v>52.349458094423056</v>
      </c>
      <c r="AP53" s="578">
        <f t="shared" si="74"/>
        <v>52.349458094423056</v>
      </c>
      <c r="AQ53" s="578">
        <f t="shared" si="74"/>
        <v>52.349458094423056</v>
      </c>
      <c r="AR53" s="398"/>
      <c r="AS53" s="398">
        <f>AS49*0.014</f>
        <v>0</v>
      </c>
      <c r="AT53" s="578">
        <f t="shared" si="8"/>
        <v>164.64000000000001</v>
      </c>
      <c r="AU53" s="578">
        <f t="shared" si="9"/>
        <v>169.57920000000001</v>
      </c>
      <c r="AV53" s="578">
        <f t="shared" si="10"/>
        <v>174.66657600000002</v>
      </c>
      <c r="AW53" s="578">
        <f t="shared" si="11"/>
        <v>179.90657328000003</v>
      </c>
      <c r="AX53" s="578">
        <f t="shared" si="12"/>
        <v>185.3037704784</v>
      </c>
      <c r="AY53" s="578">
        <f t="shared" si="13"/>
        <v>190.86288359275204</v>
      </c>
      <c r="AZ53" s="578">
        <f t="shared" si="14"/>
        <v>197.37754018068833</v>
      </c>
      <c r="BA53" s="578">
        <f t="shared" si="15"/>
        <v>203.29886638610898</v>
      </c>
      <c r="BB53" s="399">
        <f t="shared" si="16"/>
        <v>209.39783237769223</v>
      </c>
      <c r="BC53" s="399">
        <f t="shared" si="36"/>
        <v>209.39783237769223</v>
      </c>
      <c r="BD53" s="593"/>
    </row>
    <row r="54" spans="1:56" x14ac:dyDescent="0.3">
      <c r="A54" s="566" t="s">
        <v>147</v>
      </c>
      <c r="B54" s="561"/>
      <c r="C54" s="567"/>
      <c r="D54" s="561">
        <f>D52+D53</f>
        <v>0</v>
      </c>
      <c r="E54" s="561">
        <f t="shared" ref="E54:AQ54" si="75">E52+E53</f>
        <v>0</v>
      </c>
      <c r="F54" s="561">
        <f t="shared" si="75"/>
        <v>0</v>
      </c>
      <c r="G54" s="561">
        <f t="shared" si="75"/>
        <v>0</v>
      </c>
      <c r="H54" s="561">
        <f t="shared" si="75"/>
        <v>3863.16</v>
      </c>
      <c r="I54" s="561">
        <f t="shared" si="75"/>
        <v>3863.16</v>
      </c>
      <c r="J54" s="561">
        <f t="shared" si="75"/>
        <v>3863.16</v>
      </c>
      <c r="K54" s="561">
        <f t="shared" si="75"/>
        <v>3863.16</v>
      </c>
      <c r="L54" s="561">
        <f t="shared" si="75"/>
        <v>3979.0548000000003</v>
      </c>
      <c r="M54" s="561">
        <f t="shared" si="75"/>
        <v>3979.0548000000003</v>
      </c>
      <c r="N54" s="561">
        <f t="shared" si="75"/>
        <v>3979.0548000000003</v>
      </c>
      <c r="O54" s="561">
        <f t="shared" si="75"/>
        <v>3979.0548000000003</v>
      </c>
      <c r="P54" s="561">
        <f t="shared" si="75"/>
        <v>4098.4264440000006</v>
      </c>
      <c r="Q54" s="561">
        <f t="shared" si="75"/>
        <v>4098.4264440000006</v>
      </c>
      <c r="R54" s="561">
        <f t="shared" si="75"/>
        <v>4098.4264440000006</v>
      </c>
      <c r="S54" s="561">
        <f t="shared" si="75"/>
        <v>4098.4264440000006</v>
      </c>
      <c r="T54" s="561">
        <f t="shared" si="75"/>
        <v>4221.3792373200013</v>
      </c>
      <c r="U54" s="561">
        <f t="shared" si="75"/>
        <v>4221.3792373200013</v>
      </c>
      <c r="V54" s="561">
        <f t="shared" si="75"/>
        <v>4221.3792373200013</v>
      </c>
      <c r="W54" s="561">
        <f t="shared" si="75"/>
        <v>4221.3792373200013</v>
      </c>
      <c r="X54" s="561">
        <f t="shared" si="75"/>
        <v>4348.0206144395997</v>
      </c>
      <c r="Y54" s="561">
        <f t="shared" si="75"/>
        <v>4348.0206144395997</v>
      </c>
      <c r="Z54" s="561">
        <f t="shared" si="75"/>
        <v>4348.0206144395997</v>
      </c>
      <c r="AA54" s="561">
        <f t="shared" si="75"/>
        <v>4348.0206144395997</v>
      </c>
      <c r="AB54" s="561">
        <f t="shared" si="75"/>
        <v>4478.461232872789</v>
      </c>
      <c r="AC54" s="561">
        <f t="shared" si="75"/>
        <v>4478.461232872789</v>
      </c>
      <c r="AD54" s="561">
        <f t="shared" si="75"/>
        <v>4478.461232872789</v>
      </c>
      <c r="AE54" s="561">
        <f t="shared" si="75"/>
        <v>4478.461232872789</v>
      </c>
      <c r="AF54" s="561">
        <f t="shared" si="75"/>
        <v>4631.3229963825797</v>
      </c>
      <c r="AG54" s="561">
        <f t="shared" si="75"/>
        <v>4631.3229963825797</v>
      </c>
      <c r="AH54" s="561">
        <f t="shared" si="75"/>
        <v>4631.3229963825797</v>
      </c>
      <c r="AI54" s="561">
        <f t="shared" si="75"/>
        <v>4631.3229963825797</v>
      </c>
      <c r="AJ54" s="561">
        <f t="shared" si="75"/>
        <v>4770.2626862740572</v>
      </c>
      <c r="AK54" s="561">
        <f t="shared" si="75"/>
        <v>4770.2626862740572</v>
      </c>
      <c r="AL54" s="561">
        <f t="shared" si="75"/>
        <v>4770.2626862740572</v>
      </c>
      <c r="AM54" s="561">
        <f t="shared" si="75"/>
        <v>4770.2626862740572</v>
      </c>
      <c r="AN54" s="561">
        <f t="shared" si="75"/>
        <v>4913.3705668622779</v>
      </c>
      <c r="AO54" s="561">
        <f t="shared" si="75"/>
        <v>4913.3705668622779</v>
      </c>
      <c r="AP54" s="561">
        <f t="shared" si="75"/>
        <v>4913.3705668622779</v>
      </c>
      <c r="AQ54" s="561">
        <f t="shared" si="75"/>
        <v>4913.3705668622779</v>
      </c>
      <c r="AR54" s="95"/>
      <c r="AS54" s="116">
        <f>AS49+AS51+AS53</f>
        <v>0</v>
      </c>
      <c r="AT54" s="561">
        <f t="shared" si="8"/>
        <v>15452.64</v>
      </c>
      <c r="AU54" s="561">
        <f t="shared" si="9"/>
        <v>15916.219200000001</v>
      </c>
      <c r="AV54" s="561">
        <f t="shared" si="10"/>
        <v>16393.705776000003</v>
      </c>
      <c r="AW54" s="561">
        <f t="shared" si="11"/>
        <v>16885.516949280005</v>
      </c>
      <c r="AX54" s="561">
        <f t="shared" si="12"/>
        <v>17392.082457758399</v>
      </c>
      <c r="AY54" s="561">
        <f t="shared" si="13"/>
        <v>17913.844931491156</v>
      </c>
      <c r="AZ54" s="561">
        <f t="shared" si="14"/>
        <v>18525.291985530319</v>
      </c>
      <c r="BA54" s="561">
        <f t="shared" si="15"/>
        <v>19081.050745096229</v>
      </c>
      <c r="BB54" s="561">
        <f t="shared" si="16"/>
        <v>19653.482267449112</v>
      </c>
      <c r="BC54" s="561">
        <f t="shared" si="36"/>
        <v>19653.482267449112</v>
      </c>
    </row>
    <row r="55" spans="1:56" x14ac:dyDescent="0.3">
      <c r="A55" s="566" t="s">
        <v>148</v>
      </c>
      <c r="B55" s="561"/>
      <c r="C55" s="567"/>
      <c r="D55" s="561"/>
      <c r="E55" s="561"/>
      <c r="F55" s="561"/>
      <c r="G55" s="561">
        <f>SUM(D54:G54)</f>
        <v>0</v>
      </c>
      <c r="H55" s="561"/>
      <c r="I55" s="561"/>
      <c r="J55" s="561"/>
      <c r="K55" s="561">
        <f>SUM(H54:K54)</f>
        <v>15452.64</v>
      </c>
      <c r="L55" s="561"/>
      <c r="M55" s="561"/>
      <c r="N55" s="561"/>
      <c r="O55" s="561">
        <f>SUM(L54:O54)</f>
        <v>15916.219200000001</v>
      </c>
      <c r="P55" s="561"/>
      <c r="Q55" s="561"/>
      <c r="R55" s="561"/>
      <c r="S55" s="561">
        <f>SUM(P54:S54)</f>
        <v>16393.705776000003</v>
      </c>
      <c r="T55" s="561"/>
      <c r="U55" s="561"/>
      <c r="V55" s="561"/>
      <c r="W55" s="561">
        <f>SUM(T54:W54)</f>
        <v>16885.516949280005</v>
      </c>
      <c r="X55" s="561"/>
      <c r="Y55" s="561"/>
      <c r="Z55" s="561"/>
      <c r="AA55" s="561">
        <f>SUM(X54:AA54)</f>
        <v>17392.082457758399</v>
      </c>
      <c r="AB55" s="561"/>
      <c r="AC55" s="561"/>
      <c r="AD55" s="561"/>
      <c r="AE55" s="561">
        <f t="shared" ref="AE55:AI55" si="76">SUM(AB54:AE54)</f>
        <v>17913.844931491156</v>
      </c>
      <c r="AF55" s="561"/>
      <c r="AG55" s="561"/>
      <c r="AH55" s="561"/>
      <c r="AI55" s="561">
        <f t="shared" si="76"/>
        <v>18525.291985530319</v>
      </c>
      <c r="AJ55" s="561"/>
      <c r="AK55" s="561"/>
      <c r="AL55" s="561"/>
      <c r="AM55" s="561">
        <f>SUM(AJ54:AM54)</f>
        <v>19081.050745096229</v>
      </c>
      <c r="AN55" s="561"/>
      <c r="AO55" s="561"/>
      <c r="AP55" s="561"/>
      <c r="AQ55" s="561">
        <f>SUM(AN54:AQ54)</f>
        <v>19653.482267449112</v>
      </c>
      <c r="AR55" s="95"/>
      <c r="AS55" s="95">
        <f>AS51+AS53</f>
        <v>0</v>
      </c>
      <c r="AT55" s="561">
        <f t="shared" si="8"/>
        <v>15452.64</v>
      </c>
      <c r="AU55" s="561">
        <f t="shared" si="9"/>
        <v>15916.219200000001</v>
      </c>
      <c r="AV55" s="561">
        <f t="shared" si="10"/>
        <v>16393.705776000003</v>
      </c>
      <c r="AW55" s="561">
        <f t="shared" si="11"/>
        <v>16885.516949280005</v>
      </c>
      <c r="AX55" s="561">
        <f t="shared" si="12"/>
        <v>17392.082457758399</v>
      </c>
      <c r="AY55" s="561">
        <f t="shared" si="13"/>
        <v>17913.844931491156</v>
      </c>
      <c r="AZ55" s="561">
        <f t="shared" si="14"/>
        <v>18525.291985530319</v>
      </c>
      <c r="BA55" s="561">
        <f t="shared" si="15"/>
        <v>19081.050745096229</v>
      </c>
      <c r="BB55" s="561">
        <f t="shared" si="16"/>
        <v>19653.482267449112</v>
      </c>
      <c r="BC55" s="561">
        <f t="shared" si="36"/>
        <v>19653.482267449112</v>
      </c>
    </row>
    <row r="56" spans="1:56" x14ac:dyDescent="0.3">
      <c r="A56" s="566" t="s">
        <v>149</v>
      </c>
      <c r="B56" s="121">
        <v>0.13</v>
      </c>
      <c r="C56" s="561"/>
      <c r="D56" s="561">
        <f>$B$56*D49</f>
        <v>0</v>
      </c>
      <c r="E56" s="561">
        <f t="shared" ref="E56:I56" si="77">$B$56*E49</f>
        <v>0</v>
      </c>
      <c r="F56" s="561">
        <f t="shared" si="77"/>
        <v>0</v>
      </c>
      <c r="G56" s="561">
        <f t="shared" si="77"/>
        <v>0</v>
      </c>
      <c r="H56" s="561">
        <f t="shared" si="77"/>
        <v>382.2</v>
      </c>
      <c r="I56" s="561">
        <f t="shared" si="77"/>
        <v>382.2</v>
      </c>
      <c r="J56" s="561">
        <f t="shared" ref="J56:AQ56" si="78">$B$56*J49</f>
        <v>382.2</v>
      </c>
      <c r="K56" s="561">
        <f t="shared" si="78"/>
        <v>382.2</v>
      </c>
      <c r="L56" s="561">
        <f t="shared" si="78"/>
        <v>393.66600000000005</v>
      </c>
      <c r="M56" s="561">
        <f t="shared" si="78"/>
        <v>393.66600000000005</v>
      </c>
      <c r="N56" s="561">
        <f t="shared" si="78"/>
        <v>393.66600000000005</v>
      </c>
      <c r="O56" s="561">
        <f t="shared" si="78"/>
        <v>393.66600000000005</v>
      </c>
      <c r="P56" s="561">
        <f t="shared" si="78"/>
        <v>405.47598000000005</v>
      </c>
      <c r="Q56" s="561">
        <f>$B$56*Q49</f>
        <v>405.47598000000005</v>
      </c>
      <c r="R56" s="561">
        <f t="shared" si="78"/>
        <v>405.47598000000005</v>
      </c>
      <c r="S56" s="561">
        <f t="shared" si="78"/>
        <v>405.47598000000005</v>
      </c>
      <c r="T56" s="561">
        <f t="shared" si="78"/>
        <v>417.6402594000001</v>
      </c>
      <c r="U56" s="561">
        <f t="shared" si="78"/>
        <v>417.6402594000001</v>
      </c>
      <c r="V56" s="561">
        <f t="shared" si="78"/>
        <v>417.6402594000001</v>
      </c>
      <c r="W56" s="561">
        <f t="shared" si="78"/>
        <v>417.6402594000001</v>
      </c>
      <c r="X56" s="561">
        <f t="shared" si="78"/>
        <v>430.16946718200001</v>
      </c>
      <c r="Y56" s="561">
        <f t="shared" si="78"/>
        <v>430.16946718200001</v>
      </c>
      <c r="Z56" s="561">
        <f t="shared" si="78"/>
        <v>430.16946718200001</v>
      </c>
      <c r="AA56" s="561">
        <f t="shared" si="78"/>
        <v>430.16946718200001</v>
      </c>
      <c r="AB56" s="561">
        <f t="shared" si="78"/>
        <v>443.0745511974601</v>
      </c>
      <c r="AC56" s="561">
        <f t="shared" si="78"/>
        <v>443.0745511974601</v>
      </c>
      <c r="AD56" s="561">
        <f t="shared" si="78"/>
        <v>443.0745511974601</v>
      </c>
      <c r="AE56" s="561">
        <f t="shared" si="78"/>
        <v>443.0745511974601</v>
      </c>
      <c r="AF56" s="561">
        <f t="shared" si="78"/>
        <v>458.19786113374073</v>
      </c>
      <c r="AG56" s="561">
        <f t="shared" si="78"/>
        <v>458.19786113374073</v>
      </c>
      <c r="AH56" s="561">
        <f t="shared" si="78"/>
        <v>458.19786113374073</v>
      </c>
      <c r="AI56" s="561">
        <f t="shared" si="78"/>
        <v>458.19786113374073</v>
      </c>
      <c r="AJ56" s="561">
        <f t="shared" si="78"/>
        <v>471.94379696775297</v>
      </c>
      <c r="AK56" s="561">
        <f t="shared" si="78"/>
        <v>471.94379696775297</v>
      </c>
      <c r="AL56" s="561">
        <f t="shared" si="78"/>
        <v>471.94379696775297</v>
      </c>
      <c r="AM56" s="561">
        <f t="shared" si="78"/>
        <v>471.94379696775297</v>
      </c>
      <c r="AN56" s="561">
        <f t="shared" si="78"/>
        <v>486.1021108767855</v>
      </c>
      <c r="AO56" s="561">
        <f t="shared" si="78"/>
        <v>486.1021108767855</v>
      </c>
      <c r="AP56" s="561">
        <f t="shared" si="78"/>
        <v>486.1021108767855</v>
      </c>
      <c r="AQ56" s="561">
        <f t="shared" si="78"/>
        <v>486.1021108767855</v>
      </c>
      <c r="AR56" s="95"/>
      <c r="AS56" s="95">
        <f t="shared" ref="AS56" si="79">0.13*SUM(AS10:AS12)</f>
        <v>0</v>
      </c>
      <c r="AT56" s="561">
        <f t="shared" si="8"/>
        <v>1528.8</v>
      </c>
      <c r="AU56" s="561">
        <f t="shared" si="9"/>
        <v>1574.6640000000002</v>
      </c>
      <c r="AV56" s="561">
        <f t="shared" si="10"/>
        <v>1621.9039200000002</v>
      </c>
      <c r="AW56" s="561">
        <f t="shared" si="11"/>
        <v>1670.5610376000004</v>
      </c>
      <c r="AX56" s="561">
        <f t="shared" si="12"/>
        <v>1720.677868728</v>
      </c>
      <c r="AY56" s="561">
        <f t="shared" si="13"/>
        <v>1772.2982047898404</v>
      </c>
      <c r="AZ56" s="561">
        <f t="shared" si="14"/>
        <v>1832.7914445349629</v>
      </c>
      <c r="BA56" s="561">
        <f t="shared" si="15"/>
        <v>1887.7751878710119</v>
      </c>
      <c r="BB56" s="561">
        <f t="shared" si="16"/>
        <v>1944.408443507142</v>
      </c>
      <c r="BC56" s="561">
        <f t="shared" si="36"/>
        <v>1944.408443507142</v>
      </c>
    </row>
    <row r="57" spans="1:56" x14ac:dyDescent="0.3">
      <c r="A57" s="566" t="s">
        <v>150</v>
      </c>
      <c r="B57" s="121">
        <v>0.3</v>
      </c>
      <c r="C57" s="561"/>
      <c r="D57" s="561">
        <f>$B$57*D13</f>
        <v>0</v>
      </c>
      <c r="E57" s="561">
        <f t="shared" ref="E57:S57" si="80">$B$57*E13</f>
        <v>0</v>
      </c>
      <c r="F57" s="561">
        <f t="shared" si="80"/>
        <v>0</v>
      </c>
      <c r="G57" s="561">
        <f t="shared" si="80"/>
        <v>0</v>
      </c>
      <c r="H57" s="561">
        <f t="shared" si="80"/>
        <v>0</v>
      </c>
      <c r="I57" s="561">
        <f t="shared" si="80"/>
        <v>0</v>
      </c>
      <c r="J57" s="561">
        <f t="shared" si="80"/>
        <v>0</v>
      </c>
      <c r="K57" s="561">
        <f t="shared" si="80"/>
        <v>0</v>
      </c>
      <c r="L57" s="561">
        <f t="shared" si="80"/>
        <v>0</v>
      </c>
      <c r="M57" s="561">
        <f t="shared" si="80"/>
        <v>0</v>
      </c>
      <c r="N57" s="561">
        <f t="shared" si="80"/>
        <v>0</v>
      </c>
      <c r="O57" s="561">
        <f t="shared" si="80"/>
        <v>0</v>
      </c>
      <c r="P57" s="561">
        <f t="shared" si="80"/>
        <v>0</v>
      </c>
      <c r="Q57" s="561">
        <f>$B$57*Q13</f>
        <v>0</v>
      </c>
      <c r="R57" s="561">
        <f t="shared" si="80"/>
        <v>0</v>
      </c>
      <c r="S57" s="561">
        <f t="shared" si="80"/>
        <v>0</v>
      </c>
      <c r="T57" s="561"/>
      <c r="U57" s="561"/>
      <c r="V57" s="561"/>
      <c r="W57" s="561"/>
      <c r="X57" s="561"/>
      <c r="Y57" s="561"/>
      <c r="Z57" s="561"/>
      <c r="AA57" s="561"/>
      <c r="AB57" s="561"/>
      <c r="AC57" s="561"/>
      <c r="AD57" s="561"/>
      <c r="AE57" s="561"/>
      <c r="AF57" s="561"/>
      <c r="AG57" s="561"/>
      <c r="AH57" s="561"/>
      <c r="AI57" s="561"/>
      <c r="AJ57" s="561"/>
      <c r="AK57" s="561"/>
      <c r="AL57" s="561"/>
      <c r="AM57" s="561"/>
      <c r="AN57" s="561"/>
      <c r="AO57" s="561"/>
      <c r="AP57" s="561"/>
      <c r="AQ57" s="561"/>
      <c r="AR57" s="95"/>
      <c r="AS57" s="95">
        <f>0.3*AS13</f>
        <v>0</v>
      </c>
      <c r="AT57" s="561">
        <f t="shared" si="8"/>
        <v>0</v>
      </c>
      <c r="AU57" s="561">
        <f t="shared" si="9"/>
        <v>0</v>
      </c>
      <c r="AV57" s="561">
        <f t="shared" si="10"/>
        <v>0</v>
      </c>
      <c r="AW57" s="561">
        <f t="shared" si="11"/>
        <v>0</v>
      </c>
      <c r="AX57" s="561">
        <f t="shared" si="12"/>
        <v>0</v>
      </c>
      <c r="AY57" s="561">
        <f t="shared" si="13"/>
        <v>0</v>
      </c>
      <c r="AZ57" s="561">
        <f t="shared" si="14"/>
        <v>0</v>
      </c>
      <c r="BA57" s="561">
        <f t="shared" si="15"/>
        <v>0</v>
      </c>
      <c r="BB57" s="561">
        <f t="shared" si="16"/>
        <v>0</v>
      </c>
      <c r="BC57" s="561">
        <f t="shared" si="36"/>
        <v>0</v>
      </c>
    </row>
    <row r="58" spans="1:56" s="402" customFormat="1" x14ac:dyDescent="0.3">
      <c r="A58" s="580" t="s">
        <v>151</v>
      </c>
      <c r="B58" s="581"/>
      <c r="C58" s="581"/>
      <c r="D58" s="581">
        <f>D56+D57</f>
        <v>0</v>
      </c>
      <c r="E58" s="581">
        <f t="shared" ref="E58:AQ58" si="81">E56+E57</f>
        <v>0</v>
      </c>
      <c r="F58" s="581">
        <f t="shared" si="81"/>
        <v>0</v>
      </c>
      <c r="G58" s="581">
        <f t="shared" si="81"/>
        <v>0</v>
      </c>
      <c r="H58" s="581">
        <f>H56+H57</f>
        <v>382.2</v>
      </c>
      <c r="I58" s="581">
        <f t="shared" si="81"/>
        <v>382.2</v>
      </c>
      <c r="J58" s="581">
        <f t="shared" si="81"/>
        <v>382.2</v>
      </c>
      <c r="K58" s="581">
        <f t="shared" si="81"/>
        <v>382.2</v>
      </c>
      <c r="L58" s="581">
        <f t="shared" si="81"/>
        <v>393.66600000000005</v>
      </c>
      <c r="M58" s="581">
        <f t="shared" si="81"/>
        <v>393.66600000000005</v>
      </c>
      <c r="N58" s="581">
        <f t="shared" si="81"/>
        <v>393.66600000000005</v>
      </c>
      <c r="O58" s="581">
        <f t="shared" si="81"/>
        <v>393.66600000000005</v>
      </c>
      <c r="P58" s="581">
        <f t="shared" si="81"/>
        <v>405.47598000000005</v>
      </c>
      <c r="Q58" s="581">
        <f t="shared" si="81"/>
        <v>405.47598000000005</v>
      </c>
      <c r="R58" s="581">
        <f t="shared" si="81"/>
        <v>405.47598000000005</v>
      </c>
      <c r="S58" s="581">
        <f t="shared" si="81"/>
        <v>405.47598000000005</v>
      </c>
      <c r="T58" s="581">
        <f t="shared" si="81"/>
        <v>417.6402594000001</v>
      </c>
      <c r="U58" s="581">
        <f t="shared" si="81"/>
        <v>417.6402594000001</v>
      </c>
      <c r="V58" s="581">
        <f t="shared" si="81"/>
        <v>417.6402594000001</v>
      </c>
      <c r="W58" s="581">
        <f t="shared" si="81"/>
        <v>417.6402594000001</v>
      </c>
      <c r="X58" s="581">
        <f t="shared" si="81"/>
        <v>430.16946718200001</v>
      </c>
      <c r="Y58" s="581">
        <f t="shared" si="81"/>
        <v>430.16946718200001</v>
      </c>
      <c r="Z58" s="581">
        <f t="shared" si="81"/>
        <v>430.16946718200001</v>
      </c>
      <c r="AA58" s="581">
        <f t="shared" si="81"/>
        <v>430.16946718200001</v>
      </c>
      <c r="AB58" s="581">
        <f t="shared" si="81"/>
        <v>443.0745511974601</v>
      </c>
      <c r="AC58" s="581">
        <f t="shared" si="81"/>
        <v>443.0745511974601</v>
      </c>
      <c r="AD58" s="581">
        <f t="shared" si="81"/>
        <v>443.0745511974601</v>
      </c>
      <c r="AE58" s="581">
        <f t="shared" si="81"/>
        <v>443.0745511974601</v>
      </c>
      <c r="AF58" s="581">
        <f t="shared" si="81"/>
        <v>458.19786113374073</v>
      </c>
      <c r="AG58" s="581">
        <f t="shared" si="81"/>
        <v>458.19786113374073</v>
      </c>
      <c r="AH58" s="581">
        <f t="shared" si="81"/>
        <v>458.19786113374073</v>
      </c>
      <c r="AI58" s="581">
        <f t="shared" si="81"/>
        <v>458.19786113374073</v>
      </c>
      <c r="AJ58" s="581">
        <f t="shared" si="81"/>
        <v>471.94379696775297</v>
      </c>
      <c r="AK58" s="581">
        <f t="shared" si="81"/>
        <v>471.94379696775297</v>
      </c>
      <c r="AL58" s="581">
        <f t="shared" si="81"/>
        <v>471.94379696775297</v>
      </c>
      <c r="AM58" s="581">
        <f t="shared" si="81"/>
        <v>471.94379696775297</v>
      </c>
      <c r="AN58" s="581">
        <f t="shared" si="81"/>
        <v>486.1021108767855</v>
      </c>
      <c r="AO58" s="581">
        <f t="shared" si="81"/>
        <v>486.1021108767855</v>
      </c>
      <c r="AP58" s="581">
        <f t="shared" si="81"/>
        <v>486.1021108767855</v>
      </c>
      <c r="AQ58" s="581">
        <f t="shared" si="81"/>
        <v>486.1021108767855</v>
      </c>
      <c r="AR58" s="401"/>
      <c r="AS58" s="401">
        <f t="shared" ref="AS58" si="82">AS56+AS57</f>
        <v>0</v>
      </c>
      <c r="AT58" s="581">
        <f t="shared" si="8"/>
        <v>1528.8</v>
      </c>
      <c r="AU58" s="581">
        <f t="shared" si="9"/>
        <v>1574.6640000000002</v>
      </c>
      <c r="AV58" s="581">
        <f t="shared" si="10"/>
        <v>1621.9039200000002</v>
      </c>
      <c r="AW58" s="581">
        <f t="shared" si="11"/>
        <v>1670.5610376000004</v>
      </c>
      <c r="AX58" s="581">
        <f t="shared" si="12"/>
        <v>1720.677868728</v>
      </c>
      <c r="AY58" s="581">
        <f t="shared" si="13"/>
        <v>1772.2982047898404</v>
      </c>
      <c r="AZ58" s="581">
        <f t="shared" si="14"/>
        <v>1832.7914445349629</v>
      </c>
      <c r="BA58" s="581">
        <f t="shared" si="15"/>
        <v>1887.7751878710119</v>
      </c>
      <c r="BB58" s="581">
        <f t="shared" si="16"/>
        <v>1944.408443507142</v>
      </c>
      <c r="BC58" s="581">
        <f t="shared" si="36"/>
        <v>1944.408443507142</v>
      </c>
    </row>
    <row r="59" spans="1:56" s="117" customFormat="1" ht="28.8" x14ac:dyDescent="0.3">
      <c r="A59" s="582" t="s">
        <v>152</v>
      </c>
      <c r="B59" s="583" t="s">
        <v>153</v>
      </c>
      <c r="C59" s="584"/>
      <c r="D59" s="583" t="str">
        <f>D1</f>
        <v>I кв. 1 г.</v>
      </c>
      <c r="E59" s="583" t="str">
        <f t="shared" ref="E59:AQ59" si="83">E1</f>
        <v>II кв. 1 г.</v>
      </c>
      <c r="F59" s="583" t="str">
        <f t="shared" si="83"/>
        <v>III кв. 1 г.</v>
      </c>
      <c r="G59" s="583" t="str">
        <f t="shared" si="83"/>
        <v>IV кв. 1 г.</v>
      </c>
      <c r="H59" s="583" t="str">
        <f t="shared" si="83"/>
        <v>I кв. 2 г.</v>
      </c>
      <c r="I59" s="583" t="str">
        <f t="shared" si="83"/>
        <v>II кв. 2 г.</v>
      </c>
      <c r="J59" s="583" t="str">
        <f t="shared" si="83"/>
        <v>III кв. 2 г.</v>
      </c>
      <c r="K59" s="583" t="str">
        <f t="shared" si="83"/>
        <v>IV кв. 2 г.</v>
      </c>
      <c r="L59" s="583" t="str">
        <f t="shared" si="83"/>
        <v>I кв. 3 г.</v>
      </c>
      <c r="M59" s="583" t="str">
        <f t="shared" si="83"/>
        <v>II кв. 3 г.</v>
      </c>
      <c r="N59" s="583" t="str">
        <f t="shared" si="83"/>
        <v>III кв. 3 г.</v>
      </c>
      <c r="O59" s="583" t="str">
        <f t="shared" si="83"/>
        <v>IV кв. 3 г.</v>
      </c>
      <c r="P59" s="583" t="str">
        <f t="shared" si="83"/>
        <v>I кв. 4 г.</v>
      </c>
      <c r="Q59" s="583" t="str">
        <f t="shared" si="83"/>
        <v>II кв. 4 г.</v>
      </c>
      <c r="R59" s="583" t="str">
        <f t="shared" si="83"/>
        <v>III кв. 4 г.</v>
      </c>
      <c r="S59" s="583" t="str">
        <f t="shared" si="83"/>
        <v>IV кв. 4 г.</v>
      </c>
      <c r="T59" s="583" t="str">
        <f t="shared" si="83"/>
        <v>I кв. 5 г.</v>
      </c>
      <c r="U59" s="583" t="str">
        <f t="shared" si="83"/>
        <v>II кв. 5 г.</v>
      </c>
      <c r="V59" s="583" t="str">
        <f t="shared" si="83"/>
        <v>III кв. 5 г.</v>
      </c>
      <c r="W59" s="583" t="str">
        <f t="shared" si="83"/>
        <v>IV кв. 5 г.</v>
      </c>
      <c r="X59" s="583" t="str">
        <f t="shared" si="83"/>
        <v>I кв. 6 г.</v>
      </c>
      <c r="Y59" s="583" t="str">
        <f t="shared" si="83"/>
        <v>II кв. 6 г.</v>
      </c>
      <c r="Z59" s="583" t="str">
        <f t="shared" si="83"/>
        <v>III кв. 6 г.</v>
      </c>
      <c r="AA59" s="583" t="str">
        <f t="shared" si="83"/>
        <v>IV кв. 6 г.</v>
      </c>
      <c r="AB59" s="583" t="str">
        <f t="shared" si="83"/>
        <v>I кв. 7 г.</v>
      </c>
      <c r="AC59" s="583" t="str">
        <f t="shared" si="83"/>
        <v>II кв. 7 г.</v>
      </c>
      <c r="AD59" s="583" t="str">
        <f t="shared" si="83"/>
        <v>III кв. 7 г.</v>
      </c>
      <c r="AE59" s="583" t="str">
        <f t="shared" si="83"/>
        <v>IV кв. 7 г.</v>
      </c>
      <c r="AF59" s="583" t="str">
        <f t="shared" si="83"/>
        <v>I кв. 8 г.</v>
      </c>
      <c r="AG59" s="583" t="str">
        <f t="shared" si="83"/>
        <v>II кв. 8 г.</v>
      </c>
      <c r="AH59" s="583" t="str">
        <f t="shared" si="83"/>
        <v>III кв. 8 г.</v>
      </c>
      <c r="AI59" s="583" t="str">
        <f t="shared" si="83"/>
        <v>IV кв. 8 г.</v>
      </c>
      <c r="AJ59" s="583" t="str">
        <f t="shared" si="83"/>
        <v>I кв. 9 г.</v>
      </c>
      <c r="AK59" s="583" t="str">
        <f t="shared" si="83"/>
        <v>II кв. 9 г.</v>
      </c>
      <c r="AL59" s="583" t="str">
        <f t="shared" si="83"/>
        <v>III кв. 9 г.</v>
      </c>
      <c r="AM59" s="583" t="str">
        <f t="shared" si="83"/>
        <v>IV кв. 9 г.</v>
      </c>
      <c r="AN59" s="583" t="str">
        <f t="shared" si="83"/>
        <v>I кв. 10 г.</v>
      </c>
      <c r="AO59" s="583" t="str">
        <f t="shared" si="83"/>
        <v>II кв. 10 г.</v>
      </c>
      <c r="AP59" s="583" t="str">
        <f t="shared" si="83"/>
        <v>III кв. 10 г.</v>
      </c>
      <c r="AQ59" s="583" t="str">
        <f t="shared" si="83"/>
        <v>IV кв. 10 г.</v>
      </c>
    </row>
    <row r="60" spans="1:56" ht="28.8" x14ac:dyDescent="0.3">
      <c r="A60" s="609" t="s">
        <v>420</v>
      </c>
      <c r="B60" s="121">
        <f>допущения!C24</f>
        <v>1.4E-2</v>
      </c>
      <c r="C60" s="567"/>
      <c r="D60" s="561">
        <f>D53</f>
        <v>0</v>
      </c>
      <c r="E60" s="561">
        <f t="shared" ref="E60:AQ60" si="84">E53</f>
        <v>0</v>
      </c>
      <c r="F60" s="561">
        <f t="shared" si="84"/>
        <v>0</v>
      </c>
      <c r="G60" s="561">
        <f t="shared" si="84"/>
        <v>0</v>
      </c>
      <c r="H60" s="561">
        <f t="shared" si="84"/>
        <v>41.160000000000004</v>
      </c>
      <c r="I60" s="561">
        <f t="shared" si="84"/>
        <v>41.160000000000004</v>
      </c>
      <c r="J60" s="561">
        <f t="shared" si="84"/>
        <v>41.160000000000004</v>
      </c>
      <c r="K60" s="561">
        <f t="shared" si="84"/>
        <v>41.160000000000004</v>
      </c>
      <c r="L60" s="561">
        <f t="shared" si="84"/>
        <v>42.394800000000004</v>
      </c>
      <c r="M60" s="561">
        <f t="shared" si="84"/>
        <v>42.394800000000004</v>
      </c>
      <c r="N60" s="561">
        <f t="shared" si="84"/>
        <v>42.394800000000004</v>
      </c>
      <c r="O60" s="561">
        <f t="shared" si="84"/>
        <v>42.394800000000004</v>
      </c>
      <c r="P60" s="561">
        <f t="shared" si="84"/>
        <v>43.666644000000005</v>
      </c>
      <c r="Q60" s="561">
        <f t="shared" si="84"/>
        <v>43.666644000000005</v>
      </c>
      <c r="R60" s="561">
        <f t="shared" si="84"/>
        <v>43.666644000000005</v>
      </c>
      <c r="S60" s="561">
        <f t="shared" si="84"/>
        <v>43.666644000000005</v>
      </c>
      <c r="T60" s="561">
        <f t="shared" si="84"/>
        <v>44.976643320000008</v>
      </c>
      <c r="U60" s="561">
        <f t="shared" si="84"/>
        <v>44.976643320000008</v>
      </c>
      <c r="V60" s="561">
        <f t="shared" si="84"/>
        <v>44.976643320000008</v>
      </c>
      <c r="W60" s="561">
        <f t="shared" si="84"/>
        <v>44.976643320000008</v>
      </c>
      <c r="X60" s="561">
        <f t="shared" si="84"/>
        <v>46.325942619599999</v>
      </c>
      <c r="Y60" s="561">
        <f t="shared" si="84"/>
        <v>46.325942619599999</v>
      </c>
      <c r="Z60" s="561">
        <f t="shared" si="84"/>
        <v>46.325942619599999</v>
      </c>
      <c r="AA60" s="561">
        <f t="shared" si="84"/>
        <v>46.325942619599999</v>
      </c>
      <c r="AB60" s="561">
        <f t="shared" si="84"/>
        <v>47.71572089818801</v>
      </c>
      <c r="AC60" s="561">
        <f t="shared" si="84"/>
        <v>47.71572089818801</v>
      </c>
      <c r="AD60" s="561">
        <f t="shared" si="84"/>
        <v>47.71572089818801</v>
      </c>
      <c r="AE60" s="561">
        <f t="shared" si="84"/>
        <v>47.71572089818801</v>
      </c>
      <c r="AF60" s="561">
        <f t="shared" si="84"/>
        <v>49.344385045172082</v>
      </c>
      <c r="AG60" s="561">
        <f t="shared" si="84"/>
        <v>49.344385045172082</v>
      </c>
      <c r="AH60" s="561">
        <f t="shared" si="84"/>
        <v>49.344385045172082</v>
      </c>
      <c r="AI60" s="561">
        <f t="shared" si="84"/>
        <v>49.344385045172082</v>
      </c>
      <c r="AJ60" s="561">
        <f t="shared" si="84"/>
        <v>50.824716596527246</v>
      </c>
      <c r="AK60" s="561">
        <f t="shared" si="84"/>
        <v>50.824716596527246</v>
      </c>
      <c r="AL60" s="561">
        <f t="shared" si="84"/>
        <v>50.824716596527246</v>
      </c>
      <c r="AM60" s="561">
        <f t="shared" si="84"/>
        <v>50.824716596527246</v>
      </c>
      <c r="AN60" s="561">
        <f t="shared" si="84"/>
        <v>52.349458094423056</v>
      </c>
      <c r="AO60" s="561">
        <f t="shared" si="84"/>
        <v>52.349458094423056</v>
      </c>
      <c r="AP60" s="561">
        <f t="shared" si="84"/>
        <v>52.349458094423056</v>
      </c>
      <c r="AQ60" s="561">
        <f t="shared" si="84"/>
        <v>52.349458094423056</v>
      </c>
    </row>
    <row r="61" spans="1:56" x14ac:dyDescent="0.3">
      <c r="A61" s="566" t="s">
        <v>154</v>
      </c>
      <c r="B61" s="121">
        <f>SUM(B63:B65)</f>
        <v>0.3</v>
      </c>
      <c r="C61" s="567"/>
      <c r="D61" s="561">
        <f>D51</f>
        <v>0</v>
      </c>
      <c r="E61" s="561">
        <f t="shared" ref="E61:AQ61" si="85">E51</f>
        <v>0</v>
      </c>
      <c r="F61" s="561">
        <f t="shared" si="85"/>
        <v>0</v>
      </c>
      <c r="G61" s="561">
        <f t="shared" si="85"/>
        <v>0</v>
      </c>
      <c r="H61" s="561">
        <f t="shared" si="85"/>
        <v>882</v>
      </c>
      <c r="I61" s="561">
        <f t="shared" si="85"/>
        <v>882</v>
      </c>
      <c r="J61" s="561">
        <f t="shared" si="85"/>
        <v>882</v>
      </c>
      <c r="K61" s="561">
        <f t="shared" si="85"/>
        <v>882</v>
      </c>
      <c r="L61" s="561">
        <f t="shared" si="85"/>
        <v>908.46</v>
      </c>
      <c r="M61" s="561">
        <f t="shared" si="85"/>
        <v>908.46</v>
      </c>
      <c r="N61" s="561">
        <f t="shared" si="85"/>
        <v>908.46</v>
      </c>
      <c r="O61" s="561">
        <f t="shared" si="85"/>
        <v>908.46</v>
      </c>
      <c r="P61" s="561">
        <f t="shared" si="85"/>
        <v>935.71379999999999</v>
      </c>
      <c r="Q61" s="561">
        <f t="shared" si="85"/>
        <v>935.71379999999999</v>
      </c>
      <c r="R61" s="561">
        <f t="shared" si="85"/>
        <v>935.71379999999999</v>
      </c>
      <c r="S61" s="561">
        <f t="shared" si="85"/>
        <v>935.71379999999999</v>
      </c>
      <c r="T61" s="561">
        <f t="shared" si="85"/>
        <v>963.785214</v>
      </c>
      <c r="U61" s="561">
        <f t="shared" si="85"/>
        <v>963.785214</v>
      </c>
      <c r="V61" s="561">
        <f t="shared" si="85"/>
        <v>963.785214</v>
      </c>
      <c r="W61" s="561">
        <f t="shared" si="85"/>
        <v>963.785214</v>
      </c>
      <c r="X61" s="561">
        <f t="shared" si="85"/>
        <v>992.69877041999996</v>
      </c>
      <c r="Y61" s="561">
        <f t="shared" si="85"/>
        <v>992.69877041999996</v>
      </c>
      <c r="Z61" s="561">
        <f t="shared" si="85"/>
        <v>992.69877041999996</v>
      </c>
      <c r="AA61" s="561">
        <f t="shared" si="85"/>
        <v>992.69877041999996</v>
      </c>
      <c r="AB61" s="561">
        <f t="shared" si="85"/>
        <v>1022.4797335326002</v>
      </c>
      <c r="AC61" s="561">
        <f t="shared" si="85"/>
        <v>1022.4797335326002</v>
      </c>
      <c r="AD61" s="561">
        <f t="shared" si="85"/>
        <v>1022.4797335326002</v>
      </c>
      <c r="AE61" s="561">
        <f t="shared" si="85"/>
        <v>1022.4797335326002</v>
      </c>
      <c r="AF61" s="561">
        <f t="shared" si="85"/>
        <v>1057.3796795394016</v>
      </c>
      <c r="AG61" s="561">
        <f t="shared" si="85"/>
        <v>1057.3796795394016</v>
      </c>
      <c r="AH61" s="561">
        <f t="shared" si="85"/>
        <v>1057.3796795394016</v>
      </c>
      <c r="AI61" s="561">
        <f t="shared" si="85"/>
        <v>1057.3796795394016</v>
      </c>
      <c r="AJ61" s="561">
        <f t="shared" si="85"/>
        <v>1089.1010699255837</v>
      </c>
      <c r="AK61" s="561">
        <f t="shared" si="85"/>
        <v>1089.1010699255837</v>
      </c>
      <c r="AL61" s="561">
        <f t="shared" si="85"/>
        <v>1089.1010699255837</v>
      </c>
      <c r="AM61" s="561">
        <f t="shared" si="85"/>
        <v>1089.1010699255837</v>
      </c>
      <c r="AN61" s="561">
        <f t="shared" si="85"/>
        <v>1121.7741020233511</v>
      </c>
      <c r="AO61" s="561">
        <f t="shared" si="85"/>
        <v>1121.7741020233511</v>
      </c>
      <c r="AP61" s="561">
        <f t="shared" si="85"/>
        <v>1121.7741020233511</v>
      </c>
      <c r="AQ61" s="561">
        <f t="shared" si="85"/>
        <v>1121.7741020233511</v>
      </c>
    </row>
    <row r="62" spans="1:56" x14ac:dyDescent="0.3">
      <c r="A62" s="566" t="s">
        <v>155</v>
      </c>
      <c r="B62" s="121"/>
      <c r="C62" s="567"/>
      <c r="D62" s="561"/>
      <c r="E62" s="561"/>
      <c r="F62" s="561"/>
      <c r="G62" s="561"/>
      <c r="H62" s="561"/>
      <c r="I62" s="561"/>
      <c r="J62" s="561"/>
      <c r="K62" s="561"/>
      <c r="L62" s="561"/>
      <c r="M62" s="561"/>
      <c r="N62" s="561"/>
      <c r="O62" s="561"/>
      <c r="P62" s="561"/>
      <c r="Q62" s="561"/>
      <c r="R62" s="561"/>
      <c r="S62" s="561"/>
      <c r="T62" s="561"/>
      <c r="U62" s="561"/>
      <c r="V62" s="561"/>
      <c r="W62" s="585"/>
      <c r="X62" s="585"/>
      <c r="Y62" s="585"/>
      <c r="Z62" s="585"/>
      <c r="AA62" s="585"/>
      <c r="AB62" s="585"/>
      <c r="AC62" s="585"/>
      <c r="AD62" s="585"/>
      <c r="AE62" s="585"/>
      <c r="AF62" s="585"/>
      <c r="AG62" s="585"/>
      <c r="AH62" s="585"/>
      <c r="AI62" s="585"/>
      <c r="AJ62" s="585"/>
      <c r="AK62" s="585"/>
      <c r="AL62" s="585"/>
      <c r="AM62" s="585"/>
      <c r="AN62" s="585"/>
      <c r="AO62" s="585"/>
      <c r="AP62" s="585"/>
      <c r="AQ62" s="585"/>
    </row>
    <row r="63" spans="1:56" ht="28.8" x14ac:dyDescent="0.3">
      <c r="A63" s="566" t="s">
        <v>156</v>
      </c>
      <c r="B63" s="121">
        <f>допущения!C25</f>
        <v>0.22</v>
      </c>
      <c r="C63" s="567"/>
      <c r="D63" s="561">
        <f>D49*$B$63</f>
        <v>0</v>
      </c>
      <c r="E63" s="561">
        <f t="shared" ref="E63:AQ63" si="86">E49*$B$63</f>
        <v>0</v>
      </c>
      <c r="F63" s="561">
        <f t="shared" si="86"/>
        <v>0</v>
      </c>
      <c r="G63" s="561">
        <f t="shared" si="86"/>
        <v>0</v>
      </c>
      <c r="H63" s="561">
        <f t="shared" si="86"/>
        <v>646.79999999999995</v>
      </c>
      <c r="I63" s="561">
        <f t="shared" si="86"/>
        <v>646.79999999999995</v>
      </c>
      <c r="J63" s="561">
        <f t="shared" si="86"/>
        <v>646.79999999999995</v>
      </c>
      <c r="K63" s="561">
        <f t="shared" si="86"/>
        <v>646.79999999999995</v>
      </c>
      <c r="L63" s="561">
        <f t="shared" si="86"/>
        <v>666.20400000000006</v>
      </c>
      <c r="M63" s="561">
        <f t="shared" si="86"/>
        <v>666.20400000000006</v>
      </c>
      <c r="N63" s="561">
        <f t="shared" si="86"/>
        <v>666.20400000000006</v>
      </c>
      <c r="O63" s="561">
        <f t="shared" si="86"/>
        <v>666.20400000000006</v>
      </c>
      <c r="P63" s="561">
        <f t="shared" si="86"/>
        <v>686.19012000000009</v>
      </c>
      <c r="Q63" s="561">
        <f t="shared" si="86"/>
        <v>686.19012000000009</v>
      </c>
      <c r="R63" s="561">
        <f t="shared" si="86"/>
        <v>686.19012000000009</v>
      </c>
      <c r="S63" s="561">
        <f t="shared" si="86"/>
        <v>686.19012000000009</v>
      </c>
      <c r="T63" s="561">
        <f t="shared" si="86"/>
        <v>706.77582360000008</v>
      </c>
      <c r="U63" s="561">
        <f t="shared" si="86"/>
        <v>706.77582360000008</v>
      </c>
      <c r="V63" s="561">
        <f t="shared" si="86"/>
        <v>706.77582360000008</v>
      </c>
      <c r="W63" s="561">
        <f t="shared" si="86"/>
        <v>706.77582360000008</v>
      </c>
      <c r="X63" s="561">
        <f t="shared" si="86"/>
        <v>727.97909830800006</v>
      </c>
      <c r="Y63" s="561">
        <f t="shared" si="86"/>
        <v>727.97909830800006</v>
      </c>
      <c r="Z63" s="561">
        <f t="shared" si="86"/>
        <v>727.97909830800006</v>
      </c>
      <c r="AA63" s="561">
        <f t="shared" si="86"/>
        <v>727.97909830800006</v>
      </c>
      <c r="AB63" s="561">
        <f t="shared" si="86"/>
        <v>749.81847125724016</v>
      </c>
      <c r="AC63" s="561">
        <f t="shared" si="86"/>
        <v>749.81847125724016</v>
      </c>
      <c r="AD63" s="561">
        <f t="shared" si="86"/>
        <v>749.81847125724016</v>
      </c>
      <c r="AE63" s="561">
        <f t="shared" si="86"/>
        <v>749.81847125724016</v>
      </c>
      <c r="AF63" s="561">
        <f t="shared" si="86"/>
        <v>775.41176499556127</v>
      </c>
      <c r="AG63" s="561">
        <f t="shared" si="86"/>
        <v>775.41176499556127</v>
      </c>
      <c r="AH63" s="561">
        <f t="shared" si="86"/>
        <v>775.41176499556127</v>
      </c>
      <c r="AI63" s="561">
        <f t="shared" si="86"/>
        <v>775.41176499556127</v>
      </c>
      <c r="AJ63" s="561">
        <f t="shared" si="86"/>
        <v>798.67411794542818</v>
      </c>
      <c r="AK63" s="561">
        <f t="shared" si="86"/>
        <v>798.67411794542818</v>
      </c>
      <c r="AL63" s="561">
        <f t="shared" si="86"/>
        <v>798.67411794542818</v>
      </c>
      <c r="AM63" s="561">
        <f t="shared" si="86"/>
        <v>798.67411794542818</v>
      </c>
      <c r="AN63" s="561">
        <f t="shared" si="86"/>
        <v>822.63434148379088</v>
      </c>
      <c r="AO63" s="561">
        <f t="shared" si="86"/>
        <v>822.63434148379088</v>
      </c>
      <c r="AP63" s="561">
        <f t="shared" si="86"/>
        <v>822.63434148379088</v>
      </c>
      <c r="AQ63" s="561">
        <f t="shared" si="86"/>
        <v>822.63434148379088</v>
      </c>
    </row>
    <row r="64" spans="1:56" ht="43.2" x14ac:dyDescent="0.3">
      <c r="A64" s="566" t="s">
        <v>157</v>
      </c>
      <c r="B64" s="121">
        <f>допущения!C26</f>
        <v>2.9000000000000001E-2</v>
      </c>
      <c r="C64" s="567"/>
      <c r="D64" s="561">
        <f>D49*$B$64</f>
        <v>0</v>
      </c>
      <c r="E64" s="561">
        <f t="shared" ref="E64:AQ64" si="87">E49*$B$64</f>
        <v>0</v>
      </c>
      <c r="F64" s="561">
        <f t="shared" si="87"/>
        <v>0</v>
      </c>
      <c r="G64" s="561">
        <f t="shared" si="87"/>
        <v>0</v>
      </c>
      <c r="H64" s="561">
        <f t="shared" si="87"/>
        <v>85.26</v>
      </c>
      <c r="I64" s="561">
        <f t="shared" si="87"/>
        <v>85.26</v>
      </c>
      <c r="J64" s="561">
        <f t="shared" si="87"/>
        <v>85.26</v>
      </c>
      <c r="K64" s="561">
        <f t="shared" si="87"/>
        <v>85.26</v>
      </c>
      <c r="L64" s="561">
        <f t="shared" si="87"/>
        <v>87.817800000000005</v>
      </c>
      <c r="M64" s="561">
        <f t="shared" si="87"/>
        <v>87.817800000000005</v>
      </c>
      <c r="N64" s="561">
        <f t="shared" si="87"/>
        <v>87.817800000000005</v>
      </c>
      <c r="O64" s="561">
        <f t="shared" si="87"/>
        <v>87.817800000000005</v>
      </c>
      <c r="P64" s="561">
        <f t="shared" si="87"/>
        <v>90.452334000000008</v>
      </c>
      <c r="Q64" s="561">
        <f t="shared" si="87"/>
        <v>90.452334000000008</v>
      </c>
      <c r="R64" s="561">
        <f t="shared" si="87"/>
        <v>90.452334000000008</v>
      </c>
      <c r="S64" s="561">
        <f t="shared" si="87"/>
        <v>90.452334000000008</v>
      </c>
      <c r="T64" s="561">
        <f t="shared" si="87"/>
        <v>93.165904020000028</v>
      </c>
      <c r="U64" s="561">
        <f t="shared" si="87"/>
        <v>93.165904020000028</v>
      </c>
      <c r="V64" s="561">
        <f t="shared" si="87"/>
        <v>93.165904020000028</v>
      </c>
      <c r="W64" s="561">
        <f t="shared" si="87"/>
        <v>93.165904020000028</v>
      </c>
      <c r="X64" s="561">
        <f t="shared" si="87"/>
        <v>95.960881140600009</v>
      </c>
      <c r="Y64" s="561">
        <f t="shared" si="87"/>
        <v>95.960881140600009</v>
      </c>
      <c r="Z64" s="561">
        <f t="shared" si="87"/>
        <v>95.960881140600009</v>
      </c>
      <c r="AA64" s="561">
        <f t="shared" si="87"/>
        <v>95.960881140600009</v>
      </c>
      <c r="AB64" s="561">
        <f t="shared" si="87"/>
        <v>98.839707574818021</v>
      </c>
      <c r="AC64" s="561">
        <f t="shared" si="87"/>
        <v>98.839707574818021</v>
      </c>
      <c r="AD64" s="561">
        <f t="shared" si="87"/>
        <v>98.839707574818021</v>
      </c>
      <c r="AE64" s="561">
        <f t="shared" si="87"/>
        <v>98.839707574818021</v>
      </c>
      <c r="AF64" s="561">
        <f t="shared" si="87"/>
        <v>102.21336902214217</v>
      </c>
      <c r="AG64" s="561">
        <f t="shared" si="87"/>
        <v>102.21336902214217</v>
      </c>
      <c r="AH64" s="561">
        <f t="shared" si="87"/>
        <v>102.21336902214217</v>
      </c>
      <c r="AI64" s="561">
        <f t="shared" si="87"/>
        <v>102.21336902214217</v>
      </c>
      <c r="AJ64" s="561">
        <f t="shared" si="87"/>
        <v>105.27977009280644</v>
      </c>
      <c r="AK64" s="561">
        <f t="shared" si="87"/>
        <v>105.27977009280644</v>
      </c>
      <c r="AL64" s="561">
        <f t="shared" si="87"/>
        <v>105.27977009280644</v>
      </c>
      <c r="AM64" s="561">
        <f t="shared" si="87"/>
        <v>105.27977009280644</v>
      </c>
      <c r="AN64" s="561">
        <f t="shared" si="87"/>
        <v>108.43816319559062</v>
      </c>
      <c r="AO64" s="561">
        <f t="shared" si="87"/>
        <v>108.43816319559062</v>
      </c>
      <c r="AP64" s="561">
        <f t="shared" si="87"/>
        <v>108.43816319559062</v>
      </c>
      <c r="AQ64" s="561">
        <f t="shared" si="87"/>
        <v>108.43816319559062</v>
      </c>
    </row>
    <row r="65" spans="1:43" ht="28.8" x14ac:dyDescent="0.3">
      <c r="A65" s="566" t="s">
        <v>158</v>
      </c>
      <c r="B65" s="121">
        <f>допущения!C27</f>
        <v>5.0999999999999997E-2</v>
      </c>
      <c r="C65" s="567"/>
      <c r="D65" s="561">
        <f>D49*$B$65</f>
        <v>0</v>
      </c>
      <c r="E65" s="561">
        <f t="shared" ref="E65:AQ65" si="88">E49*$B$65</f>
        <v>0</v>
      </c>
      <c r="F65" s="561">
        <f t="shared" si="88"/>
        <v>0</v>
      </c>
      <c r="G65" s="561">
        <f t="shared" si="88"/>
        <v>0</v>
      </c>
      <c r="H65" s="561">
        <f t="shared" si="88"/>
        <v>149.94</v>
      </c>
      <c r="I65" s="561">
        <f t="shared" si="88"/>
        <v>149.94</v>
      </c>
      <c r="J65" s="561">
        <f t="shared" si="88"/>
        <v>149.94</v>
      </c>
      <c r="K65" s="561">
        <f t="shared" si="88"/>
        <v>149.94</v>
      </c>
      <c r="L65" s="561">
        <f t="shared" si="88"/>
        <v>154.43819999999999</v>
      </c>
      <c r="M65" s="561">
        <f t="shared" si="88"/>
        <v>154.43819999999999</v>
      </c>
      <c r="N65" s="561">
        <f t="shared" si="88"/>
        <v>154.43819999999999</v>
      </c>
      <c r="O65" s="561">
        <f t="shared" si="88"/>
        <v>154.43819999999999</v>
      </c>
      <c r="P65" s="561">
        <f t="shared" si="88"/>
        <v>159.07134600000001</v>
      </c>
      <c r="Q65" s="561">
        <f t="shared" si="88"/>
        <v>159.07134600000001</v>
      </c>
      <c r="R65" s="561">
        <f t="shared" si="88"/>
        <v>159.07134600000001</v>
      </c>
      <c r="S65" s="561">
        <f t="shared" si="88"/>
        <v>159.07134600000001</v>
      </c>
      <c r="T65" s="561">
        <f t="shared" si="88"/>
        <v>163.84348638000003</v>
      </c>
      <c r="U65" s="561">
        <f t="shared" si="88"/>
        <v>163.84348638000003</v>
      </c>
      <c r="V65" s="561">
        <f t="shared" si="88"/>
        <v>163.84348638000003</v>
      </c>
      <c r="W65" s="561">
        <f t="shared" si="88"/>
        <v>163.84348638000003</v>
      </c>
      <c r="X65" s="561">
        <f t="shared" si="88"/>
        <v>168.7587909714</v>
      </c>
      <c r="Y65" s="561">
        <f t="shared" si="88"/>
        <v>168.7587909714</v>
      </c>
      <c r="Z65" s="561">
        <f t="shared" si="88"/>
        <v>168.7587909714</v>
      </c>
      <c r="AA65" s="561">
        <f t="shared" si="88"/>
        <v>168.7587909714</v>
      </c>
      <c r="AB65" s="561">
        <f t="shared" si="88"/>
        <v>173.82155470054204</v>
      </c>
      <c r="AC65" s="561">
        <f t="shared" si="88"/>
        <v>173.82155470054204</v>
      </c>
      <c r="AD65" s="561">
        <f t="shared" si="88"/>
        <v>173.82155470054204</v>
      </c>
      <c r="AE65" s="561">
        <f t="shared" si="88"/>
        <v>173.82155470054204</v>
      </c>
      <c r="AF65" s="561">
        <f t="shared" si="88"/>
        <v>179.75454552169828</v>
      </c>
      <c r="AG65" s="561">
        <f t="shared" si="88"/>
        <v>179.75454552169828</v>
      </c>
      <c r="AH65" s="561">
        <f t="shared" si="88"/>
        <v>179.75454552169828</v>
      </c>
      <c r="AI65" s="561">
        <f t="shared" si="88"/>
        <v>179.75454552169828</v>
      </c>
      <c r="AJ65" s="561">
        <f t="shared" si="88"/>
        <v>185.14718188734923</v>
      </c>
      <c r="AK65" s="561">
        <f t="shared" si="88"/>
        <v>185.14718188734923</v>
      </c>
      <c r="AL65" s="561">
        <f t="shared" si="88"/>
        <v>185.14718188734923</v>
      </c>
      <c r="AM65" s="561">
        <f t="shared" si="88"/>
        <v>185.14718188734923</v>
      </c>
      <c r="AN65" s="561">
        <f t="shared" si="88"/>
        <v>190.70159734396967</v>
      </c>
      <c r="AO65" s="561">
        <f t="shared" si="88"/>
        <v>190.70159734396967</v>
      </c>
      <c r="AP65" s="561">
        <f t="shared" si="88"/>
        <v>190.70159734396967</v>
      </c>
      <c r="AQ65" s="561">
        <f t="shared" si="88"/>
        <v>190.70159734396967</v>
      </c>
    </row>
    <row r="66" spans="1:43" ht="28.8" x14ac:dyDescent="0.3">
      <c r="A66" s="586" t="s">
        <v>159</v>
      </c>
      <c r="B66" s="587">
        <f>B6+B15+B23+B26+B34+B47</f>
        <v>19</v>
      </c>
      <c r="C66" s="587">
        <f>(B2*C2+B3*C3+B4*C4+B5*C5+B9*C9+B10*C10+B11*C11+B12*C12+B14*C14+B18*C18)/B66</f>
        <v>51.578947368421055</v>
      </c>
      <c r="D66" s="585"/>
      <c r="E66" s="585"/>
      <c r="F66" s="585"/>
      <c r="G66" s="585"/>
      <c r="H66" s="585"/>
      <c r="I66" s="585"/>
      <c r="J66" s="585"/>
      <c r="K66" s="585"/>
      <c r="L66" s="585"/>
      <c r="M66" s="585"/>
      <c r="N66" s="585"/>
      <c r="O66" s="585"/>
      <c r="P66" s="585"/>
      <c r="Q66" s="585"/>
      <c r="R66" s="585"/>
      <c r="S66" s="585"/>
      <c r="T66" s="585"/>
      <c r="U66" s="585"/>
      <c r="V66" s="585"/>
      <c r="W66" s="585"/>
      <c r="X66" s="585"/>
      <c r="Y66" s="585"/>
      <c r="Z66" s="585"/>
      <c r="AA66" s="585"/>
      <c r="AB66" s="585"/>
      <c r="AC66" s="585"/>
      <c r="AD66" s="585"/>
      <c r="AE66" s="585"/>
      <c r="AF66" s="585"/>
      <c r="AG66" s="585"/>
      <c r="AH66" s="585"/>
      <c r="AI66" s="585"/>
      <c r="AJ66" s="585"/>
      <c r="AK66" s="585"/>
      <c r="AL66" s="585"/>
      <c r="AM66" s="585"/>
      <c r="AN66" s="585"/>
      <c r="AO66" s="585"/>
      <c r="AP66" s="585"/>
      <c r="AQ66" s="585"/>
    </row>
    <row r="67" spans="1:43" x14ac:dyDescent="0.3">
      <c r="A67" s="582" t="s">
        <v>152</v>
      </c>
      <c r="B67" s="583" t="str">
        <f>'объем работ 100% загр'!C3</f>
        <v>1 год</v>
      </c>
      <c r="C67" s="583" t="str">
        <f>'объем работ 100% загр'!D3</f>
        <v>2 год</v>
      </c>
      <c r="D67" s="583" t="str">
        <f>'объем работ 100% загр'!E3</f>
        <v>3 год</v>
      </c>
      <c r="E67" s="583" t="str">
        <f>'объем работ 100% загр'!F3</f>
        <v>4 год</v>
      </c>
      <c r="F67" s="583" t="str">
        <f>'объем работ 100% загр'!G3</f>
        <v>5 год</v>
      </c>
      <c r="G67" s="583" t="str">
        <f>'объем работ 100% загр'!H3</f>
        <v>6 год</v>
      </c>
      <c r="H67" s="583" t="str">
        <f>'объем работ 100% загр'!I3</f>
        <v>7 год</v>
      </c>
      <c r="I67" s="583" t="str">
        <f>'объем работ 100% загр'!J3</f>
        <v>8 год</v>
      </c>
      <c r="J67" s="583" t="str">
        <f>'объем работ 100% загр'!K3</f>
        <v>9 год</v>
      </c>
      <c r="K67" s="583" t="str">
        <f>'объем работ 100% загр'!L3</f>
        <v>10 год</v>
      </c>
      <c r="L67" s="583" t="str">
        <f>'объем работ 100% загр'!M3</f>
        <v>11 год</v>
      </c>
      <c r="M67" s="585"/>
      <c r="N67" s="585"/>
      <c r="O67" s="585"/>
      <c r="P67" s="585"/>
      <c r="Q67" s="585"/>
      <c r="R67" s="585"/>
      <c r="S67" s="585"/>
      <c r="T67" s="585"/>
      <c r="U67" s="585"/>
      <c r="V67" s="585"/>
      <c r="W67" s="585"/>
      <c r="X67" s="585"/>
      <c r="Y67" s="585"/>
      <c r="Z67" s="585"/>
      <c r="AA67" s="585"/>
      <c r="AB67" s="585"/>
      <c r="AC67" s="585"/>
      <c r="AD67" s="585"/>
      <c r="AE67" s="585"/>
      <c r="AF67" s="585"/>
      <c r="AG67" s="585"/>
      <c r="AH67" s="585"/>
      <c r="AI67" s="585"/>
      <c r="AJ67" s="585"/>
      <c r="AK67" s="585"/>
      <c r="AL67" s="585"/>
      <c r="AM67" s="585"/>
      <c r="AN67" s="585"/>
      <c r="AO67" s="585"/>
      <c r="AP67" s="585"/>
      <c r="AQ67" s="585"/>
    </row>
    <row r="68" spans="1:43" ht="28.8" x14ac:dyDescent="0.3">
      <c r="A68" s="566" t="str">
        <f>A60</f>
        <v>Взносы ФСС (нс и пз - 1,4%)</v>
      </c>
      <c r="B68" s="561">
        <f t="shared" ref="B68:B73" si="89">SUM(D60:G60)</f>
        <v>0</v>
      </c>
      <c r="C68" s="561">
        <f t="shared" ref="C68:C73" si="90">SUM(H60:K60)</f>
        <v>164.64000000000001</v>
      </c>
      <c r="D68" s="561">
        <f t="shared" ref="D68:D73" si="91">SUM(L60:O60)</f>
        <v>169.57920000000001</v>
      </c>
      <c r="E68" s="561">
        <f t="shared" ref="E68:E73" si="92">SUM(P60:S60)</f>
        <v>174.66657600000002</v>
      </c>
      <c r="F68" s="561">
        <f t="shared" ref="F68:F73" si="93">SUM(T60:W60)</f>
        <v>179.90657328000003</v>
      </c>
      <c r="G68" s="561">
        <f t="shared" ref="G68:G73" si="94">SUM(X60:AA60)</f>
        <v>185.3037704784</v>
      </c>
      <c r="H68" s="561">
        <f t="shared" ref="H68:H73" si="95">SUM(AB60:AE60)</f>
        <v>190.86288359275204</v>
      </c>
      <c r="I68" s="561">
        <f t="shared" ref="I68:I73" si="96">SUM(AF60:AI60)</f>
        <v>197.37754018068833</v>
      </c>
      <c r="J68" s="561">
        <f t="shared" ref="J68:J73" si="97">SUM(AJ60:AM60)</f>
        <v>203.29886638610898</v>
      </c>
      <c r="K68" s="561">
        <f t="shared" ref="K68:K73" si="98">SUM(AN60:AQ60)</f>
        <v>209.39783237769223</v>
      </c>
      <c r="L68" s="561">
        <f t="shared" ref="L68:L74" si="99">K68</f>
        <v>209.39783237769223</v>
      </c>
      <c r="M68" s="585"/>
      <c r="N68" s="585"/>
      <c r="O68" s="585"/>
      <c r="P68" s="585"/>
      <c r="Q68" s="585"/>
      <c r="R68" s="585"/>
      <c r="S68" s="585"/>
      <c r="T68" s="585"/>
      <c r="U68" s="585"/>
      <c r="V68" s="585"/>
      <c r="W68" s="585"/>
      <c r="X68" s="585"/>
      <c r="Y68" s="585"/>
      <c r="Z68" s="585"/>
      <c r="AA68" s="585"/>
      <c r="AB68" s="585"/>
      <c r="AC68" s="585"/>
      <c r="AD68" s="585"/>
      <c r="AE68" s="585"/>
      <c r="AF68" s="585"/>
      <c r="AG68" s="585"/>
      <c r="AH68" s="585"/>
      <c r="AI68" s="585"/>
      <c r="AJ68" s="585"/>
      <c r="AK68" s="585"/>
      <c r="AL68" s="585"/>
      <c r="AM68" s="585"/>
      <c r="AN68" s="585"/>
      <c r="AO68" s="585"/>
      <c r="AP68" s="585"/>
      <c r="AQ68" s="585"/>
    </row>
    <row r="69" spans="1:43" x14ac:dyDescent="0.3">
      <c r="A69" s="566" t="s">
        <v>154</v>
      </c>
      <c r="B69" s="561">
        <f t="shared" si="89"/>
        <v>0</v>
      </c>
      <c r="C69" s="561">
        <f t="shared" si="90"/>
        <v>3528</v>
      </c>
      <c r="D69" s="561">
        <f t="shared" si="91"/>
        <v>3633.84</v>
      </c>
      <c r="E69" s="561">
        <f t="shared" si="92"/>
        <v>3742.8552</v>
      </c>
      <c r="F69" s="561">
        <f t="shared" si="93"/>
        <v>3855.140856</v>
      </c>
      <c r="G69" s="561">
        <f t="shared" si="94"/>
        <v>3970.7950816799998</v>
      </c>
      <c r="H69" s="561">
        <f t="shared" si="95"/>
        <v>4089.9189341304009</v>
      </c>
      <c r="I69" s="561">
        <f t="shared" si="96"/>
        <v>4229.5187181576066</v>
      </c>
      <c r="J69" s="561">
        <f t="shared" si="97"/>
        <v>4356.4042797023349</v>
      </c>
      <c r="K69" s="561">
        <f t="shared" si="98"/>
        <v>4487.0964080934045</v>
      </c>
      <c r="L69" s="561">
        <f t="shared" si="99"/>
        <v>4487.0964080934045</v>
      </c>
      <c r="M69" s="585"/>
      <c r="N69" s="585"/>
      <c r="O69" s="585"/>
      <c r="P69" s="585"/>
      <c r="Q69" s="585"/>
      <c r="R69" s="585"/>
      <c r="S69" s="585"/>
      <c r="T69" s="585"/>
      <c r="U69" s="585"/>
      <c r="V69" s="585"/>
      <c r="W69" s="585"/>
      <c r="X69" s="585"/>
      <c r="Y69" s="585"/>
      <c r="Z69" s="585"/>
      <c r="AA69" s="585"/>
      <c r="AB69" s="585"/>
      <c r="AC69" s="585"/>
      <c r="AD69" s="585"/>
      <c r="AE69" s="585"/>
      <c r="AF69" s="585"/>
      <c r="AG69" s="585"/>
      <c r="AH69" s="585"/>
      <c r="AI69" s="585"/>
      <c r="AJ69" s="585"/>
      <c r="AK69" s="585"/>
      <c r="AL69" s="585"/>
      <c r="AM69" s="585"/>
      <c r="AN69" s="585"/>
      <c r="AO69" s="585"/>
      <c r="AP69" s="585"/>
      <c r="AQ69" s="585"/>
    </row>
    <row r="70" spans="1:43" x14ac:dyDescent="0.3">
      <c r="A70" s="566" t="s">
        <v>155</v>
      </c>
      <c r="B70" s="561"/>
      <c r="C70" s="561"/>
      <c r="D70" s="561"/>
      <c r="E70" s="561"/>
      <c r="F70" s="561"/>
      <c r="G70" s="561"/>
      <c r="H70" s="561"/>
      <c r="I70" s="561"/>
      <c r="J70" s="561"/>
      <c r="K70" s="561"/>
      <c r="L70" s="561"/>
      <c r="M70" s="585"/>
      <c r="N70" s="585"/>
      <c r="O70" s="585"/>
      <c r="P70" s="585"/>
      <c r="Q70" s="585"/>
      <c r="R70" s="585"/>
      <c r="S70" s="585"/>
      <c r="T70" s="585"/>
      <c r="U70" s="585"/>
      <c r="V70" s="585"/>
      <c r="W70" s="585"/>
      <c r="X70" s="585"/>
      <c r="Y70" s="585"/>
      <c r="Z70" s="585"/>
      <c r="AA70" s="585"/>
      <c r="AB70" s="585"/>
      <c r="AC70" s="585"/>
      <c r="AD70" s="585"/>
      <c r="AE70" s="585"/>
      <c r="AF70" s="585"/>
      <c r="AG70" s="585"/>
      <c r="AH70" s="585"/>
      <c r="AI70" s="585"/>
      <c r="AJ70" s="585"/>
      <c r="AK70" s="585"/>
      <c r="AL70" s="585"/>
      <c r="AM70" s="585"/>
      <c r="AN70" s="585"/>
      <c r="AO70" s="585"/>
      <c r="AP70" s="585"/>
      <c r="AQ70" s="585"/>
    </row>
    <row r="71" spans="1:43" ht="28.8" x14ac:dyDescent="0.3">
      <c r="A71" s="566" t="s">
        <v>156</v>
      </c>
      <c r="B71" s="561">
        <f t="shared" si="89"/>
        <v>0</v>
      </c>
      <c r="C71" s="561">
        <f t="shared" si="90"/>
        <v>2587.1999999999998</v>
      </c>
      <c r="D71" s="561">
        <f t="shared" si="91"/>
        <v>2664.8160000000003</v>
      </c>
      <c r="E71" s="561">
        <f t="shared" si="92"/>
        <v>2744.7604800000004</v>
      </c>
      <c r="F71" s="561">
        <f t="shared" si="93"/>
        <v>2827.1032944000003</v>
      </c>
      <c r="G71" s="561">
        <f t="shared" si="94"/>
        <v>2911.9163932320002</v>
      </c>
      <c r="H71" s="561">
        <f t="shared" si="95"/>
        <v>2999.2738850289606</v>
      </c>
      <c r="I71" s="561">
        <f t="shared" si="96"/>
        <v>3101.6470599822451</v>
      </c>
      <c r="J71" s="561">
        <f t="shared" si="97"/>
        <v>3194.6964717817127</v>
      </c>
      <c r="K71" s="561">
        <f t="shared" si="98"/>
        <v>3290.5373659351635</v>
      </c>
      <c r="L71" s="561">
        <f t="shared" si="99"/>
        <v>3290.5373659351635</v>
      </c>
      <c r="M71" s="585"/>
      <c r="N71" s="585"/>
      <c r="O71" s="585"/>
      <c r="P71" s="585"/>
      <c r="Q71" s="585"/>
      <c r="R71" s="585"/>
      <c r="S71" s="585"/>
      <c r="T71" s="585"/>
      <c r="U71" s="585"/>
      <c r="V71" s="585"/>
      <c r="W71" s="585"/>
      <c r="X71" s="585"/>
      <c r="Y71" s="585"/>
      <c r="Z71" s="585"/>
      <c r="AA71" s="585"/>
      <c r="AB71" s="585"/>
      <c r="AC71" s="585"/>
      <c r="AD71" s="585"/>
      <c r="AE71" s="585"/>
      <c r="AF71" s="585"/>
      <c r="AG71" s="585"/>
      <c r="AH71" s="585"/>
      <c r="AI71" s="585"/>
      <c r="AJ71" s="585"/>
      <c r="AK71" s="585"/>
      <c r="AL71" s="585"/>
      <c r="AM71" s="585"/>
      <c r="AN71" s="585"/>
      <c r="AO71" s="585"/>
      <c r="AP71" s="585"/>
      <c r="AQ71" s="585"/>
    </row>
    <row r="72" spans="1:43" ht="43.2" x14ac:dyDescent="0.3">
      <c r="A72" s="566" t="s">
        <v>157</v>
      </c>
      <c r="B72" s="561">
        <f t="shared" si="89"/>
        <v>0</v>
      </c>
      <c r="C72" s="561">
        <f t="shared" si="90"/>
        <v>341.04</v>
      </c>
      <c r="D72" s="561">
        <f t="shared" si="91"/>
        <v>351.27120000000002</v>
      </c>
      <c r="E72" s="561">
        <f t="shared" si="92"/>
        <v>361.80933600000003</v>
      </c>
      <c r="F72" s="561">
        <f t="shared" si="93"/>
        <v>372.66361608000011</v>
      </c>
      <c r="G72" s="561">
        <f t="shared" si="94"/>
        <v>383.84352456240003</v>
      </c>
      <c r="H72" s="561">
        <f t="shared" si="95"/>
        <v>395.35883029927209</v>
      </c>
      <c r="I72" s="561">
        <f t="shared" si="96"/>
        <v>408.8534760885687</v>
      </c>
      <c r="J72" s="561">
        <f t="shared" si="97"/>
        <v>421.11908037122578</v>
      </c>
      <c r="K72" s="561">
        <f t="shared" si="98"/>
        <v>433.75265278236247</v>
      </c>
      <c r="L72" s="561">
        <f t="shared" si="99"/>
        <v>433.75265278236247</v>
      </c>
      <c r="M72" s="585"/>
      <c r="N72" s="585"/>
      <c r="O72" s="585"/>
      <c r="P72" s="585"/>
      <c r="Q72" s="585"/>
      <c r="R72" s="585"/>
      <c r="S72" s="585"/>
      <c r="T72" s="585"/>
      <c r="U72" s="585"/>
      <c r="V72" s="585"/>
      <c r="W72" s="585"/>
      <c r="X72" s="585"/>
      <c r="Y72" s="585"/>
      <c r="Z72" s="585"/>
      <c r="AA72" s="585"/>
      <c r="AB72" s="585"/>
      <c r="AC72" s="585"/>
      <c r="AD72" s="585"/>
      <c r="AE72" s="585"/>
      <c r="AF72" s="585"/>
      <c r="AG72" s="585"/>
      <c r="AH72" s="585"/>
      <c r="AI72" s="585"/>
      <c r="AJ72" s="585"/>
      <c r="AK72" s="585"/>
      <c r="AL72" s="585"/>
      <c r="AM72" s="585"/>
      <c r="AN72" s="585"/>
      <c r="AO72" s="585"/>
      <c r="AP72" s="585"/>
      <c r="AQ72" s="585"/>
    </row>
    <row r="73" spans="1:43" ht="28.8" x14ac:dyDescent="0.3">
      <c r="A73" s="566" t="s">
        <v>158</v>
      </c>
      <c r="B73" s="561">
        <f t="shared" si="89"/>
        <v>0</v>
      </c>
      <c r="C73" s="561">
        <f t="shared" si="90"/>
        <v>599.76</v>
      </c>
      <c r="D73" s="561">
        <f t="shared" si="91"/>
        <v>617.75279999999998</v>
      </c>
      <c r="E73" s="561">
        <f t="shared" si="92"/>
        <v>636.28538400000002</v>
      </c>
      <c r="F73" s="561">
        <f t="shared" si="93"/>
        <v>655.37394552000012</v>
      </c>
      <c r="G73" s="561">
        <f t="shared" si="94"/>
        <v>675.03516388560001</v>
      </c>
      <c r="H73" s="561">
        <f t="shared" si="95"/>
        <v>695.28621880216815</v>
      </c>
      <c r="I73" s="561">
        <f t="shared" si="96"/>
        <v>719.0181820867931</v>
      </c>
      <c r="J73" s="561">
        <f t="shared" si="97"/>
        <v>740.58872754939694</v>
      </c>
      <c r="K73" s="561">
        <f t="shared" si="98"/>
        <v>762.80638937587867</v>
      </c>
      <c r="L73" s="561">
        <f t="shared" si="99"/>
        <v>762.80638937587867</v>
      </c>
      <c r="M73" s="585"/>
      <c r="N73" s="585"/>
      <c r="O73" s="585"/>
      <c r="P73" s="585"/>
      <c r="Q73" s="585"/>
      <c r="R73" s="585"/>
      <c r="S73" s="585"/>
      <c r="T73" s="585"/>
      <c r="U73" s="585"/>
      <c r="V73" s="585"/>
      <c r="W73" s="585"/>
      <c r="X73" s="585"/>
      <c r="Y73" s="585"/>
      <c r="Z73" s="585"/>
      <c r="AA73" s="585"/>
      <c r="AB73" s="585"/>
      <c r="AC73" s="585"/>
      <c r="AD73" s="585"/>
      <c r="AE73" s="585"/>
      <c r="AF73" s="585"/>
      <c r="AG73" s="585"/>
      <c r="AH73" s="585"/>
      <c r="AI73" s="585"/>
      <c r="AJ73" s="585"/>
      <c r="AK73" s="585"/>
      <c r="AL73" s="585"/>
      <c r="AM73" s="585"/>
      <c r="AN73" s="585"/>
      <c r="AO73" s="585"/>
      <c r="AP73" s="585"/>
      <c r="AQ73" s="585"/>
    </row>
    <row r="74" spans="1:43" x14ac:dyDescent="0.3">
      <c r="A74" s="580" t="s">
        <v>16</v>
      </c>
      <c r="B74" s="581">
        <f>B68+B69</f>
        <v>0</v>
      </c>
      <c r="C74" s="581">
        <f>C68+C69</f>
        <v>3692.64</v>
      </c>
      <c r="D74" s="581">
        <f t="shared" ref="D74:K74" si="100">D68+D69</f>
        <v>3803.4192000000003</v>
      </c>
      <c r="E74" s="581">
        <f t="shared" si="100"/>
        <v>3917.521776</v>
      </c>
      <c r="F74" s="581">
        <f t="shared" si="100"/>
        <v>4035.04742928</v>
      </c>
      <c r="G74" s="581">
        <f t="shared" si="100"/>
        <v>4156.0988521583995</v>
      </c>
      <c r="H74" s="581">
        <f t="shared" si="100"/>
        <v>4280.7818177231529</v>
      </c>
      <c r="I74" s="581">
        <f t="shared" si="100"/>
        <v>4426.8962583382945</v>
      </c>
      <c r="J74" s="581">
        <f t="shared" si="100"/>
        <v>4559.7031460884436</v>
      </c>
      <c r="K74" s="581">
        <f t="shared" si="100"/>
        <v>4696.4942404710964</v>
      </c>
      <c r="L74" s="581">
        <f t="shared" si="99"/>
        <v>4696.4942404710964</v>
      </c>
      <c r="M74" s="585"/>
      <c r="N74" s="585"/>
      <c r="O74" s="585"/>
      <c r="P74" s="585"/>
      <c r="Q74" s="585"/>
      <c r="R74" s="585"/>
      <c r="S74" s="585"/>
      <c r="T74" s="585"/>
      <c r="U74" s="585"/>
      <c r="V74" s="585"/>
      <c r="W74" s="585"/>
      <c r="X74" s="585"/>
      <c r="Y74" s="585"/>
      <c r="Z74" s="585"/>
      <c r="AA74" s="585"/>
      <c r="AB74" s="585"/>
      <c r="AC74" s="585"/>
      <c r="AD74" s="585"/>
      <c r="AE74" s="585"/>
      <c r="AF74" s="585"/>
      <c r="AG74" s="585"/>
      <c r="AH74" s="585"/>
      <c r="AI74" s="585"/>
      <c r="AJ74" s="585"/>
      <c r="AK74" s="585"/>
      <c r="AL74" s="585"/>
      <c r="AM74" s="585"/>
      <c r="AN74" s="585"/>
      <c r="AO74" s="585"/>
      <c r="AP74" s="585"/>
      <c r="AQ74" s="585"/>
    </row>
    <row r="77" spans="1:43" x14ac:dyDescent="0.3">
      <c r="A77" s="384" t="s">
        <v>160</v>
      </c>
      <c r="B77" s="384" t="str">
        <f>'объем работ 100% загр'!C22</f>
        <v>1 год</v>
      </c>
      <c r="C77" s="384" t="str">
        <f>'объем работ 100% загр'!D22</f>
        <v>2 год</v>
      </c>
      <c r="D77" s="384" t="str">
        <f>'объем работ 100% загр'!E22</f>
        <v>3 год</v>
      </c>
      <c r="E77" s="384" t="str">
        <f>'объем работ 100% загр'!F22</f>
        <v>4 год</v>
      </c>
      <c r="F77" s="384" t="str">
        <f>'объем работ 100% загр'!G22</f>
        <v>5 год</v>
      </c>
      <c r="G77" s="384" t="str">
        <f>'объем работ 100% загр'!H22</f>
        <v>6 год</v>
      </c>
      <c r="H77" s="384" t="str">
        <f>'объем работ 100% загр'!I22</f>
        <v>7 год</v>
      </c>
      <c r="I77" s="384" t="str">
        <f>'объем работ 100% загр'!J22</f>
        <v>8 год</v>
      </c>
      <c r="J77" s="384" t="str">
        <f>'объем работ 100% загр'!K22</f>
        <v>9 год</v>
      </c>
      <c r="K77" s="384" t="str">
        <f>'объем работ 100% загр'!L22</f>
        <v>10 год</v>
      </c>
      <c r="L77" s="384" t="str">
        <f>'объем работ 100% загр'!M22</f>
        <v>11 год</v>
      </c>
    </row>
    <row r="78" spans="1:43" x14ac:dyDescent="0.3">
      <c r="A78" s="106" t="str">
        <f t="shared" ref="A78:A81" si="101">A2</f>
        <v>Генеральный директор</v>
      </c>
      <c r="B78" s="95">
        <f t="shared" ref="B78:B81" si="102">G2/C2/3</f>
        <v>0</v>
      </c>
      <c r="C78" s="588">
        <f>K2/C2/3</f>
        <v>1</v>
      </c>
      <c r="D78" s="588">
        <f>C78</f>
        <v>1</v>
      </c>
      <c r="E78" s="588">
        <f t="shared" ref="E78:L78" si="103">D78</f>
        <v>1</v>
      </c>
      <c r="F78" s="588">
        <f t="shared" si="103"/>
        <v>1</v>
      </c>
      <c r="G78" s="588">
        <f t="shared" si="103"/>
        <v>1</v>
      </c>
      <c r="H78" s="588">
        <f t="shared" si="103"/>
        <v>1</v>
      </c>
      <c r="I78" s="588">
        <f t="shared" si="103"/>
        <v>1</v>
      </c>
      <c r="J78" s="588">
        <f t="shared" si="103"/>
        <v>1</v>
      </c>
      <c r="K78" s="588">
        <f t="shared" si="103"/>
        <v>1</v>
      </c>
      <c r="L78" s="588">
        <f t="shared" si="103"/>
        <v>1</v>
      </c>
    </row>
    <row r="79" spans="1:43" ht="28.5" customHeight="1" x14ac:dyDescent="0.3">
      <c r="A79" s="106" t="str">
        <f t="shared" si="101"/>
        <v>Менеджер по продажам</v>
      </c>
      <c r="B79" s="95">
        <f t="shared" si="102"/>
        <v>0</v>
      </c>
      <c r="C79" s="588">
        <f t="shared" ref="C79:C81" si="104">K3/C3/3</f>
        <v>2</v>
      </c>
      <c r="D79" s="588">
        <f>C79</f>
        <v>2</v>
      </c>
      <c r="E79" s="588">
        <f t="shared" ref="E79:L79" si="105">D79</f>
        <v>2</v>
      </c>
      <c r="F79" s="588">
        <f t="shared" si="105"/>
        <v>2</v>
      </c>
      <c r="G79" s="588">
        <f t="shared" si="105"/>
        <v>2</v>
      </c>
      <c r="H79" s="588">
        <f t="shared" si="105"/>
        <v>2</v>
      </c>
      <c r="I79" s="588">
        <f t="shared" si="105"/>
        <v>2</v>
      </c>
      <c r="J79" s="588">
        <f t="shared" si="105"/>
        <v>2</v>
      </c>
      <c r="K79" s="588">
        <f t="shared" si="105"/>
        <v>2</v>
      </c>
      <c r="L79" s="588">
        <f t="shared" si="105"/>
        <v>2</v>
      </c>
      <c r="N79" s="673" t="s">
        <v>161</v>
      </c>
      <c r="O79" s="673"/>
    </row>
    <row r="80" spans="1:43" ht="33" customHeight="1" x14ac:dyDescent="0.3">
      <c r="A80" s="106" t="str">
        <f t="shared" si="101"/>
        <v>Маркетолог</v>
      </c>
      <c r="B80" s="95">
        <f t="shared" si="102"/>
        <v>0</v>
      </c>
      <c r="C80" s="588">
        <f t="shared" si="104"/>
        <v>1</v>
      </c>
      <c r="D80" s="588">
        <f>C80</f>
        <v>1</v>
      </c>
      <c r="E80" s="588">
        <f t="shared" ref="E80:L80" si="106">D80</f>
        <v>1</v>
      </c>
      <c r="F80" s="588">
        <f t="shared" si="106"/>
        <v>1</v>
      </c>
      <c r="G80" s="588">
        <f t="shared" si="106"/>
        <v>1</v>
      </c>
      <c r="H80" s="588">
        <f t="shared" si="106"/>
        <v>1</v>
      </c>
      <c r="I80" s="588">
        <f t="shared" si="106"/>
        <v>1</v>
      </c>
      <c r="J80" s="588">
        <f t="shared" si="106"/>
        <v>1</v>
      </c>
      <c r="K80" s="588">
        <f t="shared" si="106"/>
        <v>1</v>
      </c>
      <c r="L80" s="588">
        <f t="shared" si="106"/>
        <v>1</v>
      </c>
      <c r="N80" s="92" t="s">
        <v>162</v>
      </c>
      <c r="O80" s="122">
        <f>K82/K92</f>
        <v>0.26315789473684209</v>
      </c>
    </row>
    <row r="81" spans="1:15" ht="30.75" customHeight="1" x14ac:dyDescent="0.3">
      <c r="A81" s="106" t="str">
        <f t="shared" si="101"/>
        <v>Главный бухгалтер</v>
      </c>
      <c r="B81" s="95">
        <f t="shared" si="102"/>
        <v>0</v>
      </c>
      <c r="C81" s="588">
        <f t="shared" si="104"/>
        <v>1</v>
      </c>
      <c r="D81" s="588">
        <f>C81</f>
        <v>1</v>
      </c>
      <c r="E81" s="588">
        <f t="shared" ref="E81:L81" si="107">D81</f>
        <v>1</v>
      </c>
      <c r="F81" s="588">
        <f t="shared" si="107"/>
        <v>1</v>
      </c>
      <c r="G81" s="588">
        <f t="shared" si="107"/>
        <v>1</v>
      </c>
      <c r="H81" s="588">
        <f t="shared" si="107"/>
        <v>1</v>
      </c>
      <c r="I81" s="588">
        <f t="shared" si="107"/>
        <v>1</v>
      </c>
      <c r="J81" s="588">
        <f t="shared" si="107"/>
        <v>1</v>
      </c>
      <c r="K81" s="588">
        <f t="shared" si="107"/>
        <v>1</v>
      </c>
      <c r="L81" s="588">
        <f t="shared" si="107"/>
        <v>1</v>
      </c>
      <c r="N81" s="92" t="s">
        <v>163</v>
      </c>
      <c r="O81" s="122">
        <f>K91/K92</f>
        <v>0.73684210526315785</v>
      </c>
    </row>
    <row r="82" spans="1:15" ht="30.75" customHeight="1" x14ac:dyDescent="0.3">
      <c r="A82" s="109" t="s">
        <v>164</v>
      </c>
      <c r="B82" s="110">
        <f>SUM(B78:B81)</f>
        <v>0</v>
      </c>
      <c r="C82" s="589">
        <f t="shared" ref="C82:J82" si="108">SUM(C78:C81)</f>
        <v>5</v>
      </c>
      <c r="D82" s="589">
        <f t="shared" si="108"/>
        <v>5</v>
      </c>
      <c r="E82" s="589">
        <f t="shared" si="108"/>
        <v>5</v>
      </c>
      <c r="F82" s="589">
        <f t="shared" si="108"/>
        <v>5</v>
      </c>
      <c r="G82" s="589">
        <f t="shared" si="108"/>
        <v>5</v>
      </c>
      <c r="H82" s="589">
        <f t="shared" si="108"/>
        <v>5</v>
      </c>
      <c r="I82" s="589">
        <f t="shared" si="108"/>
        <v>5</v>
      </c>
      <c r="J82" s="589">
        <f t="shared" si="108"/>
        <v>5</v>
      </c>
      <c r="K82" s="111">
        <f>SUM(K78:K81)</f>
        <v>5</v>
      </c>
      <c r="L82" s="111">
        <f t="shared" ref="L82:L92" si="109">K82</f>
        <v>5</v>
      </c>
    </row>
    <row r="83" spans="1:15" x14ac:dyDescent="0.3">
      <c r="A83" s="403" t="str">
        <f t="shared" ref="A83:A89" si="110">A8</f>
        <v>Цех по производству</v>
      </c>
      <c r="B83" s="116"/>
      <c r="C83" s="116"/>
      <c r="D83" s="116"/>
      <c r="E83" s="116"/>
      <c r="F83" s="116"/>
      <c r="G83" s="116"/>
      <c r="H83" s="116"/>
      <c r="I83" s="116"/>
      <c r="J83" s="116"/>
      <c r="K83" s="116"/>
      <c r="L83" s="107">
        <f t="shared" si="109"/>
        <v>0</v>
      </c>
    </row>
    <row r="84" spans="1:15" x14ac:dyDescent="0.3">
      <c r="A84" s="106" t="str">
        <f t="shared" si="110"/>
        <v>Начальник участка</v>
      </c>
      <c r="B84" s="95">
        <f>G9/C9/3</f>
        <v>0</v>
      </c>
      <c r="C84" s="588">
        <f>K9/C9/3</f>
        <v>2</v>
      </c>
      <c r="D84" s="588">
        <f>C84</f>
        <v>2</v>
      </c>
      <c r="E84" s="588">
        <f t="shared" ref="E84:K84" si="111">D84</f>
        <v>2</v>
      </c>
      <c r="F84" s="588">
        <f t="shared" si="111"/>
        <v>2</v>
      </c>
      <c r="G84" s="588">
        <f t="shared" si="111"/>
        <v>2</v>
      </c>
      <c r="H84" s="588">
        <f t="shared" si="111"/>
        <v>2</v>
      </c>
      <c r="I84" s="588">
        <f t="shared" si="111"/>
        <v>2</v>
      </c>
      <c r="J84" s="588">
        <f t="shared" si="111"/>
        <v>2</v>
      </c>
      <c r="K84" s="588">
        <f t="shared" si="111"/>
        <v>2</v>
      </c>
      <c r="L84" s="588">
        <f t="shared" si="109"/>
        <v>2</v>
      </c>
    </row>
    <row r="85" spans="1:15" x14ac:dyDescent="0.3">
      <c r="A85" s="106" t="str">
        <f t="shared" si="110"/>
        <v>Оператор линии</v>
      </c>
      <c r="B85" s="95">
        <f t="shared" ref="B85:B89" si="112">G10/C10/3</f>
        <v>0</v>
      </c>
      <c r="C85" s="588">
        <f t="shared" ref="C85:C89" si="113">K10/C10/3</f>
        <v>4</v>
      </c>
      <c r="D85" s="588">
        <f>C85</f>
        <v>4</v>
      </c>
      <c r="E85" s="588">
        <f t="shared" ref="E85:K85" si="114">D85</f>
        <v>4</v>
      </c>
      <c r="F85" s="588">
        <f t="shared" si="114"/>
        <v>4</v>
      </c>
      <c r="G85" s="588">
        <f t="shared" si="114"/>
        <v>4</v>
      </c>
      <c r="H85" s="588">
        <f t="shared" si="114"/>
        <v>4</v>
      </c>
      <c r="I85" s="588">
        <f t="shared" si="114"/>
        <v>4</v>
      </c>
      <c r="J85" s="588">
        <f t="shared" si="114"/>
        <v>4</v>
      </c>
      <c r="K85" s="588">
        <f t="shared" si="114"/>
        <v>4</v>
      </c>
      <c r="L85" s="588">
        <f t="shared" si="109"/>
        <v>4</v>
      </c>
    </row>
    <row r="86" spans="1:15" x14ac:dyDescent="0.3">
      <c r="A86" s="106" t="str">
        <f t="shared" si="110"/>
        <v>Водитель погрузчика</v>
      </c>
      <c r="B86" s="95">
        <f t="shared" si="112"/>
        <v>0</v>
      </c>
      <c r="C86" s="588">
        <f t="shared" si="113"/>
        <v>4</v>
      </c>
      <c r="D86" s="588">
        <f>C86</f>
        <v>4</v>
      </c>
      <c r="E86" s="588">
        <f t="shared" ref="E86:K86" si="115">D86</f>
        <v>4</v>
      </c>
      <c r="F86" s="588">
        <f t="shared" si="115"/>
        <v>4</v>
      </c>
      <c r="G86" s="588">
        <f t="shared" si="115"/>
        <v>4</v>
      </c>
      <c r="H86" s="588">
        <f t="shared" si="115"/>
        <v>4</v>
      </c>
      <c r="I86" s="588">
        <f t="shared" si="115"/>
        <v>4</v>
      </c>
      <c r="J86" s="588">
        <f t="shared" si="115"/>
        <v>4</v>
      </c>
      <c r="K86" s="588">
        <f t="shared" si="115"/>
        <v>4</v>
      </c>
      <c r="L86" s="588">
        <f t="shared" si="109"/>
        <v>4</v>
      </c>
    </row>
    <row r="87" spans="1:15" x14ac:dyDescent="0.3">
      <c r="A87" s="106" t="str">
        <f t="shared" si="110"/>
        <v>Зав. Склад</v>
      </c>
      <c r="B87" s="95">
        <f t="shared" si="112"/>
        <v>0</v>
      </c>
      <c r="C87" s="588">
        <f t="shared" si="113"/>
        <v>2</v>
      </c>
      <c r="D87" s="588">
        <f>C87</f>
        <v>2</v>
      </c>
      <c r="E87" s="588">
        <f t="shared" ref="E87:K87" si="116">D87</f>
        <v>2</v>
      </c>
      <c r="F87" s="588">
        <f t="shared" si="116"/>
        <v>2</v>
      </c>
      <c r="G87" s="588">
        <f t="shared" si="116"/>
        <v>2</v>
      </c>
      <c r="H87" s="588">
        <f t="shared" si="116"/>
        <v>2</v>
      </c>
      <c r="I87" s="588">
        <f t="shared" si="116"/>
        <v>2</v>
      </c>
      <c r="J87" s="588">
        <f t="shared" si="116"/>
        <v>2</v>
      </c>
      <c r="K87" s="588">
        <f t="shared" si="116"/>
        <v>2</v>
      </c>
      <c r="L87" s="588">
        <f t="shared" si="109"/>
        <v>2</v>
      </c>
    </row>
    <row r="88" spans="1:15" ht="28.8" x14ac:dyDescent="0.3">
      <c r="A88" s="106" t="str">
        <f t="shared" si="110"/>
        <v>ИРС Разнорабочий (уборщик, дворник)</v>
      </c>
      <c r="B88" s="95"/>
      <c r="C88" s="588"/>
      <c r="D88" s="588"/>
      <c r="E88" s="588"/>
      <c r="F88" s="588"/>
      <c r="G88" s="588"/>
      <c r="H88" s="588"/>
      <c r="I88" s="588"/>
      <c r="J88" s="588"/>
      <c r="K88" s="588"/>
      <c r="L88" s="588"/>
    </row>
    <row r="89" spans="1:15" ht="28.8" x14ac:dyDescent="0.3">
      <c r="A89" s="106" t="str">
        <f t="shared" si="110"/>
        <v>Разнорабочий (уборщик, дворник)</v>
      </c>
      <c r="B89" s="95">
        <f t="shared" si="112"/>
        <v>0</v>
      </c>
      <c r="C89" s="588">
        <f t="shared" si="113"/>
        <v>2</v>
      </c>
      <c r="D89" s="588">
        <f>C89</f>
        <v>2</v>
      </c>
      <c r="E89" s="588">
        <f t="shared" ref="E89:L90" si="117">D89</f>
        <v>2</v>
      </c>
      <c r="F89" s="588">
        <f t="shared" si="117"/>
        <v>2</v>
      </c>
      <c r="G89" s="588">
        <f t="shared" si="117"/>
        <v>2</v>
      </c>
      <c r="H89" s="588">
        <f t="shared" si="117"/>
        <v>2</v>
      </c>
      <c r="I89" s="588">
        <f t="shared" si="117"/>
        <v>2</v>
      </c>
      <c r="J89" s="588">
        <f t="shared" si="117"/>
        <v>2</v>
      </c>
      <c r="K89" s="588">
        <f t="shared" si="117"/>
        <v>2</v>
      </c>
      <c r="L89" s="588">
        <f t="shared" si="117"/>
        <v>2</v>
      </c>
    </row>
    <row r="90" spans="1:15" x14ac:dyDescent="0.3">
      <c r="A90" s="566" t="str">
        <f>A18</f>
        <v>Участок 1</v>
      </c>
      <c r="B90" s="95">
        <v>0</v>
      </c>
      <c r="C90" s="588">
        <f>B18</f>
        <v>0</v>
      </c>
      <c r="D90" s="588">
        <f>C90</f>
        <v>0</v>
      </c>
      <c r="E90" s="588">
        <f t="shared" si="117"/>
        <v>0</v>
      </c>
      <c r="F90" s="588">
        <f t="shared" si="117"/>
        <v>0</v>
      </c>
      <c r="G90" s="588">
        <f t="shared" si="117"/>
        <v>0</v>
      </c>
      <c r="H90" s="588">
        <f t="shared" si="117"/>
        <v>0</v>
      </c>
      <c r="I90" s="588">
        <f t="shared" si="117"/>
        <v>0</v>
      </c>
      <c r="J90" s="588">
        <f t="shared" si="117"/>
        <v>0</v>
      </c>
      <c r="K90" s="588">
        <f t="shared" si="117"/>
        <v>0</v>
      </c>
      <c r="L90" s="588">
        <f t="shared" si="117"/>
        <v>0</v>
      </c>
    </row>
    <row r="91" spans="1:15" ht="28.8" x14ac:dyDescent="0.3">
      <c r="A91" s="109" t="str">
        <f>A15</f>
        <v>Итого ЗП по направлению:</v>
      </c>
      <c r="B91" s="110">
        <f>SUM(B84:B89)</f>
        <v>0</v>
      </c>
      <c r="C91" s="589">
        <f t="shared" ref="C91:K91" si="118">SUM(C84:C90)</f>
        <v>14</v>
      </c>
      <c r="D91" s="589">
        <f t="shared" si="118"/>
        <v>14</v>
      </c>
      <c r="E91" s="589">
        <f t="shared" si="118"/>
        <v>14</v>
      </c>
      <c r="F91" s="589">
        <f t="shared" si="118"/>
        <v>14</v>
      </c>
      <c r="G91" s="589">
        <f t="shared" si="118"/>
        <v>14</v>
      </c>
      <c r="H91" s="589">
        <f t="shared" si="118"/>
        <v>14</v>
      </c>
      <c r="I91" s="589">
        <f t="shared" si="118"/>
        <v>14</v>
      </c>
      <c r="J91" s="589">
        <f t="shared" si="118"/>
        <v>14</v>
      </c>
      <c r="K91" s="589">
        <f t="shared" si="118"/>
        <v>14</v>
      </c>
      <c r="L91" s="589">
        <f t="shared" si="109"/>
        <v>14</v>
      </c>
    </row>
    <row r="92" spans="1:15" x14ac:dyDescent="0.3">
      <c r="A92" s="106" t="s">
        <v>165</v>
      </c>
      <c r="B92" s="95">
        <f t="shared" ref="B92:K92" si="119">B82+B91</f>
        <v>0</v>
      </c>
      <c r="C92" s="588">
        <f t="shared" si="119"/>
        <v>19</v>
      </c>
      <c r="D92" s="588">
        <f t="shared" si="119"/>
        <v>19</v>
      </c>
      <c r="E92" s="588">
        <f t="shared" si="119"/>
        <v>19</v>
      </c>
      <c r="F92" s="588">
        <f t="shared" si="119"/>
        <v>19</v>
      </c>
      <c r="G92" s="588">
        <f t="shared" si="119"/>
        <v>19</v>
      </c>
      <c r="H92" s="588">
        <f t="shared" si="119"/>
        <v>19</v>
      </c>
      <c r="I92" s="588">
        <f t="shared" si="119"/>
        <v>19</v>
      </c>
      <c r="J92" s="588">
        <f t="shared" si="119"/>
        <v>19</v>
      </c>
      <c r="K92" s="588">
        <f t="shared" si="119"/>
        <v>19</v>
      </c>
      <c r="L92" s="588">
        <f t="shared" si="109"/>
        <v>19</v>
      </c>
    </row>
  </sheetData>
  <mergeCells count="1">
    <mergeCell ref="N79:O79"/>
  </mergeCells>
  <pageMargins left="0.59055118110236249" right="0.59055118110236249" top="0.98425196850393704" bottom="0.39370078740157477" header="0" footer="0"/>
  <pageSetup paperSize="8" scale="63" firstPageNumber="2147483648" fitToWidth="0" orientation="landscape"/>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9">
    <tabColor theme="0"/>
    <pageSetUpPr fitToPage="1"/>
  </sheetPr>
  <dimension ref="A1:BC77"/>
  <sheetViews>
    <sheetView zoomScale="80" workbookViewId="0">
      <pane xSplit="1" topLeftCell="G1" activePane="topRight" state="frozen"/>
      <selection activeCell="H54" sqref="H54"/>
      <selection pane="topRight" activeCell="P78" sqref="P78"/>
    </sheetView>
  </sheetViews>
  <sheetFormatPr defaultColWidth="9.109375" defaultRowHeight="14.4" x14ac:dyDescent="0.3"/>
  <cols>
    <col min="1" max="1" width="22.33203125" style="63" customWidth="1"/>
    <col min="2" max="2" width="13.109375" style="63" customWidth="1"/>
    <col min="3" max="3" width="10.33203125" style="123" customWidth="1"/>
    <col min="4" max="4" width="10.6640625" style="63" customWidth="1"/>
    <col min="5" max="6" width="10.109375" style="63" customWidth="1"/>
    <col min="7" max="7" width="10" style="63" customWidth="1"/>
    <col min="8" max="11" width="11.88671875" style="63" customWidth="1"/>
    <col min="12" max="12" width="11.5546875" style="63" customWidth="1"/>
    <col min="13" max="13" width="12" style="63" customWidth="1"/>
    <col min="14" max="14" width="16" style="63" customWidth="1"/>
    <col min="15" max="15" width="11.5546875" style="63" customWidth="1"/>
    <col min="16" max="16" width="9.5546875" style="63" bestFit="1" customWidth="1"/>
    <col min="17" max="17" width="11.88671875" style="63" customWidth="1"/>
    <col min="18" max="18" width="11.33203125" style="63" bestFit="1" customWidth="1"/>
    <col min="19" max="19" width="11.5546875" style="63" customWidth="1"/>
    <col min="20" max="20" width="12" style="63" customWidth="1"/>
    <col min="21" max="22" width="11.33203125" style="63" bestFit="1" customWidth="1"/>
    <col min="23" max="24" width="11.88671875" style="63" customWidth="1"/>
    <col min="25" max="26" width="11.5546875" style="63" customWidth="1"/>
    <col min="27" max="27" width="11.44140625" style="63" customWidth="1"/>
    <col min="28" max="28" width="12" style="63" customWidth="1"/>
    <col min="29" max="29" width="11.88671875" style="63" customWidth="1"/>
    <col min="30" max="30" width="11.5546875" style="63" customWidth="1"/>
    <col min="31" max="31" width="11" style="63" customWidth="1"/>
    <col min="32" max="32" width="11.109375" style="63" customWidth="1"/>
    <col min="33" max="33" width="11.5546875" style="63" customWidth="1"/>
    <col min="34" max="34" width="12" style="63" customWidth="1"/>
    <col min="35" max="36" width="11.44140625" style="63" customWidth="1"/>
    <col min="37" max="37" width="12" style="63" customWidth="1"/>
    <col min="38" max="38" width="11.5546875" style="63" customWidth="1"/>
    <col min="39" max="39" width="11.44140625" style="63" customWidth="1"/>
    <col min="40" max="40" width="11" style="63" customWidth="1"/>
    <col min="41" max="41" width="10.6640625" style="63" customWidth="1"/>
    <col min="42" max="43" width="11.44140625" style="63" customWidth="1"/>
    <col min="44" max="44" width="14" style="63" customWidth="1"/>
    <col min="45" max="45" width="9.33203125" style="63" bestFit="1" customWidth="1"/>
    <col min="46" max="47" width="11.88671875" style="63" customWidth="1"/>
    <col min="48" max="48" width="11.109375" style="63" customWidth="1"/>
    <col min="49" max="49" width="12.88671875" style="63" customWidth="1"/>
    <col min="50" max="51" width="11.109375" style="63" customWidth="1"/>
    <col min="52" max="52" width="11.88671875" style="63" customWidth="1"/>
    <col min="53" max="53" width="11.44140625" style="63" customWidth="1"/>
    <col min="54" max="54" width="11.88671875" style="63" customWidth="1"/>
    <col min="55" max="55" width="12.44140625" style="63" bestFit="1" customWidth="1"/>
    <col min="56" max="16384" width="9.109375" style="63"/>
  </cols>
  <sheetData>
    <row r="1" spans="1:55" s="405" customFormat="1" ht="59.25" customHeight="1" x14ac:dyDescent="0.3">
      <c r="A1" s="404" t="s">
        <v>108</v>
      </c>
      <c r="B1" s="404" t="s">
        <v>109</v>
      </c>
      <c r="C1" s="404" t="s">
        <v>110</v>
      </c>
      <c r="D1" s="404" t="str">
        <f>'Расходы на ЗП ОТ'!D1</f>
        <v>I кв. 1 г.</v>
      </c>
      <c r="E1" s="404" t="str">
        <f>'Расходы на ЗП ОТ'!E1</f>
        <v>II кв. 1 г.</v>
      </c>
      <c r="F1" s="404" t="str">
        <f>'Расходы на ЗП ОТ'!F1</f>
        <v>III кв. 1 г.</v>
      </c>
      <c r="G1" s="404" t="str">
        <f>'Расходы на ЗП ОТ'!G1</f>
        <v>IV кв. 1 г.</v>
      </c>
      <c r="H1" s="404" t="str">
        <f>'Расходы на ЗП ОТ'!H1</f>
        <v>I кв. 2 г.</v>
      </c>
      <c r="I1" s="404" t="str">
        <f>'Расходы на ЗП ОТ'!I1</f>
        <v>II кв. 2 г.</v>
      </c>
      <c r="J1" s="404" t="str">
        <f>'Расходы на ЗП ОТ'!J1</f>
        <v>III кв. 2 г.</v>
      </c>
      <c r="K1" s="404" t="str">
        <f>'Расходы на ЗП ОТ'!K1</f>
        <v>IV кв. 2 г.</v>
      </c>
      <c r="L1" s="404" t="str">
        <f>'Расходы на ЗП ОТ'!L1</f>
        <v>I кв. 3 г.</v>
      </c>
      <c r="M1" s="404" t="str">
        <f>'Расходы на ЗП ОТ'!M1</f>
        <v>II кв. 3 г.</v>
      </c>
      <c r="N1" s="404" t="str">
        <f>'Расходы на ЗП ОТ'!N1</f>
        <v>III кв. 3 г.</v>
      </c>
      <c r="O1" s="404" t="str">
        <f>'Расходы на ЗП ОТ'!O1</f>
        <v>IV кв. 3 г.</v>
      </c>
      <c r="P1" s="404" t="str">
        <f>'Расходы на ЗП ОТ'!P1</f>
        <v>I кв. 4 г.</v>
      </c>
      <c r="Q1" s="404" t="str">
        <f>'Расходы на ЗП ОТ'!Q1</f>
        <v>II кв. 4 г.</v>
      </c>
      <c r="R1" s="404" t="str">
        <f>'Расходы на ЗП ОТ'!R1</f>
        <v>III кв. 4 г.</v>
      </c>
      <c r="S1" s="404" t="str">
        <f>'Расходы на ЗП ОТ'!S1</f>
        <v>IV кв. 4 г.</v>
      </c>
      <c r="T1" s="404" t="str">
        <f>'Расходы на ЗП ОТ'!T1</f>
        <v>I кв. 5 г.</v>
      </c>
      <c r="U1" s="404" t="str">
        <f>'Расходы на ЗП ОТ'!U1</f>
        <v>II кв. 5 г.</v>
      </c>
      <c r="V1" s="404" t="str">
        <f>'Расходы на ЗП ОТ'!V1</f>
        <v>III кв. 5 г.</v>
      </c>
      <c r="W1" s="404" t="str">
        <f>'Расходы на ЗП ОТ'!W1</f>
        <v>IV кв. 5 г.</v>
      </c>
      <c r="X1" s="404" t="str">
        <f>'Расходы на ЗП ОТ'!X1</f>
        <v>I кв. 6 г.</v>
      </c>
      <c r="Y1" s="404" t="str">
        <f>'Расходы на ЗП ОТ'!Y1</f>
        <v>II кв. 6 г.</v>
      </c>
      <c r="Z1" s="404" t="str">
        <f>'Расходы на ЗП ОТ'!Z1</f>
        <v>III кв. 6 г.</v>
      </c>
      <c r="AA1" s="404" t="str">
        <f>'Расходы на ЗП ОТ'!AA1</f>
        <v>IV кв. 6 г.</v>
      </c>
      <c r="AB1" s="404" t="str">
        <f>'Расходы на ЗП ОТ'!AB1</f>
        <v>I кв. 7 г.</v>
      </c>
      <c r="AC1" s="404" t="str">
        <f>'Расходы на ЗП ОТ'!AC1</f>
        <v>II кв. 7 г.</v>
      </c>
      <c r="AD1" s="404" t="str">
        <f>'Расходы на ЗП ОТ'!AD1</f>
        <v>III кв. 7 г.</v>
      </c>
      <c r="AE1" s="404" t="str">
        <f>'Расходы на ЗП ОТ'!AE1</f>
        <v>IV кв. 7 г.</v>
      </c>
      <c r="AF1" s="404" t="str">
        <f>'Расходы на ЗП ОТ'!AF1</f>
        <v>I кв. 8 г.</v>
      </c>
      <c r="AG1" s="404" t="str">
        <f>'Расходы на ЗП ОТ'!AG1</f>
        <v>II кв. 8 г.</v>
      </c>
      <c r="AH1" s="404" t="str">
        <f>'Расходы на ЗП ОТ'!AH1</f>
        <v>III кв. 8 г.</v>
      </c>
      <c r="AI1" s="404" t="str">
        <f>'Расходы на ЗП ОТ'!AI1</f>
        <v>IV кв. 8 г.</v>
      </c>
      <c r="AJ1" s="404" t="str">
        <f>'Расходы на ЗП ОТ'!AJ1</f>
        <v>I кв. 9 г.</v>
      </c>
      <c r="AK1" s="404" t="str">
        <f>'Расходы на ЗП ОТ'!AK1</f>
        <v>II кв. 9 г.</v>
      </c>
      <c r="AL1" s="404" t="str">
        <f>'Расходы на ЗП ОТ'!AL1</f>
        <v>III кв. 9 г.</v>
      </c>
      <c r="AM1" s="404" t="str">
        <f>'Расходы на ЗП ОТ'!AM1</f>
        <v>IV кв. 9 г.</v>
      </c>
      <c r="AN1" s="404" t="str">
        <f>'Расходы на ЗП ОТ'!AN1</f>
        <v>I кв. 10 г.</v>
      </c>
      <c r="AO1" s="404" t="str">
        <f>'Расходы на ЗП ОТ'!AO1</f>
        <v>II кв. 10 г.</v>
      </c>
      <c r="AP1" s="404" t="str">
        <f>'Расходы на ЗП ОТ'!AP1</f>
        <v>III кв. 10 г.</v>
      </c>
      <c r="AQ1" s="404" t="str">
        <f>'Расходы на ЗП ОТ'!AQ1</f>
        <v>IV кв. 10 г.</v>
      </c>
      <c r="AR1" s="404"/>
      <c r="AS1" s="404" t="str">
        <f>'Расходы на ЗП ОТ'!AS1</f>
        <v>1 год</v>
      </c>
      <c r="AT1" s="404" t="str">
        <f>'Расходы на ЗП ОТ'!AT1</f>
        <v>2 год</v>
      </c>
      <c r="AU1" s="404" t="str">
        <f>'Расходы на ЗП ОТ'!AU1</f>
        <v>3 год</v>
      </c>
      <c r="AV1" s="404" t="str">
        <f>'Расходы на ЗП ОТ'!AV1</f>
        <v>4 год</v>
      </c>
      <c r="AW1" s="404" t="str">
        <f>'Расходы на ЗП ОТ'!AW1</f>
        <v>5 год</v>
      </c>
      <c r="AX1" s="404" t="str">
        <f>'Расходы на ЗП ОТ'!AX1</f>
        <v>6 год</v>
      </c>
      <c r="AY1" s="404" t="str">
        <f>'Расходы на ЗП ОТ'!AY1</f>
        <v>7 год</v>
      </c>
      <c r="AZ1" s="404" t="str">
        <f>'Расходы на ЗП ОТ'!AZ1</f>
        <v>8 год</v>
      </c>
      <c r="BA1" s="404" t="str">
        <f>'Расходы на ЗП ОТ'!BA1</f>
        <v>9 год</v>
      </c>
      <c r="BB1" s="404" t="str">
        <f>'Расходы на ЗП ОТ'!BB1</f>
        <v>10 год</v>
      </c>
      <c r="BC1" s="404" t="str">
        <f>'Расходы на ЗП ОТ'!BC1</f>
        <v>11 год</v>
      </c>
    </row>
    <row r="2" spans="1:55" ht="37.5" customHeight="1" x14ac:dyDescent="0.3">
      <c r="A2" s="406" t="str">
        <f>'Расходы на ЗП ОТ'!A2</f>
        <v>Генеральный директор</v>
      </c>
      <c r="B2" s="125">
        <f>'Расходы на ЗП ОТ'!B2</f>
        <v>1</v>
      </c>
      <c r="C2" s="126">
        <f>'Расходы на ЗП ОТ'!C2</f>
        <v>75</v>
      </c>
      <c r="D2" s="127">
        <f>'Расходы на ЗП ОТ'!D2</f>
        <v>0</v>
      </c>
      <c r="E2" s="127">
        <f>'Расходы на ЗП ОТ'!E2</f>
        <v>0</v>
      </c>
      <c r="F2" s="127">
        <f>'Расходы на ЗП ОТ'!F2</f>
        <v>0</v>
      </c>
      <c r="G2" s="127">
        <v>0</v>
      </c>
      <c r="H2" s="127">
        <f>'Расходы на ЗП ОТ'!H2</f>
        <v>225</v>
      </c>
      <c r="I2" s="127">
        <f>'Расходы на ЗП ОТ'!I2</f>
        <v>225</v>
      </c>
      <c r="J2" s="127">
        <f>'Расходы на ЗП ОТ'!J2</f>
        <v>225</v>
      </c>
      <c r="K2" s="127">
        <f>'Расходы на ЗП ОТ'!K2</f>
        <v>225</v>
      </c>
      <c r="L2" s="127">
        <f>'Расходы на ЗП ОТ'!L2</f>
        <v>231.75</v>
      </c>
      <c r="M2" s="127">
        <f>'Расходы на ЗП ОТ'!M2</f>
        <v>231.75</v>
      </c>
      <c r="N2" s="127">
        <f>'Расходы на ЗП ОТ'!N2</f>
        <v>231.75</v>
      </c>
      <c r="O2" s="127">
        <f>'Расходы на ЗП ОТ'!O2</f>
        <v>231.75</v>
      </c>
      <c r="P2" s="127">
        <f>'Расходы на ЗП ОТ'!P2</f>
        <v>238.70250000000001</v>
      </c>
      <c r="Q2" s="127">
        <f>'Расходы на ЗП ОТ'!Q2</f>
        <v>238.70250000000001</v>
      </c>
      <c r="R2" s="127">
        <f>'Расходы на ЗП ОТ'!R2</f>
        <v>238.70250000000001</v>
      </c>
      <c r="S2" s="127">
        <f>'Расходы на ЗП ОТ'!S2</f>
        <v>238.70250000000001</v>
      </c>
      <c r="T2" s="127">
        <f>'Расходы на ЗП ОТ'!T2</f>
        <v>245.86357500000003</v>
      </c>
      <c r="U2" s="127">
        <f>'Расходы на ЗП ОТ'!U2</f>
        <v>245.86357500000003</v>
      </c>
      <c r="V2" s="127">
        <f>'Расходы на ЗП ОТ'!V2</f>
        <v>245.86357500000003</v>
      </c>
      <c r="W2" s="127">
        <f>'Расходы на ЗП ОТ'!W2</f>
        <v>245.86357500000003</v>
      </c>
      <c r="X2" s="127">
        <f>'Расходы на ЗП ОТ'!X2</f>
        <v>253.23948225000004</v>
      </c>
      <c r="Y2" s="127">
        <f>'Расходы на ЗП ОТ'!Y2</f>
        <v>253.23948225000004</v>
      </c>
      <c r="Z2" s="127">
        <f>'Расходы на ЗП ОТ'!Z2</f>
        <v>253.23948225000004</v>
      </c>
      <c r="AA2" s="127">
        <f>'Расходы на ЗП ОТ'!AA2</f>
        <v>253.23948225000004</v>
      </c>
      <c r="AB2" s="127">
        <f>'Расходы на ЗП ОТ'!AB2</f>
        <v>260.83666671750007</v>
      </c>
      <c r="AC2" s="127">
        <f>'Расходы на ЗП ОТ'!AC2</f>
        <v>260.83666671750007</v>
      </c>
      <c r="AD2" s="127">
        <f>'Расходы на ЗП ОТ'!AD2</f>
        <v>260.83666671750007</v>
      </c>
      <c r="AE2" s="127">
        <f>'Расходы на ЗП ОТ'!AE2</f>
        <v>260.83666671750007</v>
      </c>
      <c r="AF2" s="127">
        <f>'Расходы на ЗП ОТ'!AF2</f>
        <v>268.66176671902508</v>
      </c>
      <c r="AG2" s="127">
        <f>'Расходы на ЗП ОТ'!AG2</f>
        <v>268.66176671902508</v>
      </c>
      <c r="AH2" s="127">
        <f>'Расходы на ЗП ОТ'!AH2</f>
        <v>268.66176671902508</v>
      </c>
      <c r="AI2" s="127">
        <f>'Расходы на ЗП ОТ'!AI2</f>
        <v>268.66176671902508</v>
      </c>
      <c r="AJ2" s="127">
        <f>'Расходы на ЗП ОТ'!AJ2</f>
        <v>276.72161972059587</v>
      </c>
      <c r="AK2" s="127">
        <f>'Расходы на ЗП ОТ'!AK2</f>
        <v>276.72161972059587</v>
      </c>
      <c r="AL2" s="127">
        <f>'Расходы на ЗП ОТ'!AL2</f>
        <v>276.72161972059587</v>
      </c>
      <c r="AM2" s="127">
        <f>'Расходы на ЗП ОТ'!AM2</f>
        <v>276.72161972059587</v>
      </c>
      <c r="AN2" s="127">
        <f>'Расходы на ЗП ОТ'!AN2</f>
        <v>285.02326831221376</v>
      </c>
      <c r="AO2" s="127">
        <f>'Расходы на ЗП ОТ'!AO2</f>
        <v>285.02326831221376</v>
      </c>
      <c r="AP2" s="127">
        <f>'Расходы на ЗП ОТ'!AP2</f>
        <v>285.02326831221376</v>
      </c>
      <c r="AQ2" s="127">
        <f>'Расходы на ЗП ОТ'!AQ2</f>
        <v>285.02326831221376</v>
      </c>
      <c r="AR2" s="127"/>
      <c r="AS2" s="127">
        <f t="shared" ref="AS2:AS58" si="0">SUM(D2:G2)</f>
        <v>0</v>
      </c>
      <c r="AT2" s="127">
        <f>SUM(H2:K2)</f>
        <v>900</v>
      </c>
      <c r="AU2" s="127">
        <f t="shared" ref="AU2:AU58" si="1">SUM(L2:O2)</f>
        <v>927</v>
      </c>
      <c r="AV2" s="127">
        <f t="shared" ref="AV2:AV58" si="2">SUM(P2:S2)</f>
        <v>954.81000000000006</v>
      </c>
      <c r="AW2" s="127">
        <f t="shared" ref="AW2:AW58" si="3">SUM(T2:W2)</f>
        <v>983.4543000000001</v>
      </c>
      <c r="AX2" s="127">
        <f t="shared" ref="AX2:AX58" si="4">SUM(X2:AA2)</f>
        <v>1012.9579290000001</v>
      </c>
      <c r="AY2" s="127">
        <f t="shared" ref="AY2:AY58" si="5">SUM(AB2:AE2)</f>
        <v>1043.3466668700003</v>
      </c>
      <c r="AZ2" s="127">
        <f t="shared" ref="AZ2:AZ58" si="6">SUM(AF2:AI2)</f>
        <v>1074.6470668761003</v>
      </c>
      <c r="BA2" s="127">
        <f t="shared" ref="BA2:BA58" si="7">SUM(AJ2:AM2)</f>
        <v>1106.8864788823835</v>
      </c>
      <c r="BB2" s="127">
        <f t="shared" ref="BB2:BB58" si="8">SUM(AN2:AQ2)</f>
        <v>1140.093073248855</v>
      </c>
      <c r="BC2" s="127">
        <f t="shared" ref="BC2:BC58" si="9">BB2</f>
        <v>1140.093073248855</v>
      </c>
    </row>
    <row r="3" spans="1:55" ht="22.5" customHeight="1" x14ac:dyDescent="0.3">
      <c r="A3" s="406" t="str">
        <f>'Расходы на ЗП ОТ'!A3</f>
        <v>Менеджер по продажам</v>
      </c>
      <c r="B3" s="125">
        <f>'Расходы на ЗП ОТ'!B3</f>
        <v>2</v>
      </c>
      <c r="C3" s="126">
        <f>'Расходы на ЗП ОТ'!C3</f>
        <v>65</v>
      </c>
      <c r="D3" s="127">
        <f>'Расходы на ЗП ОТ'!D3</f>
        <v>0</v>
      </c>
      <c r="E3" s="127">
        <f>'Расходы на ЗП ОТ'!E3</f>
        <v>0</v>
      </c>
      <c r="F3" s="127">
        <f>'Расходы на ЗП ОТ'!F3</f>
        <v>0</v>
      </c>
      <c r="G3" s="127">
        <v>0</v>
      </c>
      <c r="H3" s="127">
        <f>'Расходы на ЗП ОТ'!H3</f>
        <v>390</v>
      </c>
      <c r="I3" s="127">
        <f>'Расходы на ЗП ОТ'!I3</f>
        <v>390</v>
      </c>
      <c r="J3" s="127">
        <f>'Расходы на ЗП ОТ'!J3</f>
        <v>390</v>
      </c>
      <c r="K3" s="127">
        <f>'Расходы на ЗП ОТ'!K3</f>
        <v>390</v>
      </c>
      <c r="L3" s="127">
        <f>'Расходы на ЗП ОТ'!L3</f>
        <v>401.7</v>
      </c>
      <c r="M3" s="127">
        <f>'Расходы на ЗП ОТ'!M3</f>
        <v>401.7</v>
      </c>
      <c r="N3" s="127">
        <f>'Расходы на ЗП ОТ'!N3</f>
        <v>401.7</v>
      </c>
      <c r="O3" s="127">
        <f>'Расходы на ЗП ОТ'!O3</f>
        <v>401.7</v>
      </c>
      <c r="P3" s="127">
        <f>'Расходы на ЗП ОТ'!P3</f>
        <v>413.75099999999998</v>
      </c>
      <c r="Q3" s="127">
        <f>'Расходы на ЗП ОТ'!Q3</f>
        <v>413.75099999999998</v>
      </c>
      <c r="R3" s="127">
        <f>'Расходы на ЗП ОТ'!R3</f>
        <v>413.75099999999998</v>
      </c>
      <c r="S3" s="127">
        <f>'Расходы на ЗП ОТ'!S3</f>
        <v>413.75099999999998</v>
      </c>
      <c r="T3" s="127">
        <f>'Расходы на ЗП ОТ'!T3</f>
        <v>426.16352999999998</v>
      </c>
      <c r="U3" s="127">
        <f>'Расходы на ЗП ОТ'!U3</f>
        <v>426.16352999999998</v>
      </c>
      <c r="V3" s="127">
        <f>'Расходы на ЗП ОТ'!V3</f>
        <v>426.16352999999998</v>
      </c>
      <c r="W3" s="127">
        <f>'Расходы на ЗП ОТ'!W3</f>
        <v>426.16352999999998</v>
      </c>
      <c r="X3" s="127">
        <f>'Расходы на ЗП ОТ'!X3</f>
        <v>438.94843589999999</v>
      </c>
      <c r="Y3" s="127">
        <f>'Расходы на ЗП ОТ'!Y3</f>
        <v>438.94843589999999</v>
      </c>
      <c r="Z3" s="127">
        <f>'Расходы на ЗП ОТ'!Z3</f>
        <v>438.94843589999999</v>
      </c>
      <c r="AA3" s="127">
        <f>'Расходы на ЗП ОТ'!AA3</f>
        <v>438.94843589999999</v>
      </c>
      <c r="AB3" s="127">
        <f>'Расходы на ЗП ОТ'!AB3</f>
        <v>452.11688897700003</v>
      </c>
      <c r="AC3" s="127">
        <f>'Расходы на ЗП ОТ'!AC3</f>
        <v>452.11688897700003</v>
      </c>
      <c r="AD3" s="127">
        <f>'Расходы на ЗП ОТ'!AD3</f>
        <v>452.11688897700003</v>
      </c>
      <c r="AE3" s="127">
        <f>'Расходы на ЗП ОТ'!AE3</f>
        <v>452.11688897700003</v>
      </c>
      <c r="AF3" s="127">
        <f>'Расходы на ЗП ОТ'!AF3</f>
        <v>479.24390231562006</v>
      </c>
      <c r="AG3" s="127">
        <f>'Расходы на ЗП ОТ'!AG3</f>
        <v>479.24390231562006</v>
      </c>
      <c r="AH3" s="127">
        <f>'Расходы на ЗП ОТ'!AH3</f>
        <v>479.24390231562006</v>
      </c>
      <c r="AI3" s="127">
        <f>'Расходы на ЗП ОТ'!AI3</f>
        <v>479.24390231562006</v>
      </c>
      <c r="AJ3" s="127">
        <f>'Расходы на ЗП ОТ'!AJ3</f>
        <v>493.62121938508869</v>
      </c>
      <c r="AK3" s="127">
        <f>'Расходы на ЗП ОТ'!AK3</f>
        <v>493.62121938508869</v>
      </c>
      <c r="AL3" s="127">
        <f>'Расходы на ЗП ОТ'!AL3</f>
        <v>493.62121938508869</v>
      </c>
      <c r="AM3" s="127">
        <f>'Расходы на ЗП ОТ'!AM3</f>
        <v>493.62121938508869</v>
      </c>
      <c r="AN3" s="127">
        <f>'Расходы на ЗП ОТ'!AN3</f>
        <v>508.42985596664136</v>
      </c>
      <c r="AO3" s="127">
        <f>'Расходы на ЗП ОТ'!AO3</f>
        <v>508.42985596664136</v>
      </c>
      <c r="AP3" s="127">
        <f>'Расходы на ЗП ОТ'!AP3</f>
        <v>508.42985596664136</v>
      </c>
      <c r="AQ3" s="127">
        <f>'Расходы на ЗП ОТ'!AQ3</f>
        <v>508.42985596664136</v>
      </c>
      <c r="AR3" s="127"/>
      <c r="AS3" s="127">
        <f>'Расходы на ЗП ОТ'!AS3</f>
        <v>0</v>
      </c>
      <c r="AT3" s="127">
        <f t="shared" ref="AT3:AT58" si="10">SUM(H3:K3)</f>
        <v>1560</v>
      </c>
      <c r="AU3" s="127">
        <f t="shared" si="1"/>
        <v>1606.8</v>
      </c>
      <c r="AV3" s="127">
        <f t="shared" si="2"/>
        <v>1655.0039999999999</v>
      </c>
      <c r="AW3" s="127">
        <f t="shared" si="3"/>
        <v>1704.6541199999999</v>
      </c>
      <c r="AX3" s="127">
        <f t="shared" si="4"/>
        <v>1755.7937436</v>
      </c>
      <c r="AY3" s="127">
        <f t="shared" si="5"/>
        <v>1808.4675559080001</v>
      </c>
      <c r="AZ3" s="127">
        <f t="shared" si="6"/>
        <v>1916.9756092624802</v>
      </c>
      <c r="BA3" s="127">
        <f t="shared" si="7"/>
        <v>1974.4848775403548</v>
      </c>
      <c r="BB3" s="127">
        <f t="shared" si="8"/>
        <v>2033.7194238665654</v>
      </c>
      <c r="BC3" s="127">
        <f t="shared" si="9"/>
        <v>2033.7194238665654</v>
      </c>
    </row>
    <row r="4" spans="1:55" ht="32.25" customHeight="1" x14ac:dyDescent="0.3">
      <c r="A4" s="406" t="str">
        <f>'Расходы на ЗП ОТ'!A4</f>
        <v>Маркетолог</v>
      </c>
      <c r="B4" s="125">
        <f>'Расходы на ЗП ОТ'!B4</f>
        <v>1</v>
      </c>
      <c r="C4" s="126">
        <f>'Расходы на ЗП ОТ'!C4</f>
        <v>60</v>
      </c>
      <c r="D4" s="127">
        <f>'Расходы на ЗП ОТ'!D4</f>
        <v>0</v>
      </c>
      <c r="E4" s="127">
        <f>'Расходы на ЗП ОТ'!E4</f>
        <v>0</v>
      </c>
      <c r="F4" s="127">
        <f>'Расходы на ЗП ОТ'!F4</f>
        <v>0</v>
      </c>
      <c r="G4" s="127">
        <v>0</v>
      </c>
      <c r="H4" s="127">
        <f>'Расходы на ЗП ОТ'!H4</f>
        <v>180</v>
      </c>
      <c r="I4" s="127">
        <f>'Расходы на ЗП ОТ'!I4</f>
        <v>180</v>
      </c>
      <c r="J4" s="127">
        <f>'Расходы на ЗП ОТ'!J4</f>
        <v>180</v>
      </c>
      <c r="K4" s="127">
        <f>'Расходы на ЗП ОТ'!K4</f>
        <v>180</v>
      </c>
      <c r="L4" s="127">
        <f>'Расходы на ЗП ОТ'!L4</f>
        <v>185.4</v>
      </c>
      <c r="M4" s="127">
        <f>'Расходы на ЗП ОТ'!M4</f>
        <v>185.4</v>
      </c>
      <c r="N4" s="127">
        <f>'Расходы на ЗП ОТ'!N4</f>
        <v>185.4</v>
      </c>
      <c r="O4" s="127">
        <f>'Расходы на ЗП ОТ'!O4</f>
        <v>185.4</v>
      </c>
      <c r="P4" s="127">
        <f>'Расходы на ЗП ОТ'!P4</f>
        <v>190.96200000000002</v>
      </c>
      <c r="Q4" s="127">
        <f>'Расходы на ЗП ОТ'!Q4</f>
        <v>190.96200000000002</v>
      </c>
      <c r="R4" s="127">
        <f>'Расходы на ЗП ОТ'!R4</f>
        <v>190.96200000000002</v>
      </c>
      <c r="S4" s="127">
        <f>'Расходы на ЗП ОТ'!S4</f>
        <v>190.96200000000002</v>
      </c>
      <c r="T4" s="127">
        <f>'Расходы на ЗП ОТ'!T4</f>
        <v>196.69086000000001</v>
      </c>
      <c r="U4" s="127">
        <f>'Расходы на ЗП ОТ'!U4</f>
        <v>196.69086000000001</v>
      </c>
      <c r="V4" s="127">
        <f>'Расходы на ЗП ОТ'!V4</f>
        <v>196.69086000000001</v>
      </c>
      <c r="W4" s="127">
        <f>'Расходы на ЗП ОТ'!W4</f>
        <v>196.69086000000001</v>
      </c>
      <c r="X4" s="127">
        <f>'Расходы на ЗП ОТ'!X4</f>
        <v>202.59158580000002</v>
      </c>
      <c r="Y4" s="127">
        <f>'Расходы на ЗП ОТ'!Y4</f>
        <v>202.59158580000002</v>
      </c>
      <c r="Z4" s="127">
        <f>'Расходы на ЗП ОТ'!Z4</f>
        <v>202.59158580000002</v>
      </c>
      <c r="AA4" s="127">
        <f>'Расходы на ЗП ОТ'!AA4</f>
        <v>202.59158580000002</v>
      </c>
      <c r="AB4" s="127">
        <f>'Расходы на ЗП ОТ'!AB4</f>
        <v>208.66933337400002</v>
      </c>
      <c r="AC4" s="127">
        <f>'Расходы на ЗП ОТ'!AC4</f>
        <v>208.66933337400002</v>
      </c>
      <c r="AD4" s="127">
        <f>'Расходы на ЗП ОТ'!AD4</f>
        <v>208.66933337400002</v>
      </c>
      <c r="AE4" s="127">
        <f>'Расходы на ЗП ОТ'!AE4</f>
        <v>208.66933337400002</v>
      </c>
      <c r="AF4" s="127">
        <f>'Расходы на ЗП ОТ'!AF4</f>
        <v>208.66933337400002</v>
      </c>
      <c r="AG4" s="127">
        <f>'Расходы на ЗП ОТ'!AG4</f>
        <v>208.66933337400002</v>
      </c>
      <c r="AH4" s="127">
        <f>'Расходы на ЗП ОТ'!AH4</f>
        <v>208.66933337400002</v>
      </c>
      <c r="AI4" s="127">
        <f>'Расходы на ЗП ОТ'!AI4</f>
        <v>208.66933337400002</v>
      </c>
      <c r="AJ4" s="127">
        <f>'Расходы на ЗП ОТ'!AJ4</f>
        <v>214.92941337522004</v>
      </c>
      <c r="AK4" s="127">
        <f>'Расходы на ЗП ОТ'!AK4</f>
        <v>214.92941337522004</v>
      </c>
      <c r="AL4" s="127">
        <f>'Расходы на ЗП ОТ'!AL4</f>
        <v>214.92941337522004</v>
      </c>
      <c r="AM4" s="127">
        <f>'Расходы на ЗП ОТ'!AM4</f>
        <v>214.92941337522004</v>
      </c>
      <c r="AN4" s="127">
        <f>'Расходы на ЗП ОТ'!AN4</f>
        <v>221.37729577647664</v>
      </c>
      <c r="AO4" s="127">
        <f>'Расходы на ЗП ОТ'!AO4</f>
        <v>221.37729577647664</v>
      </c>
      <c r="AP4" s="127">
        <f>'Расходы на ЗП ОТ'!AP4</f>
        <v>221.37729577647664</v>
      </c>
      <c r="AQ4" s="127">
        <f>'Расходы на ЗП ОТ'!AQ4</f>
        <v>221.37729577647664</v>
      </c>
      <c r="AR4" s="127"/>
      <c r="AS4" s="127">
        <f t="shared" si="0"/>
        <v>0</v>
      </c>
      <c r="AT4" s="127">
        <f t="shared" si="10"/>
        <v>720</v>
      </c>
      <c r="AU4" s="127">
        <f t="shared" si="1"/>
        <v>741.6</v>
      </c>
      <c r="AV4" s="127">
        <f t="shared" si="2"/>
        <v>763.84800000000007</v>
      </c>
      <c r="AW4" s="127">
        <f t="shared" si="3"/>
        <v>786.76344000000006</v>
      </c>
      <c r="AX4" s="127">
        <f t="shared" si="4"/>
        <v>810.36634320000007</v>
      </c>
      <c r="AY4" s="127">
        <f t="shared" si="5"/>
        <v>834.67733349600007</v>
      </c>
      <c r="AZ4" s="127">
        <f t="shared" si="6"/>
        <v>834.67733349600007</v>
      </c>
      <c r="BA4" s="127">
        <f t="shared" si="7"/>
        <v>859.71765350088015</v>
      </c>
      <c r="BB4" s="127">
        <f t="shared" si="8"/>
        <v>885.50918310590657</v>
      </c>
      <c r="BC4" s="127">
        <f t="shared" si="9"/>
        <v>885.50918310590657</v>
      </c>
    </row>
    <row r="5" spans="1:55" ht="36" customHeight="1" x14ac:dyDescent="0.3">
      <c r="A5" s="406" t="str">
        <f>'Расходы на ЗП ОТ'!A5</f>
        <v>Главный бухгалтер</v>
      </c>
      <c r="B5" s="125">
        <f>'Расходы на ЗП ОТ'!B5</f>
        <v>1</v>
      </c>
      <c r="C5" s="126">
        <f>'Расходы на ЗП ОТ'!C5</f>
        <v>65</v>
      </c>
      <c r="D5" s="127">
        <f>'Расходы на ЗП ОТ'!D5</f>
        <v>0</v>
      </c>
      <c r="E5" s="127">
        <f>'Расходы на ЗП ОТ'!E5</f>
        <v>0</v>
      </c>
      <c r="F5" s="127">
        <f>'Расходы на ЗП ОТ'!F5</f>
        <v>0</v>
      </c>
      <c r="G5" s="127">
        <v>0</v>
      </c>
      <c r="H5" s="127">
        <f>'Расходы на ЗП ОТ'!H5</f>
        <v>195</v>
      </c>
      <c r="I5" s="127">
        <f>'Расходы на ЗП ОТ'!I5</f>
        <v>195</v>
      </c>
      <c r="J5" s="127">
        <f>'Расходы на ЗП ОТ'!J5</f>
        <v>195</v>
      </c>
      <c r="K5" s="127">
        <f>'Расходы на ЗП ОТ'!K5</f>
        <v>195</v>
      </c>
      <c r="L5" s="127">
        <f>'Расходы на ЗП ОТ'!L5</f>
        <v>200.85</v>
      </c>
      <c r="M5" s="127">
        <f>'Расходы на ЗП ОТ'!M5</f>
        <v>200.85</v>
      </c>
      <c r="N5" s="127">
        <f>'Расходы на ЗП ОТ'!N5</f>
        <v>200.85</v>
      </c>
      <c r="O5" s="127">
        <f>'Расходы на ЗП ОТ'!O5</f>
        <v>200.85</v>
      </c>
      <c r="P5" s="127">
        <f>'Расходы на ЗП ОТ'!P5</f>
        <v>206.87549999999999</v>
      </c>
      <c r="Q5" s="127">
        <f>'Расходы на ЗП ОТ'!Q5</f>
        <v>206.87549999999999</v>
      </c>
      <c r="R5" s="127">
        <f>'Расходы на ЗП ОТ'!R5</f>
        <v>206.87549999999999</v>
      </c>
      <c r="S5" s="127">
        <f>'Расходы на ЗП ОТ'!S5</f>
        <v>206.87549999999999</v>
      </c>
      <c r="T5" s="127">
        <f>'Расходы на ЗП ОТ'!T5</f>
        <v>213.08176499999999</v>
      </c>
      <c r="U5" s="127">
        <f>'Расходы на ЗП ОТ'!U5</f>
        <v>213.08176499999999</v>
      </c>
      <c r="V5" s="127">
        <f>'Расходы на ЗП ОТ'!V5</f>
        <v>213.08176499999999</v>
      </c>
      <c r="W5" s="127">
        <f>'Расходы на ЗП ОТ'!W5</f>
        <v>213.08176499999999</v>
      </c>
      <c r="X5" s="127">
        <f>'Расходы на ЗП ОТ'!X5</f>
        <v>219.47421795</v>
      </c>
      <c r="Y5" s="127">
        <f>'Расходы на ЗП ОТ'!Y5</f>
        <v>219.47421795</v>
      </c>
      <c r="Z5" s="127">
        <f>'Расходы на ЗП ОТ'!Z5</f>
        <v>219.47421795</v>
      </c>
      <c r="AA5" s="127">
        <f>'Расходы на ЗП ОТ'!AA5</f>
        <v>219.47421795</v>
      </c>
      <c r="AB5" s="127">
        <f>'Расходы на ЗП ОТ'!AB5</f>
        <v>226.05844448850002</v>
      </c>
      <c r="AC5" s="127">
        <f>'Расходы на ЗП ОТ'!AC5</f>
        <v>226.05844448850002</v>
      </c>
      <c r="AD5" s="127">
        <f>'Расходы на ЗП ОТ'!AD5</f>
        <v>226.05844448850002</v>
      </c>
      <c r="AE5" s="127">
        <f>'Расходы на ЗП ОТ'!AE5</f>
        <v>226.05844448850002</v>
      </c>
      <c r="AF5" s="127">
        <f>'Расходы на ЗП ОТ'!AF5</f>
        <v>239.62195115781003</v>
      </c>
      <c r="AG5" s="127">
        <f>'Расходы на ЗП ОТ'!AG5</f>
        <v>239.62195115781003</v>
      </c>
      <c r="AH5" s="127">
        <f>'Расходы на ЗП ОТ'!AH5</f>
        <v>239.62195115781003</v>
      </c>
      <c r="AI5" s="127">
        <f>'Расходы на ЗП ОТ'!AI5</f>
        <v>239.62195115781003</v>
      </c>
      <c r="AJ5" s="127">
        <f>'Расходы на ЗП ОТ'!AJ5</f>
        <v>246.81060969254435</v>
      </c>
      <c r="AK5" s="127">
        <f>'Расходы на ЗП ОТ'!AK5</f>
        <v>246.81060969254435</v>
      </c>
      <c r="AL5" s="127">
        <f>'Расходы на ЗП ОТ'!AL5</f>
        <v>246.81060969254435</v>
      </c>
      <c r="AM5" s="127">
        <f>'Расходы на ЗП ОТ'!AM5</f>
        <v>246.81060969254435</v>
      </c>
      <c r="AN5" s="127">
        <f>'Расходы на ЗП ОТ'!AN5</f>
        <v>254.21492798332068</v>
      </c>
      <c r="AO5" s="127">
        <f>'Расходы на ЗП ОТ'!AO5</f>
        <v>254.21492798332068</v>
      </c>
      <c r="AP5" s="127">
        <f>'Расходы на ЗП ОТ'!AP5</f>
        <v>254.21492798332068</v>
      </c>
      <c r="AQ5" s="127">
        <f>'Расходы на ЗП ОТ'!AQ5</f>
        <v>254.21492798332068</v>
      </c>
      <c r="AR5" s="127"/>
      <c r="AS5" s="127">
        <f t="shared" si="0"/>
        <v>0</v>
      </c>
      <c r="AT5" s="127">
        <f t="shared" si="10"/>
        <v>780</v>
      </c>
      <c r="AU5" s="127">
        <f>SUM(L5:O5)</f>
        <v>803.4</v>
      </c>
      <c r="AV5" s="127">
        <f t="shared" si="2"/>
        <v>827.50199999999995</v>
      </c>
      <c r="AW5" s="127">
        <f t="shared" si="3"/>
        <v>852.32705999999996</v>
      </c>
      <c r="AX5" s="127">
        <f t="shared" si="4"/>
        <v>877.89687179999999</v>
      </c>
      <c r="AY5" s="127">
        <f t="shared" si="5"/>
        <v>904.23377795400006</v>
      </c>
      <c r="AZ5" s="127">
        <f t="shared" si="6"/>
        <v>958.48780463124012</v>
      </c>
      <c r="BA5" s="127">
        <f t="shared" si="7"/>
        <v>987.24243877017739</v>
      </c>
      <c r="BB5" s="127">
        <f t="shared" si="8"/>
        <v>1016.8597119332827</v>
      </c>
      <c r="BC5" s="127">
        <f t="shared" si="9"/>
        <v>1016.8597119332827</v>
      </c>
    </row>
    <row r="6" spans="1:55" s="128" customFormat="1" ht="35.25" customHeight="1" x14ac:dyDescent="0.3">
      <c r="A6" s="129" t="s">
        <v>113</v>
      </c>
      <c r="B6" s="129">
        <f>'Расходы на ЗП ОТ'!B6</f>
        <v>5</v>
      </c>
      <c r="C6" s="130">
        <f>'Расходы на ЗП ОТ'!C6</f>
        <v>0</v>
      </c>
      <c r="D6" s="130">
        <f>SUM(D2:D5)</f>
        <v>0</v>
      </c>
      <c r="E6" s="130">
        <f t="shared" ref="E6:AQ6" si="11">SUM(E2:E5)</f>
        <v>0</v>
      </c>
      <c r="F6" s="130">
        <f t="shared" si="11"/>
        <v>0</v>
      </c>
      <c r="G6" s="130">
        <f t="shared" si="11"/>
        <v>0</v>
      </c>
      <c r="H6" s="130">
        <f t="shared" si="11"/>
        <v>990</v>
      </c>
      <c r="I6" s="130">
        <f t="shared" si="11"/>
        <v>990</v>
      </c>
      <c r="J6" s="130">
        <f t="shared" si="11"/>
        <v>990</v>
      </c>
      <c r="K6" s="130">
        <f t="shared" si="11"/>
        <v>990</v>
      </c>
      <c r="L6" s="130">
        <f t="shared" si="11"/>
        <v>1019.7</v>
      </c>
      <c r="M6" s="130">
        <f t="shared" si="11"/>
        <v>1019.7</v>
      </c>
      <c r="N6" s="130">
        <f t="shared" si="11"/>
        <v>1019.7</v>
      </c>
      <c r="O6" s="130">
        <f t="shared" si="11"/>
        <v>1019.7</v>
      </c>
      <c r="P6" s="130">
        <f t="shared" si="11"/>
        <v>1050.2909999999999</v>
      </c>
      <c r="Q6" s="130">
        <f t="shared" si="11"/>
        <v>1050.2909999999999</v>
      </c>
      <c r="R6" s="130">
        <f t="shared" si="11"/>
        <v>1050.2909999999999</v>
      </c>
      <c r="S6" s="130">
        <f t="shared" si="11"/>
        <v>1050.2909999999999</v>
      </c>
      <c r="T6" s="130">
        <f>SUM(T2:T5)</f>
        <v>1081.79973</v>
      </c>
      <c r="U6" s="130">
        <f t="shared" si="11"/>
        <v>1081.79973</v>
      </c>
      <c r="V6" s="130">
        <f t="shared" si="11"/>
        <v>1081.79973</v>
      </c>
      <c r="W6" s="130">
        <f t="shared" si="11"/>
        <v>1081.79973</v>
      </c>
      <c r="X6" s="130">
        <f t="shared" si="11"/>
        <v>1114.2537219000001</v>
      </c>
      <c r="Y6" s="130">
        <f t="shared" si="11"/>
        <v>1114.2537219000001</v>
      </c>
      <c r="Z6" s="130">
        <f t="shared" si="11"/>
        <v>1114.2537219000001</v>
      </c>
      <c r="AA6" s="130">
        <f t="shared" si="11"/>
        <v>1114.2537219000001</v>
      </c>
      <c r="AB6" s="130">
        <f t="shared" si="11"/>
        <v>1147.6813335570002</v>
      </c>
      <c r="AC6" s="130">
        <f t="shared" si="11"/>
        <v>1147.6813335570002</v>
      </c>
      <c r="AD6" s="130">
        <f t="shared" si="11"/>
        <v>1147.6813335570002</v>
      </c>
      <c r="AE6" s="130">
        <f t="shared" si="11"/>
        <v>1147.6813335570002</v>
      </c>
      <c r="AF6" s="130">
        <f t="shared" si="11"/>
        <v>1196.1969535664552</v>
      </c>
      <c r="AG6" s="130">
        <f t="shared" si="11"/>
        <v>1196.1969535664552</v>
      </c>
      <c r="AH6" s="130">
        <f t="shared" si="11"/>
        <v>1196.1969535664552</v>
      </c>
      <c r="AI6" s="130">
        <f t="shared" si="11"/>
        <v>1196.1969535664552</v>
      </c>
      <c r="AJ6" s="130">
        <f t="shared" si="11"/>
        <v>1232.082862173449</v>
      </c>
      <c r="AK6" s="130">
        <f t="shared" si="11"/>
        <v>1232.082862173449</v>
      </c>
      <c r="AL6" s="130">
        <f t="shared" si="11"/>
        <v>1232.082862173449</v>
      </c>
      <c r="AM6" s="130">
        <f t="shared" si="11"/>
        <v>1232.082862173449</v>
      </c>
      <c r="AN6" s="130">
        <f t="shared" si="11"/>
        <v>1269.0453480386525</v>
      </c>
      <c r="AO6" s="130">
        <f t="shared" si="11"/>
        <v>1269.0453480386525</v>
      </c>
      <c r="AP6" s="130">
        <f t="shared" si="11"/>
        <v>1269.0453480386525</v>
      </c>
      <c r="AQ6" s="130">
        <f t="shared" si="11"/>
        <v>1269.0453480386525</v>
      </c>
      <c r="AR6" s="130"/>
      <c r="AS6" s="130">
        <f t="shared" si="0"/>
        <v>0</v>
      </c>
      <c r="AT6" s="130">
        <f t="shared" si="10"/>
        <v>3960</v>
      </c>
      <c r="AU6" s="130">
        <f t="shared" si="1"/>
        <v>4078.8</v>
      </c>
      <c r="AV6" s="130">
        <f t="shared" si="2"/>
        <v>4201.1639999999998</v>
      </c>
      <c r="AW6" s="130">
        <f t="shared" si="3"/>
        <v>4327.1989199999998</v>
      </c>
      <c r="AX6" s="130">
        <f t="shared" si="4"/>
        <v>4457.0148876000003</v>
      </c>
      <c r="AY6" s="130">
        <f t="shared" si="5"/>
        <v>4590.725334228001</v>
      </c>
      <c r="AZ6" s="130">
        <f t="shared" si="6"/>
        <v>4784.787814265821</v>
      </c>
      <c r="BA6" s="130">
        <f t="shared" si="7"/>
        <v>4928.3314486937961</v>
      </c>
      <c r="BB6" s="130">
        <f t="shared" si="8"/>
        <v>5076.18139215461</v>
      </c>
      <c r="BC6" s="130">
        <f t="shared" si="9"/>
        <v>5076.18139215461</v>
      </c>
    </row>
    <row r="7" spans="1:55" s="131" customFormat="1" ht="30.75" customHeight="1" x14ac:dyDescent="0.3">
      <c r="A7" s="132" t="s">
        <v>114</v>
      </c>
      <c r="B7" s="132">
        <f>'Расходы на ЗП ОТ'!B7</f>
        <v>0</v>
      </c>
      <c r="C7" s="133">
        <f>'Расходы на ЗП ОТ'!C7</f>
        <v>0</v>
      </c>
      <c r="D7" s="133">
        <f>D6*$B$62</f>
        <v>0</v>
      </c>
      <c r="E7" s="133">
        <f t="shared" ref="E7:AQ7" si="12">E6*$B$62</f>
        <v>0</v>
      </c>
      <c r="F7" s="133">
        <f t="shared" si="12"/>
        <v>0</v>
      </c>
      <c r="G7" s="133">
        <f t="shared" si="12"/>
        <v>0</v>
      </c>
      <c r="H7" s="133">
        <f t="shared" si="12"/>
        <v>297</v>
      </c>
      <c r="I7" s="133">
        <f t="shared" si="12"/>
        <v>297</v>
      </c>
      <c r="J7" s="133">
        <f t="shared" si="12"/>
        <v>297</v>
      </c>
      <c r="K7" s="133">
        <f t="shared" si="12"/>
        <v>297</v>
      </c>
      <c r="L7" s="133">
        <f t="shared" si="12"/>
        <v>305.91000000000003</v>
      </c>
      <c r="M7" s="133">
        <f t="shared" si="12"/>
        <v>305.91000000000003</v>
      </c>
      <c r="N7" s="133">
        <f t="shared" si="12"/>
        <v>305.91000000000003</v>
      </c>
      <c r="O7" s="133">
        <f t="shared" si="12"/>
        <v>305.91000000000003</v>
      </c>
      <c r="P7" s="133">
        <f t="shared" si="12"/>
        <v>315.08729999999997</v>
      </c>
      <c r="Q7" s="133">
        <f t="shared" si="12"/>
        <v>315.08729999999997</v>
      </c>
      <c r="R7" s="133">
        <f t="shared" si="12"/>
        <v>315.08729999999997</v>
      </c>
      <c r="S7" s="133">
        <f t="shared" si="12"/>
        <v>315.08729999999997</v>
      </c>
      <c r="T7" s="133">
        <f>T6*$B$62</f>
        <v>324.539919</v>
      </c>
      <c r="U7" s="133">
        <f t="shared" si="12"/>
        <v>324.539919</v>
      </c>
      <c r="V7" s="133">
        <f t="shared" si="12"/>
        <v>324.539919</v>
      </c>
      <c r="W7" s="133">
        <f t="shared" si="12"/>
        <v>324.539919</v>
      </c>
      <c r="X7" s="133">
        <f t="shared" si="12"/>
        <v>334.27611657</v>
      </c>
      <c r="Y7" s="133">
        <f t="shared" si="12"/>
        <v>334.27611657</v>
      </c>
      <c r="Z7" s="133">
        <f t="shared" si="12"/>
        <v>334.27611657</v>
      </c>
      <c r="AA7" s="133">
        <f t="shared" si="12"/>
        <v>334.27611657</v>
      </c>
      <c r="AB7" s="133">
        <f t="shared" si="12"/>
        <v>344.30440006710006</v>
      </c>
      <c r="AC7" s="133">
        <f t="shared" si="12"/>
        <v>344.30440006710006</v>
      </c>
      <c r="AD7" s="133">
        <f t="shared" si="12"/>
        <v>344.30440006710006</v>
      </c>
      <c r="AE7" s="133">
        <f t="shared" si="12"/>
        <v>344.30440006710006</v>
      </c>
      <c r="AF7" s="133">
        <f t="shared" si="12"/>
        <v>358.85908606993655</v>
      </c>
      <c r="AG7" s="133">
        <f t="shared" si="12"/>
        <v>358.85908606993655</v>
      </c>
      <c r="AH7" s="133">
        <f t="shared" si="12"/>
        <v>358.85908606993655</v>
      </c>
      <c r="AI7" s="133">
        <f t="shared" si="12"/>
        <v>358.85908606993655</v>
      </c>
      <c r="AJ7" s="133">
        <f t="shared" si="12"/>
        <v>369.62485865203467</v>
      </c>
      <c r="AK7" s="133">
        <f t="shared" si="12"/>
        <v>369.62485865203467</v>
      </c>
      <c r="AL7" s="133">
        <f t="shared" si="12"/>
        <v>369.62485865203467</v>
      </c>
      <c r="AM7" s="133">
        <f t="shared" si="12"/>
        <v>369.62485865203467</v>
      </c>
      <c r="AN7" s="133">
        <f t="shared" si="12"/>
        <v>380.71360441159572</v>
      </c>
      <c r="AO7" s="133">
        <f t="shared" si="12"/>
        <v>380.71360441159572</v>
      </c>
      <c r="AP7" s="133">
        <f t="shared" si="12"/>
        <v>380.71360441159572</v>
      </c>
      <c r="AQ7" s="133">
        <f t="shared" si="12"/>
        <v>380.71360441159572</v>
      </c>
      <c r="AR7" s="133"/>
      <c r="AS7" s="133">
        <f t="shared" si="0"/>
        <v>0</v>
      </c>
      <c r="AT7" s="133">
        <f t="shared" si="10"/>
        <v>1188</v>
      </c>
      <c r="AU7" s="133">
        <f t="shared" si="1"/>
        <v>1223.6400000000001</v>
      </c>
      <c r="AV7" s="133">
        <f t="shared" si="2"/>
        <v>1260.3491999999999</v>
      </c>
      <c r="AW7" s="133">
        <f t="shared" si="3"/>
        <v>1298.159676</v>
      </c>
      <c r="AX7" s="133">
        <f t="shared" si="4"/>
        <v>1337.10446628</v>
      </c>
      <c r="AY7" s="133">
        <f t="shared" si="5"/>
        <v>1377.2176002684002</v>
      </c>
      <c r="AZ7" s="133">
        <f t="shared" si="6"/>
        <v>1435.4363442797462</v>
      </c>
      <c r="BA7" s="133">
        <f t="shared" si="7"/>
        <v>1478.4994346081387</v>
      </c>
      <c r="BB7" s="133">
        <f t="shared" si="8"/>
        <v>1522.8544176463829</v>
      </c>
      <c r="BC7" s="133">
        <f t="shared" si="9"/>
        <v>1522.8544176463829</v>
      </c>
    </row>
    <row r="8" spans="1:55" ht="21.75" customHeight="1" x14ac:dyDescent="0.3">
      <c r="A8" s="134" t="s">
        <v>115</v>
      </c>
      <c r="B8" s="124"/>
      <c r="C8" s="127"/>
      <c r="D8" s="127"/>
      <c r="E8" s="127"/>
      <c r="F8" s="127"/>
      <c r="G8" s="127"/>
      <c r="H8" s="127"/>
      <c r="I8" s="127"/>
      <c r="J8" s="127"/>
      <c r="K8" s="127"/>
      <c r="L8" s="127"/>
      <c r="M8" s="127"/>
      <c r="N8" s="127"/>
      <c r="O8" s="127"/>
      <c r="P8" s="127"/>
      <c r="Q8" s="127"/>
      <c r="R8" s="127"/>
      <c r="S8" s="127"/>
      <c r="T8" s="127"/>
      <c r="U8" s="127"/>
      <c r="V8" s="127"/>
      <c r="W8" s="127"/>
      <c r="X8" s="127"/>
      <c r="Y8" s="127"/>
      <c r="Z8" s="127"/>
      <c r="AA8" s="127"/>
      <c r="AB8" s="127"/>
      <c r="AC8" s="127"/>
      <c r="AD8" s="127"/>
      <c r="AE8" s="127"/>
      <c r="AF8" s="127"/>
      <c r="AG8" s="127"/>
      <c r="AH8" s="127"/>
      <c r="AI8" s="127"/>
      <c r="AJ8" s="127"/>
      <c r="AK8" s="127"/>
      <c r="AL8" s="127"/>
      <c r="AM8" s="127"/>
      <c r="AN8" s="127"/>
      <c r="AO8" s="127"/>
      <c r="AP8" s="127"/>
      <c r="AQ8" s="127"/>
      <c r="AR8" s="127"/>
      <c r="AS8" s="127">
        <f t="shared" si="0"/>
        <v>0</v>
      </c>
      <c r="AT8" s="127">
        <f t="shared" si="10"/>
        <v>0</v>
      </c>
      <c r="AU8" s="127">
        <f t="shared" si="1"/>
        <v>0</v>
      </c>
      <c r="AV8" s="127">
        <f t="shared" si="2"/>
        <v>0</v>
      </c>
      <c r="AW8" s="127">
        <f t="shared" si="3"/>
        <v>0</v>
      </c>
      <c r="AX8" s="127">
        <f t="shared" si="4"/>
        <v>0</v>
      </c>
      <c r="AY8" s="127">
        <f t="shared" si="5"/>
        <v>0</v>
      </c>
      <c r="AZ8" s="127">
        <f t="shared" si="6"/>
        <v>0</v>
      </c>
      <c r="BA8" s="127">
        <f t="shared" si="7"/>
        <v>0</v>
      </c>
      <c r="BB8" s="127">
        <f t="shared" si="8"/>
        <v>0</v>
      </c>
      <c r="BC8" s="127">
        <f t="shared" si="9"/>
        <v>0</v>
      </c>
    </row>
    <row r="9" spans="1:55" x14ac:dyDescent="0.3">
      <c r="A9" s="407" t="str">
        <f>'Расходы на ЗП ОТ'!A9</f>
        <v>Начальник участка</v>
      </c>
      <c r="B9" s="125">
        <f>'Расходы на ЗП ОТ'!B9</f>
        <v>2</v>
      </c>
      <c r="C9" s="126">
        <f>'Расходы на ЗП ОТ'!C9</f>
        <v>65</v>
      </c>
      <c r="D9" s="127">
        <f>'Расходы на ЗП ОТ'!D9</f>
        <v>0</v>
      </c>
      <c r="E9" s="127">
        <f>'Расходы на ЗП ОТ'!E9</f>
        <v>0</v>
      </c>
      <c r="F9" s="127">
        <f>'Расходы на ЗП ОТ'!F9</f>
        <v>0</v>
      </c>
      <c r="G9" s="127">
        <v>0</v>
      </c>
      <c r="H9" s="127">
        <f>'Расходы на ЗП ОТ'!H9</f>
        <v>390</v>
      </c>
      <c r="I9" s="127">
        <f>'Расходы на ЗП ОТ'!I9</f>
        <v>390</v>
      </c>
      <c r="J9" s="127">
        <f>'Расходы на ЗП ОТ'!J9</f>
        <v>390</v>
      </c>
      <c r="K9" s="127">
        <f>'Расходы на ЗП ОТ'!K9</f>
        <v>390</v>
      </c>
      <c r="L9" s="127">
        <f>'Расходы на ЗП ОТ'!L9</f>
        <v>401.7</v>
      </c>
      <c r="M9" s="127">
        <f>'Расходы на ЗП ОТ'!M9</f>
        <v>401.7</v>
      </c>
      <c r="N9" s="127">
        <f>'Расходы на ЗП ОТ'!N9</f>
        <v>401.7</v>
      </c>
      <c r="O9" s="127">
        <f>'Расходы на ЗП ОТ'!O9</f>
        <v>401.7</v>
      </c>
      <c r="P9" s="127">
        <f>'Расходы на ЗП ОТ'!P9</f>
        <v>413.75099999999998</v>
      </c>
      <c r="Q9" s="127">
        <f>'Расходы на ЗП ОТ'!Q9</f>
        <v>413.75099999999998</v>
      </c>
      <c r="R9" s="127">
        <f>'Расходы на ЗП ОТ'!R9</f>
        <v>413.75099999999998</v>
      </c>
      <c r="S9" s="127">
        <f>'Расходы на ЗП ОТ'!S9</f>
        <v>413.75099999999998</v>
      </c>
      <c r="T9" s="127">
        <f>'Расходы на ЗП ОТ'!T9</f>
        <v>426.16352999999998</v>
      </c>
      <c r="U9" s="127">
        <f>'Расходы на ЗП ОТ'!U9</f>
        <v>426.16352999999998</v>
      </c>
      <c r="V9" s="127">
        <f>'Расходы на ЗП ОТ'!V9</f>
        <v>426.16352999999998</v>
      </c>
      <c r="W9" s="127">
        <f>'Расходы на ЗП ОТ'!W9</f>
        <v>426.16352999999998</v>
      </c>
      <c r="X9" s="127">
        <f>'Расходы на ЗП ОТ'!X9</f>
        <v>438.94843589999999</v>
      </c>
      <c r="Y9" s="127">
        <f>'Расходы на ЗП ОТ'!Y9</f>
        <v>438.94843589999999</v>
      </c>
      <c r="Z9" s="127">
        <f>'Расходы на ЗП ОТ'!Z9</f>
        <v>438.94843589999999</v>
      </c>
      <c r="AA9" s="127">
        <f>'Расходы на ЗП ОТ'!AA9</f>
        <v>438.94843589999999</v>
      </c>
      <c r="AB9" s="127">
        <f>'Расходы на ЗП ОТ'!AB9</f>
        <v>452.11688897700003</v>
      </c>
      <c r="AC9" s="127">
        <f>'Расходы на ЗП ОТ'!AC9</f>
        <v>452.11688897700003</v>
      </c>
      <c r="AD9" s="127">
        <f>'Расходы на ЗП ОТ'!AD9</f>
        <v>452.11688897700003</v>
      </c>
      <c r="AE9" s="127">
        <f>'Расходы на ЗП ОТ'!AE9</f>
        <v>452.11688897700003</v>
      </c>
      <c r="AF9" s="127">
        <f>'Расходы на ЗП ОТ'!AF9</f>
        <v>465.68039564631005</v>
      </c>
      <c r="AG9" s="127">
        <f>'Расходы на ЗП ОТ'!AG9</f>
        <v>465.68039564631005</v>
      </c>
      <c r="AH9" s="127">
        <f>'Расходы на ЗП ОТ'!AH9</f>
        <v>465.68039564631005</v>
      </c>
      <c r="AI9" s="127">
        <f>'Расходы на ЗП ОТ'!AI9</f>
        <v>465.68039564631005</v>
      </c>
      <c r="AJ9" s="127">
        <f>'Расходы на ЗП ОТ'!AJ9</f>
        <v>479.65080751569934</v>
      </c>
      <c r="AK9" s="127">
        <f>'Расходы на ЗП ОТ'!AK9</f>
        <v>479.65080751569934</v>
      </c>
      <c r="AL9" s="127">
        <f>'Расходы на ЗП ОТ'!AL9</f>
        <v>479.65080751569934</v>
      </c>
      <c r="AM9" s="127">
        <f>'Расходы на ЗП ОТ'!AM9</f>
        <v>479.65080751569934</v>
      </c>
      <c r="AN9" s="127">
        <f>'Расходы на ЗП ОТ'!AN9</f>
        <v>494.04033174117035</v>
      </c>
      <c r="AO9" s="127">
        <f>'Расходы на ЗП ОТ'!AO9</f>
        <v>494.04033174117035</v>
      </c>
      <c r="AP9" s="127">
        <f>'Расходы на ЗП ОТ'!AP9</f>
        <v>494.04033174117035</v>
      </c>
      <c r="AQ9" s="127">
        <f>'Расходы на ЗП ОТ'!AQ9</f>
        <v>494.04033174117035</v>
      </c>
      <c r="AR9" s="127"/>
      <c r="AS9" s="127">
        <f t="shared" si="0"/>
        <v>0</v>
      </c>
      <c r="AT9" s="127">
        <f t="shared" si="10"/>
        <v>1560</v>
      </c>
      <c r="AU9" s="127">
        <f t="shared" si="1"/>
        <v>1606.8</v>
      </c>
      <c r="AV9" s="127">
        <f t="shared" si="2"/>
        <v>1655.0039999999999</v>
      </c>
      <c r="AW9" s="127">
        <f t="shared" si="3"/>
        <v>1704.6541199999999</v>
      </c>
      <c r="AX9" s="127">
        <f t="shared" si="4"/>
        <v>1755.7937436</v>
      </c>
      <c r="AY9" s="127">
        <f t="shared" si="5"/>
        <v>1808.4675559080001</v>
      </c>
      <c r="AZ9" s="127">
        <f t="shared" si="6"/>
        <v>1862.7215825852402</v>
      </c>
      <c r="BA9" s="127">
        <f t="shared" si="7"/>
        <v>1918.6032300627974</v>
      </c>
      <c r="BB9" s="127">
        <f t="shared" si="8"/>
        <v>1976.1613269646814</v>
      </c>
      <c r="BC9" s="127">
        <f t="shared" si="9"/>
        <v>1976.1613269646814</v>
      </c>
    </row>
    <row r="10" spans="1:55" x14ac:dyDescent="0.3">
      <c r="A10" s="407" t="str">
        <f>'Расходы на ЗП ОТ'!A10</f>
        <v>Оператор линии</v>
      </c>
      <c r="B10" s="125">
        <f>'Расходы на ЗП ОТ'!B10</f>
        <v>4</v>
      </c>
      <c r="C10" s="126">
        <f>'Расходы на ЗП ОТ'!C10</f>
        <v>45</v>
      </c>
      <c r="D10" s="127">
        <f>'Расходы на ЗП ОТ'!D10</f>
        <v>0</v>
      </c>
      <c r="E10" s="127">
        <f>'Расходы на ЗП ОТ'!E10</f>
        <v>0</v>
      </c>
      <c r="F10" s="127">
        <f>'Расходы на ЗП ОТ'!F10</f>
        <v>0</v>
      </c>
      <c r="G10" s="127">
        <v>0</v>
      </c>
      <c r="H10" s="127">
        <f>'Расходы на ЗП ОТ'!H10</f>
        <v>540</v>
      </c>
      <c r="I10" s="127">
        <f>'Расходы на ЗП ОТ'!I10</f>
        <v>540</v>
      </c>
      <c r="J10" s="127">
        <f>'Расходы на ЗП ОТ'!J10</f>
        <v>540</v>
      </c>
      <c r="K10" s="127">
        <f>'Расходы на ЗП ОТ'!K10</f>
        <v>540</v>
      </c>
      <c r="L10" s="127">
        <f>'Расходы на ЗП ОТ'!L10</f>
        <v>556.20000000000005</v>
      </c>
      <c r="M10" s="127">
        <f>'Расходы на ЗП ОТ'!M10</f>
        <v>556.20000000000005</v>
      </c>
      <c r="N10" s="127">
        <f>'Расходы на ЗП ОТ'!N10</f>
        <v>556.20000000000005</v>
      </c>
      <c r="O10" s="127">
        <f>'Расходы на ЗП ОТ'!O10</f>
        <v>556.20000000000005</v>
      </c>
      <c r="P10" s="127">
        <f>'Расходы на ЗП ОТ'!P10</f>
        <v>572.88600000000008</v>
      </c>
      <c r="Q10" s="127">
        <f>'Расходы на ЗП ОТ'!Q10</f>
        <v>572.88600000000008</v>
      </c>
      <c r="R10" s="127">
        <f>'Расходы на ЗП ОТ'!R10</f>
        <v>572.88600000000008</v>
      </c>
      <c r="S10" s="127">
        <f>'Расходы на ЗП ОТ'!S10</f>
        <v>572.88600000000008</v>
      </c>
      <c r="T10" s="127">
        <f>'Расходы на ЗП ОТ'!T10</f>
        <v>590.07258000000013</v>
      </c>
      <c r="U10" s="127">
        <f>'Расходы на ЗП ОТ'!U10</f>
        <v>590.07258000000013</v>
      </c>
      <c r="V10" s="127">
        <f>'Расходы на ЗП ОТ'!V10</f>
        <v>590.07258000000013</v>
      </c>
      <c r="W10" s="127">
        <f>'Расходы на ЗП ОТ'!W10</f>
        <v>590.07258000000013</v>
      </c>
      <c r="X10" s="127">
        <f>'Расходы на ЗП ОТ'!X10</f>
        <v>607.77475740000011</v>
      </c>
      <c r="Y10" s="127">
        <f>'Расходы на ЗП ОТ'!Y10</f>
        <v>607.77475740000011</v>
      </c>
      <c r="Z10" s="127">
        <f>'Расходы на ЗП ОТ'!Z10</f>
        <v>607.77475740000011</v>
      </c>
      <c r="AA10" s="127">
        <f>'Расходы на ЗП ОТ'!AA10</f>
        <v>607.77475740000011</v>
      </c>
      <c r="AB10" s="127">
        <f>'Расходы на ЗП ОТ'!AB10</f>
        <v>626.00800012200011</v>
      </c>
      <c r="AC10" s="127">
        <f>'Расходы на ЗП ОТ'!AC10</f>
        <v>626.00800012200011</v>
      </c>
      <c r="AD10" s="127">
        <f>'Расходы на ЗП ОТ'!AD10</f>
        <v>626.00800012200011</v>
      </c>
      <c r="AE10" s="127">
        <f>'Расходы на ЗП ОТ'!AE10</f>
        <v>626.00800012200011</v>
      </c>
      <c r="AF10" s="127">
        <f>'Расходы на ЗП ОТ'!AF10</f>
        <v>644.78824012566008</v>
      </c>
      <c r="AG10" s="127">
        <f>'Расходы на ЗП ОТ'!AG10</f>
        <v>644.78824012566008</v>
      </c>
      <c r="AH10" s="127">
        <f>'Расходы на ЗП ОТ'!AH10</f>
        <v>644.78824012566008</v>
      </c>
      <c r="AI10" s="127">
        <f>'Расходы на ЗП ОТ'!AI10</f>
        <v>644.78824012566008</v>
      </c>
      <c r="AJ10" s="127">
        <f>'Расходы на ЗП ОТ'!AJ10</f>
        <v>664.1318873294299</v>
      </c>
      <c r="AK10" s="127">
        <f>'Расходы на ЗП ОТ'!AK10</f>
        <v>664.1318873294299</v>
      </c>
      <c r="AL10" s="127">
        <f>'Расходы на ЗП ОТ'!AL10</f>
        <v>664.1318873294299</v>
      </c>
      <c r="AM10" s="127">
        <f>'Расходы на ЗП ОТ'!AM10</f>
        <v>664.1318873294299</v>
      </c>
      <c r="AN10" s="127">
        <f>'Расходы на ЗП ОТ'!AN10</f>
        <v>684.05584394931282</v>
      </c>
      <c r="AO10" s="127">
        <f>'Расходы на ЗП ОТ'!AO10</f>
        <v>684.05584394931282</v>
      </c>
      <c r="AP10" s="127">
        <f>'Расходы на ЗП ОТ'!AP10</f>
        <v>684.05584394931282</v>
      </c>
      <c r="AQ10" s="127">
        <f>'Расходы на ЗП ОТ'!AQ10</f>
        <v>684.05584394931282</v>
      </c>
      <c r="AR10" s="127"/>
      <c r="AS10" s="127">
        <f t="shared" si="0"/>
        <v>0</v>
      </c>
      <c r="AT10" s="127">
        <f t="shared" si="10"/>
        <v>2160</v>
      </c>
      <c r="AU10" s="127">
        <f t="shared" si="1"/>
        <v>2224.8000000000002</v>
      </c>
      <c r="AV10" s="127">
        <f t="shared" si="2"/>
        <v>2291.5440000000003</v>
      </c>
      <c r="AW10" s="127">
        <f t="shared" si="3"/>
        <v>2360.2903200000005</v>
      </c>
      <c r="AX10" s="127">
        <f t="shared" si="4"/>
        <v>2431.0990296000004</v>
      </c>
      <c r="AY10" s="127">
        <f t="shared" si="5"/>
        <v>2504.0320004880004</v>
      </c>
      <c r="AZ10" s="127">
        <f t="shared" si="6"/>
        <v>2579.1529605026403</v>
      </c>
      <c r="BA10" s="127">
        <f t="shared" si="7"/>
        <v>2656.5275493177196</v>
      </c>
      <c r="BB10" s="127">
        <f t="shared" si="8"/>
        <v>2736.2233757972513</v>
      </c>
      <c r="BC10" s="127">
        <f t="shared" si="9"/>
        <v>2736.2233757972513</v>
      </c>
    </row>
    <row r="11" spans="1:55" x14ac:dyDescent="0.3">
      <c r="A11" s="407" t="str">
        <f>'Расходы на ЗП ОТ'!A11</f>
        <v>Водитель погрузчика</v>
      </c>
      <c r="B11" s="125">
        <f>'Расходы на ЗП ОТ'!B11</f>
        <v>4</v>
      </c>
      <c r="C11" s="126">
        <f>'Расходы на ЗП ОТ'!C11</f>
        <v>45</v>
      </c>
      <c r="D11" s="127">
        <f>'Расходы на ЗП ОТ'!D11</f>
        <v>0</v>
      </c>
      <c r="E11" s="127">
        <f>'Расходы на ЗП ОТ'!E11</f>
        <v>0</v>
      </c>
      <c r="F11" s="127">
        <f>'Расходы на ЗП ОТ'!F11</f>
        <v>0</v>
      </c>
      <c r="G11" s="127">
        <v>0</v>
      </c>
      <c r="H11" s="127">
        <f>'Расходы на ЗП ОТ'!H11</f>
        <v>540</v>
      </c>
      <c r="I11" s="127">
        <f>'Расходы на ЗП ОТ'!I11</f>
        <v>540</v>
      </c>
      <c r="J11" s="127">
        <f>'Расходы на ЗП ОТ'!J11</f>
        <v>540</v>
      </c>
      <c r="K11" s="127">
        <f>'Расходы на ЗП ОТ'!K11</f>
        <v>540</v>
      </c>
      <c r="L11" s="127">
        <f>'Расходы на ЗП ОТ'!L11</f>
        <v>556.20000000000005</v>
      </c>
      <c r="M11" s="127">
        <f>'Расходы на ЗП ОТ'!M11</f>
        <v>556.20000000000005</v>
      </c>
      <c r="N11" s="127">
        <f>'Расходы на ЗП ОТ'!N11</f>
        <v>556.20000000000005</v>
      </c>
      <c r="O11" s="127">
        <f>'Расходы на ЗП ОТ'!O11</f>
        <v>556.20000000000005</v>
      </c>
      <c r="P11" s="127">
        <f>'Расходы на ЗП ОТ'!P11</f>
        <v>572.88600000000008</v>
      </c>
      <c r="Q11" s="127">
        <f>'Расходы на ЗП ОТ'!Q11</f>
        <v>572.88600000000008</v>
      </c>
      <c r="R11" s="127">
        <f>'Расходы на ЗП ОТ'!R11</f>
        <v>572.88600000000008</v>
      </c>
      <c r="S11" s="127">
        <f>'Расходы на ЗП ОТ'!S11</f>
        <v>572.88600000000008</v>
      </c>
      <c r="T11" s="127">
        <f>'Расходы на ЗП ОТ'!T11</f>
        <v>590.07258000000013</v>
      </c>
      <c r="U11" s="127">
        <f>'Расходы на ЗП ОТ'!U11</f>
        <v>590.07258000000013</v>
      </c>
      <c r="V11" s="127">
        <f>'Расходы на ЗП ОТ'!V11</f>
        <v>590.07258000000013</v>
      </c>
      <c r="W11" s="127">
        <f>'Расходы на ЗП ОТ'!W11</f>
        <v>590.07258000000013</v>
      </c>
      <c r="X11" s="127">
        <f>'Расходы на ЗП ОТ'!X11</f>
        <v>607.77475740000011</v>
      </c>
      <c r="Y11" s="127">
        <f>'Расходы на ЗП ОТ'!Y11</f>
        <v>607.77475740000011</v>
      </c>
      <c r="Z11" s="127">
        <f>'Расходы на ЗП ОТ'!Z11</f>
        <v>607.77475740000011</v>
      </c>
      <c r="AA11" s="127">
        <f>'Расходы на ЗП ОТ'!AA11</f>
        <v>607.77475740000011</v>
      </c>
      <c r="AB11" s="127">
        <f>'Расходы на ЗП ОТ'!AB11</f>
        <v>626.00800012200011</v>
      </c>
      <c r="AC11" s="127">
        <f>'Расходы на ЗП ОТ'!AC11</f>
        <v>626.00800012200011</v>
      </c>
      <c r="AD11" s="127">
        <f>'Расходы на ЗП ОТ'!AD11</f>
        <v>626.00800012200011</v>
      </c>
      <c r="AE11" s="127">
        <f>'Расходы на ЗП ОТ'!AE11</f>
        <v>626.00800012200011</v>
      </c>
      <c r="AF11" s="127">
        <f>'Расходы на ЗП ОТ'!AF11</f>
        <v>644.78824012566008</v>
      </c>
      <c r="AG11" s="127">
        <f>'Расходы на ЗП ОТ'!AG11</f>
        <v>644.78824012566008</v>
      </c>
      <c r="AH11" s="127">
        <f>'Расходы на ЗП ОТ'!AH11</f>
        <v>644.78824012566008</v>
      </c>
      <c r="AI11" s="127">
        <f>'Расходы на ЗП ОТ'!AI11</f>
        <v>644.78824012566008</v>
      </c>
      <c r="AJ11" s="127">
        <f>'Расходы на ЗП ОТ'!AJ11</f>
        <v>664.1318873294299</v>
      </c>
      <c r="AK11" s="127">
        <f>'Расходы на ЗП ОТ'!AK11</f>
        <v>664.1318873294299</v>
      </c>
      <c r="AL11" s="127">
        <f>'Расходы на ЗП ОТ'!AL11</f>
        <v>664.1318873294299</v>
      </c>
      <c r="AM11" s="127">
        <f>'Расходы на ЗП ОТ'!AM11</f>
        <v>664.1318873294299</v>
      </c>
      <c r="AN11" s="127">
        <f>'Расходы на ЗП ОТ'!AN11</f>
        <v>684.05584394931282</v>
      </c>
      <c r="AO11" s="127">
        <f>'Расходы на ЗП ОТ'!AO11</f>
        <v>684.05584394931282</v>
      </c>
      <c r="AP11" s="127">
        <f>'Расходы на ЗП ОТ'!AP11</f>
        <v>684.05584394931282</v>
      </c>
      <c r="AQ11" s="127">
        <f>'Расходы на ЗП ОТ'!AQ11</f>
        <v>684.05584394931282</v>
      </c>
      <c r="AR11" s="127"/>
      <c r="AS11" s="127">
        <f t="shared" si="0"/>
        <v>0</v>
      </c>
      <c r="AT11" s="127">
        <f t="shared" si="10"/>
        <v>2160</v>
      </c>
      <c r="AU11" s="127">
        <f t="shared" si="1"/>
        <v>2224.8000000000002</v>
      </c>
      <c r="AV11" s="127">
        <f t="shared" si="2"/>
        <v>2291.5440000000003</v>
      </c>
      <c r="AW11" s="127">
        <f t="shared" si="3"/>
        <v>2360.2903200000005</v>
      </c>
      <c r="AX11" s="127">
        <f t="shared" si="4"/>
        <v>2431.0990296000004</v>
      </c>
      <c r="AY11" s="127">
        <f t="shared" si="5"/>
        <v>2504.0320004880004</v>
      </c>
      <c r="AZ11" s="127">
        <f t="shared" si="6"/>
        <v>2579.1529605026403</v>
      </c>
      <c r="BA11" s="127">
        <f t="shared" si="7"/>
        <v>2656.5275493177196</v>
      </c>
      <c r="BB11" s="127">
        <f t="shared" si="8"/>
        <v>2736.2233757972513</v>
      </c>
      <c r="BC11" s="127">
        <f t="shared" si="9"/>
        <v>2736.2233757972513</v>
      </c>
    </row>
    <row r="12" spans="1:55" x14ac:dyDescent="0.3">
      <c r="A12" s="407" t="str">
        <f>'Расходы на ЗП ОТ'!A12</f>
        <v>Зав. Склад</v>
      </c>
      <c r="B12" s="125">
        <f>'Расходы на ЗП ОТ'!B12</f>
        <v>2</v>
      </c>
      <c r="C12" s="126">
        <f>'Расходы на ЗП ОТ'!C12</f>
        <v>50</v>
      </c>
      <c r="D12" s="127">
        <f>'Расходы на ЗП ОТ'!D12</f>
        <v>0</v>
      </c>
      <c r="E12" s="127">
        <f>'Расходы на ЗП ОТ'!E12</f>
        <v>0</v>
      </c>
      <c r="F12" s="127">
        <f>'Расходы на ЗП ОТ'!F12</f>
        <v>0</v>
      </c>
      <c r="G12" s="127">
        <v>0</v>
      </c>
      <c r="H12" s="127">
        <f>'Расходы на ЗП ОТ'!H12</f>
        <v>300</v>
      </c>
      <c r="I12" s="127">
        <f>'Расходы на ЗП ОТ'!I12</f>
        <v>300</v>
      </c>
      <c r="J12" s="127">
        <f>'Расходы на ЗП ОТ'!J12</f>
        <v>300</v>
      </c>
      <c r="K12" s="127">
        <f>'Расходы на ЗП ОТ'!K12</f>
        <v>300</v>
      </c>
      <c r="L12" s="127">
        <f>'Расходы на ЗП ОТ'!L12</f>
        <v>309</v>
      </c>
      <c r="M12" s="127">
        <f>'Расходы на ЗП ОТ'!M12</f>
        <v>309</v>
      </c>
      <c r="N12" s="127">
        <f>'Расходы на ЗП ОТ'!N12</f>
        <v>309</v>
      </c>
      <c r="O12" s="127">
        <f>'Расходы на ЗП ОТ'!O12</f>
        <v>309</v>
      </c>
      <c r="P12" s="127">
        <f>'Расходы на ЗП ОТ'!P12</f>
        <v>318.27</v>
      </c>
      <c r="Q12" s="127">
        <f>'Расходы на ЗП ОТ'!Q12</f>
        <v>318.27</v>
      </c>
      <c r="R12" s="127">
        <f>'Расходы на ЗП ОТ'!R12</f>
        <v>318.27</v>
      </c>
      <c r="S12" s="127">
        <f>'Расходы на ЗП ОТ'!S12</f>
        <v>318.27</v>
      </c>
      <c r="T12" s="127">
        <f>'Расходы на ЗП ОТ'!T12</f>
        <v>327.81810000000002</v>
      </c>
      <c r="U12" s="127">
        <f>'Расходы на ЗП ОТ'!U12</f>
        <v>327.81810000000002</v>
      </c>
      <c r="V12" s="127">
        <f>'Расходы на ЗП ОТ'!V12</f>
        <v>327.81810000000002</v>
      </c>
      <c r="W12" s="127">
        <f>'Расходы на ЗП ОТ'!W12</f>
        <v>327.81810000000002</v>
      </c>
      <c r="X12" s="127">
        <f>'Расходы на ЗП ОТ'!X12</f>
        <v>337.65264300000001</v>
      </c>
      <c r="Y12" s="127">
        <f>'Расходы на ЗП ОТ'!Y12</f>
        <v>337.65264300000001</v>
      </c>
      <c r="Z12" s="127">
        <f>'Расходы на ЗП ОТ'!Z12</f>
        <v>337.65264300000001</v>
      </c>
      <c r="AA12" s="127">
        <f>'Расходы на ЗП ОТ'!AA12</f>
        <v>337.65264300000001</v>
      </c>
      <c r="AB12" s="127">
        <f>'Расходы на ЗП ОТ'!AB12</f>
        <v>347.78222228999999</v>
      </c>
      <c r="AC12" s="127">
        <f>'Расходы на ЗП ОТ'!AC12</f>
        <v>347.78222228999999</v>
      </c>
      <c r="AD12" s="127">
        <f>'Расходы на ЗП ОТ'!AD12</f>
        <v>347.78222228999999</v>
      </c>
      <c r="AE12" s="127">
        <f>'Расходы на ЗП ОТ'!AE12</f>
        <v>347.78222228999999</v>
      </c>
      <c r="AF12" s="127">
        <f>'Расходы на ЗП ОТ'!AF12</f>
        <v>358.21568895870001</v>
      </c>
      <c r="AG12" s="127">
        <f>'Расходы на ЗП ОТ'!AG12</f>
        <v>358.21568895870001</v>
      </c>
      <c r="AH12" s="127">
        <f>'Расходы на ЗП ОТ'!AH12</f>
        <v>358.21568895870001</v>
      </c>
      <c r="AI12" s="127">
        <f>'Расходы на ЗП ОТ'!AI12</f>
        <v>358.21568895870001</v>
      </c>
      <c r="AJ12" s="127">
        <f>'Расходы на ЗП ОТ'!AJ12</f>
        <v>368.96215962746101</v>
      </c>
      <c r="AK12" s="127">
        <f>'Расходы на ЗП ОТ'!AK12</f>
        <v>368.96215962746101</v>
      </c>
      <c r="AL12" s="127">
        <f>'Расходы на ЗП ОТ'!AL12</f>
        <v>368.96215962746101</v>
      </c>
      <c r="AM12" s="127">
        <f>'Расходы на ЗП ОТ'!AM12</f>
        <v>368.96215962746101</v>
      </c>
      <c r="AN12" s="127">
        <f>'Расходы на ЗП ОТ'!AN12</f>
        <v>380.03102441628482</v>
      </c>
      <c r="AO12" s="127">
        <f>'Расходы на ЗП ОТ'!AO12</f>
        <v>380.03102441628482</v>
      </c>
      <c r="AP12" s="127">
        <f>'Расходы на ЗП ОТ'!AP12</f>
        <v>380.03102441628482</v>
      </c>
      <c r="AQ12" s="127">
        <f>'Расходы на ЗП ОТ'!AQ12</f>
        <v>380.03102441628482</v>
      </c>
      <c r="AR12" s="127"/>
      <c r="AS12" s="127">
        <f t="shared" si="0"/>
        <v>0</v>
      </c>
      <c r="AT12" s="127">
        <f t="shared" si="10"/>
        <v>1200</v>
      </c>
      <c r="AU12" s="127">
        <f t="shared" si="1"/>
        <v>1236</v>
      </c>
      <c r="AV12" s="127">
        <f t="shared" si="2"/>
        <v>1273.08</v>
      </c>
      <c r="AW12" s="127">
        <f t="shared" si="3"/>
        <v>1311.2724000000001</v>
      </c>
      <c r="AX12" s="127">
        <f t="shared" si="4"/>
        <v>1350.610572</v>
      </c>
      <c r="AY12" s="127">
        <f t="shared" si="5"/>
        <v>1391.12888916</v>
      </c>
      <c r="AZ12" s="127">
        <f t="shared" si="6"/>
        <v>1432.8627558348001</v>
      </c>
      <c r="BA12" s="127">
        <f t="shared" si="7"/>
        <v>1475.848638509844</v>
      </c>
      <c r="BB12" s="127">
        <f t="shared" si="8"/>
        <v>1520.1240976651393</v>
      </c>
      <c r="BC12" s="127">
        <f t="shared" si="9"/>
        <v>1520.1240976651393</v>
      </c>
    </row>
    <row r="13" spans="1:55" ht="32.25" customHeight="1" x14ac:dyDescent="0.3">
      <c r="A13" s="407" t="str">
        <f>'Расходы на ЗП ОТ'!A13</f>
        <v>ИРС Разнорабочий (уборщик, дворник)</v>
      </c>
      <c r="B13" s="124">
        <f>'Расходы на ЗП ОТ'!B13</f>
        <v>0</v>
      </c>
      <c r="C13" s="127">
        <f>'Расходы на ЗП ОТ'!C13</f>
        <v>0</v>
      </c>
      <c r="D13" s="127">
        <f>'Расходы на ЗП ОТ'!D13</f>
        <v>0</v>
      </c>
      <c r="E13" s="127">
        <f>'Расходы на ЗП ОТ'!E13</f>
        <v>0</v>
      </c>
      <c r="F13" s="127">
        <f>'Расходы на ЗП ОТ'!F13</f>
        <v>0</v>
      </c>
      <c r="G13" s="127">
        <v>0</v>
      </c>
      <c r="H13" s="127">
        <f>'Расходы на ЗП ОТ'!H13</f>
        <v>0</v>
      </c>
      <c r="I13" s="127">
        <f>'Расходы на ЗП ОТ'!I13</f>
        <v>0</v>
      </c>
      <c r="J13" s="127">
        <f>'Расходы на ЗП ОТ'!J13</f>
        <v>0</v>
      </c>
      <c r="K13" s="127">
        <f>'Расходы на ЗП ОТ'!K13</f>
        <v>0</v>
      </c>
      <c r="L13" s="127">
        <f>'Расходы на ЗП ОТ'!L13</f>
        <v>0</v>
      </c>
      <c r="M13" s="127">
        <f>'Расходы на ЗП ОТ'!M13</f>
        <v>0</v>
      </c>
      <c r="N13" s="127">
        <f>'Расходы на ЗП ОТ'!N13</f>
        <v>0</v>
      </c>
      <c r="O13" s="127">
        <f>'Расходы на ЗП ОТ'!O13</f>
        <v>0</v>
      </c>
      <c r="P13" s="127">
        <f>'Расходы на ЗП ОТ'!P13</f>
        <v>0</v>
      </c>
      <c r="Q13" s="127">
        <f>'Расходы на ЗП ОТ'!Q13</f>
        <v>0</v>
      </c>
      <c r="R13" s="127">
        <f>'Расходы на ЗП ОТ'!R13</f>
        <v>0</v>
      </c>
      <c r="S13" s="127">
        <f>'Расходы на ЗП ОТ'!S13</f>
        <v>0</v>
      </c>
      <c r="T13" s="127">
        <f>'Расходы на ЗП ОТ'!T13</f>
        <v>0</v>
      </c>
      <c r="U13" s="127">
        <f t="shared" ref="U13:AE13" si="13">T13</f>
        <v>0</v>
      </c>
      <c r="V13" s="127">
        <f t="shared" si="13"/>
        <v>0</v>
      </c>
      <c r="W13" s="127">
        <f t="shared" si="13"/>
        <v>0</v>
      </c>
      <c r="X13" s="127">
        <f t="shared" si="13"/>
        <v>0</v>
      </c>
      <c r="Y13" s="127">
        <f t="shared" si="13"/>
        <v>0</v>
      </c>
      <c r="Z13" s="127">
        <f t="shared" si="13"/>
        <v>0</v>
      </c>
      <c r="AA13" s="127">
        <f t="shared" si="13"/>
        <v>0</v>
      </c>
      <c r="AB13" s="127">
        <f t="shared" si="13"/>
        <v>0</v>
      </c>
      <c r="AC13" s="127">
        <f t="shared" si="13"/>
        <v>0</v>
      </c>
      <c r="AD13" s="127">
        <f t="shared" si="13"/>
        <v>0</v>
      </c>
      <c r="AE13" s="127">
        <f t="shared" si="13"/>
        <v>0</v>
      </c>
      <c r="AF13" s="127">
        <f>AE13</f>
        <v>0</v>
      </c>
      <c r="AG13" s="127">
        <f t="shared" ref="AG13:AQ13" si="14">AF13</f>
        <v>0</v>
      </c>
      <c r="AH13" s="127">
        <f t="shared" si="14"/>
        <v>0</v>
      </c>
      <c r="AI13" s="127">
        <f t="shared" si="14"/>
        <v>0</v>
      </c>
      <c r="AJ13" s="127">
        <f t="shared" si="14"/>
        <v>0</v>
      </c>
      <c r="AK13" s="127">
        <f t="shared" si="14"/>
        <v>0</v>
      </c>
      <c r="AL13" s="127">
        <f t="shared" si="14"/>
        <v>0</v>
      </c>
      <c r="AM13" s="127">
        <f t="shared" si="14"/>
        <v>0</v>
      </c>
      <c r="AN13" s="127">
        <f t="shared" si="14"/>
        <v>0</v>
      </c>
      <c r="AO13" s="127">
        <f t="shared" si="14"/>
        <v>0</v>
      </c>
      <c r="AP13" s="127">
        <f t="shared" si="14"/>
        <v>0</v>
      </c>
      <c r="AQ13" s="127">
        <f t="shared" si="14"/>
        <v>0</v>
      </c>
      <c r="AR13" s="127"/>
      <c r="AS13" s="127">
        <f t="shared" si="0"/>
        <v>0</v>
      </c>
      <c r="AT13" s="127">
        <f t="shared" si="10"/>
        <v>0</v>
      </c>
      <c r="AU13" s="127">
        <f t="shared" si="1"/>
        <v>0</v>
      </c>
      <c r="AV13" s="127">
        <f t="shared" si="2"/>
        <v>0</v>
      </c>
      <c r="AW13" s="127">
        <f t="shared" si="3"/>
        <v>0</v>
      </c>
      <c r="AX13" s="127">
        <f t="shared" si="4"/>
        <v>0</v>
      </c>
      <c r="AY13" s="127">
        <f t="shared" si="5"/>
        <v>0</v>
      </c>
      <c r="AZ13" s="127">
        <f t="shared" si="6"/>
        <v>0</v>
      </c>
      <c r="BA13" s="127">
        <f t="shared" si="7"/>
        <v>0</v>
      </c>
      <c r="BB13" s="127">
        <f t="shared" si="8"/>
        <v>0</v>
      </c>
      <c r="BC13" s="127">
        <f t="shared" si="9"/>
        <v>0</v>
      </c>
    </row>
    <row r="14" spans="1:55" ht="28.8" x14ac:dyDescent="0.3">
      <c r="A14" s="407" t="str">
        <f>'Расходы на ЗП ОТ'!A14</f>
        <v>Разнорабочий (уборщик, дворник)</v>
      </c>
      <c r="B14" s="125">
        <f>'Расходы на ЗП ОТ'!B14</f>
        <v>2</v>
      </c>
      <c r="C14" s="126">
        <f>'Расходы на ЗП ОТ'!C14</f>
        <v>30</v>
      </c>
      <c r="D14" s="127">
        <f>'Расходы на ЗП ОТ'!D14</f>
        <v>0</v>
      </c>
      <c r="E14" s="127">
        <f>'Расходы на ЗП ОТ'!E14</f>
        <v>0</v>
      </c>
      <c r="F14" s="127">
        <f>'Расходы на ЗП ОТ'!F14</f>
        <v>0</v>
      </c>
      <c r="G14" s="127">
        <f>'Расходы на ЗП ОТ'!G14</f>
        <v>0</v>
      </c>
      <c r="H14" s="127">
        <f>'Расходы на ЗП ОТ'!H14</f>
        <v>180</v>
      </c>
      <c r="I14" s="127">
        <f>'Расходы на ЗП ОТ'!I14</f>
        <v>180</v>
      </c>
      <c r="J14" s="127">
        <f>'Расходы на ЗП ОТ'!J14</f>
        <v>180</v>
      </c>
      <c r="K14" s="127">
        <f>'Расходы на ЗП ОТ'!K14</f>
        <v>180</v>
      </c>
      <c r="L14" s="127">
        <f>'Расходы на ЗП ОТ'!L14</f>
        <v>185.4</v>
      </c>
      <c r="M14" s="127">
        <f>'Расходы на ЗП ОТ'!M14</f>
        <v>185.4</v>
      </c>
      <c r="N14" s="127">
        <f>'Расходы на ЗП ОТ'!N14</f>
        <v>185.4</v>
      </c>
      <c r="O14" s="127">
        <f>'Расходы на ЗП ОТ'!O14</f>
        <v>185.4</v>
      </c>
      <c r="P14" s="127">
        <f>'Расходы на ЗП ОТ'!P14</f>
        <v>190.96200000000002</v>
      </c>
      <c r="Q14" s="127">
        <f>'Расходы на ЗП ОТ'!Q14</f>
        <v>190.96200000000002</v>
      </c>
      <c r="R14" s="127">
        <f>'Расходы на ЗП ОТ'!R14</f>
        <v>190.96200000000002</v>
      </c>
      <c r="S14" s="127">
        <f>'Расходы на ЗП ОТ'!S14</f>
        <v>190.96200000000002</v>
      </c>
      <c r="T14" s="127">
        <f>'Расходы на ЗП ОТ'!T14</f>
        <v>196.69086000000001</v>
      </c>
      <c r="U14" s="127">
        <f>'Расходы на ЗП ОТ'!U14</f>
        <v>196.69086000000001</v>
      </c>
      <c r="V14" s="127">
        <f>'Расходы на ЗП ОТ'!V14</f>
        <v>196.69086000000001</v>
      </c>
      <c r="W14" s="127">
        <f>'Расходы на ЗП ОТ'!W14</f>
        <v>196.69086000000001</v>
      </c>
      <c r="X14" s="127">
        <f>'Расходы на ЗП ОТ'!X14</f>
        <v>202.59158580000002</v>
      </c>
      <c r="Y14" s="127">
        <f>'Расходы на ЗП ОТ'!Y14</f>
        <v>202.59158580000002</v>
      </c>
      <c r="Z14" s="127">
        <f>'Расходы на ЗП ОТ'!Z14</f>
        <v>202.59158580000002</v>
      </c>
      <c r="AA14" s="127">
        <f>'Расходы на ЗП ОТ'!AA14</f>
        <v>202.59158580000002</v>
      </c>
      <c r="AB14" s="127">
        <f>'Расходы на ЗП ОТ'!AB14</f>
        <v>208.66933337400002</v>
      </c>
      <c r="AC14" s="127">
        <f>'Расходы на ЗП ОТ'!AC14</f>
        <v>208.66933337400002</v>
      </c>
      <c r="AD14" s="127">
        <f>'Расходы на ЗП ОТ'!AD14</f>
        <v>208.66933337400002</v>
      </c>
      <c r="AE14" s="127">
        <f>'Расходы на ЗП ОТ'!AE14</f>
        <v>208.66933337400002</v>
      </c>
      <c r="AF14" s="127">
        <f>'Расходы на ЗП ОТ'!AF14</f>
        <v>214.92941337522004</v>
      </c>
      <c r="AG14" s="127">
        <f>'Расходы на ЗП ОТ'!AG14</f>
        <v>214.92941337522004</v>
      </c>
      <c r="AH14" s="127">
        <f>'Расходы на ЗП ОТ'!AH14</f>
        <v>214.92941337522004</v>
      </c>
      <c r="AI14" s="127">
        <f>'Расходы на ЗП ОТ'!AI14</f>
        <v>214.92941337522004</v>
      </c>
      <c r="AJ14" s="127">
        <f>'Расходы на ЗП ОТ'!AJ14</f>
        <v>221.37729577647664</v>
      </c>
      <c r="AK14" s="127">
        <f>'Расходы на ЗП ОТ'!AK14</f>
        <v>221.37729577647664</v>
      </c>
      <c r="AL14" s="127">
        <f>'Расходы на ЗП ОТ'!AL14</f>
        <v>221.37729577647664</v>
      </c>
      <c r="AM14" s="127">
        <f>'Расходы на ЗП ОТ'!AM14</f>
        <v>221.37729577647664</v>
      </c>
      <c r="AN14" s="127">
        <f>'Расходы на ЗП ОТ'!AN14</f>
        <v>228.01861464977094</v>
      </c>
      <c r="AO14" s="127">
        <f>'Расходы на ЗП ОТ'!AO14</f>
        <v>228.01861464977094</v>
      </c>
      <c r="AP14" s="127">
        <f>'Расходы на ЗП ОТ'!AP14</f>
        <v>228.01861464977094</v>
      </c>
      <c r="AQ14" s="127">
        <f>'Расходы на ЗП ОТ'!AQ14</f>
        <v>228.01861464977094</v>
      </c>
      <c r="AR14" s="127"/>
      <c r="AS14" s="127">
        <f t="shared" si="0"/>
        <v>0</v>
      </c>
      <c r="AT14" s="127">
        <f t="shared" si="10"/>
        <v>720</v>
      </c>
      <c r="AU14" s="127">
        <f t="shared" si="1"/>
        <v>741.6</v>
      </c>
      <c r="AV14" s="127">
        <f t="shared" si="2"/>
        <v>763.84800000000007</v>
      </c>
      <c r="AW14" s="127">
        <f t="shared" si="3"/>
        <v>786.76344000000006</v>
      </c>
      <c r="AX14" s="127">
        <f t="shared" si="4"/>
        <v>810.36634320000007</v>
      </c>
      <c r="AY14" s="127">
        <f t="shared" si="5"/>
        <v>834.67733349600007</v>
      </c>
      <c r="AZ14" s="127">
        <f t="shared" si="6"/>
        <v>859.71765350088015</v>
      </c>
      <c r="BA14" s="127">
        <f t="shared" si="7"/>
        <v>885.50918310590657</v>
      </c>
      <c r="BB14" s="127">
        <f t="shared" si="8"/>
        <v>912.07445859908375</v>
      </c>
      <c r="BC14" s="127">
        <f t="shared" si="9"/>
        <v>912.07445859908375</v>
      </c>
    </row>
    <row r="15" spans="1:55" s="128" customFormat="1" ht="30" customHeight="1" x14ac:dyDescent="0.3">
      <c r="A15" s="129" t="str">
        <f>'Расходы на ЗП ОТ'!A15</f>
        <v>Итого ЗП по направлению:</v>
      </c>
      <c r="B15" s="129">
        <f>'Расходы на ЗП ОТ'!B15</f>
        <v>14</v>
      </c>
      <c r="C15" s="130">
        <f>'Расходы на ЗП ОТ'!C15</f>
        <v>0</v>
      </c>
      <c r="D15" s="130">
        <f>SUM(D9:D14)</f>
        <v>0</v>
      </c>
      <c r="E15" s="130">
        <f t="shared" ref="E15:F15" si="15">SUM(E9:E14)</f>
        <v>0</v>
      </c>
      <c r="F15" s="130">
        <f t="shared" si="15"/>
        <v>0</v>
      </c>
      <c r="G15" s="130">
        <f t="shared" ref="G15:U15" si="16">SUM(G9:G14)</f>
        <v>0</v>
      </c>
      <c r="H15" s="130">
        <f>SUM(H9:H14)</f>
        <v>1950</v>
      </c>
      <c r="I15" s="130">
        <f t="shared" si="16"/>
        <v>1950</v>
      </c>
      <c r="J15" s="130">
        <f t="shared" si="16"/>
        <v>1950</v>
      </c>
      <c r="K15" s="130">
        <f t="shared" si="16"/>
        <v>1950</v>
      </c>
      <c r="L15" s="130">
        <f t="shared" si="16"/>
        <v>2008.5000000000002</v>
      </c>
      <c r="M15" s="130">
        <f t="shared" si="16"/>
        <v>2008.5000000000002</v>
      </c>
      <c r="N15" s="130">
        <f t="shared" si="16"/>
        <v>2008.5000000000002</v>
      </c>
      <c r="O15" s="130">
        <f t="shared" si="16"/>
        <v>2008.5000000000002</v>
      </c>
      <c r="P15" s="130">
        <f t="shared" si="16"/>
        <v>2068.7550000000001</v>
      </c>
      <c r="Q15" s="130">
        <f t="shared" si="16"/>
        <v>2068.7550000000001</v>
      </c>
      <c r="R15" s="130">
        <f t="shared" si="16"/>
        <v>2068.7550000000001</v>
      </c>
      <c r="S15" s="130">
        <f t="shared" si="16"/>
        <v>2068.7550000000001</v>
      </c>
      <c r="T15" s="130">
        <f t="shared" si="16"/>
        <v>2130.8176500000004</v>
      </c>
      <c r="U15" s="130">
        <f t="shared" si="16"/>
        <v>2130.8176500000004</v>
      </c>
      <c r="V15" s="130">
        <f>SUM(V9:V14)</f>
        <v>2130.8176500000004</v>
      </c>
      <c r="W15" s="130">
        <f t="shared" ref="W15:AI15" si="17">SUM(W9:W14)</f>
        <v>2130.8176500000004</v>
      </c>
      <c r="X15" s="130">
        <f t="shared" si="17"/>
        <v>2194.7421795</v>
      </c>
      <c r="Y15" s="130">
        <f t="shared" si="17"/>
        <v>2194.7421795</v>
      </c>
      <c r="Z15" s="130">
        <f t="shared" si="17"/>
        <v>2194.7421795</v>
      </c>
      <c r="AA15" s="130">
        <f t="shared" si="17"/>
        <v>2194.7421795</v>
      </c>
      <c r="AB15" s="130">
        <f t="shared" si="17"/>
        <v>2260.5844448850003</v>
      </c>
      <c r="AC15" s="130">
        <f t="shared" si="17"/>
        <v>2260.5844448850003</v>
      </c>
      <c r="AD15" s="130">
        <f t="shared" si="17"/>
        <v>2260.5844448850003</v>
      </c>
      <c r="AE15" s="130">
        <f t="shared" si="17"/>
        <v>2260.5844448850003</v>
      </c>
      <c r="AF15" s="130">
        <f t="shared" si="17"/>
        <v>2328.4019782315504</v>
      </c>
      <c r="AG15" s="130">
        <f t="shared" si="17"/>
        <v>2328.4019782315504</v>
      </c>
      <c r="AH15" s="130">
        <f t="shared" si="17"/>
        <v>2328.4019782315504</v>
      </c>
      <c r="AI15" s="130">
        <f t="shared" si="17"/>
        <v>2328.4019782315504</v>
      </c>
      <c r="AJ15" s="130">
        <f t="shared" ref="AJ15:AQ15" si="18">SUM(AJ9:AJ14)</f>
        <v>2398.254037578497</v>
      </c>
      <c r="AK15" s="130">
        <f t="shared" si="18"/>
        <v>2398.254037578497</v>
      </c>
      <c r="AL15" s="130">
        <f t="shared" si="18"/>
        <v>2398.254037578497</v>
      </c>
      <c r="AM15" s="130">
        <f t="shared" si="18"/>
        <v>2398.254037578497</v>
      </c>
      <c r="AN15" s="130">
        <f t="shared" si="18"/>
        <v>2470.2016587058515</v>
      </c>
      <c r="AO15" s="130">
        <f t="shared" si="18"/>
        <v>2470.2016587058515</v>
      </c>
      <c r="AP15" s="130">
        <f t="shared" si="18"/>
        <v>2470.2016587058515</v>
      </c>
      <c r="AQ15" s="130">
        <f t="shared" si="18"/>
        <v>2470.2016587058515</v>
      </c>
      <c r="AR15" s="130"/>
      <c r="AS15" s="130">
        <f t="shared" si="0"/>
        <v>0</v>
      </c>
      <c r="AT15" s="130">
        <f t="shared" si="10"/>
        <v>7800</v>
      </c>
      <c r="AU15" s="130">
        <f t="shared" si="1"/>
        <v>8034.0000000000009</v>
      </c>
      <c r="AV15" s="130">
        <f t="shared" si="2"/>
        <v>8275.02</v>
      </c>
      <c r="AW15" s="130">
        <f t="shared" si="3"/>
        <v>8523.2706000000017</v>
      </c>
      <c r="AX15" s="130">
        <f t="shared" si="4"/>
        <v>8778.9687180000001</v>
      </c>
      <c r="AY15" s="130">
        <f t="shared" si="5"/>
        <v>9042.3377795400011</v>
      </c>
      <c r="AZ15" s="130">
        <f t="shared" si="6"/>
        <v>9313.6079129262016</v>
      </c>
      <c r="BA15" s="130">
        <f t="shared" si="7"/>
        <v>9593.016150313988</v>
      </c>
      <c r="BB15" s="130">
        <f t="shared" si="8"/>
        <v>9880.8066348234061</v>
      </c>
      <c r="BC15" s="130">
        <f t="shared" si="9"/>
        <v>9880.8066348234061</v>
      </c>
    </row>
    <row r="16" spans="1:55" s="131" customFormat="1" x14ac:dyDescent="0.3">
      <c r="A16" s="132" t="str">
        <f>'Расходы на ЗП ОТ'!A16</f>
        <v>Страховые взносы ФНС</v>
      </c>
      <c r="B16" s="132">
        <f>'Расходы на ЗП ОТ'!B16</f>
        <v>0</v>
      </c>
      <c r="C16" s="133">
        <f>'Расходы на ЗП ОТ'!C16</f>
        <v>0</v>
      </c>
      <c r="D16" s="133">
        <f>D15*$B$62</f>
        <v>0</v>
      </c>
      <c r="E16" s="133">
        <f t="shared" ref="E16:AQ16" si="19">E15*$B$62</f>
        <v>0</v>
      </c>
      <c r="F16" s="133">
        <f t="shared" si="19"/>
        <v>0</v>
      </c>
      <c r="G16" s="133">
        <f t="shared" si="19"/>
        <v>0</v>
      </c>
      <c r="H16" s="133">
        <f t="shared" si="19"/>
        <v>585</v>
      </c>
      <c r="I16" s="133">
        <f t="shared" si="19"/>
        <v>585</v>
      </c>
      <c r="J16" s="133">
        <f t="shared" si="19"/>
        <v>585</v>
      </c>
      <c r="K16" s="133">
        <f t="shared" si="19"/>
        <v>585</v>
      </c>
      <c r="L16" s="133">
        <f t="shared" si="19"/>
        <v>602.55000000000007</v>
      </c>
      <c r="M16" s="133">
        <f t="shared" si="19"/>
        <v>602.55000000000007</v>
      </c>
      <c r="N16" s="133">
        <f t="shared" si="19"/>
        <v>602.55000000000007</v>
      </c>
      <c r="O16" s="133">
        <f t="shared" si="19"/>
        <v>602.55000000000007</v>
      </c>
      <c r="P16" s="133">
        <f t="shared" si="19"/>
        <v>620.62649999999996</v>
      </c>
      <c r="Q16" s="133">
        <f t="shared" si="19"/>
        <v>620.62649999999996</v>
      </c>
      <c r="R16" s="133">
        <f t="shared" si="19"/>
        <v>620.62649999999996</v>
      </c>
      <c r="S16" s="133">
        <f t="shared" si="19"/>
        <v>620.62649999999996</v>
      </c>
      <c r="T16" s="133">
        <f t="shared" si="19"/>
        <v>639.24529500000006</v>
      </c>
      <c r="U16" s="133">
        <f t="shared" si="19"/>
        <v>639.24529500000006</v>
      </c>
      <c r="V16" s="133">
        <f t="shared" si="19"/>
        <v>639.24529500000006</v>
      </c>
      <c r="W16" s="133">
        <f t="shared" si="19"/>
        <v>639.24529500000006</v>
      </c>
      <c r="X16" s="133">
        <f t="shared" si="19"/>
        <v>658.42265384999996</v>
      </c>
      <c r="Y16" s="133">
        <f t="shared" si="19"/>
        <v>658.42265384999996</v>
      </c>
      <c r="Z16" s="133">
        <f t="shared" si="19"/>
        <v>658.42265384999996</v>
      </c>
      <c r="AA16" s="133">
        <f t="shared" si="19"/>
        <v>658.42265384999996</v>
      </c>
      <c r="AB16" s="133">
        <f t="shared" si="19"/>
        <v>678.1753334655001</v>
      </c>
      <c r="AC16" s="133">
        <f t="shared" si="19"/>
        <v>678.1753334655001</v>
      </c>
      <c r="AD16" s="133">
        <f t="shared" si="19"/>
        <v>678.1753334655001</v>
      </c>
      <c r="AE16" s="133">
        <f t="shared" si="19"/>
        <v>678.1753334655001</v>
      </c>
      <c r="AF16" s="133">
        <f t="shared" si="19"/>
        <v>698.5205934694651</v>
      </c>
      <c r="AG16" s="133">
        <f t="shared" si="19"/>
        <v>698.5205934694651</v>
      </c>
      <c r="AH16" s="133">
        <f t="shared" si="19"/>
        <v>698.5205934694651</v>
      </c>
      <c r="AI16" s="133">
        <f t="shared" si="19"/>
        <v>698.5205934694651</v>
      </c>
      <c r="AJ16" s="133">
        <f t="shared" si="19"/>
        <v>719.4762112735491</v>
      </c>
      <c r="AK16" s="133">
        <f t="shared" si="19"/>
        <v>719.4762112735491</v>
      </c>
      <c r="AL16" s="133">
        <f t="shared" si="19"/>
        <v>719.4762112735491</v>
      </c>
      <c r="AM16" s="133">
        <f t="shared" si="19"/>
        <v>719.4762112735491</v>
      </c>
      <c r="AN16" s="133">
        <f t="shared" si="19"/>
        <v>741.06049761175541</v>
      </c>
      <c r="AO16" s="133">
        <f t="shared" si="19"/>
        <v>741.06049761175541</v>
      </c>
      <c r="AP16" s="133">
        <f t="shared" si="19"/>
        <v>741.06049761175541</v>
      </c>
      <c r="AQ16" s="133">
        <f t="shared" si="19"/>
        <v>741.06049761175541</v>
      </c>
      <c r="AR16" s="133"/>
      <c r="AS16" s="133">
        <f t="shared" si="0"/>
        <v>0</v>
      </c>
      <c r="AT16" s="133">
        <f t="shared" si="10"/>
        <v>2340</v>
      </c>
      <c r="AU16" s="133">
        <f t="shared" si="1"/>
        <v>2410.2000000000003</v>
      </c>
      <c r="AV16" s="133">
        <f t="shared" si="2"/>
        <v>2482.5059999999999</v>
      </c>
      <c r="AW16" s="133">
        <f t="shared" si="3"/>
        <v>2556.9811800000002</v>
      </c>
      <c r="AX16" s="133">
        <f t="shared" si="4"/>
        <v>2633.6906153999998</v>
      </c>
      <c r="AY16" s="133">
        <f t="shared" si="5"/>
        <v>2712.7013338620004</v>
      </c>
      <c r="AZ16" s="133">
        <f t="shared" si="6"/>
        <v>2794.0823738778604</v>
      </c>
      <c r="BA16" s="133">
        <f t="shared" si="7"/>
        <v>2877.9048450941964</v>
      </c>
      <c r="BB16" s="133">
        <f t="shared" si="8"/>
        <v>2964.2419904470216</v>
      </c>
      <c r="BC16" s="133">
        <f t="shared" si="9"/>
        <v>2964.2419904470216</v>
      </c>
    </row>
    <row r="17" spans="1:55" ht="28.5" customHeight="1" x14ac:dyDescent="0.3">
      <c r="A17" s="124" t="str">
        <f>'Расходы на ЗП ОТ'!A17</f>
        <v>Подпразделение 2:</v>
      </c>
      <c r="B17" s="124">
        <f>'Расходы на ЗП ОТ'!B17</f>
        <v>0</v>
      </c>
      <c r="C17" s="127">
        <f>'Расходы на ЗП ОТ'!C17</f>
        <v>0</v>
      </c>
      <c r="D17" s="127"/>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c r="AE17" s="127"/>
      <c r="AF17" s="127"/>
      <c r="AG17" s="127"/>
      <c r="AH17" s="127"/>
      <c r="AI17" s="127"/>
      <c r="AJ17" s="127"/>
      <c r="AK17" s="127"/>
      <c r="AL17" s="127"/>
      <c r="AM17" s="127"/>
      <c r="AN17" s="127"/>
      <c r="AO17" s="127"/>
      <c r="AP17" s="127"/>
      <c r="AQ17" s="127"/>
      <c r="AR17" s="127"/>
      <c r="AS17" s="127">
        <f t="shared" si="0"/>
        <v>0</v>
      </c>
      <c r="AT17" s="127">
        <f t="shared" si="10"/>
        <v>0</v>
      </c>
      <c r="AU17" s="127">
        <f t="shared" si="1"/>
        <v>0</v>
      </c>
      <c r="AV17" s="127">
        <f t="shared" si="2"/>
        <v>0</v>
      </c>
      <c r="AW17" s="127">
        <f t="shared" si="3"/>
        <v>0</v>
      </c>
      <c r="AX17" s="127">
        <f t="shared" si="4"/>
        <v>0</v>
      </c>
      <c r="AY17" s="127">
        <f t="shared" si="5"/>
        <v>0</v>
      </c>
      <c r="AZ17" s="127">
        <f t="shared" si="6"/>
        <v>0</v>
      </c>
      <c r="BA17" s="127">
        <f t="shared" si="7"/>
        <v>0</v>
      </c>
      <c r="BB17" s="127">
        <f t="shared" si="8"/>
        <v>0</v>
      </c>
      <c r="BC17" s="127">
        <f t="shared" si="9"/>
        <v>0</v>
      </c>
    </row>
    <row r="18" spans="1:55" ht="35.25" customHeight="1" x14ac:dyDescent="0.3">
      <c r="A18" s="407" t="str">
        <f>'Расходы на ЗП ОТ'!A18</f>
        <v>Участок 1</v>
      </c>
      <c r="B18" s="124">
        <f>'Расходы на ЗП ОТ'!B18</f>
        <v>0</v>
      </c>
      <c r="C18" s="127">
        <f>'Расходы на ЗП ОТ'!C18</f>
        <v>0</v>
      </c>
      <c r="D18" s="127">
        <f>'Расходы на ЗП ОТ'!D18</f>
        <v>0</v>
      </c>
      <c r="E18" s="127">
        <f>'Расходы на ЗП ОТ'!E18</f>
        <v>0</v>
      </c>
      <c r="F18" s="127">
        <f>'Расходы на ЗП ОТ'!F18</f>
        <v>0</v>
      </c>
      <c r="G18" s="127">
        <f>'Расходы на ЗП ОТ'!G18</f>
        <v>0</v>
      </c>
      <c r="H18" s="127">
        <f>'Расходы на ЗП ОТ'!H18</f>
        <v>0</v>
      </c>
      <c r="I18" s="127">
        <f>'Расходы на ЗП ОТ'!I18</f>
        <v>0</v>
      </c>
      <c r="J18" s="127">
        <f>'Расходы на ЗП ОТ'!J18</f>
        <v>0</v>
      </c>
      <c r="K18" s="127">
        <f>'Расходы на ЗП ОТ'!K18</f>
        <v>0</v>
      </c>
      <c r="L18" s="127">
        <f>'Расходы на ЗП ОТ'!L18</f>
        <v>0</v>
      </c>
      <c r="M18" s="127">
        <f>'Расходы на ЗП ОТ'!M18</f>
        <v>0</v>
      </c>
      <c r="N18" s="127">
        <f>'Расходы на ЗП ОТ'!N18</f>
        <v>0</v>
      </c>
      <c r="O18" s="127">
        <f>'Расходы на ЗП ОТ'!O18</f>
        <v>0</v>
      </c>
      <c r="P18" s="127">
        <f>'Расходы на ЗП ОТ'!P18</f>
        <v>0</v>
      </c>
      <c r="Q18" s="127">
        <f>'Расходы на ЗП ОТ'!Q18</f>
        <v>0</v>
      </c>
      <c r="R18" s="127">
        <f>'Расходы на ЗП ОТ'!R18</f>
        <v>0</v>
      </c>
      <c r="S18" s="127">
        <f>'Расходы на ЗП ОТ'!S18</f>
        <v>0</v>
      </c>
      <c r="T18" s="127">
        <f>'Расходы на ЗП ОТ'!T18</f>
        <v>0</v>
      </c>
      <c r="U18" s="127">
        <f>'Расходы на ЗП ОТ'!U18</f>
        <v>0</v>
      </c>
      <c r="V18" s="127">
        <f>'Расходы на ЗП ОТ'!V18</f>
        <v>0</v>
      </c>
      <c r="W18" s="127">
        <f>'Расходы на ЗП ОТ'!W18</f>
        <v>0</v>
      </c>
      <c r="X18" s="127">
        <f>'Расходы на ЗП ОТ'!X18</f>
        <v>0</v>
      </c>
      <c r="Y18" s="127">
        <f>'Расходы на ЗП ОТ'!Y18</f>
        <v>0</v>
      </c>
      <c r="Z18" s="127">
        <f>'Расходы на ЗП ОТ'!Z18</f>
        <v>0</v>
      </c>
      <c r="AA18" s="127">
        <f>'Расходы на ЗП ОТ'!AA18</f>
        <v>0</v>
      </c>
      <c r="AB18" s="127">
        <f>'Расходы на ЗП ОТ'!AB18</f>
        <v>0</v>
      </c>
      <c r="AC18" s="127">
        <f>'Расходы на ЗП ОТ'!AC18</f>
        <v>0</v>
      </c>
      <c r="AD18" s="127">
        <f>'Расходы на ЗП ОТ'!AD18</f>
        <v>0</v>
      </c>
      <c r="AE18" s="127">
        <f>'Расходы на ЗП ОТ'!AE18</f>
        <v>0</v>
      </c>
      <c r="AF18" s="127">
        <f>'Расходы на ЗП ОТ'!AF18</f>
        <v>0</v>
      </c>
      <c r="AG18" s="127">
        <f>'Расходы на ЗП ОТ'!AG18</f>
        <v>0</v>
      </c>
      <c r="AH18" s="127">
        <f>'Расходы на ЗП ОТ'!AH18</f>
        <v>0</v>
      </c>
      <c r="AI18" s="127">
        <f>'Расходы на ЗП ОТ'!AI18</f>
        <v>0</v>
      </c>
      <c r="AJ18" s="127">
        <f>'Расходы на ЗП ОТ'!AJ18</f>
        <v>0</v>
      </c>
      <c r="AK18" s="127">
        <f>'Расходы на ЗП ОТ'!AK18</f>
        <v>0</v>
      </c>
      <c r="AL18" s="127">
        <f>'Расходы на ЗП ОТ'!AL18</f>
        <v>0</v>
      </c>
      <c r="AM18" s="127">
        <f>'Расходы на ЗП ОТ'!AM18</f>
        <v>0</v>
      </c>
      <c r="AN18" s="127">
        <f>'Расходы на ЗП ОТ'!AN18</f>
        <v>0</v>
      </c>
      <c r="AO18" s="127">
        <f>'Расходы на ЗП ОТ'!AO18</f>
        <v>0</v>
      </c>
      <c r="AP18" s="127">
        <f>'Расходы на ЗП ОТ'!AP18</f>
        <v>0</v>
      </c>
      <c r="AQ18" s="127">
        <f>'Расходы на ЗП ОТ'!AQ18</f>
        <v>0</v>
      </c>
      <c r="AR18" s="127"/>
      <c r="AS18" s="127">
        <f t="shared" si="0"/>
        <v>0</v>
      </c>
      <c r="AT18" s="127">
        <f t="shared" si="10"/>
        <v>0</v>
      </c>
      <c r="AU18" s="127">
        <f t="shared" si="1"/>
        <v>0</v>
      </c>
      <c r="AV18" s="127">
        <f t="shared" si="2"/>
        <v>0</v>
      </c>
      <c r="AW18" s="127">
        <f t="shared" si="3"/>
        <v>0</v>
      </c>
      <c r="AX18" s="127">
        <f t="shared" si="4"/>
        <v>0</v>
      </c>
      <c r="AY18" s="127">
        <f t="shared" si="5"/>
        <v>0</v>
      </c>
      <c r="AZ18" s="127">
        <f t="shared" si="6"/>
        <v>0</v>
      </c>
      <c r="BA18" s="127">
        <f t="shared" si="7"/>
        <v>0</v>
      </c>
      <c r="BB18" s="127">
        <f t="shared" si="8"/>
        <v>0</v>
      </c>
      <c r="BC18" s="127">
        <f t="shared" si="9"/>
        <v>0</v>
      </c>
    </row>
    <row r="19" spans="1:55" ht="23.25" customHeight="1" x14ac:dyDescent="0.3">
      <c r="A19" s="134" t="s">
        <v>118</v>
      </c>
      <c r="B19" s="124">
        <f>'Расходы на ЗП ОТ'!B19</f>
        <v>0</v>
      </c>
      <c r="C19" s="127">
        <f>'Расходы на ЗП ОТ'!C19</f>
        <v>0</v>
      </c>
      <c r="D19" s="127">
        <f>'Расходы на ЗП ОТ'!D19</f>
        <v>0</v>
      </c>
      <c r="E19" s="127">
        <f>'Расходы на ЗП ОТ'!E19</f>
        <v>0</v>
      </c>
      <c r="F19" s="127">
        <f>'Расходы на ЗП ОТ'!F19</f>
        <v>0</v>
      </c>
      <c r="G19" s="127" t="str">
        <f>'Расходы на ЗП ОТ'!G19</f>
        <v xml:space="preserve">  </v>
      </c>
      <c r="H19" s="127">
        <f>'Расходы на ЗП ОТ'!H19</f>
        <v>0</v>
      </c>
      <c r="I19" s="127">
        <f>'Расходы на ЗП ОТ'!I19</f>
        <v>0</v>
      </c>
      <c r="J19" s="127">
        <f>'Расходы на ЗП ОТ'!J19</f>
        <v>0</v>
      </c>
      <c r="K19" s="127">
        <f>'Расходы на ЗП ОТ'!K19</f>
        <v>0</v>
      </c>
      <c r="L19" s="127">
        <f>'Расходы на ЗП ОТ'!L19</f>
        <v>0</v>
      </c>
      <c r="M19" s="127">
        <f>'Расходы на ЗП ОТ'!M19</f>
        <v>0</v>
      </c>
      <c r="N19" s="127">
        <f>'Расходы на ЗП ОТ'!N19</f>
        <v>0</v>
      </c>
      <c r="O19" s="127">
        <f>'Расходы на ЗП ОТ'!O19</f>
        <v>0</v>
      </c>
      <c r="P19" s="127">
        <f>'Расходы на ЗП ОТ'!P19</f>
        <v>0</v>
      </c>
      <c r="Q19" s="127">
        <f>'Расходы на ЗП ОТ'!Q19</f>
        <v>0</v>
      </c>
      <c r="R19" s="127">
        <f>'Расходы на ЗП ОТ'!R19</f>
        <v>0</v>
      </c>
      <c r="S19" s="127">
        <f>'Расходы на ЗП ОТ'!S19</f>
        <v>0</v>
      </c>
      <c r="T19" s="127">
        <f>'Расходы на ЗП ОТ'!T19</f>
        <v>0</v>
      </c>
      <c r="U19" s="127">
        <f>'Расходы на ЗП ОТ'!U19</f>
        <v>0</v>
      </c>
      <c r="V19" s="127">
        <f>'Расходы на ЗП ОТ'!V19</f>
        <v>0</v>
      </c>
      <c r="W19" s="127">
        <f>'Расходы на ЗП ОТ'!W19</f>
        <v>0</v>
      </c>
      <c r="X19" s="127">
        <f>'Расходы на ЗП ОТ'!X19</f>
        <v>0</v>
      </c>
      <c r="Y19" s="127">
        <f>'Расходы на ЗП ОТ'!Y19</f>
        <v>0</v>
      </c>
      <c r="Z19" s="127">
        <f>'Расходы на ЗП ОТ'!Z19</f>
        <v>0</v>
      </c>
      <c r="AA19" s="127">
        <f>'Расходы на ЗП ОТ'!AA19</f>
        <v>0</v>
      </c>
      <c r="AB19" s="127">
        <f>'Расходы на ЗП ОТ'!AB19</f>
        <v>0</v>
      </c>
      <c r="AC19" s="127">
        <f>'Расходы на ЗП ОТ'!AC19</f>
        <v>0</v>
      </c>
      <c r="AD19" s="127">
        <f>'Расходы на ЗП ОТ'!AD19</f>
        <v>0</v>
      </c>
      <c r="AE19" s="127">
        <f>'Расходы на ЗП ОТ'!AE19</f>
        <v>0</v>
      </c>
      <c r="AF19" s="127">
        <f>'Расходы на ЗП ОТ'!AF19</f>
        <v>0</v>
      </c>
      <c r="AG19" s="127">
        <f>'Расходы на ЗП ОТ'!AG19</f>
        <v>0</v>
      </c>
      <c r="AH19" s="127">
        <f>'Расходы на ЗП ОТ'!AH19</f>
        <v>0</v>
      </c>
      <c r="AI19" s="127">
        <f>'Расходы на ЗП ОТ'!AI19</f>
        <v>0</v>
      </c>
      <c r="AJ19" s="127">
        <f>'Расходы на ЗП ОТ'!AJ19</f>
        <v>0</v>
      </c>
      <c r="AK19" s="127">
        <f>'Расходы на ЗП ОТ'!AK19</f>
        <v>0</v>
      </c>
      <c r="AL19" s="127">
        <f>'Расходы на ЗП ОТ'!AL19</f>
        <v>0</v>
      </c>
      <c r="AM19" s="127">
        <f>'Расходы на ЗП ОТ'!AM19</f>
        <v>0</v>
      </c>
      <c r="AN19" s="127">
        <f>'Расходы на ЗП ОТ'!AN19</f>
        <v>0</v>
      </c>
      <c r="AO19" s="127">
        <f>'Расходы на ЗП ОТ'!AO19</f>
        <v>0</v>
      </c>
      <c r="AP19" s="127">
        <f>'Расходы на ЗП ОТ'!AP19</f>
        <v>0</v>
      </c>
      <c r="AQ19" s="127">
        <f>'Расходы на ЗП ОТ'!AQ19</f>
        <v>0</v>
      </c>
      <c r="AR19" s="127"/>
      <c r="AS19" s="127">
        <f t="shared" si="0"/>
        <v>0</v>
      </c>
      <c r="AT19" s="127">
        <f t="shared" si="10"/>
        <v>0</v>
      </c>
      <c r="AU19" s="127">
        <f t="shared" si="1"/>
        <v>0</v>
      </c>
      <c r="AV19" s="127">
        <f t="shared" si="2"/>
        <v>0</v>
      </c>
      <c r="AW19" s="127">
        <f t="shared" si="3"/>
        <v>0</v>
      </c>
      <c r="AX19" s="127">
        <f t="shared" si="4"/>
        <v>0</v>
      </c>
      <c r="AY19" s="127">
        <f t="shared" si="5"/>
        <v>0</v>
      </c>
      <c r="AZ19" s="127">
        <f t="shared" si="6"/>
        <v>0</v>
      </c>
      <c r="BA19" s="127">
        <f t="shared" si="7"/>
        <v>0</v>
      </c>
      <c r="BB19" s="127">
        <f t="shared" si="8"/>
        <v>0</v>
      </c>
      <c r="BC19" s="127">
        <f t="shared" si="9"/>
        <v>0</v>
      </c>
    </row>
    <row r="20" spans="1:55" ht="19.5" customHeight="1" x14ac:dyDescent="0.3">
      <c r="A20" s="134" t="s">
        <v>120</v>
      </c>
      <c r="B20" s="124">
        <f>'Расходы на ЗП ОТ'!B20</f>
        <v>0</v>
      </c>
      <c r="C20" s="127">
        <f>'Расходы на ЗП ОТ'!C20</f>
        <v>0</v>
      </c>
      <c r="D20" s="127">
        <f>'Расходы на ЗП ОТ'!D20</f>
        <v>0</v>
      </c>
      <c r="E20" s="127">
        <f>'Расходы на ЗП ОТ'!E20</f>
        <v>0</v>
      </c>
      <c r="F20" s="127">
        <f>'Расходы на ЗП ОТ'!F20</f>
        <v>0</v>
      </c>
      <c r="G20" s="127">
        <f>'Расходы на ЗП ОТ'!G20</f>
        <v>0</v>
      </c>
      <c r="H20" s="127">
        <f>'Расходы на ЗП ОТ'!H20</f>
        <v>0</v>
      </c>
      <c r="I20" s="127">
        <f>'Расходы на ЗП ОТ'!I20</f>
        <v>0</v>
      </c>
      <c r="J20" s="127">
        <f>'Расходы на ЗП ОТ'!J20</f>
        <v>0</v>
      </c>
      <c r="K20" s="127">
        <f>'Расходы на ЗП ОТ'!K20</f>
        <v>0</v>
      </c>
      <c r="L20" s="127">
        <f>'Расходы на ЗП ОТ'!L20</f>
        <v>0</v>
      </c>
      <c r="M20" s="127">
        <f>'Расходы на ЗП ОТ'!M20</f>
        <v>0</v>
      </c>
      <c r="N20" s="127">
        <f>'Расходы на ЗП ОТ'!N20</f>
        <v>0</v>
      </c>
      <c r="O20" s="127">
        <f>'Расходы на ЗП ОТ'!O20</f>
        <v>0</v>
      </c>
      <c r="P20" s="127">
        <f>'Расходы на ЗП ОТ'!P20</f>
        <v>0</v>
      </c>
      <c r="Q20" s="127">
        <f>'Расходы на ЗП ОТ'!Q20</f>
        <v>0</v>
      </c>
      <c r="R20" s="127">
        <f>'Расходы на ЗП ОТ'!R20</f>
        <v>0</v>
      </c>
      <c r="S20" s="127">
        <f>'Расходы на ЗП ОТ'!S20</f>
        <v>0</v>
      </c>
      <c r="T20" s="127">
        <f>'Расходы на ЗП ОТ'!T20</f>
        <v>0</v>
      </c>
      <c r="U20" s="127">
        <f>'Расходы на ЗП ОТ'!U20</f>
        <v>0</v>
      </c>
      <c r="V20" s="127">
        <f>'Расходы на ЗП ОТ'!V20</f>
        <v>0</v>
      </c>
      <c r="W20" s="127">
        <f>'Расходы на ЗП ОТ'!W20</f>
        <v>0</v>
      </c>
      <c r="X20" s="127">
        <f>'Расходы на ЗП ОТ'!X20</f>
        <v>0</v>
      </c>
      <c r="Y20" s="127">
        <f>'Расходы на ЗП ОТ'!Y20</f>
        <v>0</v>
      </c>
      <c r="Z20" s="127">
        <f>'Расходы на ЗП ОТ'!Z20</f>
        <v>0</v>
      </c>
      <c r="AA20" s="127">
        <f>'Расходы на ЗП ОТ'!AA20</f>
        <v>0</v>
      </c>
      <c r="AB20" s="127">
        <f>'Расходы на ЗП ОТ'!AB20</f>
        <v>0</v>
      </c>
      <c r="AC20" s="127">
        <f>'Расходы на ЗП ОТ'!AC20</f>
        <v>0</v>
      </c>
      <c r="AD20" s="127">
        <f>'Расходы на ЗП ОТ'!AD20</f>
        <v>0</v>
      </c>
      <c r="AE20" s="127">
        <f>'Расходы на ЗП ОТ'!AE20</f>
        <v>0</v>
      </c>
      <c r="AF20" s="127">
        <f>'Расходы на ЗП ОТ'!AF20</f>
        <v>0</v>
      </c>
      <c r="AG20" s="127">
        <f>'Расходы на ЗП ОТ'!AG20</f>
        <v>0</v>
      </c>
      <c r="AH20" s="127">
        <f>'Расходы на ЗП ОТ'!AH20</f>
        <v>0</v>
      </c>
      <c r="AI20" s="127">
        <f>'Расходы на ЗП ОТ'!AI20</f>
        <v>0</v>
      </c>
      <c r="AJ20" s="127">
        <f>'Расходы на ЗП ОТ'!AJ20</f>
        <v>0</v>
      </c>
      <c r="AK20" s="127">
        <f>'Расходы на ЗП ОТ'!AK20</f>
        <v>0</v>
      </c>
      <c r="AL20" s="127">
        <f>'Расходы на ЗП ОТ'!AL20</f>
        <v>0</v>
      </c>
      <c r="AM20" s="127">
        <f>'Расходы на ЗП ОТ'!AM20</f>
        <v>0</v>
      </c>
      <c r="AN20" s="127">
        <f>'Расходы на ЗП ОТ'!AN20</f>
        <v>0</v>
      </c>
      <c r="AO20" s="127">
        <f>'Расходы на ЗП ОТ'!AO20</f>
        <v>0</v>
      </c>
      <c r="AP20" s="127">
        <f>'Расходы на ЗП ОТ'!AP20</f>
        <v>0</v>
      </c>
      <c r="AQ20" s="127">
        <f>'Расходы на ЗП ОТ'!AQ20</f>
        <v>0</v>
      </c>
      <c r="AR20" s="127"/>
      <c r="AS20" s="127">
        <f t="shared" si="0"/>
        <v>0</v>
      </c>
      <c r="AT20" s="127">
        <f t="shared" si="10"/>
        <v>0</v>
      </c>
      <c r="AU20" s="127">
        <f t="shared" si="1"/>
        <v>0</v>
      </c>
      <c r="AV20" s="127">
        <f t="shared" si="2"/>
        <v>0</v>
      </c>
      <c r="AW20" s="127">
        <f t="shared" si="3"/>
        <v>0</v>
      </c>
      <c r="AX20" s="127">
        <f t="shared" si="4"/>
        <v>0</v>
      </c>
      <c r="AY20" s="127">
        <f t="shared" si="5"/>
        <v>0</v>
      </c>
      <c r="AZ20" s="127">
        <f t="shared" si="6"/>
        <v>0</v>
      </c>
      <c r="BA20" s="127">
        <f t="shared" si="7"/>
        <v>0</v>
      </c>
      <c r="BB20" s="127">
        <f t="shared" si="8"/>
        <v>0</v>
      </c>
      <c r="BC20" s="127">
        <f t="shared" si="9"/>
        <v>0</v>
      </c>
    </row>
    <row r="21" spans="1:55" ht="19.5" customHeight="1" x14ac:dyDescent="0.3">
      <c r="A21" s="134" t="s">
        <v>121</v>
      </c>
      <c r="B21" s="124">
        <f>'Расходы на ЗП ОТ'!B21</f>
        <v>0</v>
      </c>
      <c r="C21" s="127">
        <f>'Расходы на ЗП ОТ'!C21</f>
        <v>0</v>
      </c>
      <c r="D21" s="127">
        <f>'Расходы на ЗП ОТ'!D21</f>
        <v>0</v>
      </c>
      <c r="E21" s="127">
        <f>'Расходы на ЗП ОТ'!E21</f>
        <v>0</v>
      </c>
      <c r="F21" s="127">
        <f>'Расходы на ЗП ОТ'!F21</f>
        <v>0</v>
      </c>
      <c r="G21" s="127">
        <f>'Расходы на ЗП ОТ'!G21</f>
        <v>0</v>
      </c>
      <c r="H21" s="127">
        <f>'Расходы на ЗП ОТ'!H21</f>
        <v>0</v>
      </c>
      <c r="I21" s="127">
        <f>'Расходы на ЗП ОТ'!I21</f>
        <v>0</v>
      </c>
      <c r="J21" s="127">
        <f>'Расходы на ЗП ОТ'!J21</f>
        <v>0</v>
      </c>
      <c r="K21" s="127">
        <f>'Расходы на ЗП ОТ'!K21</f>
        <v>0</v>
      </c>
      <c r="L21" s="127">
        <f>'Расходы на ЗП ОТ'!L21</f>
        <v>0</v>
      </c>
      <c r="M21" s="127">
        <f>'Расходы на ЗП ОТ'!M21</f>
        <v>0</v>
      </c>
      <c r="N21" s="127">
        <f>'Расходы на ЗП ОТ'!N21</f>
        <v>0</v>
      </c>
      <c r="O21" s="127">
        <f>'Расходы на ЗП ОТ'!O21</f>
        <v>0</v>
      </c>
      <c r="P21" s="127">
        <f>'Расходы на ЗП ОТ'!P21</f>
        <v>0</v>
      </c>
      <c r="Q21" s="127">
        <f>'Расходы на ЗП ОТ'!Q21</f>
        <v>0</v>
      </c>
      <c r="R21" s="127">
        <f>'Расходы на ЗП ОТ'!R21</f>
        <v>0</v>
      </c>
      <c r="S21" s="127">
        <f>'Расходы на ЗП ОТ'!S21</f>
        <v>0</v>
      </c>
      <c r="T21" s="127">
        <f>'Расходы на ЗП ОТ'!T21</f>
        <v>0</v>
      </c>
      <c r="U21" s="127">
        <f>'Расходы на ЗП ОТ'!U21</f>
        <v>0</v>
      </c>
      <c r="V21" s="127">
        <f>'Расходы на ЗП ОТ'!V21</f>
        <v>0</v>
      </c>
      <c r="W21" s="127">
        <f>'Расходы на ЗП ОТ'!W21</f>
        <v>0</v>
      </c>
      <c r="X21" s="127">
        <f>'Расходы на ЗП ОТ'!X21</f>
        <v>0</v>
      </c>
      <c r="Y21" s="127">
        <f>'Расходы на ЗП ОТ'!Y21</f>
        <v>0</v>
      </c>
      <c r="Z21" s="127">
        <f>'Расходы на ЗП ОТ'!Z21</f>
        <v>0</v>
      </c>
      <c r="AA21" s="127">
        <f>'Расходы на ЗП ОТ'!AA21</f>
        <v>0</v>
      </c>
      <c r="AB21" s="127">
        <f>'Расходы на ЗП ОТ'!AB21</f>
        <v>0</v>
      </c>
      <c r="AC21" s="127">
        <f>'Расходы на ЗП ОТ'!AC21</f>
        <v>0</v>
      </c>
      <c r="AD21" s="127">
        <f>'Расходы на ЗП ОТ'!AD21</f>
        <v>0</v>
      </c>
      <c r="AE21" s="127">
        <f>'Расходы на ЗП ОТ'!AE21</f>
        <v>0</v>
      </c>
      <c r="AF21" s="127">
        <f>'Расходы на ЗП ОТ'!AF21</f>
        <v>0</v>
      </c>
      <c r="AG21" s="127">
        <f>'Расходы на ЗП ОТ'!AG21</f>
        <v>0</v>
      </c>
      <c r="AH21" s="127">
        <f>'Расходы на ЗП ОТ'!AH21</f>
        <v>0</v>
      </c>
      <c r="AI21" s="127">
        <f>'Расходы на ЗП ОТ'!AI21</f>
        <v>0</v>
      </c>
      <c r="AJ21" s="127">
        <f>'Расходы на ЗП ОТ'!AJ21</f>
        <v>0</v>
      </c>
      <c r="AK21" s="127">
        <f>'Расходы на ЗП ОТ'!AK21</f>
        <v>0</v>
      </c>
      <c r="AL21" s="127">
        <f>'Расходы на ЗП ОТ'!AL21</f>
        <v>0</v>
      </c>
      <c r="AM21" s="127">
        <f>'Расходы на ЗП ОТ'!AM21</f>
        <v>0</v>
      </c>
      <c r="AN21" s="127">
        <f>'Расходы на ЗП ОТ'!AN21</f>
        <v>0</v>
      </c>
      <c r="AO21" s="127">
        <f>'Расходы на ЗП ОТ'!AO21</f>
        <v>0</v>
      </c>
      <c r="AP21" s="127">
        <f>'Расходы на ЗП ОТ'!AP21</f>
        <v>0</v>
      </c>
      <c r="AQ21" s="127">
        <f>'Расходы на ЗП ОТ'!AQ21</f>
        <v>0</v>
      </c>
      <c r="AR21" s="127"/>
      <c r="AS21" s="127">
        <f t="shared" si="0"/>
        <v>0</v>
      </c>
      <c r="AT21" s="127">
        <f t="shared" si="10"/>
        <v>0</v>
      </c>
      <c r="AU21" s="127">
        <f t="shared" si="1"/>
        <v>0</v>
      </c>
      <c r="AV21" s="127">
        <f t="shared" si="2"/>
        <v>0</v>
      </c>
      <c r="AW21" s="127">
        <f t="shared" si="3"/>
        <v>0</v>
      </c>
      <c r="AX21" s="127">
        <f t="shared" si="4"/>
        <v>0</v>
      </c>
      <c r="AY21" s="127">
        <f t="shared" si="5"/>
        <v>0</v>
      </c>
      <c r="AZ21" s="127">
        <f t="shared" si="6"/>
        <v>0</v>
      </c>
      <c r="BA21" s="127">
        <f t="shared" si="7"/>
        <v>0</v>
      </c>
      <c r="BB21" s="127">
        <f t="shared" si="8"/>
        <v>0</v>
      </c>
      <c r="BC21" s="127">
        <f t="shared" si="9"/>
        <v>0</v>
      </c>
    </row>
    <row r="22" spans="1:55" ht="15.75" customHeight="1" x14ac:dyDescent="0.3">
      <c r="A22" s="134" t="s">
        <v>122</v>
      </c>
      <c r="B22" s="124">
        <f>'Расходы на ЗП ОТ'!B22</f>
        <v>0</v>
      </c>
      <c r="C22" s="127">
        <f>'Расходы на ЗП ОТ'!C22</f>
        <v>0</v>
      </c>
      <c r="D22" s="127">
        <f>'Расходы на ЗП ОТ'!D22</f>
        <v>0</v>
      </c>
      <c r="E22" s="127">
        <f>'Расходы на ЗП ОТ'!E22</f>
        <v>0</v>
      </c>
      <c r="F22" s="127">
        <f>'Расходы на ЗП ОТ'!F22</f>
        <v>0</v>
      </c>
      <c r="G22" s="127">
        <f>'Расходы на ЗП ОТ'!G22</f>
        <v>0</v>
      </c>
      <c r="H22" s="127">
        <f>'Расходы на ЗП ОТ'!H22</f>
        <v>0</v>
      </c>
      <c r="I22" s="127">
        <f>'Расходы на ЗП ОТ'!I22</f>
        <v>0</v>
      </c>
      <c r="J22" s="127">
        <f>'Расходы на ЗП ОТ'!J22</f>
        <v>0</v>
      </c>
      <c r="K22" s="127">
        <f>'Расходы на ЗП ОТ'!K22</f>
        <v>0</v>
      </c>
      <c r="L22" s="127">
        <f>'Расходы на ЗП ОТ'!L22</f>
        <v>0</v>
      </c>
      <c r="M22" s="127">
        <f>'Расходы на ЗП ОТ'!M22</f>
        <v>0</v>
      </c>
      <c r="N22" s="127">
        <f>'Расходы на ЗП ОТ'!N22</f>
        <v>0</v>
      </c>
      <c r="O22" s="127">
        <f>'Расходы на ЗП ОТ'!O22</f>
        <v>0</v>
      </c>
      <c r="P22" s="127">
        <f>'Расходы на ЗП ОТ'!P22</f>
        <v>0</v>
      </c>
      <c r="Q22" s="127">
        <f>'Расходы на ЗП ОТ'!Q22</f>
        <v>0</v>
      </c>
      <c r="R22" s="127">
        <f>'Расходы на ЗП ОТ'!R22</f>
        <v>0</v>
      </c>
      <c r="S22" s="127">
        <f>'Расходы на ЗП ОТ'!S22</f>
        <v>0</v>
      </c>
      <c r="T22" s="127">
        <f>'Расходы на ЗП ОТ'!T22</f>
        <v>0</v>
      </c>
      <c r="U22" s="127">
        <f>'Расходы на ЗП ОТ'!U22</f>
        <v>0</v>
      </c>
      <c r="V22" s="127">
        <f>'Расходы на ЗП ОТ'!V22</f>
        <v>0</v>
      </c>
      <c r="W22" s="127">
        <f>'Расходы на ЗП ОТ'!W22</f>
        <v>0</v>
      </c>
      <c r="X22" s="127">
        <f>'Расходы на ЗП ОТ'!X22</f>
        <v>0</v>
      </c>
      <c r="Y22" s="127">
        <f>'Расходы на ЗП ОТ'!Y22</f>
        <v>0</v>
      </c>
      <c r="Z22" s="127">
        <f>'Расходы на ЗП ОТ'!Z22</f>
        <v>0</v>
      </c>
      <c r="AA22" s="127">
        <f>'Расходы на ЗП ОТ'!AA22</f>
        <v>0</v>
      </c>
      <c r="AB22" s="127">
        <f>'Расходы на ЗП ОТ'!AB22</f>
        <v>0</v>
      </c>
      <c r="AC22" s="127">
        <f>'Расходы на ЗП ОТ'!AC22</f>
        <v>0</v>
      </c>
      <c r="AD22" s="127">
        <f>'Расходы на ЗП ОТ'!AD22</f>
        <v>0</v>
      </c>
      <c r="AE22" s="127">
        <f>'Расходы на ЗП ОТ'!AE22</f>
        <v>0</v>
      </c>
      <c r="AF22" s="127">
        <f>'Расходы на ЗП ОТ'!AF22</f>
        <v>0</v>
      </c>
      <c r="AG22" s="127">
        <f>'Расходы на ЗП ОТ'!AG22</f>
        <v>0</v>
      </c>
      <c r="AH22" s="127">
        <f>'Расходы на ЗП ОТ'!AH22</f>
        <v>0</v>
      </c>
      <c r="AI22" s="127">
        <f>'Расходы на ЗП ОТ'!AI22</f>
        <v>0</v>
      </c>
      <c r="AJ22" s="127">
        <f>'Расходы на ЗП ОТ'!AJ22</f>
        <v>0</v>
      </c>
      <c r="AK22" s="127">
        <f>'Расходы на ЗП ОТ'!AK22</f>
        <v>0</v>
      </c>
      <c r="AL22" s="127">
        <f>'Расходы на ЗП ОТ'!AL22</f>
        <v>0</v>
      </c>
      <c r="AM22" s="127">
        <f>'Расходы на ЗП ОТ'!AM22</f>
        <v>0</v>
      </c>
      <c r="AN22" s="127">
        <f>'Расходы на ЗП ОТ'!AN22</f>
        <v>0</v>
      </c>
      <c r="AO22" s="127">
        <f>'Расходы на ЗП ОТ'!AO22</f>
        <v>0</v>
      </c>
      <c r="AP22" s="127">
        <f>'Расходы на ЗП ОТ'!AP22</f>
        <v>0</v>
      </c>
      <c r="AQ22" s="127">
        <f>'Расходы на ЗП ОТ'!AQ22</f>
        <v>0</v>
      </c>
      <c r="AR22" s="127"/>
      <c r="AS22" s="127">
        <f t="shared" si="0"/>
        <v>0</v>
      </c>
      <c r="AT22" s="127">
        <f t="shared" si="10"/>
        <v>0</v>
      </c>
      <c r="AU22" s="127">
        <f t="shared" si="1"/>
        <v>0</v>
      </c>
      <c r="AV22" s="127">
        <f t="shared" si="2"/>
        <v>0</v>
      </c>
      <c r="AW22" s="127">
        <f t="shared" si="3"/>
        <v>0</v>
      </c>
      <c r="AX22" s="127">
        <f t="shared" si="4"/>
        <v>0</v>
      </c>
      <c r="AY22" s="127">
        <f t="shared" si="5"/>
        <v>0</v>
      </c>
      <c r="AZ22" s="127">
        <f t="shared" si="6"/>
        <v>0</v>
      </c>
      <c r="BA22" s="127">
        <f t="shared" si="7"/>
        <v>0</v>
      </c>
      <c r="BB22" s="127">
        <f t="shared" si="8"/>
        <v>0</v>
      </c>
      <c r="BC22" s="127">
        <f t="shared" si="9"/>
        <v>0</v>
      </c>
    </row>
    <row r="23" spans="1:55" s="128" customFormat="1" ht="30" customHeight="1" x14ac:dyDescent="0.3">
      <c r="A23" s="129" t="s">
        <v>113</v>
      </c>
      <c r="B23" s="129">
        <f>'Расходы на ЗП ОТ'!B23</f>
        <v>0</v>
      </c>
      <c r="C23" s="130">
        <f>'Расходы на ЗП ОТ'!C23</f>
        <v>0</v>
      </c>
      <c r="D23" s="130">
        <f>SUM(D18:D22)</f>
        <v>0</v>
      </c>
      <c r="E23" s="130">
        <f t="shared" ref="E23:F23" si="20">SUM(E18:E22)</f>
        <v>0</v>
      </c>
      <c r="F23" s="130">
        <f t="shared" si="20"/>
        <v>0</v>
      </c>
      <c r="G23" s="130">
        <f t="shared" ref="G23:AQ23" si="21">SUM(G18:G22)</f>
        <v>0</v>
      </c>
      <c r="H23" s="130">
        <f t="shared" si="21"/>
        <v>0</v>
      </c>
      <c r="I23" s="130">
        <f t="shared" si="21"/>
        <v>0</v>
      </c>
      <c r="J23" s="130">
        <f t="shared" si="21"/>
        <v>0</v>
      </c>
      <c r="K23" s="130">
        <f t="shared" si="21"/>
        <v>0</v>
      </c>
      <c r="L23" s="130">
        <f t="shared" si="21"/>
        <v>0</v>
      </c>
      <c r="M23" s="130">
        <f t="shared" si="21"/>
        <v>0</v>
      </c>
      <c r="N23" s="130">
        <f t="shared" si="21"/>
        <v>0</v>
      </c>
      <c r="O23" s="130">
        <f t="shared" si="21"/>
        <v>0</v>
      </c>
      <c r="P23" s="130">
        <f t="shared" si="21"/>
        <v>0</v>
      </c>
      <c r="Q23" s="130">
        <f t="shared" si="21"/>
        <v>0</v>
      </c>
      <c r="R23" s="130">
        <f t="shared" si="21"/>
        <v>0</v>
      </c>
      <c r="S23" s="130">
        <f t="shared" si="21"/>
        <v>0</v>
      </c>
      <c r="T23" s="130">
        <f t="shared" si="21"/>
        <v>0</v>
      </c>
      <c r="U23" s="130">
        <f t="shared" si="21"/>
        <v>0</v>
      </c>
      <c r="V23" s="130">
        <f t="shared" si="21"/>
        <v>0</v>
      </c>
      <c r="W23" s="130">
        <f t="shared" si="21"/>
        <v>0</v>
      </c>
      <c r="X23" s="130">
        <f t="shared" si="21"/>
        <v>0</v>
      </c>
      <c r="Y23" s="130">
        <f t="shared" si="21"/>
        <v>0</v>
      </c>
      <c r="Z23" s="130">
        <f t="shared" si="21"/>
        <v>0</v>
      </c>
      <c r="AA23" s="130">
        <f t="shared" si="21"/>
        <v>0</v>
      </c>
      <c r="AB23" s="130">
        <f t="shared" si="21"/>
        <v>0</v>
      </c>
      <c r="AC23" s="130">
        <f t="shared" si="21"/>
        <v>0</v>
      </c>
      <c r="AD23" s="130">
        <f t="shared" si="21"/>
        <v>0</v>
      </c>
      <c r="AE23" s="130">
        <f t="shared" si="21"/>
        <v>0</v>
      </c>
      <c r="AF23" s="130">
        <f t="shared" si="21"/>
        <v>0</v>
      </c>
      <c r="AG23" s="130">
        <f t="shared" si="21"/>
        <v>0</v>
      </c>
      <c r="AH23" s="130">
        <f t="shared" si="21"/>
        <v>0</v>
      </c>
      <c r="AI23" s="130">
        <f t="shared" si="21"/>
        <v>0</v>
      </c>
      <c r="AJ23" s="130">
        <f t="shared" si="21"/>
        <v>0</v>
      </c>
      <c r="AK23" s="130">
        <f t="shared" si="21"/>
        <v>0</v>
      </c>
      <c r="AL23" s="130">
        <f t="shared" si="21"/>
        <v>0</v>
      </c>
      <c r="AM23" s="130">
        <f t="shared" si="21"/>
        <v>0</v>
      </c>
      <c r="AN23" s="130">
        <f t="shared" si="21"/>
        <v>0</v>
      </c>
      <c r="AO23" s="130">
        <f t="shared" si="21"/>
        <v>0</v>
      </c>
      <c r="AP23" s="130">
        <f t="shared" si="21"/>
        <v>0</v>
      </c>
      <c r="AQ23" s="130">
        <f t="shared" si="21"/>
        <v>0</v>
      </c>
      <c r="AR23" s="130"/>
      <c r="AS23" s="130">
        <f t="shared" si="0"/>
        <v>0</v>
      </c>
      <c r="AT23" s="130">
        <f t="shared" si="10"/>
        <v>0</v>
      </c>
      <c r="AU23" s="130">
        <f t="shared" si="1"/>
        <v>0</v>
      </c>
      <c r="AV23" s="130">
        <f t="shared" si="2"/>
        <v>0</v>
      </c>
      <c r="AW23" s="130">
        <f t="shared" si="3"/>
        <v>0</v>
      </c>
      <c r="AX23" s="130">
        <f t="shared" si="4"/>
        <v>0</v>
      </c>
      <c r="AY23" s="130">
        <f t="shared" si="5"/>
        <v>0</v>
      </c>
      <c r="AZ23" s="130">
        <f t="shared" si="6"/>
        <v>0</v>
      </c>
      <c r="BA23" s="130">
        <f t="shared" si="7"/>
        <v>0</v>
      </c>
      <c r="BB23" s="130">
        <f t="shared" si="8"/>
        <v>0</v>
      </c>
      <c r="BC23" s="130">
        <f t="shared" si="9"/>
        <v>0</v>
      </c>
    </row>
    <row r="24" spans="1:55" s="131" customFormat="1" x14ac:dyDescent="0.3">
      <c r="A24" s="132" t="s">
        <v>114</v>
      </c>
      <c r="B24" s="132">
        <f>'Расходы на ЗП ОТ'!B24</f>
        <v>0</v>
      </c>
      <c r="C24" s="133">
        <f>'Расходы на ЗП ОТ'!C24</f>
        <v>0</v>
      </c>
      <c r="D24" s="133">
        <f>D23*$B$62</f>
        <v>0</v>
      </c>
      <c r="E24" s="133">
        <f t="shared" ref="E24:AQ24" si="22">E23*$B$62</f>
        <v>0</v>
      </c>
      <c r="F24" s="133">
        <f t="shared" si="22"/>
        <v>0</v>
      </c>
      <c r="G24" s="133">
        <f t="shared" si="22"/>
        <v>0</v>
      </c>
      <c r="H24" s="133">
        <f t="shared" si="22"/>
        <v>0</v>
      </c>
      <c r="I24" s="133">
        <f t="shared" si="22"/>
        <v>0</v>
      </c>
      <c r="J24" s="133">
        <f t="shared" si="22"/>
        <v>0</v>
      </c>
      <c r="K24" s="133">
        <f t="shared" si="22"/>
        <v>0</v>
      </c>
      <c r="L24" s="133">
        <f t="shared" si="22"/>
        <v>0</v>
      </c>
      <c r="M24" s="133">
        <f t="shared" si="22"/>
        <v>0</v>
      </c>
      <c r="N24" s="133">
        <f t="shared" si="22"/>
        <v>0</v>
      </c>
      <c r="O24" s="133">
        <f t="shared" si="22"/>
        <v>0</v>
      </c>
      <c r="P24" s="133">
        <f t="shared" si="22"/>
        <v>0</v>
      </c>
      <c r="Q24" s="133">
        <f t="shared" si="22"/>
        <v>0</v>
      </c>
      <c r="R24" s="133">
        <f t="shared" si="22"/>
        <v>0</v>
      </c>
      <c r="S24" s="133">
        <f t="shared" si="22"/>
        <v>0</v>
      </c>
      <c r="T24" s="133">
        <f t="shared" si="22"/>
        <v>0</v>
      </c>
      <c r="U24" s="133">
        <f t="shared" si="22"/>
        <v>0</v>
      </c>
      <c r="V24" s="133">
        <f t="shared" si="22"/>
        <v>0</v>
      </c>
      <c r="W24" s="133">
        <f t="shared" si="22"/>
        <v>0</v>
      </c>
      <c r="X24" s="133">
        <f t="shared" si="22"/>
        <v>0</v>
      </c>
      <c r="Y24" s="133">
        <f t="shared" si="22"/>
        <v>0</v>
      </c>
      <c r="Z24" s="133">
        <f t="shared" si="22"/>
        <v>0</v>
      </c>
      <c r="AA24" s="133">
        <f t="shared" si="22"/>
        <v>0</v>
      </c>
      <c r="AB24" s="133">
        <f t="shared" si="22"/>
        <v>0</v>
      </c>
      <c r="AC24" s="133">
        <f t="shared" si="22"/>
        <v>0</v>
      </c>
      <c r="AD24" s="133">
        <f t="shared" si="22"/>
        <v>0</v>
      </c>
      <c r="AE24" s="133">
        <f t="shared" si="22"/>
        <v>0</v>
      </c>
      <c r="AF24" s="133">
        <f t="shared" si="22"/>
        <v>0</v>
      </c>
      <c r="AG24" s="133">
        <f t="shared" si="22"/>
        <v>0</v>
      </c>
      <c r="AH24" s="133">
        <f t="shared" si="22"/>
        <v>0</v>
      </c>
      <c r="AI24" s="133">
        <f t="shared" si="22"/>
        <v>0</v>
      </c>
      <c r="AJ24" s="133">
        <f t="shared" si="22"/>
        <v>0</v>
      </c>
      <c r="AK24" s="133">
        <f t="shared" si="22"/>
        <v>0</v>
      </c>
      <c r="AL24" s="133">
        <f t="shared" si="22"/>
        <v>0</v>
      </c>
      <c r="AM24" s="133">
        <f t="shared" si="22"/>
        <v>0</v>
      </c>
      <c r="AN24" s="133">
        <f t="shared" si="22"/>
        <v>0</v>
      </c>
      <c r="AO24" s="133">
        <f t="shared" si="22"/>
        <v>0</v>
      </c>
      <c r="AP24" s="133">
        <f t="shared" si="22"/>
        <v>0</v>
      </c>
      <c r="AQ24" s="133">
        <f t="shared" si="22"/>
        <v>0</v>
      </c>
      <c r="AR24" s="133"/>
      <c r="AS24" s="133">
        <f t="shared" si="0"/>
        <v>0</v>
      </c>
      <c r="AT24" s="133">
        <f t="shared" si="10"/>
        <v>0</v>
      </c>
      <c r="AU24" s="133">
        <f t="shared" si="1"/>
        <v>0</v>
      </c>
      <c r="AV24" s="133">
        <f t="shared" si="2"/>
        <v>0</v>
      </c>
      <c r="AW24" s="133">
        <f t="shared" si="3"/>
        <v>0</v>
      </c>
      <c r="AX24" s="133">
        <f t="shared" si="4"/>
        <v>0</v>
      </c>
      <c r="AY24" s="133">
        <f t="shared" si="5"/>
        <v>0</v>
      </c>
      <c r="AZ24" s="133">
        <f t="shared" si="6"/>
        <v>0</v>
      </c>
      <c r="BA24" s="133">
        <f t="shared" si="7"/>
        <v>0</v>
      </c>
      <c r="BB24" s="133">
        <f t="shared" si="8"/>
        <v>0</v>
      </c>
      <c r="BC24" s="133">
        <f t="shared" si="9"/>
        <v>0</v>
      </c>
    </row>
    <row r="25" spans="1:55" x14ac:dyDescent="0.3">
      <c r="A25" s="124" t="s">
        <v>123</v>
      </c>
      <c r="B25" s="124"/>
      <c r="C25" s="127"/>
      <c r="D25" s="127"/>
      <c r="E25" s="127"/>
      <c r="F25" s="127"/>
      <c r="G25" s="127"/>
      <c r="H25" s="127"/>
      <c r="I25" s="127"/>
      <c r="J25" s="127"/>
      <c r="K25" s="127"/>
      <c r="L25" s="127"/>
      <c r="M25" s="127"/>
      <c r="N25" s="127"/>
      <c r="O25" s="127"/>
      <c r="P25" s="127"/>
      <c r="Q25" s="127"/>
      <c r="R25" s="127"/>
      <c r="S25" s="127"/>
      <c r="T25" s="127"/>
      <c r="U25" s="127"/>
      <c r="V25" s="127"/>
      <c r="W25" s="127"/>
      <c r="X25" s="127"/>
      <c r="Y25" s="127"/>
      <c r="Z25" s="127"/>
      <c r="AA25" s="127"/>
      <c r="AB25" s="127"/>
      <c r="AC25" s="127"/>
      <c r="AD25" s="127"/>
      <c r="AE25" s="127"/>
      <c r="AF25" s="127"/>
      <c r="AG25" s="127"/>
      <c r="AH25" s="127"/>
      <c r="AI25" s="127"/>
      <c r="AJ25" s="127"/>
      <c r="AK25" s="127"/>
      <c r="AL25" s="127"/>
      <c r="AM25" s="127"/>
      <c r="AN25" s="127"/>
      <c r="AO25" s="127"/>
      <c r="AP25" s="127"/>
      <c r="AQ25" s="127"/>
      <c r="AR25" s="127"/>
      <c r="AS25" s="127">
        <f t="shared" si="0"/>
        <v>0</v>
      </c>
      <c r="AT25" s="127">
        <f t="shared" si="10"/>
        <v>0</v>
      </c>
      <c r="AU25" s="127">
        <f t="shared" si="1"/>
        <v>0</v>
      </c>
      <c r="AV25" s="127">
        <f t="shared" si="2"/>
        <v>0</v>
      </c>
      <c r="AW25" s="127">
        <f t="shared" si="3"/>
        <v>0</v>
      </c>
      <c r="AX25" s="127">
        <f t="shared" si="4"/>
        <v>0</v>
      </c>
      <c r="AY25" s="127">
        <f t="shared" si="5"/>
        <v>0</v>
      </c>
      <c r="AZ25" s="127">
        <f t="shared" si="6"/>
        <v>0</v>
      </c>
      <c r="BA25" s="127">
        <f t="shared" si="7"/>
        <v>0</v>
      </c>
      <c r="BB25" s="127">
        <f t="shared" si="8"/>
        <v>0</v>
      </c>
      <c r="BC25" s="127">
        <f t="shared" si="9"/>
        <v>0</v>
      </c>
    </row>
    <row r="26" spans="1:55" s="128" customFormat="1" ht="32.25" customHeight="1" x14ac:dyDescent="0.3">
      <c r="A26" s="129" t="s">
        <v>113</v>
      </c>
      <c r="B26" s="129">
        <f>'Расходы на ЗП ОТ'!B26</f>
        <v>0</v>
      </c>
      <c r="C26" s="130">
        <f>'Расходы на ЗП ОТ'!C26</f>
        <v>0</v>
      </c>
      <c r="D26" s="130">
        <f>'Расходы на ЗП ОТ'!D26</f>
        <v>0</v>
      </c>
      <c r="E26" s="130">
        <f>'Расходы на ЗП ОТ'!E26</f>
        <v>0</v>
      </c>
      <c r="F26" s="130">
        <f>'Расходы на ЗП ОТ'!F26</f>
        <v>0</v>
      </c>
      <c r="G26" s="130">
        <f>'Расходы на ЗП ОТ'!G26</f>
        <v>0</v>
      </c>
      <c r="H26" s="130">
        <f>'Расходы на ЗП ОТ'!H26</f>
        <v>0</v>
      </c>
      <c r="I26" s="130">
        <f>'Расходы на ЗП ОТ'!I26</f>
        <v>0</v>
      </c>
      <c r="J26" s="130">
        <f>'Расходы на ЗП ОТ'!J26</f>
        <v>0</v>
      </c>
      <c r="K26" s="130">
        <f>'Расходы на ЗП ОТ'!K26</f>
        <v>0</v>
      </c>
      <c r="L26" s="130">
        <f>'Расходы на ЗП ОТ'!L26</f>
        <v>0</v>
      </c>
      <c r="M26" s="130">
        <f>'Расходы на ЗП ОТ'!M26</f>
        <v>0</v>
      </c>
      <c r="N26" s="130">
        <f>'Расходы на ЗП ОТ'!N26</f>
        <v>0</v>
      </c>
      <c r="O26" s="130">
        <f>'Расходы на ЗП ОТ'!O26</f>
        <v>0</v>
      </c>
      <c r="P26" s="130">
        <f>'Расходы на ЗП ОТ'!P26</f>
        <v>0</v>
      </c>
      <c r="Q26" s="130">
        <f>'Расходы на ЗП ОТ'!Q26</f>
        <v>0</v>
      </c>
      <c r="R26" s="130">
        <f>'Расходы на ЗП ОТ'!R26</f>
        <v>0</v>
      </c>
      <c r="S26" s="130">
        <f>'Расходы на ЗП ОТ'!S26</f>
        <v>0</v>
      </c>
      <c r="T26" s="130">
        <f>'Расходы на ЗП ОТ'!T26</f>
        <v>0</v>
      </c>
      <c r="U26" s="130">
        <f>'Расходы на ЗП ОТ'!U26</f>
        <v>0</v>
      </c>
      <c r="V26" s="130">
        <f>'Расходы на ЗП ОТ'!V26</f>
        <v>0</v>
      </c>
      <c r="W26" s="130">
        <f>'Расходы на ЗП ОТ'!W26</f>
        <v>0</v>
      </c>
      <c r="X26" s="130">
        <f>'Расходы на ЗП ОТ'!X26</f>
        <v>0</v>
      </c>
      <c r="Y26" s="130">
        <f>'Расходы на ЗП ОТ'!Y26</f>
        <v>0</v>
      </c>
      <c r="Z26" s="130">
        <f>'Расходы на ЗП ОТ'!Z26</f>
        <v>0</v>
      </c>
      <c r="AA26" s="130">
        <f>'Расходы на ЗП ОТ'!AA26</f>
        <v>0</v>
      </c>
      <c r="AB26" s="130">
        <f>'Расходы на ЗП ОТ'!AB26</f>
        <v>0</v>
      </c>
      <c r="AC26" s="130">
        <f>'Расходы на ЗП ОТ'!AC26</f>
        <v>0</v>
      </c>
      <c r="AD26" s="130">
        <f>'Расходы на ЗП ОТ'!AD26</f>
        <v>0</v>
      </c>
      <c r="AE26" s="130">
        <f>'Расходы на ЗП ОТ'!AE26</f>
        <v>0</v>
      </c>
      <c r="AF26" s="130">
        <f>'Расходы на ЗП ОТ'!AF26</f>
        <v>0</v>
      </c>
      <c r="AG26" s="130">
        <f>'Расходы на ЗП ОТ'!AG26</f>
        <v>0</v>
      </c>
      <c r="AH26" s="130">
        <f>'Расходы на ЗП ОТ'!AH26</f>
        <v>0</v>
      </c>
      <c r="AI26" s="130">
        <f>'Расходы на ЗП ОТ'!AI26</f>
        <v>0</v>
      </c>
      <c r="AJ26" s="130">
        <f>'Расходы на ЗП ОТ'!AJ26</f>
        <v>0</v>
      </c>
      <c r="AK26" s="130">
        <f>'Расходы на ЗП ОТ'!AK26</f>
        <v>0</v>
      </c>
      <c r="AL26" s="130">
        <f>'Расходы на ЗП ОТ'!AL26</f>
        <v>0</v>
      </c>
      <c r="AM26" s="130">
        <f>'Расходы на ЗП ОТ'!AM26</f>
        <v>0</v>
      </c>
      <c r="AN26" s="130">
        <f>'Расходы на ЗП ОТ'!AN26</f>
        <v>0</v>
      </c>
      <c r="AO26" s="130">
        <f>'Расходы на ЗП ОТ'!AO26</f>
        <v>0</v>
      </c>
      <c r="AP26" s="130">
        <f>'Расходы на ЗП ОТ'!AP26</f>
        <v>0</v>
      </c>
      <c r="AQ26" s="130">
        <f>'Расходы на ЗП ОТ'!AQ26</f>
        <v>0</v>
      </c>
      <c r="AR26" s="130"/>
      <c r="AS26" s="130">
        <f t="shared" si="0"/>
        <v>0</v>
      </c>
      <c r="AT26" s="130">
        <f t="shared" si="10"/>
        <v>0</v>
      </c>
      <c r="AU26" s="130">
        <f t="shared" si="1"/>
        <v>0</v>
      </c>
      <c r="AV26" s="130">
        <f t="shared" si="2"/>
        <v>0</v>
      </c>
      <c r="AW26" s="130">
        <f t="shared" si="3"/>
        <v>0</v>
      </c>
      <c r="AX26" s="130">
        <f t="shared" si="4"/>
        <v>0</v>
      </c>
      <c r="AY26" s="130">
        <f t="shared" si="5"/>
        <v>0</v>
      </c>
      <c r="AZ26" s="130">
        <f t="shared" si="6"/>
        <v>0</v>
      </c>
      <c r="BA26" s="130">
        <f t="shared" si="7"/>
        <v>0</v>
      </c>
      <c r="BB26" s="130">
        <f t="shared" si="8"/>
        <v>0</v>
      </c>
      <c r="BC26" s="130">
        <f t="shared" si="9"/>
        <v>0</v>
      </c>
    </row>
    <row r="27" spans="1:55" s="131" customFormat="1" ht="29.25" customHeight="1" x14ac:dyDescent="0.3">
      <c r="A27" s="132" t="s">
        <v>114</v>
      </c>
      <c r="B27" s="132">
        <f>'Расходы на ЗП ОТ'!B27</f>
        <v>0</v>
      </c>
      <c r="C27" s="133">
        <f>'Расходы на ЗП ОТ'!C27</f>
        <v>0</v>
      </c>
      <c r="D27" s="133">
        <f>D26*$B$62</f>
        <v>0</v>
      </c>
      <c r="E27" s="133">
        <f t="shared" ref="E27:AQ27" si="23">E26*$B$62</f>
        <v>0</v>
      </c>
      <c r="F27" s="133">
        <f t="shared" si="23"/>
        <v>0</v>
      </c>
      <c r="G27" s="133">
        <f t="shared" si="23"/>
        <v>0</v>
      </c>
      <c r="H27" s="133">
        <f t="shared" si="23"/>
        <v>0</v>
      </c>
      <c r="I27" s="133">
        <f t="shared" si="23"/>
        <v>0</v>
      </c>
      <c r="J27" s="133">
        <f t="shared" si="23"/>
        <v>0</v>
      </c>
      <c r="K27" s="133">
        <f t="shared" si="23"/>
        <v>0</v>
      </c>
      <c r="L27" s="133">
        <f t="shared" si="23"/>
        <v>0</v>
      </c>
      <c r="M27" s="133">
        <f t="shared" si="23"/>
        <v>0</v>
      </c>
      <c r="N27" s="133">
        <f t="shared" si="23"/>
        <v>0</v>
      </c>
      <c r="O27" s="133">
        <f t="shared" si="23"/>
        <v>0</v>
      </c>
      <c r="P27" s="133">
        <f t="shared" si="23"/>
        <v>0</v>
      </c>
      <c r="Q27" s="133">
        <f t="shared" si="23"/>
        <v>0</v>
      </c>
      <c r="R27" s="133">
        <f t="shared" si="23"/>
        <v>0</v>
      </c>
      <c r="S27" s="133">
        <f t="shared" si="23"/>
        <v>0</v>
      </c>
      <c r="T27" s="133">
        <f t="shared" si="23"/>
        <v>0</v>
      </c>
      <c r="U27" s="133">
        <f t="shared" si="23"/>
        <v>0</v>
      </c>
      <c r="V27" s="133">
        <f t="shared" si="23"/>
        <v>0</v>
      </c>
      <c r="W27" s="133">
        <f t="shared" si="23"/>
        <v>0</v>
      </c>
      <c r="X27" s="133">
        <f t="shared" si="23"/>
        <v>0</v>
      </c>
      <c r="Y27" s="133">
        <f t="shared" si="23"/>
        <v>0</v>
      </c>
      <c r="Z27" s="133">
        <f t="shared" si="23"/>
        <v>0</v>
      </c>
      <c r="AA27" s="133">
        <f t="shared" si="23"/>
        <v>0</v>
      </c>
      <c r="AB27" s="133">
        <f t="shared" si="23"/>
        <v>0</v>
      </c>
      <c r="AC27" s="133">
        <f t="shared" si="23"/>
        <v>0</v>
      </c>
      <c r="AD27" s="133">
        <f t="shared" si="23"/>
        <v>0</v>
      </c>
      <c r="AE27" s="133">
        <f t="shared" si="23"/>
        <v>0</v>
      </c>
      <c r="AF27" s="133">
        <f t="shared" si="23"/>
        <v>0</v>
      </c>
      <c r="AG27" s="133">
        <f t="shared" si="23"/>
        <v>0</v>
      </c>
      <c r="AH27" s="133">
        <f t="shared" si="23"/>
        <v>0</v>
      </c>
      <c r="AI27" s="133">
        <f t="shared" si="23"/>
        <v>0</v>
      </c>
      <c r="AJ27" s="133">
        <f t="shared" si="23"/>
        <v>0</v>
      </c>
      <c r="AK27" s="133">
        <f t="shared" si="23"/>
        <v>0</v>
      </c>
      <c r="AL27" s="133">
        <f t="shared" si="23"/>
        <v>0</v>
      </c>
      <c r="AM27" s="133">
        <f t="shared" si="23"/>
        <v>0</v>
      </c>
      <c r="AN27" s="133">
        <f t="shared" si="23"/>
        <v>0</v>
      </c>
      <c r="AO27" s="133">
        <f t="shared" si="23"/>
        <v>0</v>
      </c>
      <c r="AP27" s="133">
        <f t="shared" si="23"/>
        <v>0</v>
      </c>
      <c r="AQ27" s="133">
        <f t="shared" si="23"/>
        <v>0</v>
      </c>
      <c r="AR27" s="133"/>
      <c r="AS27" s="133">
        <f t="shared" si="0"/>
        <v>0</v>
      </c>
      <c r="AT27" s="133">
        <f t="shared" si="10"/>
        <v>0</v>
      </c>
      <c r="AU27" s="133">
        <f t="shared" si="1"/>
        <v>0</v>
      </c>
      <c r="AV27" s="133">
        <f t="shared" si="2"/>
        <v>0</v>
      </c>
      <c r="AW27" s="133">
        <f t="shared" si="3"/>
        <v>0</v>
      </c>
      <c r="AX27" s="133">
        <f t="shared" si="4"/>
        <v>0</v>
      </c>
      <c r="AY27" s="133">
        <f t="shared" si="5"/>
        <v>0</v>
      </c>
      <c r="AZ27" s="133">
        <f t="shared" si="6"/>
        <v>0</v>
      </c>
      <c r="BA27" s="133">
        <f t="shared" si="7"/>
        <v>0</v>
      </c>
      <c r="BB27" s="133">
        <f t="shared" si="8"/>
        <v>0</v>
      </c>
      <c r="BC27" s="133">
        <f t="shared" si="9"/>
        <v>0</v>
      </c>
    </row>
    <row r="28" spans="1:55" ht="34.5" customHeight="1" x14ac:dyDescent="0.3">
      <c r="A28" s="124" t="s">
        <v>124</v>
      </c>
      <c r="B28" s="124"/>
      <c r="C28" s="127"/>
      <c r="D28" s="127"/>
      <c r="E28" s="127"/>
      <c r="F28" s="127"/>
      <c r="G28" s="127"/>
      <c r="H28" s="127"/>
      <c r="I28" s="127"/>
      <c r="J28" s="127"/>
      <c r="K28" s="127"/>
      <c r="L28" s="127"/>
      <c r="M28" s="127"/>
      <c r="N28" s="127"/>
      <c r="O28" s="127"/>
      <c r="P28" s="127"/>
      <c r="Q28" s="127"/>
      <c r="R28" s="127"/>
      <c r="S28" s="127"/>
      <c r="T28" s="127"/>
      <c r="U28" s="127"/>
      <c r="V28" s="127"/>
      <c r="W28" s="127"/>
      <c r="X28" s="127"/>
      <c r="Y28" s="127"/>
      <c r="Z28" s="127"/>
      <c r="AA28" s="127"/>
      <c r="AB28" s="127"/>
      <c r="AC28" s="127"/>
      <c r="AD28" s="127"/>
      <c r="AE28" s="127"/>
      <c r="AF28" s="127"/>
      <c r="AG28" s="127"/>
      <c r="AH28" s="127"/>
      <c r="AI28" s="127"/>
      <c r="AJ28" s="127"/>
      <c r="AK28" s="127"/>
      <c r="AL28" s="127"/>
      <c r="AM28" s="127"/>
      <c r="AN28" s="127"/>
      <c r="AO28" s="127"/>
      <c r="AP28" s="127"/>
      <c r="AQ28" s="127"/>
      <c r="AR28" s="127"/>
      <c r="AS28" s="127">
        <f t="shared" si="0"/>
        <v>0</v>
      </c>
      <c r="AT28" s="127">
        <f t="shared" si="10"/>
        <v>0</v>
      </c>
      <c r="AU28" s="127">
        <f t="shared" si="1"/>
        <v>0</v>
      </c>
      <c r="AV28" s="127">
        <f t="shared" si="2"/>
        <v>0</v>
      </c>
      <c r="AW28" s="127">
        <f t="shared" si="3"/>
        <v>0</v>
      </c>
      <c r="AX28" s="127">
        <f t="shared" si="4"/>
        <v>0</v>
      </c>
      <c r="AY28" s="127">
        <f t="shared" si="5"/>
        <v>0</v>
      </c>
      <c r="AZ28" s="127">
        <f t="shared" si="6"/>
        <v>0</v>
      </c>
      <c r="BA28" s="127">
        <f t="shared" si="7"/>
        <v>0</v>
      </c>
      <c r="BB28" s="127">
        <f t="shared" si="8"/>
        <v>0</v>
      </c>
      <c r="BC28" s="127">
        <f t="shared" si="9"/>
        <v>0</v>
      </c>
    </row>
    <row r="29" spans="1:55" ht="29.25" customHeight="1" x14ac:dyDescent="0.3">
      <c r="A29" s="124" t="s">
        <v>125</v>
      </c>
      <c r="B29" s="124">
        <f>'Расходы на ЗП ОТ'!B29</f>
        <v>0</v>
      </c>
      <c r="C29" s="127">
        <f>'Расходы на ЗП ОТ'!C29</f>
        <v>0</v>
      </c>
      <c r="D29" s="127">
        <f>'Расходы на ЗП ОТ'!D29</f>
        <v>0</v>
      </c>
      <c r="E29" s="127">
        <f>'Расходы на ЗП ОТ'!E29</f>
        <v>0</v>
      </c>
      <c r="F29" s="127">
        <f>'Расходы на ЗП ОТ'!F29</f>
        <v>0</v>
      </c>
      <c r="G29" s="127">
        <f>'Расходы на ЗП ОТ'!G29</f>
        <v>0</v>
      </c>
      <c r="H29" s="127">
        <f>'Расходы на ЗП ОТ'!H29</f>
        <v>0</v>
      </c>
      <c r="I29" s="127">
        <f>'Расходы на ЗП ОТ'!I29</f>
        <v>0</v>
      </c>
      <c r="J29" s="127">
        <f>'Расходы на ЗП ОТ'!J29</f>
        <v>0</v>
      </c>
      <c r="K29" s="127">
        <f>'Расходы на ЗП ОТ'!K29</f>
        <v>0</v>
      </c>
      <c r="L29" s="127">
        <f>'Расходы на ЗП ОТ'!L29</f>
        <v>0</v>
      </c>
      <c r="M29" s="127">
        <f>'Расходы на ЗП ОТ'!M29</f>
        <v>0</v>
      </c>
      <c r="N29" s="127">
        <f>'Расходы на ЗП ОТ'!N29</f>
        <v>0</v>
      </c>
      <c r="O29" s="127">
        <f>'Расходы на ЗП ОТ'!O29</f>
        <v>0</v>
      </c>
      <c r="P29" s="127">
        <f>'Расходы на ЗП ОТ'!P29</f>
        <v>0</v>
      </c>
      <c r="Q29" s="127">
        <f>'Расходы на ЗП ОТ'!Q29</f>
        <v>0</v>
      </c>
      <c r="R29" s="127">
        <f>'Расходы на ЗП ОТ'!R29</f>
        <v>0</v>
      </c>
      <c r="S29" s="127">
        <f>'Расходы на ЗП ОТ'!S29</f>
        <v>0</v>
      </c>
      <c r="T29" s="127">
        <f>'Расходы на ЗП ОТ'!T29</f>
        <v>0</v>
      </c>
      <c r="U29" s="127">
        <f>'Расходы на ЗП ОТ'!U29</f>
        <v>0</v>
      </c>
      <c r="V29" s="127">
        <f>'Расходы на ЗП ОТ'!V29</f>
        <v>0</v>
      </c>
      <c r="W29" s="127">
        <f>'Расходы на ЗП ОТ'!W29</f>
        <v>0</v>
      </c>
      <c r="X29" s="127">
        <f>'Расходы на ЗП ОТ'!X29</f>
        <v>0</v>
      </c>
      <c r="Y29" s="127">
        <f>'Расходы на ЗП ОТ'!Y29</f>
        <v>0</v>
      </c>
      <c r="Z29" s="127">
        <f>'Расходы на ЗП ОТ'!Z29</f>
        <v>0</v>
      </c>
      <c r="AA29" s="127">
        <f>'Расходы на ЗП ОТ'!AA29</f>
        <v>0</v>
      </c>
      <c r="AB29" s="127">
        <f>'Расходы на ЗП ОТ'!AB29</f>
        <v>0</v>
      </c>
      <c r="AC29" s="127">
        <f>'Расходы на ЗП ОТ'!AC29</f>
        <v>0</v>
      </c>
      <c r="AD29" s="127">
        <f>'Расходы на ЗП ОТ'!AD29</f>
        <v>0</v>
      </c>
      <c r="AE29" s="127">
        <f>'Расходы на ЗП ОТ'!AE29</f>
        <v>0</v>
      </c>
      <c r="AF29" s="127">
        <f>'Расходы на ЗП ОТ'!AF29</f>
        <v>0</v>
      </c>
      <c r="AG29" s="127">
        <f>'Расходы на ЗП ОТ'!AG29</f>
        <v>0</v>
      </c>
      <c r="AH29" s="127">
        <f>'Расходы на ЗП ОТ'!AH29</f>
        <v>0</v>
      </c>
      <c r="AI29" s="127">
        <f>'Расходы на ЗП ОТ'!AI29</f>
        <v>0</v>
      </c>
      <c r="AJ29" s="127">
        <f>'Расходы на ЗП ОТ'!AJ29</f>
        <v>0</v>
      </c>
      <c r="AK29" s="127">
        <f>'Расходы на ЗП ОТ'!AK29</f>
        <v>0</v>
      </c>
      <c r="AL29" s="127">
        <f>'Расходы на ЗП ОТ'!AL29</f>
        <v>0</v>
      </c>
      <c r="AM29" s="127">
        <f>'Расходы на ЗП ОТ'!AM29</f>
        <v>0</v>
      </c>
      <c r="AN29" s="127">
        <f>'Расходы на ЗП ОТ'!AN29</f>
        <v>0</v>
      </c>
      <c r="AO29" s="127">
        <f>'Расходы на ЗП ОТ'!AO29</f>
        <v>0</v>
      </c>
      <c r="AP29" s="127">
        <f>'Расходы на ЗП ОТ'!AP29</f>
        <v>0</v>
      </c>
      <c r="AQ29" s="127">
        <f>'Расходы на ЗП ОТ'!AQ29</f>
        <v>0</v>
      </c>
      <c r="AR29" s="127"/>
      <c r="AS29" s="127">
        <f t="shared" si="0"/>
        <v>0</v>
      </c>
      <c r="AT29" s="127">
        <f t="shared" si="10"/>
        <v>0</v>
      </c>
      <c r="AU29" s="127">
        <f t="shared" si="1"/>
        <v>0</v>
      </c>
      <c r="AV29" s="127">
        <f t="shared" si="2"/>
        <v>0</v>
      </c>
      <c r="AW29" s="127">
        <f t="shared" si="3"/>
        <v>0</v>
      </c>
      <c r="AX29" s="127">
        <f t="shared" si="4"/>
        <v>0</v>
      </c>
      <c r="AY29" s="127">
        <f t="shared" si="5"/>
        <v>0</v>
      </c>
      <c r="AZ29" s="127">
        <f t="shared" si="6"/>
        <v>0</v>
      </c>
      <c r="BA29" s="127">
        <f t="shared" si="7"/>
        <v>0</v>
      </c>
      <c r="BB29" s="127">
        <f t="shared" si="8"/>
        <v>0</v>
      </c>
      <c r="BC29" s="127">
        <f t="shared" si="9"/>
        <v>0</v>
      </c>
    </row>
    <row r="30" spans="1:55" ht="29.25" customHeight="1" x14ac:dyDescent="0.3">
      <c r="A30" s="124" t="s">
        <v>126</v>
      </c>
      <c r="B30" s="124">
        <f>'Расходы на ЗП ОТ'!B30</f>
        <v>0</v>
      </c>
      <c r="C30" s="127">
        <f>'Расходы на ЗП ОТ'!C30</f>
        <v>0</v>
      </c>
      <c r="D30" s="127">
        <f>'Расходы на ЗП ОТ'!D30</f>
        <v>0</v>
      </c>
      <c r="E30" s="127">
        <f>'Расходы на ЗП ОТ'!E30</f>
        <v>0</v>
      </c>
      <c r="F30" s="127">
        <f>'Расходы на ЗП ОТ'!F30</f>
        <v>0</v>
      </c>
      <c r="G30" s="127">
        <f>'Расходы на ЗП ОТ'!G30</f>
        <v>0</v>
      </c>
      <c r="H30" s="127">
        <f>'Расходы на ЗП ОТ'!H30</f>
        <v>0</v>
      </c>
      <c r="I30" s="127">
        <f>'Расходы на ЗП ОТ'!I30</f>
        <v>0</v>
      </c>
      <c r="J30" s="127">
        <f>'Расходы на ЗП ОТ'!J30</f>
        <v>0</v>
      </c>
      <c r="K30" s="127">
        <f>'Расходы на ЗП ОТ'!K30</f>
        <v>0</v>
      </c>
      <c r="L30" s="127">
        <f>'Расходы на ЗП ОТ'!L30</f>
        <v>0</v>
      </c>
      <c r="M30" s="127">
        <f>'Расходы на ЗП ОТ'!M30</f>
        <v>0</v>
      </c>
      <c r="N30" s="127">
        <f>'Расходы на ЗП ОТ'!N30</f>
        <v>0</v>
      </c>
      <c r="O30" s="127">
        <f>'Расходы на ЗП ОТ'!O30</f>
        <v>0</v>
      </c>
      <c r="P30" s="127">
        <f>'Расходы на ЗП ОТ'!P30</f>
        <v>0</v>
      </c>
      <c r="Q30" s="127">
        <f>'Расходы на ЗП ОТ'!Q30</f>
        <v>0</v>
      </c>
      <c r="R30" s="127">
        <f>'Расходы на ЗП ОТ'!R30</f>
        <v>0</v>
      </c>
      <c r="S30" s="127">
        <f>'Расходы на ЗП ОТ'!S30</f>
        <v>0</v>
      </c>
      <c r="T30" s="127">
        <f>'Расходы на ЗП ОТ'!T30</f>
        <v>0</v>
      </c>
      <c r="U30" s="127">
        <f>'Расходы на ЗП ОТ'!U30</f>
        <v>0</v>
      </c>
      <c r="V30" s="127">
        <f>'Расходы на ЗП ОТ'!V30</f>
        <v>0</v>
      </c>
      <c r="W30" s="127">
        <f>'Расходы на ЗП ОТ'!W30</f>
        <v>0</v>
      </c>
      <c r="X30" s="127">
        <f>'Расходы на ЗП ОТ'!X30</f>
        <v>0</v>
      </c>
      <c r="Y30" s="127">
        <f>'Расходы на ЗП ОТ'!Y30</f>
        <v>0</v>
      </c>
      <c r="Z30" s="127">
        <f>'Расходы на ЗП ОТ'!Z30</f>
        <v>0</v>
      </c>
      <c r="AA30" s="127">
        <f>'Расходы на ЗП ОТ'!AA30</f>
        <v>0</v>
      </c>
      <c r="AB30" s="127">
        <f>'Расходы на ЗП ОТ'!AB30</f>
        <v>0</v>
      </c>
      <c r="AC30" s="127">
        <f>'Расходы на ЗП ОТ'!AC30</f>
        <v>0</v>
      </c>
      <c r="AD30" s="127">
        <f>'Расходы на ЗП ОТ'!AD30</f>
        <v>0</v>
      </c>
      <c r="AE30" s="127">
        <f>'Расходы на ЗП ОТ'!AE30</f>
        <v>0</v>
      </c>
      <c r="AF30" s="127">
        <f>'Расходы на ЗП ОТ'!AF30</f>
        <v>0</v>
      </c>
      <c r="AG30" s="127">
        <f>'Расходы на ЗП ОТ'!AG30</f>
        <v>0</v>
      </c>
      <c r="AH30" s="127">
        <f>'Расходы на ЗП ОТ'!AH30</f>
        <v>0</v>
      </c>
      <c r="AI30" s="127">
        <f>'Расходы на ЗП ОТ'!AI30</f>
        <v>0</v>
      </c>
      <c r="AJ30" s="127">
        <f>'Расходы на ЗП ОТ'!AJ30</f>
        <v>0</v>
      </c>
      <c r="AK30" s="127">
        <f>'Расходы на ЗП ОТ'!AK30</f>
        <v>0</v>
      </c>
      <c r="AL30" s="127">
        <f>'Расходы на ЗП ОТ'!AL30</f>
        <v>0</v>
      </c>
      <c r="AM30" s="127">
        <f>'Расходы на ЗП ОТ'!AM30</f>
        <v>0</v>
      </c>
      <c r="AN30" s="127">
        <f>'Расходы на ЗП ОТ'!AN30</f>
        <v>0</v>
      </c>
      <c r="AO30" s="127">
        <f>'Расходы на ЗП ОТ'!AO30</f>
        <v>0</v>
      </c>
      <c r="AP30" s="127">
        <f>'Расходы на ЗП ОТ'!AP30</f>
        <v>0</v>
      </c>
      <c r="AQ30" s="127">
        <f>'Расходы на ЗП ОТ'!AQ30</f>
        <v>0</v>
      </c>
      <c r="AR30" s="127"/>
      <c r="AS30" s="127">
        <f t="shared" si="0"/>
        <v>0</v>
      </c>
      <c r="AT30" s="127">
        <f t="shared" si="10"/>
        <v>0</v>
      </c>
      <c r="AU30" s="127">
        <f t="shared" si="1"/>
        <v>0</v>
      </c>
      <c r="AV30" s="127">
        <f t="shared" si="2"/>
        <v>0</v>
      </c>
      <c r="AW30" s="127">
        <f t="shared" si="3"/>
        <v>0</v>
      </c>
      <c r="AX30" s="127">
        <f t="shared" si="4"/>
        <v>0</v>
      </c>
      <c r="AY30" s="127">
        <f t="shared" si="5"/>
        <v>0</v>
      </c>
      <c r="AZ30" s="127">
        <f t="shared" si="6"/>
        <v>0</v>
      </c>
      <c r="BA30" s="127">
        <f t="shared" si="7"/>
        <v>0</v>
      </c>
      <c r="BB30" s="127">
        <f t="shared" si="8"/>
        <v>0</v>
      </c>
      <c r="BC30" s="127">
        <f t="shared" si="9"/>
        <v>0</v>
      </c>
    </row>
    <row r="31" spans="1:55" ht="30.75" customHeight="1" x14ac:dyDescent="0.3">
      <c r="A31" s="124" t="s">
        <v>127</v>
      </c>
      <c r="B31" s="124">
        <f>'Расходы на ЗП ОТ'!B31</f>
        <v>0</v>
      </c>
      <c r="C31" s="127">
        <f>'Расходы на ЗП ОТ'!C31</f>
        <v>0</v>
      </c>
      <c r="D31" s="127">
        <f>'Расходы на ЗП ОТ'!D31</f>
        <v>0</v>
      </c>
      <c r="E31" s="127">
        <f>'Расходы на ЗП ОТ'!E31</f>
        <v>0</v>
      </c>
      <c r="F31" s="127">
        <f>'Расходы на ЗП ОТ'!F31</f>
        <v>0</v>
      </c>
      <c r="G31" s="127">
        <f>'Расходы на ЗП ОТ'!G31</f>
        <v>0</v>
      </c>
      <c r="H31" s="127">
        <f>'Расходы на ЗП ОТ'!H31</f>
        <v>0</v>
      </c>
      <c r="I31" s="127">
        <f>'Расходы на ЗП ОТ'!I31</f>
        <v>0</v>
      </c>
      <c r="J31" s="127">
        <f>'Расходы на ЗП ОТ'!J31</f>
        <v>0</v>
      </c>
      <c r="K31" s="127">
        <f>'Расходы на ЗП ОТ'!K31</f>
        <v>0</v>
      </c>
      <c r="L31" s="127">
        <f>'Расходы на ЗП ОТ'!L31</f>
        <v>0</v>
      </c>
      <c r="M31" s="127">
        <f>'Расходы на ЗП ОТ'!M31</f>
        <v>0</v>
      </c>
      <c r="N31" s="127">
        <f>'Расходы на ЗП ОТ'!N31</f>
        <v>0</v>
      </c>
      <c r="O31" s="127">
        <f>'Расходы на ЗП ОТ'!O31</f>
        <v>0</v>
      </c>
      <c r="P31" s="127">
        <f>'Расходы на ЗП ОТ'!P31</f>
        <v>0</v>
      </c>
      <c r="Q31" s="127">
        <f>'Расходы на ЗП ОТ'!Q31</f>
        <v>0</v>
      </c>
      <c r="R31" s="127">
        <f>'Расходы на ЗП ОТ'!R31</f>
        <v>0</v>
      </c>
      <c r="S31" s="127">
        <f>'Расходы на ЗП ОТ'!S31</f>
        <v>0</v>
      </c>
      <c r="T31" s="127">
        <f>'Расходы на ЗП ОТ'!T31</f>
        <v>0</v>
      </c>
      <c r="U31" s="127">
        <f>'Расходы на ЗП ОТ'!U31</f>
        <v>0</v>
      </c>
      <c r="V31" s="127">
        <f>'Расходы на ЗП ОТ'!V31</f>
        <v>0</v>
      </c>
      <c r="W31" s="127">
        <f>'Расходы на ЗП ОТ'!W31</f>
        <v>0</v>
      </c>
      <c r="X31" s="127">
        <f>'Расходы на ЗП ОТ'!X31</f>
        <v>0</v>
      </c>
      <c r="Y31" s="127">
        <f>'Расходы на ЗП ОТ'!Y31</f>
        <v>0</v>
      </c>
      <c r="Z31" s="127">
        <f>'Расходы на ЗП ОТ'!Z31</f>
        <v>0</v>
      </c>
      <c r="AA31" s="127">
        <f>'Расходы на ЗП ОТ'!AA31</f>
        <v>0</v>
      </c>
      <c r="AB31" s="127">
        <f>'Расходы на ЗП ОТ'!AB31</f>
        <v>0</v>
      </c>
      <c r="AC31" s="127">
        <f>'Расходы на ЗП ОТ'!AC31</f>
        <v>0</v>
      </c>
      <c r="AD31" s="127">
        <f>'Расходы на ЗП ОТ'!AD31</f>
        <v>0</v>
      </c>
      <c r="AE31" s="127">
        <f>'Расходы на ЗП ОТ'!AE31</f>
        <v>0</v>
      </c>
      <c r="AF31" s="127">
        <f>'Расходы на ЗП ОТ'!AF31</f>
        <v>0</v>
      </c>
      <c r="AG31" s="127">
        <f>'Расходы на ЗП ОТ'!AG31</f>
        <v>0</v>
      </c>
      <c r="AH31" s="127">
        <f>'Расходы на ЗП ОТ'!AH31</f>
        <v>0</v>
      </c>
      <c r="AI31" s="127">
        <f>'Расходы на ЗП ОТ'!AI31</f>
        <v>0</v>
      </c>
      <c r="AJ31" s="127">
        <f>'Расходы на ЗП ОТ'!AJ31</f>
        <v>0</v>
      </c>
      <c r="AK31" s="127">
        <f>'Расходы на ЗП ОТ'!AK31</f>
        <v>0</v>
      </c>
      <c r="AL31" s="127">
        <f>'Расходы на ЗП ОТ'!AL31</f>
        <v>0</v>
      </c>
      <c r="AM31" s="127">
        <f>'Расходы на ЗП ОТ'!AM31</f>
        <v>0</v>
      </c>
      <c r="AN31" s="127">
        <f>'Расходы на ЗП ОТ'!AN31</f>
        <v>0</v>
      </c>
      <c r="AO31" s="127">
        <f>'Расходы на ЗП ОТ'!AO31</f>
        <v>0</v>
      </c>
      <c r="AP31" s="127">
        <f>'Расходы на ЗП ОТ'!AP31</f>
        <v>0</v>
      </c>
      <c r="AQ31" s="127">
        <f>'Расходы на ЗП ОТ'!AQ31</f>
        <v>0</v>
      </c>
      <c r="AR31" s="127"/>
      <c r="AS31" s="127">
        <f t="shared" si="0"/>
        <v>0</v>
      </c>
      <c r="AT31" s="127">
        <f t="shared" si="10"/>
        <v>0</v>
      </c>
      <c r="AU31" s="127">
        <f t="shared" si="1"/>
        <v>0</v>
      </c>
      <c r="AV31" s="127">
        <f t="shared" si="2"/>
        <v>0</v>
      </c>
      <c r="AW31" s="127">
        <f t="shared" si="3"/>
        <v>0</v>
      </c>
      <c r="AX31" s="127">
        <f t="shared" si="4"/>
        <v>0</v>
      </c>
      <c r="AY31" s="127">
        <f t="shared" si="5"/>
        <v>0</v>
      </c>
      <c r="AZ31" s="127">
        <f t="shared" si="6"/>
        <v>0</v>
      </c>
      <c r="BA31" s="127">
        <f t="shared" si="7"/>
        <v>0</v>
      </c>
      <c r="BB31" s="127">
        <f t="shared" si="8"/>
        <v>0</v>
      </c>
      <c r="BC31" s="127">
        <f t="shared" si="9"/>
        <v>0</v>
      </c>
    </row>
    <row r="32" spans="1:55" ht="27.75" customHeight="1" x14ac:dyDescent="0.3">
      <c r="A32" s="124" t="s">
        <v>166</v>
      </c>
      <c r="B32" s="124">
        <f>'Расходы на ЗП ОТ'!B32</f>
        <v>0</v>
      </c>
      <c r="C32" s="127">
        <f>'Расходы на ЗП ОТ'!C32</f>
        <v>0</v>
      </c>
      <c r="D32" s="127">
        <f>'Расходы на ЗП ОТ'!D32</f>
        <v>0</v>
      </c>
      <c r="E32" s="127">
        <f>'Расходы на ЗП ОТ'!E32</f>
        <v>0</v>
      </c>
      <c r="F32" s="127">
        <f>'Расходы на ЗП ОТ'!F32</f>
        <v>0</v>
      </c>
      <c r="G32" s="127">
        <f>'Расходы на ЗП ОТ'!G32</f>
        <v>0</v>
      </c>
      <c r="H32" s="127">
        <f>'Расходы на ЗП ОТ'!H32</f>
        <v>0</v>
      </c>
      <c r="I32" s="127">
        <f>'Расходы на ЗП ОТ'!I32</f>
        <v>0</v>
      </c>
      <c r="J32" s="127">
        <f>'Расходы на ЗП ОТ'!J32</f>
        <v>0</v>
      </c>
      <c r="K32" s="127">
        <f>'Расходы на ЗП ОТ'!K32</f>
        <v>0</v>
      </c>
      <c r="L32" s="127">
        <f>'Расходы на ЗП ОТ'!L32</f>
        <v>0</v>
      </c>
      <c r="M32" s="127">
        <f>'Расходы на ЗП ОТ'!M32</f>
        <v>0</v>
      </c>
      <c r="N32" s="127">
        <f>'Расходы на ЗП ОТ'!N32</f>
        <v>0</v>
      </c>
      <c r="O32" s="127">
        <f>'Расходы на ЗП ОТ'!O32</f>
        <v>0</v>
      </c>
      <c r="P32" s="127">
        <f>'Расходы на ЗП ОТ'!P32</f>
        <v>0</v>
      </c>
      <c r="Q32" s="127">
        <f>'Расходы на ЗП ОТ'!Q32</f>
        <v>0</v>
      </c>
      <c r="R32" s="127">
        <f>'Расходы на ЗП ОТ'!R32</f>
        <v>0</v>
      </c>
      <c r="S32" s="127">
        <f>'Расходы на ЗП ОТ'!S32</f>
        <v>0</v>
      </c>
      <c r="T32" s="127">
        <f>'Расходы на ЗП ОТ'!T32</f>
        <v>0</v>
      </c>
      <c r="U32" s="127">
        <f>'Расходы на ЗП ОТ'!U32</f>
        <v>0</v>
      </c>
      <c r="V32" s="127">
        <f>'Расходы на ЗП ОТ'!V32</f>
        <v>0</v>
      </c>
      <c r="W32" s="127">
        <f>'Расходы на ЗП ОТ'!W32</f>
        <v>0</v>
      </c>
      <c r="X32" s="127">
        <f>'Расходы на ЗП ОТ'!X32</f>
        <v>0</v>
      </c>
      <c r="Y32" s="127">
        <f>'Расходы на ЗП ОТ'!Y32</f>
        <v>0</v>
      </c>
      <c r="Z32" s="127">
        <f>'Расходы на ЗП ОТ'!Z32</f>
        <v>0</v>
      </c>
      <c r="AA32" s="127">
        <f>'Расходы на ЗП ОТ'!AA32</f>
        <v>0</v>
      </c>
      <c r="AB32" s="127">
        <f>'Расходы на ЗП ОТ'!AB32</f>
        <v>0</v>
      </c>
      <c r="AC32" s="127">
        <f>'Расходы на ЗП ОТ'!AC32</f>
        <v>0</v>
      </c>
      <c r="AD32" s="127">
        <f>'Расходы на ЗП ОТ'!AD32</f>
        <v>0</v>
      </c>
      <c r="AE32" s="127">
        <f>'Расходы на ЗП ОТ'!AE32</f>
        <v>0</v>
      </c>
      <c r="AF32" s="127">
        <f>'Расходы на ЗП ОТ'!AF32</f>
        <v>0</v>
      </c>
      <c r="AG32" s="127">
        <f>'Расходы на ЗП ОТ'!AG32</f>
        <v>0</v>
      </c>
      <c r="AH32" s="127">
        <f>'Расходы на ЗП ОТ'!AH32</f>
        <v>0</v>
      </c>
      <c r="AI32" s="127">
        <f>'Расходы на ЗП ОТ'!AI32</f>
        <v>0</v>
      </c>
      <c r="AJ32" s="127">
        <f>'Расходы на ЗП ОТ'!AJ32</f>
        <v>0</v>
      </c>
      <c r="AK32" s="127">
        <f>'Расходы на ЗП ОТ'!AK32</f>
        <v>0</v>
      </c>
      <c r="AL32" s="127">
        <f>'Расходы на ЗП ОТ'!AL32</f>
        <v>0</v>
      </c>
      <c r="AM32" s="127">
        <f>'Расходы на ЗП ОТ'!AM32</f>
        <v>0</v>
      </c>
      <c r="AN32" s="127">
        <f>'Расходы на ЗП ОТ'!AN32</f>
        <v>0</v>
      </c>
      <c r="AO32" s="127">
        <f>'Расходы на ЗП ОТ'!AO32</f>
        <v>0</v>
      </c>
      <c r="AP32" s="127">
        <f>'Расходы на ЗП ОТ'!AP32</f>
        <v>0</v>
      </c>
      <c r="AQ32" s="127">
        <f>'Расходы на ЗП ОТ'!AQ32</f>
        <v>0</v>
      </c>
      <c r="AR32" s="127"/>
      <c r="AS32" s="127">
        <f t="shared" si="0"/>
        <v>0</v>
      </c>
      <c r="AT32" s="127">
        <f t="shared" si="10"/>
        <v>0</v>
      </c>
      <c r="AU32" s="127">
        <f t="shared" si="1"/>
        <v>0</v>
      </c>
      <c r="AV32" s="127">
        <f t="shared" si="2"/>
        <v>0</v>
      </c>
      <c r="AW32" s="127">
        <f t="shared" si="3"/>
        <v>0</v>
      </c>
      <c r="AX32" s="127">
        <f t="shared" si="4"/>
        <v>0</v>
      </c>
      <c r="AY32" s="127">
        <f t="shared" si="5"/>
        <v>0</v>
      </c>
      <c r="AZ32" s="127">
        <f t="shared" si="6"/>
        <v>0</v>
      </c>
      <c r="BA32" s="127">
        <f t="shared" si="7"/>
        <v>0</v>
      </c>
      <c r="BB32" s="127">
        <f t="shared" si="8"/>
        <v>0</v>
      </c>
      <c r="BC32" s="127">
        <f t="shared" si="9"/>
        <v>0</v>
      </c>
    </row>
    <row r="33" spans="1:55" ht="23.25" customHeight="1" x14ac:dyDescent="0.3">
      <c r="A33" s="124" t="s">
        <v>167</v>
      </c>
      <c r="B33" s="124">
        <f>'Расходы на ЗП ОТ'!B33</f>
        <v>0</v>
      </c>
      <c r="C33" s="127">
        <f>'Расходы на ЗП ОТ'!C33</f>
        <v>0</v>
      </c>
      <c r="D33" s="127">
        <f>'Расходы на ЗП ОТ'!D33</f>
        <v>0</v>
      </c>
      <c r="E33" s="127">
        <f>'Расходы на ЗП ОТ'!E33</f>
        <v>0</v>
      </c>
      <c r="F33" s="127">
        <f>'Расходы на ЗП ОТ'!F33</f>
        <v>0</v>
      </c>
      <c r="G33" s="127">
        <f>'Расходы на ЗП ОТ'!G33</f>
        <v>0</v>
      </c>
      <c r="H33" s="127">
        <f>'Расходы на ЗП ОТ'!H33</f>
        <v>0</v>
      </c>
      <c r="I33" s="127">
        <f>'Расходы на ЗП ОТ'!I33</f>
        <v>0</v>
      </c>
      <c r="J33" s="127">
        <f>'Расходы на ЗП ОТ'!J33</f>
        <v>0</v>
      </c>
      <c r="K33" s="127">
        <f>'Расходы на ЗП ОТ'!K33</f>
        <v>0</v>
      </c>
      <c r="L33" s="127">
        <f>'Расходы на ЗП ОТ'!L33</f>
        <v>0</v>
      </c>
      <c r="M33" s="127">
        <f>'Расходы на ЗП ОТ'!M33</f>
        <v>0</v>
      </c>
      <c r="N33" s="127">
        <f>'Расходы на ЗП ОТ'!N33</f>
        <v>0</v>
      </c>
      <c r="O33" s="127">
        <f>'Расходы на ЗП ОТ'!O33</f>
        <v>0</v>
      </c>
      <c r="P33" s="127">
        <f>'Расходы на ЗП ОТ'!P33</f>
        <v>0</v>
      </c>
      <c r="Q33" s="127">
        <f>'Расходы на ЗП ОТ'!Q33</f>
        <v>0</v>
      </c>
      <c r="R33" s="127">
        <f>'Расходы на ЗП ОТ'!R33</f>
        <v>0</v>
      </c>
      <c r="S33" s="127">
        <f>'Расходы на ЗП ОТ'!S33</f>
        <v>0</v>
      </c>
      <c r="T33" s="127">
        <f>'Расходы на ЗП ОТ'!T33</f>
        <v>0</v>
      </c>
      <c r="U33" s="127">
        <f>'Расходы на ЗП ОТ'!U33</f>
        <v>0</v>
      </c>
      <c r="V33" s="127">
        <f>'Расходы на ЗП ОТ'!V33</f>
        <v>0</v>
      </c>
      <c r="W33" s="127">
        <f>'Расходы на ЗП ОТ'!W33</f>
        <v>0</v>
      </c>
      <c r="X33" s="127">
        <f>'Расходы на ЗП ОТ'!X33</f>
        <v>0</v>
      </c>
      <c r="Y33" s="127">
        <f>'Расходы на ЗП ОТ'!Y33</f>
        <v>0</v>
      </c>
      <c r="Z33" s="127">
        <f>'Расходы на ЗП ОТ'!Z33</f>
        <v>0</v>
      </c>
      <c r="AA33" s="127">
        <f>'Расходы на ЗП ОТ'!AA33</f>
        <v>0</v>
      </c>
      <c r="AB33" s="127">
        <f>'Расходы на ЗП ОТ'!AB33</f>
        <v>0</v>
      </c>
      <c r="AC33" s="127">
        <f>'Расходы на ЗП ОТ'!AC33</f>
        <v>0</v>
      </c>
      <c r="AD33" s="127">
        <f>'Расходы на ЗП ОТ'!AD33</f>
        <v>0</v>
      </c>
      <c r="AE33" s="127">
        <f>'Расходы на ЗП ОТ'!AE33</f>
        <v>0</v>
      </c>
      <c r="AF33" s="127">
        <f>'Расходы на ЗП ОТ'!AF33</f>
        <v>0</v>
      </c>
      <c r="AG33" s="127">
        <f>'Расходы на ЗП ОТ'!AG33</f>
        <v>0</v>
      </c>
      <c r="AH33" s="127">
        <f>'Расходы на ЗП ОТ'!AH33</f>
        <v>0</v>
      </c>
      <c r="AI33" s="127">
        <f>'Расходы на ЗП ОТ'!AI33</f>
        <v>0</v>
      </c>
      <c r="AJ33" s="127">
        <f>'Расходы на ЗП ОТ'!AJ33</f>
        <v>0</v>
      </c>
      <c r="AK33" s="127">
        <f>'Расходы на ЗП ОТ'!AK33</f>
        <v>0</v>
      </c>
      <c r="AL33" s="127">
        <f>'Расходы на ЗП ОТ'!AL33</f>
        <v>0</v>
      </c>
      <c r="AM33" s="127">
        <f>'Расходы на ЗП ОТ'!AM33</f>
        <v>0</v>
      </c>
      <c r="AN33" s="127">
        <f>'Расходы на ЗП ОТ'!AN33</f>
        <v>0</v>
      </c>
      <c r="AO33" s="127">
        <f>'Расходы на ЗП ОТ'!AO33</f>
        <v>0</v>
      </c>
      <c r="AP33" s="127">
        <f>'Расходы на ЗП ОТ'!AP33</f>
        <v>0</v>
      </c>
      <c r="AQ33" s="127">
        <f>'Расходы на ЗП ОТ'!AQ33</f>
        <v>0</v>
      </c>
      <c r="AR33" s="127"/>
      <c r="AS33" s="127">
        <f t="shared" si="0"/>
        <v>0</v>
      </c>
      <c r="AT33" s="127">
        <f t="shared" si="10"/>
        <v>0</v>
      </c>
      <c r="AU33" s="127">
        <f t="shared" si="1"/>
        <v>0</v>
      </c>
      <c r="AV33" s="127">
        <f t="shared" si="2"/>
        <v>0</v>
      </c>
      <c r="AW33" s="127">
        <f t="shared" si="3"/>
        <v>0</v>
      </c>
      <c r="AX33" s="127">
        <f t="shared" si="4"/>
        <v>0</v>
      </c>
      <c r="AY33" s="127">
        <f t="shared" si="5"/>
        <v>0</v>
      </c>
      <c r="AZ33" s="127">
        <f t="shared" si="6"/>
        <v>0</v>
      </c>
      <c r="BA33" s="127">
        <f t="shared" si="7"/>
        <v>0</v>
      </c>
      <c r="BB33" s="127">
        <f t="shared" si="8"/>
        <v>0</v>
      </c>
      <c r="BC33" s="127">
        <f t="shared" si="9"/>
        <v>0</v>
      </c>
    </row>
    <row r="34" spans="1:55" s="128" customFormat="1" ht="32.25" customHeight="1" x14ac:dyDescent="0.3">
      <c r="A34" s="129" t="s">
        <v>113</v>
      </c>
      <c r="B34" s="129">
        <f>'Расходы на ЗП ОТ'!B34</f>
        <v>0</v>
      </c>
      <c r="C34" s="130">
        <f>'Расходы на ЗП ОТ'!C34</f>
        <v>0</v>
      </c>
      <c r="D34" s="130">
        <f t="shared" ref="D34:F34" si="24">SUM(D29:D33)</f>
        <v>0</v>
      </c>
      <c r="E34" s="130">
        <f>SUM(E29:E33)</f>
        <v>0</v>
      </c>
      <c r="F34" s="130">
        <f t="shared" si="24"/>
        <v>0</v>
      </c>
      <c r="G34" s="130">
        <f t="shared" ref="G34:AQ34" si="25">SUM(G29:G33)</f>
        <v>0</v>
      </c>
      <c r="H34" s="130">
        <f t="shared" si="25"/>
        <v>0</v>
      </c>
      <c r="I34" s="130">
        <f t="shared" si="25"/>
        <v>0</v>
      </c>
      <c r="J34" s="130">
        <f t="shared" si="25"/>
        <v>0</v>
      </c>
      <c r="K34" s="130">
        <f t="shared" si="25"/>
        <v>0</v>
      </c>
      <c r="L34" s="130">
        <f t="shared" si="25"/>
        <v>0</v>
      </c>
      <c r="M34" s="130">
        <f t="shared" si="25"/>
        <v>0</v>
      </c>
      <c r="N34" s="130">
        <f t="shared" si="25"/>
        <v>0</v>
      </c>
      <c r="O34" s="130">
        <f t="shared" si="25"/>
        <v>0</v>
      </c>
      <c r="P34" s="130">
        <f t="shared" si="25"/>
        <v>0</v>
      </c>
      <c r="Q34" s="130">
        <f t="shared" si="25"/>
        <v>0</v>
      </c>
      <c r="R34" s="130">
        <f t="shared" si="25"/>
        <v>0</v>
      </c>
      <c r="S34" s="130">
        <f t="shared" si="25"/>
        <v>0</v>
      </c>
      <c r="T34" s="130">
        <f t="shared" si="25"/>
        <v>0</v>
      </c>
      <c r="U34" s="130">
        <f t="shared" si="25"/>
        <v>0</v>
      </c>
      <c r="V34" s="130">
        <f t="shared" si="25"/>
        <v>0</v>
      </c>
      <c r="W34" s="130">
        <f t="shared" si="25"/>
        <v>0</v>
      </c>
      <c r="X34" s="130">
        <f t="shared" si="25"/>
        <v>0</v>
      </c>
      <c r="Y34" s="130">
        <f t="shared" si="25"/>
        <v>0</v>
      </c>
      <c r="Z34" s="130">
        <f t="shared" si="25"/>
        <v>0</v>
      </c>
      <c r="AA34" s="130">
        <f t="shared" si="25"/>
        <v>0</v>
      </c>
      <c r="AB34" s="130">
        <f t="shared" si="25"/>
        <v>0</v>
      </c>
      <c r="AC34" s="130">
        <f t="shared" si="25"/>
        <v>0</v>
      </c>
      <c r="AD34" s="130">
        <f t="shared" si="25"/>
        <v>0</v>
      </c>
      <c r="AE34" s="130">
        <f t="shared" si="25"/>
        <v>0</v>
      </c>
      <c r="AF34" s="130">
        <f t="shared" si="25"/>
        <v>0</v>
      </c>
      <c r="AG34" s="130">
        <f t="shared" si="25"/>
        <v>0</v>
      </c>
      <c r="AH34" s="130">
        <f t="shared" si="25"/>
        <v>0</v>
      </c>
      <c r="AI34" s="130">
        <f t="shared" si="25"/>
        <v>0</v>
      </c>
      <c r="AJ34" s="130">
        <f t="shared" si="25"/>
        <v>0</v>
      </c>
      <c r="AK34" s="130">
        <f t="shared" si="25"/>
        <v>0</v>
      </c>
      <c r="AL34" s="130">
        <f t="shared" si="25"/>
        <v>0</v>
      </c>
      <c r="AM34" s="130">
        <f t="shared" si="25"/>
        <v>0</v>
      </c>
      <c r="AN34" s="130">
        <f t="shared" si="25"/>
        <v>0</v>
      </c>
      <c r="AO34" s="130">
        <f t="shared" si="25"/>
        <v>0</v>
      </c>
      <c r="AP34" s="130">
        <f t="shared" si="25"/>
        <v>0</v>
      </c>
      <c r="AQ34" s="130">
        <f t="shared" si="25"/>
        <v>0</v>
      </c>
      <c r="AR34" s="130"/>
      <c r="AS34" s="130">
        <f t="shared" si="0"/>
        <v>0</v>
      </c>
      <c r="AT34" s="130">
        <f t="shared" si="10"/>
        <v>0</v>
      </c>
      <c r="AU34" s="130">
        <f t="shared" si="1"/>
        <v>0</v>
      </c>
      <c r="AV34" s="130">
        <f t="shared" si="2"/>
        <v>0</v>
      </c>
      <c r="AW34" s="130">
        <f t="shared" si="3"/>
        <v>0</v>
      </c>
      <c r="AX34" s="130">
        <f t="shared" si="4"/>
        <v>0</v>
      </c>
      <c r="AY34" s="130">
        <f t="shared" si="5"/>
        <v>0</v>
      </c>
      <c r="AZ34" s="130">
        <f t="shared" si="6"/>
        <v>0</v>
      </c>
      <c r="BA34" s="130">
        <f t="shared" si="7"/>
        <v>0</v>
      </c>
      <c r="BB34" s="130">
        <f t="shared" si="8"/>
        <v>0</v>
      </c>
      <c r="BC34" s="130">
        <f t="shared" si="9"/>
        <v>0</v>
      </c>
    </row>
    <row r="35" spans="1:55" s="131" customFormat="1" ht="28.5" customHeight="1" x14ac:dyDescent="0.3">
      <c r="A35" s="132" t="s">
        <v>114</v>
      </c>
      <c r="B35" s="132">
        <f>'Расходы на ЗП ОТ'!B35</f>
        <v>0</v>
      </c>
      <c r="C35" s="133">
        <f>'Расходы на ЗП ОТ'!C35</f>
        <v>0</v>
      </c>
      <c r="D35" s="133">
        <f>D34*$B$62</f>
        <v>0</v>
      </c>
      <c r="E35" s="133">
        <f t="shared" ref="E35:AQ35" si="26">E34*$B$62</f>
        <v>0</v>
      </c>
      <c r="F35" s="133">
        <f t="shared" si="26"/>
        <v>0</v>
      </c>
      <c r="G35" s="133">
        <f t="shared" si="26"/>
        <v>0</v>
      </c>
      <c r="H35" s="133">
        <f t="shared" si="26"/>
        <v>0</v>
      </c>
      <c r="I35" s="133">
        <f t="shared" si="26"/>
        <v>0</v>
      </c>
      <c r="J35" s="133">
        <f t="shared" si="26"/>
        <v>0</v>
      </c>
      <c r="K35" s="133">
        <f t="shared" si="26"/>
        <v>0</v>
      </c>
      <c r="L35" s="133">
        <f t="shared" si="26"/>
        <v>0</v>
      </c>
      <c r="M35" s="133">
        <f t="shared" si="26"/>
        <v>0</v>
      </c>
      <c r="N35" s="133">
        <f t="shared" si="26"/>
        <v>0</v>
      </c>
      <c r="O35" s="133">
        <f t="shared" si="26"/>
        <v>0</v>
      </c>
      <c r="P35" s="133">
        <f t="shared" si="26"/>
        <v>0</v>
      </c>
      <c r="Q35" s="133">
        <f t="shared" si="26"/>
        <v>0</v>
      </c>
      <c r="R35" s="133">
        <f t="shared" si="26"/>
        <v>0</v>
      </c>
      <c r="S35" s="133">
        <f t="shared" si="26"/>
        <v>0</v>
      </c>
      <c r="T35" s="133">
        <f t="shared" si="26"/>
        <v>0</v>
      </c>
      <c r="U35" s="133">
        <f t="shared" si="26"/>
        <v>0</v>
      </c>
      <c r="V35" s="133">
        <f t="shared" si="26"/>
        <v>0</v>
      </c>
      <c r="W35" s="133">
        <f t="shared" si="26"/>
        <v>0</v>
      </c>
      <c r="X35" s="133">
        <f t="shared" si="26"/>
        <v>0</v>
      </c>
      <c r="Y35" s="133">
        <f t="shared" si="26"/>
        <v>0</v>
      </c>
      <c r="Z35" s="133">
        <f t="shared" si="26"/>
        <v>0</v>
      </c>
      <c r="AA35" s="133">
        <f t="shared" si="26"/>
        <v>0</v>
      </c>
      <c r="AB35" s="133">
        <f t="shared" si="26"/>
        <v>0</v>
      </c>
      <c r="AC35" s="133">
        <f t="shared" si="26"/>
        <v>0</v>
      </c>
      <c r="AD35" s="133">
        <f t="shared" si="26"/>
        <v>0</v>
      </c>
      <c r="AE35" s="133">
        <f t="shared" si="26"/>
        <v>0</v>
      </c>
      <c r="AF35" s="133">
        <f t="shared" si="26"/>
        <v>0</v>
      </c>
      <c r="AG35" s="133">
        <f t="shared" si="26"/>
        <v>0</v>
      </c>
      <c r="AH35" s="133">
        <f t="shared" si="26"/>
        <v>0</v>
      </c>
      <c r="AI35" s="133">
        <f t="shared" si="26"/>
        <v>0</v>
      </c>
      <c r="AJ35" s="133">
        <f t="shared" si="26"/>
        <v>0</v>
      </c>
      <c r="AK35" s="133">
        <f t="shared" si="26"/>
        <v>0</v>
      </c>
      <c r="AL35" s="133">
        <f t="shared" si="26"/>
        <v>0</v>
      </c>
      <c r="AM35" s="133">
        <f t="shared" si="26"/>
        <v>0</v>
      </c>
      <c r="AN35" s="133">
        <f t="shared" si="26"/>
        <v>0</v>
      </c>
      <c r="AO35" s="133">
        <f t="shared" si="26"/>
        <v>0</v>
      </c>
      <c r="AP35" s="133">
        <f t="shared" si="26"/>
        <v>0</v>
      </c>
      <c r="AQ35" s="133">
        <f t="shared" si="26"/>
        <v>0</v>
      </c>
      <c r="AR35" s="133"/>
      <c r="AS35" s="133">
        <f t="shared" si="0"/>
        <v>0</v>
      </c>
      <c r="AT35" s="133">
        <f t="shared" si="10"/>
        <v>0</v>
      </c>
      <c r="AU35" s="133">
        <f t="shared" si="1"/>
        <v>0</v>
      </c>
      <c r="AV35" s="133">
        <f t="shared" si="2"/>
        <v>0</v>
      </c>
      <c r="AW35" s="133">
        <f t="shared" si="3"/>
        <v>0</v>
      </c>
      <c r="AX35" s="133">
        <f t="shared" si="4"/>
        <v>0</v>
      </c>
      <c r="AY35" s="133">
        <f t="shared" si="5"/>
        <v>0</v>
      </c>
      <c r="AZ35" s="133">
        <f t="shared" si="6"/>
        <v>0</v>
      </c>
      <c r="BA35" s="133">
        <f t="shared" si="7"/>
        <v>0</v>
      </c>
      <c r="BB35" s="133">
        <f t="shared" si="8"/>
        <v>0</v>
      </c>
      <c r="BC35" s="133">
        <f t="shared" si="9"/>
        <v>0</v>
      </c>
    </row>
    <row r="36" spans="1:55" ht="48" customHeight="1" x14ac:dyDescent="0.3">
      <c r="A36" s="124" t="s">
        <v>130</v>
      </c>
      <c r="B36" s="124"/>
      <c r="C36" s="124"/>
      <c r="D36" s="124"/>
      <c r="E36" s="124"/>
      <c r="F36" s="124"/>
      <c r="G36" s="124"/>
      <c r="H36" s="124"/>
      <c r="I36" s="124"/>
      <c r="J36" s="124"/>
      <c r="K36" s="124"/>
      <c r="L36" s="124"/>
      <c r="M36" s="124"/>
      <c r="N36" s="124"/>
      <c r="O36" s="124"/>
      <c r="P36" s="124"/>
      <c r="Q36" s="124"/>
      <c r="R36" s="124"/>
      <c r="S36" s="124"/>
      <c r="T36" s="124"/>
      <c r="U36" s="124"/>
      <c r="V36" s="124"/>
      <c r="W36" s="124"/>
      <c r="X36" s="124"/>
      <c r="Y36" s="124"/>
      <c r="Z36" s="124"/>
      <c r="AA36" s="124"/>
      <c r="AB36" s="124"/>
      <c r="AC36" s="124"/>
      <c r="AD36" s="124"/>
      <c r="AE36" s="124"/>
      <c r="AF36" s="124"/>
      <c r="AG36" s="124"/>
      <c r="AH36" s="124"/>
      <c r="AI36" s="124"/>
      <c r="AJ36" s="124"/>
      <c r="AK36" s="124"/>
      <c r="AL36" s="124"/>
      <c r="AM36" s="124"/>
      <c r="AN36" s="124"/>
      <c r="AO36" s="124"/>
      <c r="AP36" s="124"/>
      <c r="AQ36" s="124"/>
      <c r="AR36" s="124"/>
      <c r="AS36" s="124">
        <f t="shared" si="0"/>
        <v>0</v>
      </c>
      <c r="AT36" s="124">
        <f t="shared" si="10"/>
        <v>0</v>
      </c>
      <c r="AU36" s="124">
        <f t="shared" si="1"/>
        <v>0</v>
      </c>
      <c r="AV36" s="124">
        <f t="shared" si="2"/>
        <v>0</v>
      </c>
      <c r="AW36" s="124">
        <f t="shared" si="3"/>
        <v>0</v>
      </c>
      <c r="AX36" s="124">
        <f t="shared" si="4"/>
        <v>0</v>
      </c>
      <c r="AY36" s="124">
        <f t="shared" si="5"/>
        <v>0</v>
      </c>
      <c r="AZ36" s="124">
        <f t="shared" si="6"/>
        <v>0</v>
      </c>
      <c r="BA36" s="124">
        <f t="shared" si="7"/>
        <v>0</v>
      </c>
      <c r="BB36" s="124">
        <f t="shared" si="8"/>
        <v>0</v>
      </c>
      <c r="BC36" s="127">
        <f t="shared" si="9"/>
        <v>0</v>
      </c>
    </row>
    <row r="37" spans="1:55" x14ac:dyDescent="0.3">
      <c r="A37" s="124" t="s">
        <v>131</v>
      </c>
      <c r="B37" s="124">
        <f>'Расходы на ЗП ОТ'!B37</f>
        <v>0</v>
      </c>
      <c r="C37" s="124">
        <f>'Расходы на ЗП ОТ'!C37</f>
        <v>0</v>
      </c>
      <c r="D37" s="124">
        <f>'Расходы на ЗП ОТ'!D37</f>
        <v>0</v>
      </c>
      <c r="E37" s="124">
        <f>'Расходы на ЗП ОТ'!E37</f>
        <v>0</v>
      </c>
      <c r="F37" s="124">
        <f>'Расходы на ЗП ОТ'!F37</f>
        <v>0</v>
      </c>
      <c r="G37" s="124">
        <f>'Расходы на ЗП ОТ'!G37</f>
        <v>0</v>
      </c>
      <c r="H37" s="124">
        <f>'Расходы на ЗП ОТ'!H37</f>
        <v>0</v>
      </c>
      <c r="I37" s="124">
        <f>'Расходы на ЗП ОТ'!I37</f>
        <v>0</v>
      </c>
      <c r="J37" s="124">
        <f>'Расходы на ЗП ОТ'!J37</f>
        <v>0</v>
      </c>
      <c r="K37" s="124">
        <f>'Расходы на ЗП ОТ'!K37</f>
        <v>0</v>
      </c>
      <c r="L37" s="124">
        <f>'Расходы на ЗП ОТ'!L37</f>
        <v>0</v>
      </c>
      <c r="M37" s="124">
        <f>'Расходы на ЗП ОТ'!M37</f>
        <v>0</v>
      </c>
      <c r="N37" s="124">
        <f>'Расходы на ЗП ОТ'!N37</f>
        <v>0</v>
      </c>
      <c r="O37" s="124">
        <f>'Расходы на ЗП ОТ'!O37</f>
        <v>0</v>
      </c>
      <c r="P37" s="124">
        <f>'Расходы на ЗП ОТ'!P37</f>
        <v>0</v>
      </c>
      <c r="Q37" s="124">
        <f>'Расходы на ЗП ОТ'!Q37</f>
        <v>0</v>
      </c>
      <c r="R37" s="124">
        <f>'Расходы на ЗП ОТ'!R37</f>
        <v>0</v>
      </c>
      <c r="S37" s="124">
        <f>'Расходы на ЗП ОТ'!S37</f>
        <v>0</v>
      </c>
      <c r="T37" s="124">
        <f>'Расходы на ЗП ОТ'!T37</f>
        <v>0</v>
      </c>
      <c r="U37" s="124">
        <f>'Расходы на ЗП ОТ'!U37</f>
        <v>0</v>
      </c>
      <c r="V37" s="124">
        <f>'Расходы на ЗП ОТ'!V37</f>
        <v>0</v>
      </c>
      <c r="W37" s="124">
        <f>'Расходы на ЗП ОТ'!W37</f>
        <v>0</v>
      </c>
      <c r="X37" s="124">
        <f>'Расходы на ЗП ОТ'!X37</f>
        <v>0</v>
      </c>
      <c r="Y37" s="124">
        <f>'Расходы на ЗП ОТ'!Y37</f>
        <v>0</v>
      </c>
      <c r="Z37" s="124">
        <f>'Расходы на ЗП ОТ'!Z37</f>
        <v>0</v>
      </c>
      <c r="AA37" s="124">
        <f>'Расходы на ЗП ОТ'!AA37</f>
        <v>0</v>
      </c>
      <c r="AB37" s="124">
        <f>'Расходы на ЗП ОТ'!AB37</f>
        <v>0</v>
      </c>
      <c r="AC37" s="124">
        <f>'Расходы на ЗП ОТ'!AC37</f>
        <v>0</v>
      </c>
      <c r="AD37" s="124">
        <f>'Расходы на ЗП ОТ'!AD37</f>
        <v>0</v>
      </c>
      <c r="AE37" s="124">
        <f>'Расходы на ЗП ОТ'!AE37</f>
        <v>0</v>
      </c>
      <c r="AF37" s="124">
        <f>'Расходы на ЗП ОТ'!AF37</f>
        <v>0</v>
      </c>
      <c r="AG37" s="124">
        <f>'Расходы на ЗП ОТ'!AG37</f>
        <v>0</v>
      </c>
      <c r="AH37" s="124">
        <f>'Расходы на ЗП ОТ'!AH37</f>
        <v>0</v>
      </c>
      <c r="AI37" s="124">
        <f>'Расходы на ЗП ОТ'!AI37</f>
        <v>0</v>
      </c>
      <c r="AJ37" s="124">
        <f>'Расходы на ЗП ОТ'!AJ37</f>
        <v>0</v>
      </c>
      <c r="AK37" s="124">
        <f>'Расходы на ЗП ОТ'!AK37</f>
        <v>0</v>
      </c>
      <c r="AL37" s="124">
        <f>'Расходы на ЗП ОТ'!AL37</f>
        <v>0</v>
      </c>
      <c r="AM37" s="124">
        <f>'Расходы на ЗП ОТ'!AM37</f>
        <v>0</v>
      </c>
      <c r="AN37" s="124">
        <f>'Расходы на ЗП ОТ'!AN37</f>
        <v>0</v>
      </c>
      <c r="AO37" s="124">
        <f>'Расходы на ЗП ОТ'!AO37</f>
        <v>0</v>
      </c>
      <c r="AP37" s="124">
        <f>'Расходы на ЗП ОТ'!AP37</f>
        <v>0</v>
      </c>
      <c r="AQ37" s="124">
        <f>'Расходы на ЗП ОТ'!AQ37</f>
        <v>0</v>
      </c>
      <c r="AR37" s="124"/>
      <c r="AS37" s="124">
        <f t="shared" si="0"/>
        <v>0</v>
      </c>
      <c r="AT37" s="124">
        <f t="shared" si="10"/>
        <v>0</v>
      </c>
      <c r="AU37" s="124">
        <f t="shared" si="1"/>
        <v>0</v>
      </c>
      <c r="AV37" s="124">
        <f t="shared" si="2"/>
        <v>0</v>
      </c>
      <c r="AW37" s="124">
        <f t="shared" si="3"/>
        <v>0</v>
      </c>
      <c r="AX37" s="124">
        <f t="shared" si="4"/>
        <v>0</v>
      </c>
      <c r="AY37" s="124">
        <f t="shared" si="5"/>
        <v>0</v>
      </c>
      <c r="AZ37" s="124">
        <f t="shared" si="6"/>
        <v>0</v>
      </c>
      <c r="BA37" s="124">
        <f t="shared" si="7"/>
        <v>0</v>
      </c>
      <c r="BB37" s="124">
        <f t="shared" si="8"/>
        <v>0</v>
      </c>
      <c r="BC37" s="127">
        <f t="shared" si="9"/>
        <v>0</v>
      </c>
    </row>
    <row r="38" spans="1:55" x14ac:dyDescent="0.3">
      <c r="A38" s="124" t="s">
        <v>132</v>
      </c>
      <c r="B38" s="124">
        <f>'Расходы на ЗП ОТ'!B38</f>
        <v>0</v>
      </c>
      <c r="C38" s="124">
        <f>'Расходы на ЗП ОТ'!C38</f>
        <v>0</v>
      </c>
      <c r="D38" s="124">
        <f>'Расходы на ЗП ОТ'!D38</f>
        <v>0</v>
      </c>
      <c r="E38" s="124">
        <f>'Расходы на ЗП ОТ'!E38</f>
        <v>0</v>
      </c>
      <c r="F38" s="124">
        <f>'Расходы на ЗП ОТ'!F38</f>
        <v>0</v>
      </c>
      <c r="G38" s="124">
        <f>'Расходы на ЗП ОТ'!G38</f>
        <v>0</v>
      </c>
      <c r="H38" s="124">
        <f>'Расходы на ЗП ОТ'!H38</f>
        <v>0</v>
      </c>
      <c r="I38" s="124">
        <f>'Расходы на ЗП ОТ'!I38</f>
        <v>0</v>
      </c>
      <c r="J38" s="124">
        <f>'Расходы на ЗП ОТ'!J38</f>
        <v>0</v>
      </c>
      <c r="K38" s="124">
        <f>'Расходы на ЗП ОТ'!K38</f>
        <v>0</v>
      </c>
      <c r="L38" s="124">
        <f>'Расходы на ЗП ОТ'!L38</f>
        <v>0</v>
      </c>
      <c r="M38" s="124">
        <f>'Расходы на ЗП ОТ'!M38</f>
        <v>0</v>
      </c>
      <c r="N38" s="124">
        <f>'Расходы на ЗП ОТ'!N38</f>
        <v>0</v>
      </c>
      <c r="O38" s="124">
        <f>'Расходы на ЗП ОТ'!O38</f>
        <v>0</v>
      </c>
      <c r="P38" s="124">
        <f>'Расходы на ЗП ОТ'!P38</f>
        <v>0</v>
      </c>
      <c r="Q38" s="124">
        <f>'Расходы на ЗП ОТ'!Q38</f>
        <v>0</v>
      </c>
      <c r="R38" s="124">
        <f>'Расходы на ЗП ОТ'!R38</f>
        <v>0</v>
      </c>
      <c r="S38" s="124">
        <f>'Расходы на ЗП ОТ'!S38</f>
        <v>0</v>
      </c>
      <c r="T38" s="124">
        <f>'Расходы на ЗП ОТ'!T38</f>
        <v>0</v>
      </c>
      <c r="U38" s="124">
        <f>'Расходы на ЗП ОТ'!U38</f>
        <v>0</v>
      </c>
      <c r="V38" s="124">
        <f>'Расходы на ЗП ОТ'!V38</f>
        <v>0</v>
      </c>
      <c r="W38" s="124">
        <f>'Расходы на ЗП ОТ'!W38</f>
        <v>0</v>
      </c>
      <c r="X38" s="124">
        <f>'Расходы на ЗП ОТ'!X38</f>
        <v>0</v>
      </c>
      <c r="Y38" s="124">
        <f>'Расходы на ЗП ОТ'!Y38</f>
        <v>0</v>
      </c>
      <c r="Z38" s="124">
        <f>'Расходы на ЗП ОТ'!Z38</f>
        <v>0</v>
      </c>
      <c r="AA38" s="124">
        <f>'Расходы на ЗП ОТ'!AA38</f>
        <v>0</v>
      </c>
      <c r="AB38" s="124">
        <f>'Расходы на ЗП ОТ'!AB38</f>
        <v>0</v>
      </c>
      <c r="AC38" s="124">
        <f>'Расходы на ЗП ОТ'!AC38</f>
        <v>0</v>
      </c>
      <c r="AD38" s="124">
        <f>'Расходы на ЗП ОТ'!AD38</f>
        <v>0</v>
      </c>
      <c r="AE38" s="124">
        <f>'Расходы на ЗП ОТ'!AE38</f>
        <v>0</v>
      </c>
      <c r="AF38" s="124">
        <f>'Расходы на ЗП ОТ'!AF38</f>
        <v>0</v>
      </c>
      <c r="AG38" s="124">
        <f>'Расходы на ЗП ОТ'!AG38</f>
        <v>0</v>
      </c>
      <c r="AH38" s="124">
        <f>'Расходы на ЗП ОТ'!AH38</f>
        <v>0</v>
      </c>
      <c r="AI38" s="124">
        <f>'Расходы на ЗП ОТ'!AI38</f>
        <v>0</v>
      </c>
      <c r="AJ38" s="124">
        <f>'Расходы на ЗП ОТ'!AJ38</f>
        <v>0</v>
      </c>
      <c r="AK38" s="124">
        <f>'Расходы на ЗП ОТ'!AK38</f>
        <v>0</v>
      </c>
      <c r="AL38" s="124">
        <f>'Расходы на ЗП ОТ'!AL38</f>
        <v>0</v>
      </c>
      <c r="AM38" s="124">
        <f>'Расходы на ЗП ОТ'!AM38</f>
        <v>0</v>
      </c>
      <c r="AN38" s="124">
        <f>'Расходы на ЗП ОТ'!AN38</f>
        <v>0</v>
      </c>
      <c r="AO38" s="124">
        <f>'Расходы на ЗП ОТ'!AO38</f>
        <v>0</v>
      </c>
      <c r="AP38" s="124">
        <f>'Расходы на ЗП ОТ'!AP38</f>
        <v>0</v>
      </c>
      <c r="AQ38" s="124">
        <f>'Расходы на ЗП ОТ'!AQ38</f>
        <v>0</v>
      </c>
      <c r="AR38" s="124"/>
      <c r="AS38" s="124">
        <f t="shared" si="0"/>
        <v>0</v>
      </c>
      <c r="AT38" s="124">
        <f t="shared" si="10"/>
        <v>0</v>
      </c>
      <c r="AU38" s="124">
        <f t="shared" si="1"/>
        <v>0</v>
      </c>
      <c r="AV38" s="124">
        <f t="shared" si="2"/>
        <v>0</v>
      </c>
      <c r="AW38" s="124">
        <f t="shared" si="3"/>
        <v>0</v>
      </c>
      <c r="AX38" s="124">
        <f t="shared" si="4"/>
        <v>0</v>
      </c>
      <c r="AY38" s="124">
        <f t="shared" si="5"/>
        <v>0</v>
      </c>
      <c r="AZ38" s="124">
        <f t="shared" si="6"/>
        <v>0</v>
      </c>
      <c r="BA38" s="124">
        <f t="shared" si="7"/>
        <v>0</v>
      </c>
      <c r="BB38" s="124">
        <f t="shared" si="8"/>
        <v>0</v>
      </c>
      <c r="BC38" s="127">
        <f t="shared" si="9"/>
        <v>0</v>
      </c>
    </row>
    <row r="39" spans="1:55" x14ac:dyDescent="0.3">
      <c r="A39" s="124" t="s">
        <v>133</v>
      </c>
      <c r="B39" s="124">
        <f>'Расходы на ЗП ОТ'!B39</f>
        <v>0</v>
      </c>
      <c r="C39" s="124">
        <f>'Расходы на ЗП ОТ'!C39</f>
        <v>0</v>
      </c>
      <c r="D39" s="124">
        <f>'Расходы на ЗП ОТ'!D39</f>
        <v>0</v>
      </c>
      <c r="E39" s="124">
        <f>'Расходы на ЗП ОТ'!E39</f>
        <v>0</v>
      </c>
      <c r="F39" s="124">
        <f>'Расходы на ЗП ОТ'!F39</f>
        <v>0</v>
      </c>
      <c r="G39" s="124">
        <f>'Расходы на ЗП ОТ'!G39</f>
        <v>0</v>
      </c>
      <c r="H39" s="124">
        <f>'Расходы на ЗП ОТ'!H39</f>
        <v>0</v>
      </c>
      <c r="I39" s="124">
        <f>'Расходы на ЗП ОТ'!I39</f>
        <v>0</v>
      </c>
      <c r="J39" s="124">
        <f>'Расходы на ЗП ОТ'!J39</f>
        <v>0</v>
      </c>
      <c r="K39" s="124">
        <f>'Расходы на ЗП ОТ'!K39</f>
        <v>0</v>
      </c>
      <c r="L39" s="124">
        <f>'Расходы на ЗП ОТ'!L39</f>
        <v>0</v>
      </c>
      <c r="M39" s="124">
        <f>'Расходы на ЗП ОТ'!M39</f>
        <v>0</v>
      </c>
      <c r="N39" s="124">
        <f>'Расходы на ЗП ОТ'!N39</f>
        <v>0</v>
      </c>
      <c r="O39" s="124">
        <f>'Расходы на ЗП ОТ'!O39</f>
        <v>0</v>
      </c>
      <c r="P39" s="124">
        <f>'Расходы на ЗП ОТ'!P39</f>
        <v>0</v>
      </c>
      <c r="Q39" s="124">
        <f>'Расходы на ЗП ОТ'!Q39</f>
        <v>0</v>
      </c>
      <c r="R39" s="124">
        <f>'Расходы на ЗП ОТ'!R39</f>
        <v>0</v>
      </c>
      <c r="S39" s="124">
        <f>'Расходы на ЗП ОТ'!S39</f>
        <v>0</v>
      </c>
      <c r="T39" s="124">
        <f>'Расходы на ЗП ОТ'!T39</f>
        <v>0</v>
      </c>
      <c r="U39" s="124">
        <f>'Расходы на ЗП ОТ'!U39</f>
        <v>0</v>
      </c>
      <c r="V39" s="124">
        <f>'Расходы на ЗП ОТ'!V39</f>
        <v>0</v>
      </c>
      <c r="W39" s="124">
        <f>'Расходы на ЗП ОТ'!W39</f>
        <v>0</v>
      </c>
      <c r="X39" s="124">
        <f>'Расходы на ЗП ОТ'!X39</f>
        <v>0</v>
      </c>
      <c r="Y39" s="124">
        <f>'Расходы на ЗП ОТ'!Y39</f>
        <v>0</v>
      </c>
      <c r="Z39" s="124">
        <f>'Расходы на ЗП ОТ'!Z39</f>
        <v>0</v>
      </c>
      <c r="AA39" s="124">
        <f>'Расходы на ЗП ОТ'!AA39</f>
        <v>0</v>
      </c>
      <c r="AB39" s="124">
        <f>'Расходы на ЗП ОТ'!AB39</f>
        <v>0</v>
      </c>
      <c r="AC39" s="124">
        <f>'Расходы на ЗП ОТ'!AC39</f>
        <v>0</v>
      </c>
      <c r="AD39" s="124">
        <f>'Расходы на ЗП ОТ'!AD39</f>
        <v>0</v>
      </c>
      <c r="AE39" s="124">
        <f>'Расходы на ЗП ОТ'!AE39</f>
        <v>0</v>
      </c>
      <c r="AF39" s="124">
        <f>'Расходы на ЗП ОТ'!AF39</f>
        <v>0</v>
      </c>
      <c r="AG39" s="124">
        <f>'Расходы на ЗП ОТ'!AG39</f>
        <v>0</v>
      </c>
      <c r="AH39" s="124">
        <f>'Расходы на ЗП ОТ'!AH39</f>
        <v>0</v>
      </c>
      <c r="AI39" s="124">
        <f>'Расходы на ЗП ОТ'!AI39</f>
        <v>0</v>
      </c>
      <c r="AJ39" s="124">
        <f>'Расходы на ЗП ОТ'!AJ39</f>
        <v>0</v>
      </c>
      <c r="AK39" s="124">
        <f>'Расходы на ЗП ОТ'!AK39</f>
        <v>0</v>
      </c>
      <c r="AL39" s="124">
        <f>'Расходы на ЗП ОТ'!AL39</f>
        <v>0</v>
      </c>
      <c r="AM39" s="124">
        <f>'Расходы на ЗП ОТ'!AM39</f>
        <v>0</v>
      </c>
      <c r="AN39" s="124">
        <f>'Расходы на ЗП ОТ'!AN39</f>
        <v>0</v>
      </c>
      <c r="AO39" s="124">
        <f>'Расходы на ЗП ОТ'!AO39</f>
        <v>0</v>
      </c>
      <c r="AP39" s="124">
        <f>'Расходы на ЗП ОТ'!AP39</f>
        <v>0</v>
      </c>
      <c r="AQ39" s="124">
        <f>'Расходы на ЗП ОТ'!AQ39</f>
        <v>0</v>
      </c>
      <c r="AR39" s="124"/>
      <c r="AS39" s="124">
        <f t="shared" si="0"/>
        <v>0</v>
      </c>
      <c r="AT39" s="124">
        <f t="shared" si="10"/>
        <v>0</v>
      </c>
      <c r="AU39" s="124">
        <f t="shared" si="1"/>
        <v>0</v>
      </c>
      <c r="AV39" s="124">
        <f t="shared" si="2"/>
        <v>0</v>
      </c>
      <c r="AW39" s="124">
        <f t="shared" si="3"/>
        <v>0</v>
      </c>
      <c r="AX39" s="124">
        <f t="shared" si="4"/>
        <v>0</v>
      </c>
      <c r="AY39" s="124">
        <f t="shared" si="5"/>
        <v>0</v>
      </c>
      <c r="AZ39" s="124">
        <f t="shared" si="6"/>
        <v>0</v>
      </c>
      <c r="BA39" s="124">
        <f t="shared" si="7"/>
        <v>0</v>
      </c>
      <c r="BB39" s="124">
        <f t="shared" si="8"/>
        <v>0</v>
      </c>
      <c r="BC39" s="127">
        <f t="shared" si="9"/>
        <v>0</v>
      </c>
    </row>
    <row r="40" spans="1:55" x14ac:dyDescent="0.3">
      <c r="A40" s="124" t="s">
        <v>134</v>
      </c>
      <c r="B40" s="124">
        <f>'Расходы на ЗП ОТ'!B40</f>
        <v>0</v>
      </c>
      <c r="C40" s="124">
        <f>'Расходы на ЗП ОТ'!C40</f>
        <v>0</v>
      </c>
      <c r="D40" s="124">
        <f>'Расходы на ЗП ОТ'!D40</f>
        <v>0</v>
      </c>
      <c r="E40" s="124">
        <f>'Расходы на ЗП ОТ'!E40</f>
        <v>0</v>
      </c>
      <c r="F40" s="124">
        <f>'Расходы на ЗП ОТ'!F40</f>
        <v>0</v>
      </c>
      <c r="G40" s="124">
        <f>'Расходы на ЗП ОТ'!G40</f>
        <v>0</v>
      </c>
      <c r="H40" s="124">
        <f>'Расходы на ЗП ОТ'!H40</f>
        <v>0</v>
      </c>
      <c r="I40" s="124">
        <f>'Расходы на ЗП ОТ'!I40</f>
        <v>0</v>
      </c>
      <c r="J40" s="124">
        <f>'Расходы на ЗП ОТ'!J40</f>
        <v>0</v>
      </c>
      <c r="K40" s="124">
        <f>'Расходы на ЗП ОТ'!K40</f>
        <v>0</v>
      </c>
      <c r="L40" s="124">
        <f>'Расходы на ЗП ОТ'!L40</f>
        <v>0</v>
      </c>
      <c r="M40" s="124">
        <f>'Расходы на ЗП ОТ'!M40</f>
        <v>0</v>
      </c>
      <c r="N40" s="124">
        <f>'Расходы на ЗП ОТ'!N40</f>
        <v>0</v>
      </c>
      <c r="O40" s="124">
        <f>'Расходы на ЗП ОТ'!O40</f>
        <v>0</v>
      </c>
      <c r="P40" s="124">
        <f>'Расходы на ЗП ОТ'!P40</f>
        <v>0</v>
      </c>
      <c r="Q40" s="124">
        <f>'Расходы на ЗП ОТ'!Q40</f>
        <v>0</v>
      </c>
      <c r="R40" s="124">
        <f>'Расходы на ЗП ОТ'!R40</f>
        <v>0</v>
      </c>
      <c r="S40" s="124">
        <f>'Расходы на ЗП ОТ'!S40</f>
        <v>0</v>
      </c>
      <c r="T40" s="124">
        <f>'Расходы на ЗП ОТ'!T40</f>
        <v>0</v>
      </c>
      <c r="U40" s="124">
        <f>'Расходы на ЗП ОТ'!U40</f>
        <v>0</v>
      </c>
      <c r="V40" s="124">
        <f>'Расходы на ЗП ОТ'!V40</f>
        <v>0</v>
      </c>
      <c r="W40" s="124">
        <f>'Расходы на ЗП ОТ'!W40</f>
        <v>0</v>
      </c>
      <c r="X40" s="124">
        <f>'Расходы на ЗП ОТ'!X40</f>
        <v>0</v>
      </c>
      <c r="Y40" s="124">
        <f>'Расходы на ЗП ОТ'!Y40</f>
        <v>0</v>
      </c>
      <c r="Z40" s="124">
        <f>'Расходы на ЗП ОТ'!Z40</f>
        <v>0</v>
      </c>
      <c r="AA40" s="124">
        <f>'Расходы на ЗП ОТ'!AA40</f>
        <v>0</v>
      </c>
      <c r="AB40" s="124">
        <f>'Расходы на ЗП ОТ'!AB40</f>
        <v>0</v>
      </c>
      <c r="AC40" s="124">
        <f>'Расходы на ЗП ОТ'!AC40</f>
        <v>0</v>
      </c>
      <c r="AD40" s="124">
        <f>'Расходы на ЗП ОТ'!AD40</f>
        <v>0</v>
      </c>
      <c r="AE40" s="124">
        <f>'Расходы на ЗП ОТ'!AE40</f>
        <v>0</v>
      </c>
      <c r="AF40" s="124">
        <f>'Расходы на ЗП ОТ'!AF40</f>
        <v>0</v>
      </c>
      <c r="AG40" s="124">
        <f>'Расходы на ЗП ОТ'!AG40</f>
        <v>0</v>
      </c>
      <c r="AH40" s="124">
        <f>'Расходы на ЗП ОТ'!AH40</f>
        <v>0</v>
      </c>
      <c r="AI40" s="124">
        <f>'Расходы на ЗП ОТ'!AI40</f>
        <v>0</v>
      </c>
      <c r="AJ40" s="124">
        <f>'Расходы на ЗП ОТ'!AJ40</f>
        <v>0</v>
      </c>
      <c r="AK40" s="124">
        <f>'Расходы на ЗП ОТ'!AK40</f>
        <v>0</v>
      </c>
      <c r="AL40" s="124">
        <f>'Расходы на ЗП ОТ'!AL40</f>
        <v>0</v>
      </c>
      <c r="AM40" s="124">
        <f>'Расходы на ЗП ОТ'!AM40</f>
        <v>0</v>
      </c>
      <c r="AN40" s="124">
        <f>'Расходы на ЗП ОТ'!AN40</f>
        <v>0</v>
      </c>
      <c r="AO40" s="124">
        <f>'Расходы на ЗП ОТ'!AO40</f>
        <v>0</v>
      </c>
      <c r="AP40" s="124">
        <f>'Расходы на ЗП ОТ'!AP40</f>
        <v>0</v>
      </c>
      <c r="AQ40" s="124">
        <f>'Расходы на ЗП ОТ'!AQ40</f>
        <v>0</v>
      </c>
      <c r="AR40" s="124"/>
      <c r="AS40" s="124">
        <f t="shared" si="0"/>
        <v>0</v>
      </c>
      <c r="AT40" s="124">
        <f t="shared" si="10"/>
        <v>0</v>
      </c>
      <c r="AU40" s="124">
        <f t="shared" si="1"/>
        <v>0</v>
      </c>
      <c r="AV40" s="124">
        <f t="shared" si="2"/>
        <v>0</v>
      </c>
      <c r="AW40" s="124">
        <f t="shared" si="3"/>
        <v>0</v>
      </c>
      <c r="AX40" s="124">
        <f t="shared" si="4"/>
        <v>0</v>
      </c>
      <c r="AY40" s="124">
        <f t="shared" si="5"/>
        <v>0</v>
      </c>
      <c r="AZ40" s="124">
        <f t="shared" si="6"/>
        <v>0</v>
      </c>
      <c r="BA40" s="124">
        <f t="shared" si="7"/>
        <v>0</v>
      </c>
      <c r="BB40" s="124">
        <f t="shared" si="8"/>
        <v>0</v>
      </c>
      <c r="BC40" s="127">
        <f t="shared" si="9"/>
        <v>0</v>
      </c>
    </row>
    <row r="41" spans="1:55" x14ac:dyDescent="0.3">
      <c r="A41" s="124" t="s">
        <v>135</v>
      </c>
      <c r="B41" s="124">
        <f>'Расходы на ЗП ОТ'!B41</f>
        <v>0</v>
      </c>
      <c r="C41" s="124">
        <f>'Расходы на ЗП ОТ'!C41</f>
        <v>0</v>
      </c>
      <c r="D41" s="124">
        <f>'Расходы на ЗП ОТ'!D41</f>
        <v>0</v>
      </c>
      <c r="E41" s="124">
        <f>'Расходы на ЗП ОТ'!E41</f>
        <v>0</v>
      </c>
      <c r="F41" s="124">
        <f>'Расходы на ЗП ОТ'!F41</f>
        <v>0</v>
      </c>
      <c r="G41" s="124">
        <f>'Расходы на ЗП ОТ'!G41</f>
        <v>0</v>
      </c>
      <c r="H41" s="124">
        <f>'Расходы на ЗП ОТ'!H41</f>
        <v>0</v>
      </c>
      <c r="I41" s="124">
        <f>'Расходы на ЗП ОТ'!I41</f>
        <v>0</v>
      </c>
      <c r="J41" s="124">
        <f>'Расходы на ЗП ОТ'!J41</f>
        <v>0</v>
      </c>
      <c r="K41" s="124">
        <f>'Расходы на ЗП ОТ'!K41</f>
        <v>0</v>
      </c>
      <c r="L41" s="124">
        <f>'Расходы на ЗП ОТ'!L41</f>
        <v>0</v>
      </c>
      <c r="M41" s="124">
        <f>'Расходы на ЗП ОТ'!M41</f>
        <v>0</v>
      </c>
      <c r="N41" s="124">
        <f>'Расходы на ЗП ОТ'!N41</f>
        <v>0</v>
      </c>
      <c r="O41" s="124">
        <f>'Расходы на ЗП ОТ'!O41</f>
        <v>0</v>
      </c>
      <c r="P41" s="124">
        <f>'Расходы на ЗП ОТ'!P41</f>
        <v>0</v>
      </c>
      <c r="Q41" s="124">
        <f>'Расходы на ЗП ОТ'!Q41</f>
        <v>0</v>
      </c>
      <c r="R41" s="124">
        <f>'Расходы на ЗП ОТ'!R41</f>
        <v>0</v>
      </c>
      <c r="S41" s="124">
        <f>'Расходы на ЗП ОТ'!S41</f>
        <v>0</v>
      </c>
      <c r="T41" s="124">
        <f>'Расходы на ЗП ОТ'!T41</f>
        <v>0</v>
      </c>
      <c r="U41" s="124">
        <f>'Расходы на ЗП ОТ'!U41</f>
        <v>0</v>
      </c>
      <c r="V41" s="124">
        <f>'Расходы на ЗП ОТ'!V41</f>
        <v>0</v>
      </c>
      <c r="W41" s="124">
        <f>'Расходы на ЗП ОТ'!W41</f>
        <v>0</v>
      </c>
      <c r="X41" s="124">
        <f>'Расходы на ЗП ОТ'!X41</f>
        <v>0</v>
      </c>
      <c r="Y41" s="124">
        <f>'Расходы на ЗП ОТ'!Y41</f>
        <v>0</v>
      </c>
      <c r="Z41" s="124">
        <f>'Расходы на ЗП ОТ'!Z41</f>
        <v>0</v>
      </c>
      <c r="AA41" s="124">
        <f>'Расходы на ЗП ОТ'!AA41</f>
        <v>0</v>
      </c>
      <c r="AB41" s="124">
        <f>'Расходы на ЗП ОТ'!AB41</f>
        <v>0</v>
      </c>
      <c r="AC41" s="124">
        <f>'Расходы на ЗП ОТ'!AC41</f>
        <v>0</v>
      </c>
      <c r="AD41" s="124">
        <f>'Расходы на ЗП ОТ'!AD41</f>
        <v>0</v>
      </c>
      <c r="AE41" s="124">
        <f>'Расходы на ЗП ОТ'!AE41</f>
        <v>0</v>
      </c>
      <c r="AF41" s="124">
        <f>'Расходы на ЗП ОТ'!AF41</f>
        <v>0</v>
      </c>
      <c r="AG41" s="124">
        <f>'Расходы на ЗП ОТ'!AG41</f>
        <v>0</v>
      </c>
      <c r="AH41" s="124">
        <f>'Расходы на ЗП ОТ'!AH41</f>
        <v>0</v>
      </c>
      <c r="AI41" s="124">
        <f>'Расходы на ЗП ОТ'!AI41</f>
        <v>0</v>
      </c>
      <c r="AJ41" s="124">
        <f>'Расходы на ЗП ОТ'!AJ41</f>
        <v>0</v>
      </c>
      <c r="AK41" s="124">
        <f>'Расходы на ЗП ОТ'!AK41</f>
        <v>0</v>
      </c>
      <c r="AL41" s="124">
        <f>'Расходы на ЗП ОТ'!AL41</f>
        <v>0</v>
      </c>
      <c r="AM41" s="124">
        <f>'Расходы на ЗП ОТ'!AM41</f>
        <v>0</v>
      </c>
      <c r="AN41" s="124">
        <f>'Расходы на ЗП ОТ'!AN41</f>
        <v>0</v>
      </c>
      <c r="AO41" s="124">
        <f>'Расходы на ЗП ОТ'!AO41</f>
        <v>0</v>
      </c>
      <c r="AP41" s="124">
        <f>'Расходы на ЗП ОТ'!AP41</f>
        <v>0</v>
      </c>
      <c r="AQ41" s="124">
        <f>'Расходы на ЗП ОТ'!AQ41</f>
        <v>0</v>
      </c>
      <c r="AR41" s="124"/>
      <c r="AS41" s="124">
        <f t="shared" si="0"/>
        <v>0</v>
      </c>
      <c r="AT41" s="124">
        <f t="shared" si="10"/>
        <v>0</v>
      </c>
      <c r="AU41" s="124">
        <f t="shared" si="1"/>
        <v>0</v>
      </c>
      <c r="AV41" s="124">
        <f t="shared" si="2"/>
        <v>0</v>
      </c>
      <c r="AW41" s="124">
        <f t="shared" si="3"/>
        <v>0</v>
      </c>
      <c r="AX41" s="124">
        <f t="shared" si="4"/>
        <v>0</v>
      </c>
      <c r="AY41" s="124">
        <f t="shared" si="5"/>
        <v>0</v>
      </c>
      <c r="AZ41" s="124">
        <f t="shared" si="6"/>
        <v>0</v>
      </c>
      <c r="BA41" s="124">
        <f t="shared" si="7"/>
        <v>0</v>
      </c>
      <c r="BB41" s="124">
        <f t="shared" si="8"/>
        <v>0</v>
      </c>
      <c r="BC41" s="127">
        <f t="shared" si="9"/>
        <v>0</v>
      </c>
    </row>
    <row r="42" spans="1:55" x14ac:dyDescent="0.3">
      <c r="A42" s="124" t="s">
        <v>136</v>
      </c>
      <c r="B42" s="124">
        <f>'Расходы на ЗП ОТ'!B42</f>
        <v>0</v>
      </c>
      <c r="C42" s="124">
        <f>'Расходы на ЗП ОТ'!C42</f>
        <v>0</v>
      </c>
      <c r="D42" s="124">
        <f>'Расходы на ЗП ОТ'!D42</f>
        <v>0</v>
      </c>
      <c r="E42" s="124">
        <f>'Расходы на ЗП ОТ'!E42</f>
        <v>0</v>
      </c>
      <c r="F42" s="124">
        <f>'Расходы на ЗП ОТ'!F42</f>
        <v>0</v>
      </c>
      <c r="G42" s="124">
        <f>'Расходы на ЗП ОТ'!G42</f>
        <v>0</v>
      </c>
      <c r="H42" s="124">
        <f>'Расходы на ЗП ОТ'!H42</f>
        <v>0</v>
      </c>
      <c r="I42" s="124">
        <f>'Расходы на ЗП ОТ'!I42</f>
        <v>0</v>
      </c>
      <c r="J42" s="124">
        <f>'Расходы на ЗП ОТ'!J42</f>
        <v>0</v>
      </c>
      <c r="K42" s="124">
        <f>'Расходы на ЗП ОТ'!K42</f>
        <v>0</v>
      </c>
      <c r="L42" s="124">
        <f>'Расходы на ЗП ОТ'!L42</f>
        <v>0</v>
      </c>
      <c r="M42" s="124">
        <f>'Расходы на ЗП ОТ'!M42</f>
        <v>0</v>
      </c>
      <c r="N42" s="124">
        <f>'Расходы на ЗП ОТ'!N42</f>
        <v>0</v>
      </c>
      <c r="O42" s="124">
        <f>'Расходы на ЗП ОТ'!O42</f>
        <v>0</v>
      </c>
      <c r="P42" s="124">
        <f>'Расходы на ЗП ОТ'!P42</f>
        <v>0</v>
      </c>
      <c r="Q42" s="124">
        <f>'Расходы на ЗП ОТ'!Q42</f>
        <v>0</v>
      </c>
      <c r="R42" s="124">
        <f>'Расходы на ЗП ОТ'!R42</f>
        <v>0</v>
      </c>
      <c r="S42" s="124">
        <f>'Расходы на ЗП ОТ'!S42</f>
        <v>0</v>
      </c>
      <c r="T42" s="124">
        <f>'Расходы на ЗП ОТ'!T42</f>
        <v>0</v>
      </c>
      <c r="U42" s="124">
        <f>'Расходы на ЗП ОТ'!U42</f>
        <v>0</v>
      </c>
      <c r="V42" s="124">
        <f>'Расходы на ЗП ОТ'!V42</f>
        <v>0</v>
      </c>
      <c r="W42" s="124">
        <f>'Расходы на ЗП ОТ'!W42</f>
        <v>0</v>
      </c>
      <c r="X42" s="124">
        <f>'Расходы на ЗП ОТ'!X42</f>
        <v>0</v>
      </c>
      <c r="Y42" s="124">
        <f>'Расходы на ЗП ОТ'!Y42</f>
        <v>0</v>
      </c>
      <c r="Z42" s="124">
        <f>'Расходы на ЗП ОТ'!Z42</f>
        <v>0</v>
      </c>
      <c r="AA42" s="124">
        <f>'Расходы на ЗП ОТ'!AA42</f>
        <v>0</v>
      </c>
      <c r="AB42" s="124">
        <f>'Расходы на ЗП ОТ'!AB42</f>
        <v>0</v>
      </c>
      <c r="AC42" s="124">
        <f>'Расходы на ЗП ОТ'!AC42</f>
        <v>0</v>
      </c>
      <c r="AD42" s="124">
        <f>'Расходы на ЗП ОТ'!AD42</f>
        <v>0</v>
      </c>
      <c r="AE42" s="124">
        <f>'Расходы на ЗП ОТ'!AE42</f>
        <v>0</v>
      </c>
      <c r="AF42" s="124">
        <f>'Расходы на ЗП ОТ'!AF42</f>
        <v>0</v>
      </c>
      <c r="AG42" s="124">
        <f>'Расходы на ЗП ОТ'!AG42</f>
        <v>0</v>
      </c>
      <c r="AH42" s="124">
        <f>'Расходы на ЗП ОТ'!AH42</f>
        <v>0</v>
      </c>
      <c r="AI42" s="124">
        <f>'Расходы на ЗП ОТ'!AI42</f>
        <v>0</v>
      </c>
      <c r="AJ42" s="124">
        <f>'Расходы на ЗП ОТ'!AJ42</f>
        <v>0</v>
      </c>
      <c r="AK42" s="124">
        <f>'Расходы на ЗП ОТ'!AK42</f>
        <v>0</v>
      </c>
      <c r="AL42" s="124">
        <f>'Расходы на ЗП ОТ'!AL42</f>
        <v>0</v>
      </c>
      <c r="AM42" s="124">
        <f>'Расходы на ЗП ОТ'!AM42</f>
        <v>0</v>
      </c>
      <c r="AN42" s="124">
        <f>'Расходы на ЗП ОТ'!AN42</f>
        <v>0</v>
      </c>
      <c r="AO42" s="124">
        <f>'Расходы на ЗП ОТ'!AO42</f>
        <v>0</v>
      </c>
      <c r="AP42" s="124">
        <f>'Расходы на ЗП ОТ'!AP42</f>
        <v>0</v>
      </c>
      <c r="AQ42" s="124">
        <f>'Расходы на ЗП ОТ'!AQ42</f>
        <v>0</v>
      </c>
      <c r="AR42" s="124"/>
      <c r="AS42" s="124">
        <f t="shared" si="0"/>
        <v>0</v>
      </c>
      <c r="AT42" s="124">
        <f t="shared" si="10"/>
        <v>0</v>
      </c>
      <c r="AU42" s="124">
        <f t="shared" si="1"/>
        <v>0</v>
      </c>
      <c r="AV42" s="124">
        <f t="shared" si="2"/>
        <v>0</v>
      </c>
      <c r="AW42" s="124">
        <f t="shared" si="3"/>
        <v>0</v>
      </c>
      <c r="AX42" s="124">
        <f t="shared" si="4"/>
        <v>0</v>
      </c>
      <c r="AY42" s="124">
        <f t="shared" si="5"/>
        <v>0</v>
      </c>
      <c r="AZ42" s="124">
        <f t="shared" si="6"/>
        <v>0</v>
      </c>
      <c r="BA42" s="124">
        <f t="shared" si="7"/>
        <v>0</v>
      </c>
      <c r="BB42" s="124">
        <f t="shared" si="8"/>
        <v>0</v>
      </c>
      <c r="BC42" s="127">
        <f t="shared" si="9"/>
        <v>0</v>
      </c>
    </row>
    <row r="43" spans="1:55" x14ac:dyDescent="0.3">
      <c r="A43" s="124" t="s">
        <v>137</v>
      </c>
      <c r="B43" s="124">
        <f>'Расходы на ЗП ОТ'!B43</f>
        <v>0</v>
      </c>
      <c r="C43" s="124">
        <f>'Расходы на ЗП ОТ'!C43</f>
        <v>0</v>
      </c>
      <c r="D43" s="124">
        <f>'Расходы на ЗП ОТ'!D43</f>
        <v>0</v>
      </c>
      <c r="E43" s="124">
        <f>'Расходы на ЗП ОТ'!E43</f>
        <v>0</v>
      </c>
      <c r="F43" s="124">
        <f>'Расходы на ЗП ОТ'!F43</f>
        <v>0</v>
      </c>
      <c r="G43" s="124">
        <f>'Расходы на ЗП ОТ'!G43</f>
        <v>0</v>
      </c>
      <c r="H43" s="124">
        <f>'Расходы на ЗП ОТ'!H43</f>
        <v>0</v>
      </c>
      <c r="I43" s="124">
        <f>'Расходы на ЗП ОТ'!I43</f>
        <v>0</v>
      </c>
      <c r="J43" s="124">
        <f>'Расходы на ЗП ОТ'!J43</f>
        <v>0</v>
      </c>
      <c r="K43" s="124">
        <f>'Расходы на ЗП ОТ'!K43</f>
        <v>0</v>
      </c>
      <c r="L43" s="124">
        <f>'Расходы на ЗП ОТ'!L43</f>
        <v>0</v>
      </c>
      <c r="M43" s="124">
        <f>'Расходы на ЗП ОТ'!M43</f>
        <v>0</v>
      </c>
      <c r="N43" s="124">
        <f>'Расходы на ЗП ОТ'!N43</f>
        <v>0</v>
      </c>
      <c r="O43" s="124">
        <f>'Расходы на ЗП ОТ'!O43</f>
        <v>0</v>
      </c>
      <c r="P43" s="124">
        <f>'Расходы на ЗП ОТ'!P43</f>
        <v>0</v>
      </c>
      <c r="Q43" s="124">
        <f>'Расходы на ЗП ОТ'!Q43</f>
        <v>0</v>
      </c>
      <c r="R43" s="124">
        <f>'Расходы на ЗП ОТ'!R43</f>
        <v>0</v>
      </c>
      <c r="S43" s="124">
        <f>'Расходы на ЗП ОТ'!S43</f>
        <v>0</v>
      </c>
      <c r="T43" s="124">
        <f>'Расходы на ЗП ОТ'!T43</f>
        <v>0</v>
      </c>
      <c r="U43" s="124">
        <f>'Расходы на ЗП ОТ'!U43</f>
        <v>0</v>
      </c>
      <c r="V43" s="124">
        <f>'Расходы на ЗП ОТ'!V43</f>
        <v>0</v>
      </c>
      <c r="W43" s="124">
        <f>'Расходы на ЗП ОТ'!W43</f>
        <v>0</v>
      </c>
      <c r="X43" s="124">
        <f>'Расходы на ЗП ОТ'!X43</f>
        <v>0</v>
      </c>
      <c r="Y43" s="124">
        <f>'Расходы на ЗП ОТ'!Y43</f>
        <v>0</v>
      </c>
      <c r="Z43" s="124">
        <f>'Расходы на ЗП ОТ'!Z43</f>
        <v>0</v>
      </c>
      <c r="AA43" s="124">
        <f>'Расходы на ЗП ОТ'!AA43</f>
        <v>0</v>
      </c>
      <c r="AB43" s="124">
        <f>'Расходы на ЗП ОТ'!AB43</f>
        <v>0</v>
      </c>
      <c r="AC43" s="124">
        <f>'Расходы на ЗП ОТ'!AC43</f>
        <v>0</v>
      </c>
      <c r="AD43" s="124">
        <f>'Расходы на ЗП ОТ'!AD43</f>
        <v>0</v>
      </c>
      <c r="AE43" s="124">
        <f>'Расходы на ЗП ОТ'!AE43</f>
        <v>0</v>
      </c>
      <c r="AF43" s="124">
        <f>'Расходы на ЗП ОТ'!AF43</f>
        <v>0</v>
      </c>
      <c r="AG43" s="124">
        <f>'Расходы на ЗП ОТ'!AG43</f>
        <v>0</v>
      </c>
      <c r="AH43" s="124">
        <f>'Расходы на ЗП ОТ'!AH43</f>
        <v>0</v>
      </c>
      <c r="AI43" s="124">
        <f>'Расходы на ЗП ОТ'!AI43</f>
        <v>0</v>
      </c>
      <c r="AJ43" s="124">
        <f>'Расходы на ЗП ОТ'!AJ43</f>
        <v>0</v>
      </c>
      <c r="AK43" s="124">
        <f>'Расходы на ЗП ОТ'!AK43</f>
        <v>0</v>
      </c>
      <c r="AL43" s="124">
        <f>'Расходы на ЗП ОТ'!AL43</f>
        <v>0</v>
      </c>
      <c r="AM43" s="124">
        <f>'Расходы на ЗП ОТ'!AM43</f>
        <v>0</v>
      </c>
      <c r="AN43" s="124">
        <f>'Расходы на ЗП ОТ'!AN43</f>
        <v>0</v>
      </c>
      <c r="AO43" s="124">
        <f>'Расходы на ЗП ОТ'!AO43</f>
        <v>0</v>
      </c>
      <c r="AP43" s="124">
        <f>'Расходы на ЗП ОТ'!AP43</f>
        <v>0</v>
      </c>
      <c r="AQ43" s="124">
        <f>'Расходы на ЗП ОТ'!AQ43</f>
        <v>0</v>
      </c>
      <c r="AR43" s="124"/>
      <c r="AS43" s="124">
        <f t="shared" si="0"/>
        <v>0</v>
      </c>
      <c r="AT43" s="124">
        <f t="shared" si="10"/>
        <v>0</v>
      </c>
      <c r="AU43" s="124">
        <f t="shared" si="1"/>
        <v>0</v>
      </c>
      <c r="AV43" s="124">
        <f t="shared" si="2"/>
        <v>0</v>
      </c>
      <c r="AW43" s="124">
        <f t="shared" si="3"/>
        <v>0</v>
      </c>
      <c r="AX43" s="124">
        <f t="shared" si="4"/>
        <v>0</v>
      </c>
      <c r="AY43" s="124">
        <f t="shared" si="5"/>
        <v>0</v>
      </c>
      <c r="AZ43" s="124">
        <f t="shared" si="6"/>
        <v>0</v>
      </c>
      <c r="BA43" s="124">
        <f t="shared" si="7"/>
        <v>0</v>
      </c>
      <c r="BB43" s="124">
        <f t="shared" si="8"/>
        <v>0</v>
      </c>
      <c r="BC43" s="127">
        <f t="shared" si="9"/>
        <v>0</v>
      </c>
    </row>
    <row r="44" spans="1:55" x14ac:dyDescent="0.3">
      <c r="A44" s="124" t="s">
        <v>138</v>
      </c>
      <c r="B44" s="124">
        <f>'Расходы на ЗП ОТ'!B44</f>
        <v>0</v>
      </c>
      <c r="C44" s="124">
        <f>'Расходы на ЗП ОТ'!C44</f>
        <v>0</v>
      </c>
      <c r="D44" s="124">
        <f>'Расходы на ЗП ОТ'!D44</f>
        <v>0</v>
      </c>
      <c r="E44" s="124">
        <f>'Расходы на ЗП ОТ'!E44</f>
        <v>0</v>
      </c>
      <c r="F44" s="124">
        <f>'Расходы на ЗП ОТ'!F44</f>
        <v>0</v>
      </c>
      <c r="G44" s="124">
        <f>'Расходы на ЗП ОТ'!G44</f>
        <v>0</v>
      </c>
      <c r="H44" s="124">
        <f>'Расходы на ЗП ОТ'!H44</f>
        <v>0</v>
      </c>
      <c r="I44" s="124">
        <f>'Расходы на ЗП ОТ'!I44</f>
        <v>0</v>
      </c>
      <c r="J44" s="124">
        <f>'Расходы на ЗП ОТ'!J44</f>
        <v>0</v>
      </c>
      <c r="K44" s="124">
        <f>'Расходы на ЗП ОТ'!K44</f>
        <v>0</v>
      </c>
      <c r="L44" s="124">
        <f>'Расходы на ЗП ОТ'!L44</f>
        <v>0</v>
      </c>
      <c r="M44" s="124">
        <f>'Расходы на ЗП ОТ'!M44</f>
        <v>0</v>
      </c>
      <c r="N44" s="124">
        <f>'Расходы на ЗП ОТ'!N44</f>
        <v>0</v>
      </c>
      <c r="O44" s="124">
        <f>'Расходы на ЗП ОТ'!O44</f>
        <v>0</v>
      </c>
      <c r="P44" s="124">
        <f>'Расходы на ЗП ОТ'!P44</f>
        <v>0</v>
      </c>
      <c r="Q44" s="124">
        <f>'Расходы на ЗП ОТ'!Q44</f>
        <v>0</v>
      </c>
      <c r="R44" s="124">
        <f>'Расходы на ЗП ОТ'!R44</f>
        <v>0</v>
      </c>
      <c r="S44" s="124">
        <f>'Расходы на ЗП ОТ'!S44</f>
        <v>0</v>
      </c>
      <c r="T44" s="124">
        <f>'Расходы на ЗП ОТ'!T44</f>
        <v>0</v>
      </c>
      <c r="U44" s="124">
        <f>'Расходы на ЗП ОТ'!U44</f>
        <v>0</v>
      </c>
      <c r="V44" s="124">
        <f>'Расходы на ЗП ОТ'!V44</f>
        <v>0</v>
      </c>
      <c r="W44" s="124">
        <f>'Расходы на ЗП ОТ'!W44</f>
        <v>0</v>
      </c>
      <c r="X44" s="124">
        <f>'Расходы на ЗП ОТ'!X44</f>
        <v>0</v>
      </c>
      <c r="Y44" s="124">
        <f>'Расходы на ЗП ОТ'!Y44</f>
        <v>0</v>
      </c>
      <c r="Z44" s="124">
        <f>'Расходы на ЗП ОТ'!Z44</f>
        <v>0</v>
      </c>
      <c r="AA44" s="124">
        <f>'Расходы на ЗП ОТ'!AA44</f>
        <v>0</v>
      </c>
      <c r="AB44" s="124">
        <f>'Расходы на ЗП ОТ'!AB44</f>
        <v>0</v>
      </c>
      <c r="AC44" s="124">
        <f>'Расходы на ЗП ОТ'!AC44</f>
        <v>0</v>
      </c>
      <c r="AD44" s="124">
        <f>'Расходы на ЗП ОТ'!AD44</f>
        <v>0</v>
      </c>
      <c r="AE44" s="124">
        <f>'Расходы на ЗП ОТ'!AE44</f>
        <v>0</v>
      </c>
      <c r="AF44" s="124">
        <f>'Расходы на ЗП ОТ'!AF44</f>
        <v>0</v>
      </c>
      <c r="AG44" s="124">
        <f>'Расходы на ЗП ОТ'!AG44</f>
        <v>0</v>
      </c>
      <c r="AH44" s="124">
        <f>'Расходы на ЗП ОТ'!AH44</f>
        <v>0</v>
      </c>
      <c r="AI44" s="124">
        <f>'Расходы на ЗП ОТ'!AI44</f>
        <v>0</v>
      </c>
      <c r="AJ44" s="124">
        <f>'Расходы на ЗП ОТ'!AJ44</f>
        <v>0</v>
      </c>
      <c r="AK44" s="124">
        <f>'Расходы на ЗП ОТ'!AK44</f>
        <v>0</v>
      </c>
      <c r="AL44" s="124">
        <f>'Расходы на ЗП ОТ'!AL44</f>
        <v>0</v>
      </c>
      <c r="AM44" s="124">
        <f>'Расходы на ЗП ОТ'!AM44</f>
        <v>0</v>
      </c>
      <c r="AN44" s="124">
        <f>'Расходы на ЗП ОТ'!AN44</f>
        <v>0</v>
      </c>
      <c r="AO44" s="124">
        <f>'Расходы на ЗП ОТ'!AO44</f>
        <v>0</v>
      </c>
      <c r="AP44" s="124">
        <f>'Расходы на ЗП ОТ'!AP44</f>
        <v>0</v>
      </c>
      <c r="AQ44" s="124">
        <f>'Расходы на ЗП ОТ'!AQ44</f>
        <v>0</v>
      </c>
      <c r="AR44" s="124"/>
      <c r="AS44" s="124">
        <f t="shared" si="0"/>
        <v>0</v>
      </c>
      <c r="AT44" s="124">
        <f t="shared" si="10"/>
        <v>0</v>
      </c>
      <c r="AU44" s="124">
        <f t="shared" si="1"/>
        <v>0</v>
      </c>
      <c r="AV44" s="124">
        <f t="shared" si="2"/>
        <v>0</v>
      </c>
      <c r="AW44" s="124">
        <f t="shared" si="3"/>
        <v>0</v>
      </c>
      <c r="AX44" s="124">
        <f t="shared" si="4"/>
        <v>0</v>
      </c>
      <c r="AY44" s="124">
        <f t="shared" si="5"/>
        <v>0</v>
      </c>
      <c r="AZ44" s="124">
        <f t="shared" si="6"/>
        <v>0</v>
      </c>
      <c r="BA44" s="124">
        <f t="shared" si="7"/>
        <v>0</v>
      </c>
      <c r="BB44" s="124">
        <f t="shared" si="8"/>
        <v>0</v>
      </c>
      <c r="BC44" s="127">
        <f t="shared" si="9"/>
        <v>0</v>
      </c>
    </row>
    <row r="45" spans="1:55" x14ac:dyDescent="0.3">
      <c r="A45" s="124" t="s">
        <v>139</v>
      </c>
      <c r="B45" s="124">
        <f>'Расходы на ЗП ОТ'!B45</f>
        <v>0</v>
      </c>
      <c r="C45" s="124">
        <f>'Расходы на ЗП ОТ'!C45</f>
        <v>0</v>
      </c>
      <c r="D45" s="124">
        <f>'Расходы на ЗП ОТ'!D45</f>
        <v>0</v>
      </c>
      <c r="E45" s="124">
        <f>'Расходы на ЗП ОТ'!E45</f>
        <v>0</v>
      </c>
      <c r="F45" s="124">
        <f>'Расходы на ЗП ОТ'!F45</f>
        <v>0</v>
      </c>
      <c r="G45" s="124">
        <f>'Расходы на ЗП ОТ'!G45</f>
        <v>0</v>
      </c>
      <c r="H45" s="124">
        <f>'Расходы на ЗП ОТ'!H45</f>
        <v>0</v>
      </c>
      <c r="I45" s="124">
        <f>'Расходы на ЗП ОТ'!I45</f>
        <v>0</v>
      </c>
      <c r="J45" s="124">
        <f>'Расходы на ЗП ОТ'!J45</f>
        <v>0</v>
      </c>
      <c r="K45" s="124">
        <f>'Расходы на ЗП ОТ'!K45</f>
        <v>0</v>
      </c>
      <c r="L45" s="124">
        <f>'Расходы на ЗП ОТ'!L45</f>
        <v>0</v>
      </c>
      <c r="M45" s="124">
        <f>'Расходы на ЗП ОТ'!M45</f>
        <v>0</v>
      </c>
      <c r="N45" s="124">
        <f>'Расходы на ЗП ОТ'!N45</f>
        <v>0</v>
      </c>
      <c r="O45" s="124">
        <f>'Расходы на ЗП ОТ'!O45</f>
        <v>0</v>
      </c>
      <c r="P45" s="124">
        <f>'Расходы на ЗП ОТ'!P45</f>
        <v>0</v>
      </c>
      <c r="Q45" s="124">
        <f>'Расходы на ЗП ОТ'!Q45</f>
        <v>0</v>
      </c>
      <c r="R45" s="124">
        <f>'Расходы на ЗП ОТ'!R45</f>
        <v>0</v>
      </c>
      <c r="S45" s="124">
        <f>'Расходы на ЗП ОТ'!S45</f>
        <v>0</v>
      </c>
      <c r="T45" s="124">
        <f>'Расходы на ЗП ОТ'!T45</f>
        <v>0</v>
      </c>
      <c r="U45" s="124">
        <f>'Расходы на ЗП ОТ'!U45</f>
        <v>0</v>
      </c>
      <c r="V45" s="124">
        <f>'Расходы на ЗП ОТ'!V45</f>
        <v>0</v>
      </c>
      <c r="W45" s="124">
        <f>'Расходы на ЗП ОТ'!W45</f>
        <v>0</v>
      </c>
      <c r="X45" s="124">
        <f>'Расходы на ЗП ОТ'!X45</f>
        <v>0</v>
      </c>
      <c r="Y45" s="124">
        <f>'Расходы на ЗП ОТ'!Y45</f>
        <v>0</v>
      </c>
      <c r="Z45" s="124">
        <f>'Расходы на ЗП ОТ'!Z45</f>
        <v>0</v>
      </c>
      <c r="AA45" s="124">
        <f>'Расходы на ЗП ОТ'!AA45</f>
        <v>0</v>
      </c>
      <c r="AB45" s="124">
        <f>'Расходы на ЗП ОТ'!AB45</f>
        <v>0</v>
      </c>
      <c r="AC45" s="124">
        <f>'Расходы на ЗП ОТ'!AC45</f>
        <v>0</v>
      </c>
      <c r="AD45" s="124">
        <f>'Расходы на ЗП ОТ'!AD45</f>
        <v>0</v>
      </c>
      <c r="AE45" s="124">
        <f>'Расходы на ЗП ОТ'!AE45</f>
        <v>0</v>
      </c>
      <c r="AF45" s="124">
        <f>'Расходы на ЗП ОТ'!AF45</f>
        <v>0</v>
      </c>
      <c r="AG45" s="124">
        <f>'Расходы на ЗП ОТ'!AG45</f>
        <v>0</v>
      </c>
      <c r="AH45" s="124">
        <f>'Расходы на ЗП ОТ'!AH45</f>
        <v>0</v>
      </c>
      <c r="AI45" s="124">
        <f>'Расходы на ЗП ОТ'!AI45</f>
        <v>0</v>
      </c>
      <c r="AJ45" s="124">
        <f>'Расходы на ЗП ОТ'!AJ45</f>
        <v>0</v>
      </c>
      <c r="AK45" s="124">
        <f>'Расходы на ЗП ОТ'!AK45</f>
        <v>0</v>
      </c>
      <c r="AL45" s="124">
        <f>'Расходы на ЗП ОТ'!AL45</f>
        <v>0</v>
      </c>
      <c r="AM45" s="124">
        <f>'Расходы на ЗП ОТ'!AM45</f>
        <v>0</v>
      </c>
      <c r="AN45" s="124">
        <f>'Расходы на ЗП ОТ'!AN45</f>
        <v>0</v>
      </c>
      <c r="AO45" s="124">
        <f>'Расходы на ЗП ОТ'!AO45</f>
        <v>0</v>
      </c>
      <c r="AP45" s="124">
        <f>'Расходы на ЗП ОТ'!AP45</f>
        <v>0</v>
      </c>
      <c r="AQ45" s="124">
        <f>'Расходы на ЗП ОТ'!AQ45</f>
        <v>0</v>
      </c>
      <c r="AR45" s="124"/>
      <c r="AS45" s="124">
        <f t="shared" si="0"/>
        <v>0</v>
      </c>
      <c r="AT45" s="124">
        <f t="shared" si="10"/>
        <v>0</v>
      </c>
      <c r="AU45" s="124">
        <f t="shared" si="1"/>
        <v>0</v>
      </c>
      <c r="AV45" s="124">
        <f t="shared" si="2"/>
        <v>0</v>
      </c>
      <c r="AW45" s="124">
        <f t="shared" si="3"/>
        <v>0</v>
      </c>
      <c r="AX45" s="124">
        <f t="shared" si="4"/>
        <v>0</v>
      </c>
      <c r="AY45" s="124">
        <f t="shared" si="5"/>
        <v>0</v>
      </c>
      <c r="AZ45" s="124">
        <f t="shared" si="6"/>
        <v>0</v>
      </c>
      <c r="BA45" s="124">
        <f t="shared" si="7"/>
        <v>0</v>
      </c>
      <c r="BB45" s="124">
        <f t="shared" si="8"/>
        <v>0</v>
      </c>
      <c r="BC45" s="127">
        <f t="shared" si="9"/>
        <v>0</v>
      </c>
    </row>
    <row r="46" spans="1:55" ht="28.8" x14ac:dyDescent="0.3">
      <c r="A46" s="124" t="s">
        <v>140</v>
      </c>
      <c r="B46" s="124">
        <f>'Расходы на ЗП ОТ'!B46</f>
        <v>0</v>
      </c>
      <c r="C46" s="124">
        <f>'Расходы на ЗП ОТ'!C46</f>
        <v>0</v>
      </c>
      <c r="D46" s="124">
        <f>'Расходы на ЗП ОТ'!D46</f>
        <v>0</v>
      </c>
      <c r="E46" s="124">
        <f>'Расходы на ЗП ОТ'!E46</f>
        <v>0</v>
      </c>
      <c r="F46" s="124">
        <f>'Расходы на ЗП ОТ'!F46</f>
        <v>0</v>
      </c>
      <c r="G46" s="124">
        <f>'Расходы на ЗП ОТ'!G46</f>
        <v>0</v>
      </c>
      <c r="H46" s="124">
        <f>'Расходы на ЗП ОТ'!H46</f>
        <v>0</v>
      </c>
      <c r="I46" s="124">
        <f>'Расходы на ЗП ОТ'!I46</f>
        <v>0</v>
      </c>
      <c r="J46" s="124">
        <f>'Расходы на ЗП ОТ'!J46</f>
        <v>0</v>
      </c>
      <c r="K46" s="124">
        <f>'Расходы на ЗП ОТ'!K46</f>
        <v>0</v>
      </c>
      <c r="L46" s="124">
        <f>'Расходы на ЗП ОТ'!L46</f>
        <v>0</v>
      </c>
      <c r="M46" s="124">
        <f>'Расходы на ЗП ОТ'!M46</f>
        <v>0</v>
      </c>
      <c r="N46" s="124">
        <f>'Расходы на ЗП ОТ'!N46</f>
        <v>0</v>
      </c>
      <c r="O46" s="124">
        <f>'Расходы на ЗП ОТ'!O46</f>
        <v>0</v>
      </c>
      <c r="P46" s="124">
        <f>'Расходы на ЗП ОТ'!P46</f>
        <v>0</v>
      </c>
      <c r="Q46" s="124">
        <f>'Расходы на ЗП ОТ'!Q46</f>
        <v>0</v>
      </c>
      <c r="R46" s="124">
        <f>'Расходы на ЗП ОТ'!R46</f>
        <v>0</v>
      </c>
      <c r="S46" s="124">
        <f>'Расходы на ЗП ОТ'!S46</f>
        <v>0</v>
      </c>
      <c r="T46" s="124">
        <f>'Расходы на ЗП ОТ'!T46</f>
        <v>0</v>
      </c>
      <c r="U46" s="124">
        <f>'Расходы на ЗП ОТ'!U46</f>
        <v>0</v>
      </c>
      <c r="V46" s="124">
        <f>'Расходы на ЗП ОТ'!V46</f>
        <v>0</v>
      </c>
      <c r="W46" s="124">
        <f>'Расходы на ЗП ОТ'!W46</f>
        <v>0</v>
      </c>
      <c r="X46" s="124">
        <f>'Расходы на ЗП ОТ'!X46</f>
        <v>0</v>
      </c>
      <c r="Y46" s="124">
        <f>'Расходы на ЗП ОТ'!Y46</f>
        <v>0</v>
      </c>
      <c r="Z46" s="124">
        <f>'Расходы на ЗП ОТ'!Z46</f>
        <v>0</v>
      </c>
      <c r="AA46" s="124">
        <f>'Расходы на ЗП ОТ'!AA46</f>
        <v>0</v>
      </c>
      <c r="AB46" s="124">
        <f>'Расходы на ЗП ОТ'!AB46</f>
        <v>0</v>
      </c>
      <c r="AC46" s="124">
        <f>'Расходы на ЗП ОТ'!AC46</f>
        <v>0</v>
      </c>
      <c r="AD46" s="124">
        <f>'Расходы на ЗП ОТ'!AD46</f>
        <v>0</v>
      </c>
      <c r="AE46" s="124">
        <f>'Расходы на ЗП ОТ'!AE46</f>
        <v>0</v>
      </c>
      <c r="AF46" s="124">
        <f>'Расходы на ЗП ОТ'!AF46</f>
        <v>0</v>
      </c>
      <c r="AG46" s="124">
        <f>'Расходы на ЗП ОТ'!AG46</f>
        <v>0</v>
      </c>
      <c r="AH46" s="124">
        <f>'Расходы на ЗП ОТ'!AH46</f>
        <v>0</v>
      </c>
      <c r="AI46" s="124">
        <f>'Расходы на ЗП ОТ'!AI46</f>
        <v>0</v>
      </c>
      <c r="AJ46" s="124">
        <f>'Расходы на ЗП ОТ'!AJ46</f>
        <v>0</v>
      </c>
      <c r="AK46" s="124">
        <f>'Расходы на ЗП ОТ'!AK46</f>
        <v>0</v>
      </c>
      <c r="AL46" s="124">
        <f>'Расходы на ЗП ОТ'!AL46</f>
        <v>0</v>
      </c>
      <c r="AM46" s="124">
        <f>'Расходы на ЗП ОТ'!AM46</f>
        <v>0</v>
      </c>
      <c r="AN46" s="124">
        <f>'Расходы на ЗП ОТ'!AN46</f>
        <v>0</v>
      </c>
      <c r="AO46" s="124">
        <f>'Расходы на ЗП ОТ'!AO46</f>
        <v>0</v>
      </c>
      <c r="AP46" s="124">
        <f>'Расходы на ЗП ОТ'!AP46</f>
        <v>0</v>
      </c>
      <c r="AQ46" s="124">
        <f>'Расходы на ЗП ОТ'!AQ46</f>
        <v>0</v>
      </c>
      <c r="AR46" s="124"/>
      <c r="AS46" s="124">
        <f t="shared" si="0"/>
        <v>0</v>
      </c>
      <c r="AT46" s="124">
        <f t="shared" si="10"/>
        <v>0</v>
      </c>
      <c r="AU46" s="124">
        <f t="shared" si="1"/>
        <v>0</v>
      </c>
      <c r="AV46" s="124">
        <f t="shared" si="2"/>
        <v>0</v>
      </c>
      <c r="AW46" s="124">
        <f t="shared" si="3"/>
        <v>0</v>
      </c>
      <c r="AX46" s="124">
        <f t="shared" si="4"/>
        <v>0</v>
      </c>
      <c r="AY46" s="124">
        <f t="shared" si="5"/>
        <v>0</v>
      </c>
      <c r="AZ46" s="124">
        <f t="shared" si="6"/>
        <v>0</v>
      </c>
      <c r="BA46" s="124">
        <f t="shared" si="7"/>
        <v>0</v>
      </c>
      <c r="BB46" s="124">
        <f t="shared" si="8"/>
        <v>0</v>
      </c>
      <c r="BC46" s="127">
        <f t="shared" si="9"/>
        <v>0</v>
      </c>
    </row>
    <row r="47" spans="1:55" s="410" customFormat="1" ht="28.8" x14ac:dyDescent="0.3">
      <c r="A47" s="408" t="s">
        <v>113</v>
      </c>
      <c r="B47" s="409">
        <f>'Расходы на ЗП ОТ'!B47</f>
        <v>0</v>
      </c>
      <c r="C47" s="409">
        <f>'Расходы на ЗП ОТ'!C47</f>
        <v>0</v>
      </c>
      <c r="D47" s="408">
        <f>SUM(D37:D46)</f>
        <v>0</v>
      </c>
      <c r="E47" s="408">
        <f t="shared" ref="E47:AQ47" si="27">SUM(E37:E46)</f>
        <v>0</v>
      </c>
      <c r="F47" s="408">
        <f t="shared" si="27"/>
        <v>0</v>
      </c>
      <c r="G47" s="408">
        <f t="shared" si="27"/>
        <v>0</v>
      </c>
      <c r="H47" s="408">
        <f t="shared" si="27"/>
        <v>0</v>
      </c>
      <c r="I47" s="408">
        <f t="shared" si="27"/>
        <v>0</v>
      </c>
      <c r="J47" s="408">
        <f t="shared" si="27"/>
        <v>0</v>
      </c>
      <c r="K47" s="408">
        <f t="shared" si="27"/>
        <v>0</v>
      </c>
      <c r="L47" s="408">
        <f t="shared" si="27"/>
        <v>0</v>
      </c>
      <c r="M47" s="408">
        <f t="shared" si="27"/>
        <v>0</v>
      </c>
      <c r="N47" s="408">
        <f t="shared" si="27"/>
        <v>0</v>
      </c>
      <c r="O47" s="408">
        <f t="shared" si="27"/>
        <v>0</v>
      </c>
      <c r="P47" s="408">
        <f t="shared" si="27"/>
        <v>0</v>
      </c>
      <c r="Q47" s="408">
        <f t="shared" si="27"/>
        <v>0</v>
      </c>
      <c r="R47" s="408">
        <f t="shared" si="27"/>
        <v>0</v>
      </c>
      <c r="S47" s="408">
        <f t="shared" si="27"/>
        <v>0</v>
      </c>
      <c r="T47" s="408">
        <f t="shared" si="27"/>
        <v>0</v>
      </c>
      <c r="U47" s="408">
        <f t="shared" si="27"/>
        <v>0</v>
      </c>
      <c r="V47" s="408">
        <f t="shared" si="27"/>
        <v>0</v>
      </c>
      <c r="W47" s="408">
        <f t="shared" si="27"/>
        <v>0</v>
      </c>
      <c r="X47" s="408">
        <f t="shared" si="27"/>
        <v>0</v>
      </c>
      <c r="Y47" s="408">
        <f t="shared" si="27"/>
        <v>0</v>
      </c>
      <c r="Z47" s="408">
        <f t="shared" si="27"/>
        <v>0</v>
      </c>
      <c r="AA47" s="408">
        <f t="shared" si="27"/>
        <v>0</v>
      </c>
      <c r="AB47" s="408">
        <f t="shared" si="27"/>
        <v>0</v>
      </c>
      <c r="AC47" s="408">
        <f t="shared" si="27"/>
        <v>0</v>
      </c>
      <c r="AD47" s="408">
        <f t="shared" si="27"/>
        <v>0</v>
      </c>
      <c r="AE47" s="408">
        <f t="shared" si="27"/>
        <v>0</v>
      </c>
      <c r="AF47" s="408">
        <f t="shared" si="27"/>
        <v>0</v>
      </c>
      <c r="AG47" s="408">
        <f t="shared" si="27"/>
        <v>0</v>
      </c>
      <c r="AH47" s="408">
        <f t="shared" si="27"/>
        <v>0</v>
      </c>
      <c r="AI47" s="408">
        <f t="shared" si="27"/>
        <v>0</v>
      </c>
      <c r="AJ47" s="408">
        <f t="shared" si="27"/>
        <v>0</v>
      </c>
      <c r="AK47" s="408">
        <f t="shared" si="27"/>
        <v>0</v>
      </c>
      <c r="AL47" s="408">
        <f t="shared" si="27"/>
        <v>0</v>
      </c>
      <c r="AM47" s="408">
        <f t="shared" si="27"/>
        <v>0</v>
      </c>
      <c r="AN47" s="408">
        <f t="shared" si="27"/>
        <v>0</v>
      </c>
      <c r="AO47" s="408">
        <f t="shared" si="27"/>
        <v>0</v>
      </c>
      <c r="AP47" s="408">
        <f t="shared" si="27"/>
        <v>0</v>
      </c>
      <c r="AQ47" s="408">
        <f t="shared" si="27"/>
        <v>0</v>
      </c>
      <c r="AR47" s="408"/>
      <c r="AS47" s="408">
        <f t="shared" si="0"/>
        <v>0</v>
      </c>
      <c r="AT47" s="408">
        <f t="shared" si="10"/>
        <v>0</v>
      </c>
      <c r="AU47" s="408">
        <f t="shared" si="1"/>
        <v>0</v>
      </c>
      <c r="AV47" s="408">
        <f t="shared" si="2"/>
        <v>0</v>
      </c>
      <c r="AW47" s="408">
        <f t="shared" si="3"/>
        <v>0</v>
      </c>
      <c r="AX47" s="408">
        <f t="shared" si="4"/>
        <v>0</v>
      </c>
      <c r="AY47" s="408">
        <f t="shared" si="5"/>
        <v>0</v>
      </c>
      <c r="AZ47" s="408">
        <f t="shared" si="6"/>
        <v>0</v>
      </c>
      <c r="BA47" s="408">
        <f t="shared" si="7"/>
        <v>0</v>
      </c>
      <c r="BB47" s="408">
        <f t="shared" si="8"/>
        <v>0</v>
      </c>
      <c r="BC47" s="408">
        <f t="shared" si="9"/>
        <v>0</v>
      </c>
    </row>
    <row r="48" spans="1:55" s="131" customFormat="1" ht="28.8" x14ac:dyDescent="0.3">
      <c r="A48" s="132" t="s">
        <v>141</v>
      </c>
      <c r="B48" s="135"/>
      <c r="C48" s="132"/>
      <c r="D48" s="132">
        <f>D47*$B$62</f>
        <v>0</v>
      </c>
      <c r="E48" s="132">
        <f t="shared" ref="E48:AQ48" si="28">E47*$B$62</f>
        <v>0</v>
      </c>
      <c r="F48" s="132">
        <f t="shared" si="28"/>
        <v>0</v>
      </c>
      <c r="G48" s="132">
        <f t="shared" si="28"/>
        <v>0</v>
      </c>
      <c r="H48" s="132">
        <f t="shared" si="28"/>
        <v>0</v>
      </c>
      <c r="I48" s="132">
        <f t="shared" si="28"/>
        <v>0</v>
      </c>
      <c r="J48" s="132">
        <f t="shared" si="28"/>
        <v>0</v>
      </c>
      <c r="K48" s="132">
        <f t="shared" si="28"/>
        <v>0</v>
      </c>
      <c r="L48" s="132">
        <f t="shared" si="28"/>
        <v>0</v>
      </c>
      <c r="M48" s="132">
        <f t="shared" si="28"/>
        <v>0</v>
      </c>
      <c r="N48" s="132">
        <f t="shared" si="28"/>
        <v>0</v>
      </c>
      <c r="O48" s="132">
        <f t="shared" si="28"/>
        <v>0</v>
      </c>
      <c r="P48" s="132">
        <f t="shared" si="28"/>
        <v>0</v>
      </c>
      <c r="Q48" s="132">
        <f t="shared" si="28"/>
        <v>0</v>
      </c>
      <c r="R48" s="132">
        <f t="shared" si="28"/>
        <v>0</v>
      </c>
      <c r="S48" s="132">
        <f t="shared" si="28"/>
        <v>0</v>
      </c>
      <c r="T48" s="132">
        <f t="shared" si="28"/>
        <v>0</v>
      </c>
      <c r="U48" s="132">
        <f t="shared" si="28"/>
        <v>0</v>
      </c>
      <c r="V48" s="132">
        <f t="shared" si="28"/>
        <v>0</v>
      </c>
      <c r="W48" s="132">
        <f t="shared" si="28"/>
        <v>0</v>
      </c>
      <c r="X48" s="132">
        <f t="shared" si="28"/>
        <v>0</v>
      </c>
      <c r="Y48" s="132">
        <f t="shared" si="28"/>
        <v>0</v>
      </c>
      <c r="Z48" s="132">
        <f t="shared" si="28"/>
        <v>0</v>
      </c>
      <c r="AA48" s="132">
        <f t="shared" si="28"/>
        <v>0</v>
      </c>
      <c r="AB48" s="132">
        <f t="shared" si="28"/>
        <v>0</v>
      </c>
      <c r="AC48" s="132">
        <f t="shared" si="28"/>
        <v>0</v>
      </c>
      <c r="AD48" s="132">
        <f t="shared" si="28"/>
        <v>0</v>
      </c>
      <c r="AE48" s="132">
        <f t="shared" si="28"/>
        <v>0</v>
      </c>
      <c r="AF48" s="132">
        <f t="shared" si="28"/>
        <v>0</v>
      </c>
      <c r="AG48" s="132">
        <f t="shared" si="28"/>
        <v>0</v>
      </c>
      <c r="AH48" s="132">
        <f t="shared" si="28"/>
        <v>0</v>
      </c>
      <c r="AI48" s="132">
        <f t="shared" si="28"/>
        <v>0</v>
      </c>
      <c r="AJ48" s="132">
        <f t="shared" si="28"/>
        <v>0</v>
      </c>
      <c r="AK48" s="132">
        <f t="shared" si="28"/>
        <v>0</v>
      </c>
      <c r="AL48" s="132">
        <f t="shared" si="28"/>
        <v>0</v>
      </c>
      <c r="AM48" s="132">
        <f t="shared" si="28"/>
        <v>0</v>
      </c>
      <c r="AN48" s="132">
        <f t="shared" si="28"/>
        <v>0</v>
      </c>
      <c r="AO48" s="132">
        <f t="shared" si="28"/>
        <v>0</v>
      </c>
      <c r="AP48" s="132">
        <f t="shared" si="28"/>
        <v>0</v>
      </c>
      <c r="AQ48" s="132">
        <f t="shared" si="28"/>
        <v>0</v>
      </c>
      <c r="AR48" s="132"/>
      <c r="AS48" s="132">
        <f t="shared" si="0"/>
        <v>0</v>
      </c>
      <c r="AT48" s="132">
        <f t="shared" si="10"/>
        <v>0</v>
      </c>
      <c r="AU48" s="132">
        <f t="shared" si="1"/>
        <v>0</v>
      </c>
      <c r="AV48" s="132">
        <f t="shared" si="2"/>
        <v>0</v>
      </c>
      <c r="AW48" s="132">
        <f t="shared" si="3"/>
        <v>0</v>
      </c>
      <c r="AX48" s="132">
        <f t="shared" si="4"/>
        <v>0</v>
      </c>
      <c r="AY48" s="132">
        <f t="shared" si="5"/>
        <v>0</v>
      </c>
      <c r="AZ48" s="132">
        <f t="shared" si="6"/>
        <v>0</v>
      </c>
      <c r="BA48" s="132">
        <f t="shared" si="7"/>
        <v>0</v>
      </c>
      <c r="BB48" s="132">
        <f t="shared" si="8"/>
        <v>0</v>
      </c>
      <c r="BC48" s="132">
        <f t="shared" si="9"/>
        <v>0</v>
      </c>
    </row>
    <row r="49" spans="1:55" s="413" customFormat="1" ht="43.2" x14ac:dyDescent="0.3">
      <c r="A49" s="411" t="s">
        <v>142</v>
      </c>
      <c r="B49" s="411"/>
      <c r="C49" s="411"/>
      <c r="D49" s="411">
        <f>D6+D15+D23+D26+D34+D47</f>
        <v>0</v>
      </c>
      <c r="E49" s="411">
        <f>E6+E15+E23+E26+E34+E47</f>
        <v>0</v>
      </c>
      <c r="F49" s="411">
        <f>F6+F15+F23+F26+F34+F47</f>
        <v>0</v>
      </c>
      <c r="G49" s="411">
        <f t="shared" ref="G49:R49" si="29">G6+G15+G23+G26+G34+G47</f>
        <v>0</v>
      </c>
      <c r="H49" s="412">
        <f t="shared" si="29"/>
        <v>2940</v>
      </c>
      <c r="I49" s="412">
        <f t="shared" si="29"/>
        <v>2940</v>
      </c>
      <c r="J49" s="412">
        <f t="shared" si="29"/>
        <v>2940</v>
      </c>
      <c r="K49" s="412">
        <f t="shared" si="29"/>
        <v>2940</v>
      </c>
      <c r="L49" s="412">
        <f t="shared" si="29"/>
        <v>3028.2000000000003</v>
      </c>
      <c r="M49" s="412">
        <f t="shared" si="29"/>
        <v>3028.2000000000003</v>
      </c>
      <c r="N49" s="412">
        <f t="shared" si="29"/>
        <v>3028.2000000000003</v>
      </c>
      <c r="O49" s="412">
        <f t="shared" si="29"/>
        <v>3028.2000000000003</v>
      </c>
      <c r="P49" s="412">
        <f t="shared" si="29"/>
        <v>3119.0460000000003</v>
      </c>
      <c r="Q49" s="412">
        <f t="shared" si="29"/>
        <v>3119.0460000000003</v>
      </c>
      <c r="R49" s="412">
        <f t="shared" si="29"/>
        <v>3119.0460000000003</v>
      </c>
      <c r="S49" s="412">
        <f>S6+S15+S23+S26+S34+S47</f>
        <v>3119.0460000000003</v>
      </c>
      <c r="T49" s="412">
        <f>T6+T15+T23+T26+T34+T47</f>
        <v>3212.6173800000006</v>
      </c>
      <c r="U49" s="412">
        <f>U6+U15+U23+U26+U34+U47</f>
        <v>3212.6173800000006</v>
      </c>
      <c r="V49" s="412">
        <f>V6+V15+V23+V26+V34+V47</f>
        <v>3212.6173800000006</v>
      </c>
      <c r="W49" s="412">
        <f t="shared" ref="W49:AQ49" si="30">W6+W15+W23+W26+W34+W47</f>
        <v>3212.6173800000006</v>
      </c>
      <c r="X49" s="412">
        <f t="shared" si="30"/>
        <v>3308.9959014000001</v>
      </c>
      <c r="Y49" s="412">
        <f t="shared" si="30"/>
        <v>3308.9959014000001</v>
      </c>
      <c r="Z49" s="412">
        <f t="shared" si="30"/>
        <v>3308.9959014000001</v>
      </c>
      <c r="AA49" s="412">
        <f t="shared" si="30"/>
        <v>3308.9959014000001</v>
      </c>
      <c r="AB49" s="412">
        <f t="shared" si="30"/>
        <v>3408.2657784420007</v>
      </c>
      <c r="AC49" s="412">
        <f t="shared" si="30"/>
        <v>3408.2657784420007</v>
      </c>
      <c r="AD49" s="412">
        <f t="shared" si="30"/>
        <v>3408.2657784420007</v>
      </c>
      <c r="AE49" s="412">
        <f t="shared" si="30"/>
        <v>3408.2657784420007</v>
      </c>
      <c r="AF49" s="412">
        <f t="shared" si="30"/>
        <v>3524.5989317980057</v>
      </c>
      <c r="AG49" s="412">
        <f t="shared" si="30"/>
        <v>3524.5989317980057</v>
      </c>
      <c r="AH49" s="412">
        <f t="shared" si="30"/>
        <v>3524.5989317980057</v>
      </c>
      <c r="AI49" s="412">
        <f t="shared" si="30"/>
        <v>3524.5989317980057</v>
      </c>
      <c r="AJ49" s="412">
        <f t="shared" si="30"/>
        <v>3630.336899751946</v>
      </c>
      <c r="AK49" s="412">
        <f t="shared" si="30"/>
        <v>3630.336899751946</v>
      </c>
      <c r="AL49" s="412">
        <f t="shared" si="30"/>
        <v>3630.336899751946</v>
      </c>
      <c r="AM49" s="412">
        <f t="shared" si="30"/>
        <v>3630.336899751946</v>
      </c>
      <c r="AN49" s="412">
        <f t="shared" si="30"/>
        <v>3739.2470067445038</v>
      </c>
      <c r="AO49" s="412">
        <f t="shared" si="30"/>
        <v>3739.2470067445038</v>
      </c>
      <c r="AP49" s="412">
        <f t="shared" si="30"/>
        <v>3739.2470067445038</v>
      </c>
      <c r="AQ49" s="412">
        <f t="shared" si="30"/>
        <v>3739.2470067445038</v>
      </c>
      <c r="AR49" s="412" t="str">
        <f t="shared" ref="AR49:AR58" si="31">A49</f>
        <v>Всего расходов на ЗП:</v>
      </c>
      <c r="AS49" s="412">
        <f t="shared" si="0"/>
        <v>0</v>
      </c>
      <c r="AT49" s="412">
        <f t="shared" si="10"/>
        <v>11760</v>
      </c>
      <c r="AU49" s="412">
        <f t="shared" si="1"/>
        <v>12112.800000000001</v>
      </c>
      <c r="AV49" s="412">
        <f t="shared" si="2"/>
        <v>12476.184000000001</v>
      </c>
      <c r="AW49" s="412">
        <f t="shared" si="3"/>
        <v>12850.469520000002</v>
      </c>
      <c r="AX49" s="412">
        <f t="shared" si="4"/>
        <v>13235.9836056</v>
      </c>
      <c r="AY49" s="412">
        <f t="shared" si="5"/>
        <v>13633.063113768003</v>
      </c>
      <c r="AZ49" s="412">
        <f t="shared" si="6"/>
        <v>14098.395727192023</v>
      </c>
      <c r="BA49" s="412">
        <f t="shared" si="7"/>
        <v>14521.347599007784</v>
      </c>
      <c r="BB49" s="412">
        <f t="shared" si="8"/>
        <v>14956.988026978015</v>
      </c>
      <c r="BC49" s="412">
        <f t="shared" si="9"/>
        <v>14956.988026978015</v>
      </c>
    </row>
    <row r="50" spans="1:55" s="138" customFormat="1" ht="28.8" x14ac:dyDescent="0.3">
      <c r="A50" s="124" t="s">
        <v>143</v>
      </c>
      <c r="B50" s="124"/>
      <c r="C50" s="124"/>
      <c r="D50" s="124"/>
      <c r="E50" s="124"/>
      <c r="F50" s="124"/>
      <c r="G50" s="124">
        <f>SUM(D49:G49)</f>
        <v>0</v>
      </c>
      <c r="H50" s="127"/>
      <c r="I50" s="127"/>
      <c r="J50" s="127"/>
      <c r="K50" s="127">
        <f>SUM(H49:K49)</f>
        <v>11760</v>
      </c>
      <c r="L50" s="127"/>
      <c r="M50" s="127"/>
      <c r="N50" s="127"/>
      <c r="O50" s="127">
        <f>SUM(L49:O49)</f>
        <v>12112.800000000001</v>
      </c>
      <c r="P50" s="127"/>
      <c r="Q50" s="127"/>
      <c r="R50" s="127"/>
      <c r="S50" s="127">
        <f>SUM(P49:S49)</f>
        <v>12476.184000000001</v>
      </c>
      <c r="T50" s="127"/>
      <c r="U50" s="127"/>
      <c r="V50" s="127"/>
      <c r="W50" s="127">
        <f>SUM(T49:W49)</f>
        <v>12850.469520000002</v>
      </c>
      <c r="X50" s="127"/>
      <c r="Y50" s="127"/>
      <c r="Z50" s="127"/>
      <c r="AA50" s="127">
        <f>SUM(X49:AA49)</f>
        <v>13235.9836056</v>
      </c>
      <c r="AB50" s="127"/>
      <c r="AC50" s="127"/>
      <c r="AD50" s="127"/>
      <c r="AE50" s="127">
        <f>SUM(AB49:AE49)</f>
        <v>13633.063113768003</v>
      </c>
      <c r="AF50" s="127"/>
      <c r="AG50" s="127"/>
      <c r="AH50" s="127"/>
      <c r="AI50" s="127">
        <f>SUM(AF49:AI49)</f>
        <v>14098.395727192023</v>
      </c>
      <c r="AJ50" s="127"/>
      <c r="AK50" s="127"/>
      <c r="AL50" s="127"/>
      <c r="AM50" s="127">
        <f t="shared" ref="AM50:AQ50" si="32">SUM(AJ49:AM49)</f>
        <v>14521.347599007784</v>
      </c>
      <c r="AN50" s="127"/>
      <c r="AO50" s="127"/>
      <c r="AP50" s="127"/>
      <c r="AQ50" s="127">
        <f t="shared" si="32"/>
        <v>14956.988026978015</v>
      </c>
      <c r="AR50" s="137" t="str">
        <f t="shared" si="31"/>
        <v>Расходы на ЗП в год:</v>
      </c>
      <c r="AS50" s="127">
        <f t="shared" si="0"/>
        <v>0</v>
      </c>
      <c r="AT50" s="127">
        <f t="shared" si="10"/>
        <v>11760</v>
      </c>
      <c r="AU50" s="127">
        <f t="shared" si="1"/>
        <v>12112.800000000001</v>
      </c>
      <c r="AV50" s="127">
        <f t="shared" si="2"/>
        <v>12476.184000000001</v>
      </c>
      <c r="AW50" s="127">
        <f t="shared" si="3"/>
        <v>12850.469520000002</v>
      </c>
      <c r="AX50" s="127">
        <f t="shared" si="4"/>
        <v>13235.9836056</v>
      </c>
      <c r="AY50" s="127">
        <f t="shared" si="5"/>
        <v>13633.063113768003</v>
      </c>
      <c r="AZ50" s="127">
        <f t="shared" si="6"/>
        <v>14098.395727192023</v>
      </c>
      <c r="BA50" s="127">
        <f t="shared" si="7"/>
        <v>14521.347599007784</v>
      </c>
      <c r="BB50" s="127">
        <f t="shared" si="8"/>
        <v>14956.988026978015</v>
      </c>
      <c r="BC50" s="127">
        <f t="shared" si="9"/>
        <v>14956.988026978015</v>
      </c>
    </row>
    <row r="51" spans="1:55" s="413" customFormat="1" ht="43.2" x14ac:dyDescent="0.3">
      <c r="A51" s="411" t="s">
        <v>168</v>
      </c>
      <c r="B51" s="411"/>
      <c r="C51" s="411"/>
      <c r="D51" s="411">
        <f>D7+D16+D24+D27+D35+D48</f>
        <v>0</v>
      </c>
      <c r="E51" s="411">
        <f>E7+E16+E24+E27+E35+E48</f>
        <v>0</v>
      </c>
      <c r="F51" s="411">
        <f>F7+F16+F24+F27+F35+F48</f>
        <v>0</v>
      </c>
      <c r="G51" s="411">
        <f t="shared" ref="G51:R51" si="33">G7+G16+G24+G27+G35+G48</f>
        <v>0</v>
      </c>
      <c r="H51" s="412">
        <f t="shared" si="33"/>
        <v>882</v>
      </c>
      <c r="I51" s="412">
        <f>I7+I16+I24+I27+I35+I48</f>
        <v>882</v>
      </c>
      <c r="J51" s="412">
        <f t="shared" si="33"/>
        <v>882</v>
      </c>
      <c r="K51" s="412">
        <f t="shared" si="33"/>
        <v>882</v>
      </c>
      <c r="L51" s="412">
        <f t="shared" si="33"/>
        <v>908.46</v>
      </c>
      <c r="M51" s="412">
        <f t="shared" si="33"/>
        <v>908.46</v>
      </c>
      <c r="N51" s="412">
        <f t="shared" si="33"/>
        <v>908.46</v>
      </c>
      <c r="O51" s="412">
        <f t="shared" si="33"/>
        <v>908.46</v>
      </c>
      <c r="P51" s="412">
        <f t="shared" si="33"/>
        <v>935.71379999999999</v>
      </c>
      <c r="Q51" s="412">
        <f t="shared" si="33"/>
        <v>935.71379999999999</v>
      </c>
      <c r="R51" s="412">
        <f t="shared" si="33"/>
        <v>935.71379999999999</v>
      </c>
      <c r="S51" s="412">
        <f>S7+S16+S24+S27+S35+S48</f>
        <v>935.71379999999999</v>
      </c>
      <c r="T51" s="412">
        <f>T7+T16+T24+T27+T35+T48</f>
        <v>963.785214</v>
      </c>
      <c r="U51" s="412">
        <f>U7+U16+U24+U27+U35+U48</f>
        <v>963.785214</v>
      </c>
      <c r="V51" s="412">
        <f>V7+V16+V24+V27+V35+V48</f>
        <v>963.785214</v>
      </c>
      <c r="W51" s="412">
        <f t="shared" ref="W51:AQ51" si="34">W7+W16+W24+W27+W35+W48</f>
        <v>963.785214</v>
      </c>
      <c r="X51" s="412">
        <f t="shared" si="34"/>
        <v>992.69877041999996</v>
      </c>
      <c r="Y51" s="412">
        <f t="shared" si="34"/>
        <v>992.69877041999996</v>
      </c>
      <c r="Z51" s="412">
        <f t="shared" si="34"/>
        <v>992.69877041999996</v>
      </c>
      <c r="AA51" s="412">
        <f t="shared" si="34"/>
        <v>992.69877041999996</v>
      </c>
      <c r="AB51" s="412">
        <f t="shared" si="34"/>
        <v>1022.4797335326002</v>
      </c>
      <c r="AC51" s="412">
        <f t="shared" si="34"/>
        <v>1022.4797335326002</v>
      </c>
      <c r="AD51" s="412">
        <f t="shared" si="34"/>
        <v>1022.4797335326002</v>
      </c>
      <c r="AE51" s="412">
        <f t="shared" si="34"/>
        <v>1022.4797335326002</v>
      </c>
      <c r="AF51" s="412">
        <f t="shared" si="34"/>
        <v>1057.3796795394016</v>
      </c>
      <c r="AG51" s="412">
        <f t="shared" si="34"/>
        <v>1057.3796795394016</v>
      </c>
      <c r="AH51" s="412">
        <f t="shared" si="34"/>
        <v>1057.3796795394016</v>
      </c>
      <c r="AI51" s="412">
        <f t="shared" si="34"/>
        <v>1057.3796795394016</v>
      </c>
      <c r="AJ51" s="412">
        <f t="shared" si="34"/>
        <v>1089.1010699255837</v>
      </c>
      <c r="AK51" s="412">
        <f t="shared" si="34"/>
        <v>1089.1010699255837</v>
      </c>
      <c r="AL51" s="412">
        <f t="shared" si="34"/>
        <v>1089.1010699255837</v>
      </c>
      <c r="AM51" s="412">
        <f t="shared" si="34"/>
        <v>1089.1010699255837</v>
      </c>
      <c r="AN51" s="412">
        <f t="shared" si="34"/>
        <v>1121.7741020233511</v>
      </c>
      <c r="AO51" s="412">
        <f t="shared" si="34"/>
        <v>1121.7741020233511</v>
      </c>
      <c r="AP51" s="412">
        <f t="shared" si="34"/>
        <v>1121.7741020233511</v>
      </c>
      <c r="AQ51" s="412">
        <f t="shared" si="34"/>
        <v>1121.7741020233511</v>
      </c>
      <c r="AR51" s="412" t="str">
        <f t="shared" si="31"/>
        <v>Расходы на страховые взносы ФНС:</v>
      </c>
      <c r="AS51" s="412">
        <f t="shared" si="0"/>
        <v>0</v>
      </c>
      <c r="AT51" s="412">
        <f t="shared" si="10"/>
        <v>3528</v>
      </c>
      <c r="AU51" s="412">
        <f t="shared" si="1"/>
        <v>3633.84</v>
      </c>
      <c r="AV51" s="412">
        <f t="shared" si="2"/>
        <v>3742.8552</v>
      </c>
      <c r="AW51" s="412">
        <f t="shared" si="3"/>
        <v>3855.140856</v>
      </c>
      <c r="AX51" s="412">
        <f t="shared" si="4"/>
        <v>3970.7950816799998</v>
      </c>
      <c r="AY51" s="412">
        <f t="shared" si="5"/>
        <v>4089.9189341304009</v>
      </c>
      <c r="AZ51" s="412">
        <f t="shared" si="6"/>
        <v>4229.5187181576066</v>
      </c>
      <c r="BA51" s="412">
        <f t="shared" si="7"/>
        <v>4356.4042797023349</v>
      </c>
      <c r="BB51" s="412">
        <f t="shared" si="8"/>
        <v>4487.0964080934045</v>
      </c>
      <c r="BC51" s="412">
        <f t="shared" si="9"/>
        <v>4487.0964080934045</v>
      </c>
    </row>
    <row r="52" spans="1:55" ht="28.8" x14ac:dyDescent="0.3">
      <c r="A52" s="124" t="s">
        <v>145</v>
      </c>
      <c r="B52" s="124"/>
      <c r="C52" s="124"/>
      <c r="D52" s="124">
        <f>D49+D51</f>
        <v>0</v>
      </c>
      <c r="E52" s="124">
        <f t="shared" ref="E52:AI52" si="35">E49+E51</f>
        <v>0</v>
      </c>
      <c r="F52" s="124">
        <f t="shared" si="35"/>
        <v>0</v>
      </c>
      <c r="G52" s="124">
        <f t="shared" si="35"/>
        <v>0</v>
      </c>
      <c r="H52" s="127">
        <f>H49+H51</f>
        <v>3822</v>
      </c>
      <c r="I52" s="127">
        <f t="shared" si="35"/>
        <v>3822</v>
      </c>
      <c r="J52" s="127">
        <f t="shared" si="35"/>
        <v>3822</v>
      </c>
      <c r="K52" s="127">
        <f t="shared" si="35"/>
        <v>3822</v>
      </c>
      <c r="L52" s="127">
        <f t="shared" si="35"/>
        <v>3936.6600000000003</v>
      </c>
      <c r="M52" s="127">
        <f t="shared" si="35"/>
        <v>3936.6600000000003</v>
      </c>
      <c r="N52" s="127">
        <f t="shared" si="35"/>
        <v>3936.6600000000003</v>
      </c>
      <c r="O52" s="127">
        <f t="shared" si="35"/>
        <v>3936.6600000000003</v>
      </c>
      <c r="P52" s="127">
        <f t="shared" si="35"/>
        <v>4054.7598000000003</v>
      </c>
      <c r="Q52" s="127">
        <f t="shared" si="35"/>
        <v>4054.7598000000003</v>
      </c>
      <c r="R52" s="127">
        <f t="shared" si="35"/>
        <v>4054.7598000000003</v>
      </c>
      <c r="S52" s="127">
        <f t="shared" si="35"/>
        <v>4054.7598000000003</v>
      </c>
      <c r="T52" s="127">
        <f t="shared" si="35"/>
        <v>4176.402594000001</v>
      </c>
      <c r="U52" s="127">
        <f t="shared" si="35"/>
        <v>4176.402594000001</v>
      </c>
      <c r="V52" s="127">
        <f t="shared" si="35"/>
        <v>4176.402594000001</v>
      </c>
      <c r="W52" s="127">
        <f t="shared" si="35"/>
        <v>4176.402594000001</v>
      </c>
      <c r="X52" s="127">
        <f t="shared" si="35"/>
        <v>4301.6946718199997</v>
      </c>
      <c r="Y52" s="127">
        <f t="shared" si="35"/>
        <v>4301.6946718199997</v>
      </c>
      <c r="Z52" s="127">
        <f t="shared" si="35"/>
        <v>4301.6946718199997</v>
      </c>
      <c r="AA52" s="127">
        <f t="shared" si="35"/>
        <v>4301.6946718199997</v>
      </c>
      <c r="AB52" s="127">
        <f t="shared" si="35"/>
        <v>4430.745511974601</v>
      </c>
      <c r="AC52" s="127">
        <f t="shared" si="35"/>
        <v>4430.745511974601</v>
      </c>
      <c r="AD52" s="127">
        <f t="shared" si="35"/>
        <v>4430.745511974601</v>
      </c>
      <c r="AE52" s="127">
        <f t="shared" si="35"/>
        <v>4430.745511974601</v>
      </c>
      <c r="AF52" s="127">
        <f t="shared" si="35"/>
        <v>4581.9786113374075</v>
      </c>
      <c r="AG52" s="127">
        <f t="shared" si="35"/>
        <v>4581.9786113374075</v>
      </c>
      <c r="AH52" s="127">
        <f t="shared" si="35"/>
        <v>4581.9786113374075</v>
      </c>
      <c r="AI52" s="127">
        <f t="shared" si="35"/>
        <v>4581.9786113374075</v>
      </c>
      <c r="AJ52" s="127">
        <f t="shared" ref="AJ52:AQ52" si="36">AJ49+AJ51</f>
        <v>4719.4379696775295</v>
      </c>
      <c r="AK52" s="127">
        <f t="shared" si="36"/>
        <v>4719.4379696775295</v>
      </c>
      <c r="AL52" s="127">
        <f t="shared" si="36"/>
        <v>4719.4379696775295</v>
      </c>
      <c r="AM52" s="127">
        <f t="shared" si="36"/>
        <v>4719.4379696775295</v>
      </c>
      <c r="AN52" s="127">
        <f t="shared" si="36"/>
        <v>4861.0211087678545</v>
      </c>
      <c r="AO52" s="127">
        <f t="shared" si="36"/>
        <v>4861.0211087678545</v>
      </c>
      <c r="AP52" s="127">
        <f t="shared" si="36"/>
        <v>4861.0211087678545</v>
      </c>
      <c r="AQ52" s="127">
        <f t="shared" si="36"/>
        <v>4861.0211087678545</v>
      </c>
      <c r="AR52" s="137" t="str">
        <f t="shared" si="31"/>
        <v>ЗП и взносы ФНС:</v>
      </c>
      <c r="AS52" s="127">
        <f t="shared" si="0"/>
        <v>0</v>
      </c>
      <c r="AT52" s="127">
        <f t="shared" si="10"/>
        <v>15288</v>
      </c>
      <c r="AU52" s="127">
        <f t="shared" si="1"/>
        <v>15746.640000000001</v>
      </c>
      <c r="AV52" s="127">
        <f t="shared" si="2"/>
        <v>16219.039200000001</v>
      </c>
      <c r="AW52" s="127">
        <f t="shared" si="3"/>
        <v>16705.610376000004</v>
      </c>
      <c r="AX52" s="127">
        <f t="shared" si="4"/>
        <v>17206.778687279999</v>
      </c>
      <c r="AY52" s="127">
        <f t="shared" si="5"/>
        <v>17722.982047898404</v>
      </c>
      <c r="AZ52" s="127">
        <f t="shared" si="6"/>
        <v>18327.91444534963</v>
      </c>
      <c r="BA52" s="127">
        <f t="shared" si="7"/>
        <v>18877.751878710118</v>
      </c>
      <c r="BB52" s="127">
        <f t="shared" si="8"/>
        <v>19444.084435071418</v>
      </c>
      <c r="BC52" s="127">
        <f t="shared" si="9"/>
        <v>19444.084435071418</v>
      </c>
    </row>
    <row r="53" spans="1:55" s="417" customFormat="1" ht="43.2" x14ac:dyDescent="0.3">
      <c r="A53" s="414" t="s">
        <v>146</v>
      </c>
      <c r="B53" s="414"/>
      <c r="C53" s="414"/>
      <c r="D53" s="414">
        <f>D49*0.014</f>
        <v>0</v>
      </c>
      <c r="E53" s="414">
        <f t="shared" ref="E53:G53" si="37">E49*0.014</f>
        <v>0</v>
      </c>
      <c r="F53" s="414">
        <f t="shared" si="37"/>
        <v>0</v>
      </c>
      <c r="G53" s="414">
        <f t="shared" si="37"/>
        <v>0</v>
      </c>
      <c r="H53" s="415">
        <f>H49*$B$61</f>
        <v>41.160000000000004</v>
      </c>
      <c r="I53" s="415">
        <f t="shared" ref="I53:S53" si="38">I49*$B$61</f>
        <v>41.160000000000004</v>
      </c>
      <c r="J53" s="415">
        <f t="shared" si="38"/>
        <v>41.160000000000004</v>
      </c>
      <c r="K53" s="415">
        <f t="shared" si="38"/>
        <v>41.160000000000004</v>
      </c>
      <c r="L53" s="415">
        <f t="shared" si="38"/>
        <v>42.394800000000004</v>
      </c>
      <c r="M53" s="415">
        <f t="shared" si="38"/>
        <v>42.394800000000004</v>
      </c>
      <c r="N53" s="415">
        <f t="shared" si="38"/>
        <v>42.394800000000004</v>
      </c>
      <c r="O53" s="415">
        <f t="shared" si="38"/>
        <v>42.394800000000004</v>
      </c>
      <c r="P53" s="415">
        <f t="shared" si="38"/>
        <v>43.666644000000005</v>
      </c>
      <c r="Q53" s="415">
        <f t="shared" si="38"/>
        <v>43.666644000000005</v>
      </c>
      <c r="R53" s="415">
        <f t="shared" si="38"/>
        <v>43.666644000000005</v>
      </c>
      <c r="S53" s="415">
        <f t="shared" si="38"/>
        <v>43.666644000000005</v>
      </c>
      <c r="T53" s="415">
        <f>T49*$B$61</f>
        <v>44.976643320000008</v>
      </c>
      <c r="U53" s="415">
        <f t="shared" ref="U53:AQ53" si="39">U49*$B$61</f>
        <v>44.976643320000008</v>
      </c>
      <c r="V53" s="415">
        <f t="shared" si="39"/>
        <v>44.976643320000008</v>
      </c>
      <c r="W53" s="415">
        <f t="shared" si="39"/>
        <v>44.976643320000008</v>
      </c>
      <c r="X53" s="415">
        <f t="shared" si="39"/>
        <v>46.325942619599999</v>
      </c>
      <c r="Y53" s="415">
        <f t="shared" si="39"/>
        <v>46.325942619599999</v>
      </c>
      <c r="Z53" s="415">
        <f t="shared" si="39"/>
        <v>46.325942619599999</v>
      </c>
      <c r="AA53" s="415">
        <f t="shared" si="39"/>
        <v>46.325942619599999</v>
      </c>
      <c r="AB53" s="415">
        <f t="shared" si="39"/>
        <v>47.71572089818801</v>
      </c>
      <c r="AC53" s="415">
        <f t="shared" si="39"/>
        <v>47.71572089818801</v>
      </c>
      <c r="AD53" s="415">
        <f t="shared" si="39"/>
        <v>47.71572089818801</v>
      </c>
      <c r="AE53" s="415">
        <f t="shared" si="39"/>
        <v>47.71572089818801</v>
      </c>
      <c r="AF53" s="415">
        <f t="shared" si="39"/>
        <v>49.344385045172082</v>
      </c>
      <c r="AG53" s="415">
        <f t="shared" si="39"/>
        <v>49.344385045172082</v>
      </c>
      <c r="AH53" s="415">
        <f t="shared" si="39"/>
        <v>49.344385045172082</v>
      </c>
      <c r="AI53" s="415">
        <f t="shared" si="39"/>
        <v>49.344385045172082</v>
      </c>
      <c r="AJ53" s="415">
        <f t="shared" si="39"/>
        <v>50.824716596527246</v>
      </c>
      <c r="AK53" s="415">
        <f t="shared" si="39"/>
        <v>50.824716596527246</v>
      </c>
      <c r="AL53" s="415">
        <f t="shared" si="39"/>
        <v>50.824716596527246</v>
      </c>
      <c r="AM53" s="415">
        <f t="shared" si="39"/>
        <v>50.824716596527246</v>
      </c>
      <c r="AN53" s="415">
        <f t="shared" si="39"/>
        <v>52.349458094423056</v>
      </c>
      <c r="AO53" s="415">
        <f t="shared" si="39"/>
        <v>52.349458094423056</v>
      </c>
      <c r="AP53" s="415">
        <f t="shared" si="39"/>
        <v>52.349458094423056</v>
      </c>
      <c r="AQ53" s="415">
        <f t="shared" si="39"/>
        <v>52.349458094423056</v>
      </c>
      <c r="AR53" s="412" t="str">
        <f t="shared" si="31"/>
        <v>Страховые взносы ФСС (НС и ПЗ)</v>
      </c>
      <c r="AS53" s="415">
        <f t="shared" si="0"/>
        <v>0</v>
      </c>
      <c r="AT53" s="415">
        <f t="shared" si="10"/>
        <v>164.64000000000001</v>
      </c>
      <c r="AU53" s="415">
        <f t="shared" si="1"/>
        <v>169.57920000000001</v>
      </c>
      <c r="AV53" s="415">
        <f t="shared" si="2"/>
        <v>174.66657600000002</v>
      </c>
      <c r="AW53" s="415">
        <f t="shared" si="3"/>
        <v>179.90657328000003</v>
      </c>
      <c r="AX53" s="415">
        <f t="shared" si="4"/>
        <v>185.3037704784</v>
      </c>
      <c r="AY53" s="415">
        <f t="shared" si="5"/>
        <v>190.86288359275204</v>
      </c>
      <c r="AZ53" s="415">
        <f t="shared" si="6"/>
        <v>197.37754018068833</v>
      </c>
      <c r="BA53" s="415">
        <f t="shared" si="7"/>
        <v>203.29886638610898</v>
      </c>
      <c r="BB53" s="415">
        <f t="shared" si="8"/>
        <v>209.39783237769223</v>
      </c>
      <c r="BC53" s="416">
        <f t="shared" si="9"/>
        <v>209.39783237769223</v>
      </c>
    </row>
    <row r="54" spans="1:55" ht="28.8" x14ac:dyDescent="0.3">
      <c r="A54" s="124" t="s">
        <v>147</v>
      </c>
      <c r="B54" s="124"/>
      <c r="C54" s="124"/>
      <c r="D54" s="124">
        <f>D52+D53</f>
        <v>0</v>
      </c>
      <c r="E54" s="124">
        <f t="shared" ref="E54:AH54" si="40">E52+E53</f>
        <v>0</v>
      </c>
      <c r="F54" s="124">
        <f t="shared" si="40"/>
        <v>0</v>
      </c>
      <c r="G54" s="124">
        <f t="shared" si="40"/>
        <v>0</v>
      </c>
      <c r="H54" s="127">
        <f>H52+H53</f>
        <v>3863.16</v>
      </c>
      <c r="I54" s="127">
        <f t="shared" si="40"/>
        <v>3863.16</v>
      </c>
      <c r="J54" s="127">
        <f t="shared" si="40"/>
        <v>3863.16</v>
      </c>
      <c r="K54" s="127">
        <f t="shared" si="40"/>
        <v>3863.16</v>
      </c>
      <c r="L54" s="127">
        <f t="shared" si="40"/>
        <v>3979.0548000000003</v>
      </c>
      <c r="M54" s="127">
        <f t="shared" si="40"/>
        <v>3979.0548000000003</v>
      </c>
      <c r="N54" s="127">
        <f t="shared" si="40"/>
        <v>3979.0548000000003</v>
      </c>
      <c r="O54" s="127">
        <f t="shared" si="40"/>
        <v>3979.0548000000003</v>
      </c>
      <c r="P54" s="127">
        <f t="shared" si="40"/>
        <v>4098.4264440000006</v>
      </c>
      <c r="Q54" s="127">
        <f t="shared" si="40"/>
        <v>4098.4264440000006</v>
      </c>
      <c r="R54" s="127">
        <f t="shared" si="40"/>
        <v>4098.4264440000006</v>
      </c>
      <c r="S54" s="127">
        <f t="shared" si="40"/>
        <v>4098.4264440000006</v>
      </c>
      <c r="T54" s="127">
        <f t="shared" si="40"/>
        <v>4221.3792373200013</v>
      </c>
      <c r="U54" s="127">
        <f t="shared" si="40"/>
        <v>4221.3792373200013</v>
      </c>
      <c r="V54" s="127">
        <f t="shared" si="40"/>
        <v>4221.3792373200013</v>
      </c>
      <c r="W54" s="127">
        <f t="shared" si="40"/>
        <v>4221.3792373200013</v>
      </c>
      <c r="X54" s="127">
        <f t="shared" si="40"/>
        <v>4348.0206144395997</v>
      </c>
      <c r="Y54" s="127">
        <f t="shared" si="40"/>
        <v>4348.0206144395997</v>
      </c>
      <c r="Z54" s="127">
        <f t="shared" si="40"/>
        <v>4348.0206144395997</v>
      </c>
      <c r="AA54" s="127">
        <f t="shared" si="40"/>
        <v>4348.0206144395997</v>
      </c>
      <c r="AB54" s="127">
        <f t="shared" si="40"/>
        <v>4478.461232872789</v>
      </c>
      <c r="AC54" s="127">
        <f t="shared" si="40"/>
        <v>4478.461232872789</v>
      </c>
      <c r="AD54" s="127">
        <f t="shared" si="40"/>
        <v>4478.461232872789</v>
      </c>
      <c r="AE54" s="127">
        <f t="shared" si="40"/>
        <v>4478.461232872789</v>
      </c>
      <c r="AF54" s="127">
        <f t="shared" si="40"/>
        <v>4631.3229963825797</v>
      </c>
      <c r="AG54" s="127">
        <f t="shared" si="40"/>
        <v>4631.3229963825797</v>
      </c>
      <c r="AH54" s="127">
        <f t="shared" si="40"/>
        <v>4631.3229963825797</v>
      </c>
      <c r="AI54" s="127">
        <f>AI52+AI53</f>
        <v>4631.3229963825797</v>
      </c>
      <c r="AJ54" s="127">
        <f t="shared" ref="AJ54:AQ54" si="41">AJ52+AJ53</f>
        <v>4770.2626862740572</v>
      </c>
      <c r="AK54" s="127">
        <f t="shared" si="41"/>
        <v>4770.2626862740572</v>
      </c>
      <c r="AL54" s="127">
        <f t="shared" si="41"/>
        <v>4770.2626862740572</v>
      </c>
      <c r="AM54" s="127">
        <f t="shared" si="41"/>
        <v>4770.2626862740572</v>
      </c>
      <c r="AN54" s="127">
        <f t="shared" si="41"/>
        <v>4913.3705668622779</v>
      </c>
      <c r="AO54" s="127">
        <f t="shared" si="41"/>
        <v>4913.3705668622779</v>
      </c>
      <c r="AP54" s="127">
        <f t="shared" si="41"/>
        <v>4913.3705668622779</v>
      </c>
      <c r="AQ54" s="127">
        <f t="shared" si="41"/>
        <v>4913.3705668622779</v>
      </c>
      <c r="AR54" s="137" t="str">
        <f t="shared" si="31"/>
        <v>ЗП и все взносы</v>
      </c>
      <c r="AS54" s="127">
        <f t="shared" si="0"/>
        <v>0</v>
      </c>
      <c r="AT54" s="127">
        <f t="shared" si="10"/>
        <v>15452.64</v>
      </c>
      <c r="AU54" s="127">
        <f t="shared" si="1"/>
        <v>15916.219200000001</v>
      </c>
      <c r="AV54" s="127">
        <f t="shared" si="2"/>
        <v>16393.705776000003</v>
      </c>
      <c r="AW54" s="127">
        <f t="shared" si="3"/>
        <v>16885.516949280005</v>
      </c>
      <c r="AX54" s="127">
        <f t="shared" si="4"/>
        <v>17392.082457758399</v>
      </c>
      <c r="AY54" s="127">
        <f t="shared" si="5"/>
        <v>17913.844931491156</v>
      </c>
      <c r="AZ54" s="127">
        <f t="shared" si="6"/>
        <v>18525.291985530319</v>
      </c>
      <c r="BA54" s="127">
        <f t="shared" si="7"/>
        <v>19081.050745096229</v>
      </c>
      <c r="BB54" s="421">
        <f t="shared" si="8"/>
        <v>19653.482267449112</v>
      </c>
      <c r="BC54" s="127">
        <f t="shared" si="9"/>
        <v>19653.482267449112</v>
      </c>
    </row>
    <row r="55" spans="1:55" x14ac:dyDescent="0.3">
      <c r="A55" s="124" t="s">
        <v>148</v>
      </c>
      <c r="B55" s="124"/>
      <c r="C55" s="124"/>
      <c r="D55" s="124"/>
      <c r="E55" s="124"/>
      <c r="F55" s="124"/>
      <c r="G55" s="124">
        <f>SUM(D54:G54)</f>
        <v>0</v>
      </c>
      <c r="H55" s="127"/>
      <c r="I55" s="127"/>
      <c r="J55" s="127"/>
      <c r="K55" s="127">
        <f>SUM(H54:K54)</f>
        <v>15452.64</v>
      </c>
      <c r="L55" s="127"/>
      <c r="M55" s="127"/>
      <c r="N55" s="127"/>
      <c r="O55" s="127">
        <f>SUM(L54:O54)</f>
        <v>15916.219200000001</v>
      </c>
      <c r="P55" s="127"/>
      <c r="Q55" s="127"/>
      <c r="R55" s="127"/>
      <c r="S55" s="127">
        <f>SUM(P54:S54)</f>
        <v>16393.705776000003</v>
      </c>
      <c r="T55" s="127"/>
      <c r="U55" s="127"/>
      <c r="V55" s="127"/>
      <c r="W55" s="127">
        <f>SUM(T54:W54)</f>
        <v>16885.516949280005</v>
      </c>
      <c r="X55" s="127"/>
      <c r="Y55" s="127"/>
      <c r="Z55" s="127"/>
      <c r="AA55" s="127">
        <f t="shared" ref="AA55:AI55" si="42">SUM(X54:AA54)</f>
        <v>17392.082457758399</v>
      </c>
      <c r="AB55" s="127"/>
      <c r="AC55" s="127"/>
      <c r="AD55" s="127"/>
      <c r="AE55" s="127">
        <f t="shared" si="42"/>
        <v>17913.844931491156</v>
      </c>
      <c r="AF55" s="127"/>
      <c r="AG55" s="127"/>
      <c r="AH55" s="127"/>
      <c r="AI55" s="127">
        <f t="shared" si="42"/>
        <v>18525.291985530319</v>
      </c>
      <c r="AJ55" s="127"/>
      <c r="AK55" s="127"/>
      <c r="AL55" s="127"/>
      <c r="AM55" s="127">
        <f>SUM(AJ54:AM54)</f>
        <v>19081.050745096229</v>
      </c>
      <c r="AN55" s="127"/>
      <c r="AO55" s="127"/>
      <c r="AP55" s="127"/>
      <c r="AQ55" s="127">
        <f>SUM(AN54:AQ54)</f>
        <v>19653.482267449112</v>
      </c>
      <c r="AR55" s="127" t="s">
        <v>169</v>
      </c>
      <c r="AS55" s="127">
        <f t="shared" si="0"/>
        <v>0</v>
      </c>
      <c r="AT55" s="127">
        <f t="shared" si="10"/>
        <v>15452.64</v>
      </c>
      <c r="AU55" s="127">
        <f t="shared" si="1"/>
        <v>15916.219200000001</v>
      </c>
      <c r="AV55" s="127">
        <f t="shared" si="2"/>
        <v>16393.705776000003</v>
      </c>
      <c r="AW55" s="127">
        <f t="shared" si="3"/>
        <v>16885.516949280005</v>
      </c>
      <c r="AX55" s="127">
        <f t="shared" si="4"/>
        <v>17392.082457758399</v>
      </c>
      <c r="AY55" s="127">
        <f t="shared" si="5"/>
        <v>17913.844931491156</v>
      </c>
      <c r="AZ55" s="127">
        <f t="shared" si="6"/>
        <v>18525.291985530319</v>
      </c>
      <c r="BA55" s="127">
        <f t="shared" si="7"/>
        <v>19081.050745096229</v>
      </c>
      <c r="BB55" s="127">
        <f t="shared" si="8"/>
        <v>19653.482267449112</v>
      </c>
      <c r="BC55" s="127">
        <f t="shared" si="9"/>
        <v>19653.482267449112</v>
      </c>
    </row>
    <row r="56" spans="1:55" x14ac:dyDescent="0.3">
      <c r="A56" s="124" t="str">
        <f>'Расходы на ЗП ОТ'!A56</f>
        <v>НДФЛ РФ</v>
      </c>
      <c r="B56" s="139">
        <f>'Расходы на ЗП ОТ'!B56</f>
        <v>0.13</v>
      </c>
      <c r="C56" s="124">
        <f>'Расходы на ЗП ОТ'!C56</f>
        <v>0</v>
      </c>
      <c r="D56" s="124">
        <f>'Расходы на ЗП ОТ'!D56</f>
        <v>0</v>
      </c>
      <c r="E56" s="124">
        <f>'Расходы на ЗП ОТ'!E56</f>
        <v>0</v>
      </c>
      <c r="F56" s="124">
        <f>'Расходы на ЗП ОТ'!F56</f>
        <v>0</v>
      </c>
      <c r="G56" s="124">
        <f>'Расходы на ЗП ОТ'!G56</f>
        <v>0</v>
      </c>
      <c r="H56" s="127">
        <f>'Расходы на ЗП ОТ'!H56</f>
        <v>382.2</v>
      </c>
      <c r="I56" s="127">
        <f>'Расходы на ЗП ОТ'!I56</f>
        <v>382.2</v>
      </c>
      <c r="J56" s="127">
        <f>'Расходы на ЗП ОТ'!J56</f>
        <v>382.2</v>
      </c>
      <c r="K56" s="127">
        <f>'Расходы на ЗП ОТ'!K56</f>
        <v>382.2</v>
      </c>
      <c r="L56" s="127">
        <f>'Расходы на ЗП ОТ'!L56</f>
        <v>393.66600000000005</v>
      </c>
      <c r="M56" s="127">
        <f>'Расходы на ЗП ОТ'!M56</f>
        <v>393.66600000000005</v>
      </c>
      <c r="N56" s="127">
        <f>'Расходы на ЗП ОТ'!N56</f>
        <v>393.66600000000005</v>
      </c>
      <c r="O56" s="127">
        <f>'Расходы на ЗП ОТ'!O56</f>
        <v>393.66600000000005</v>
      </c>
      <c r="P56" s="127">
        <f>'Расходы на ЗП ОТ'!P56</f>
        <v>405.47598000000005</v>
      </c>
      <c r="Q56" s="127">
        <f>'Расходы на ЗП ОТ'!Q56</f>
        <v>405.47598000000005</v>
      </c>
      <c r="R56" s="127">
        <f>'Расходы на ЗП ОТ'!R56</f>
        <v>405.47598000000005</v>
      </c>
      <c r="S56" s="127">
        <f>'Расходы на ЗП ОТ'!S56</f>
        <v>405.47598000000005</v>
      </c>
      <c r="T56" s="127">
        <f>'Расходы на ЗП ОТ'!T56</f>
        <v>417.6402594000001</v>
      </c>
      <c r="U56" s="127">
        <f>'Расходы на ЗП ОТ'!U56</f>
        <v>417.6402594000001</v>
      </c>
      <c r="V56" s="127">
        <f>'Расходы на ЗП ОТ'!V56</f>
        <v>417.6402594000001</v>
      </c>
      <c r="W56" s="127">
        <f>'Расходы на ЗП ОТ'!W56</f>
        <v>417.6402594000001</v>
      </c>
      <c r="X56" s="127">
        <f>'Расходы на ЗП ОТ'!X56</f>
        <v>430.16946718200001</v>
      </c>
      <c r="Y56" s="127">
        <f>'Расходы на ЗП ОТ'!Y56</f>
        <v>430.16946718200001</v>
      </c>
      <c r="Z56" s="127">
        <f>'Расходы на ЗП ОТ'!Z56</f>
        <v>430.16946718200001</v>
      </c>
      <c r="AA56" s="127">
        <f>'Расходы на ЗП ОТ'!AA56</f>
        <v>430.16946718200001</v>
      </c>
      <c r="AB56" s="127">
        <f>'Расходы на ЗП ОТ'!AB56</f>
        <v>443.0745511974601</v>
      </c>
      <c r="AC56" s="127">
        <f>'Расходы на ЗП ОТ'!AC56</f>
        <v>443.0745511974601</v>
      </c>
      <c r="AD56" s="127">
        <f>'Расходы на ЗП ОТ'!AD56</f>
        <v>443.0745511974601</v>
      </c>
      <c r="AE56" s="127">
        <f>'Расходы на ЗП ОТ'!AE56</f>
        <v>443.0745511974601</v>
      </c>
      <c r="AF56" s="127">
        <f>'Расходы на ЗП ОТ'!AF56</f>
        <v>458.19786113374073</v>
      </c>
      <c r="AG56" s="127">
        <f>'Расходы на ЗП ОТ'!AG56</f>
        <v>458.19786113374073</v>
      </c>
      <c r="AH56" s="127">
        <f>'Расходы на ЗП ОТ'!AH56</f>
        <v>458.19786113374073</v>
      </c>
      <c r="AI56" s="127">
        <f>'Расходы на ЗП ОТ'!AI56</f>
        <v>458.19786113374073</v>
      </c>
      <c r="AJ56" s="127">
        <f>'Расходы на ЗП ОТ'!AJ56</f>
        <v>471.94379696775297</v>
      </c>
      <c r="AK56" s="127">
        <f>'Расходы на ЗП ОТ'!AK56</f>
        <v>471.94379696775297</v>
      </c>
      <c r="AL56" s="127">
        <f>'Расходы на ЗП ОТ'!AL56</f>
        <v>471.94379696775297</v>
      </c>
      <c r="AM56" s="127">
        <f>'Расходы на ЗП ОТ'!AM56</f>
        <v>471.94379696775297</v>
      </c>
      <c r="AN56" s="127">
        <f>'Расходы на ЗП ОТ'!AN56</f>
        <v>486.1021108767855</v>
      </c>
      <c r="AO56" s="127">
        <f>'Расходы на ЗП ОТ'!AO56</f>
        <v>486.1021108767855</v>
      </c>
      <c r="AP56" s="127">
        <f>'Расходы на ЗП ОТ'!AP56</f>
        <v>486.1021108767855</v>
      </c>
      <c r="AQ56" s="127">
        <f>'Расходы на ЗП ОТ'!AQ56</f>
        <v>486.1021108767855</v>
      </c>
      <c r="AR56" s="127" t="str">
        <f t="shared" si="31"/>
        <v>НДФЛ РФ</v>
      </c>
      <c r="AS56" s="127">
        <f t="shared" si="0"/>
        <v>0</v>
      </c>
      <c r="AT56" s="127">
        <f t="shared" si="10"/>
        <v>1528.8</v>
      </c>
      <c r="AU56" s="127">
        <f t="shared" si="1"/>
        <v>1574.6640000000002</v>
      </c>
      <c r="AV56" s="127">
        <f t="shared" si="2"/>
        <v>1621.9039200000002</v>
      </c>
      <c r="AW56" s="127">
        <f t="shared" si="3"/>
        <v>1670.5610376000004</v>
      </c>
      <c r="AX56" s="127">
        <f t="shared" si="4"/>
        <v>1720.677868728</v>
      </c>
      <c r="AY56" s="127">
        <f t="shared" si="5"/>
        <v>1772.2982047898404</v>
      </c>
      <c r="AZ56" s="127">
        <f t="shared" si="6"/>
        <v>1832.7914445349629</v>
      </c>
      <c r="BA56" s="127">
        <f t="shared" si="7"/>
        <v>1887.7751878710119</v>
      </c>
      <c r="BB56" s="127">
        <f t="shared" si="8"/>
        <v>1944.408443507142</v>
      </c>
      <c r="BC56" s="127">
        <f t="shared" si="9"/>
        <v>1944.408443507142</v>
      </c>
    </row>
    <row r="57" spans="1:55" x14ac:dyDescent="0.3">
      <c r="A57" s="124" t="str">
        <f>'Расходы на ЗП ОТ'!A57</f>
        <v>НДФЛ ИРС</v>
      </c>
      <c r="B57" s="139">
        <f>'Расходы на ЗП ОТ'!B57</f>
        <v>0.3</v>
      </c>
      <c r="C57" s="124">
        <f>'Расходы на ЗП ОТ'!C57</f>
        <v>0</v>
      </c>
      <c r="D57" s="124">
        <f>'Расходы на ЗП ОТ'!D57</f>
        <v>0</v>
      </c>
      <c r="E57" s="124">
        <f>'Расходы на ЗП ОТ'!E57</f>
        <v>0</v>
      </c>
      <c r="F57" s="124">
        <f>'Расходы на ЗП ОТ'!F57</f>
        <v>0</v>
      </c>
      <c r="G57" s="124">
        <f>'Расходы на ЗП ОТ'!G57</f>
        <v>0</v>
      </c>
      <c r="H57" s="127">
        <f>'Расходы на ЗП ОТ'!H57</f>
        <v>0</v>
      </c>
      <c r="I57" s="127">
        <f>'Расходы на ЗП ОТ'!I57</f>
        <v>0</v>
      </c>
      <c r="J57" s="127">
        <f>'Расходы на ЗП ОТ'!J57</f>
        <v>0</v>
      </c>
      <c r="K57" s="127">
        <f>'Расходы на ЗП ОТ'!K57</f>
        <v>0</v>
      </c>
      <c r="L57" s="127">
        <f>'Расходы на ЗП ОТ'!L57</f>
        <v>0</v>
      </c>
      <c r="M57" s="127">
        <f>'Расходы на ЗП ОТ'!M57</f>
        <v>0</v>
      </c>
      <c r="N57" s="127">
        <f>'Расходы на ЗП ОТ'!N57</f>
        <v>0</v>
      </c>
      <c r="O57" s="127">
        <f>'Расходы на ЗП ОТ'!O57</f>
        <v>0</v>
      </c>
      <c r="P57" s="127">
        <f>'Расходы на ЗП ОТ'!P57</f>
        <v>0</v>
      </c>
      <c r="Q57" s="127">
        <f>'Расходы на ЗП ОТ'!Q57</f>
        <v>0</v>
      </c>
      <c r="R57" s="127">
        <f>'Расходы на ЗП ОТ'!R57</f>
        <v>0</v>
      </c>
      <c r="S57" s="127">
        <f>'Расходы на ЗП ОТ'!S57</f>
        <v>0</v>
      </c>
      <c r="T57" s="127">
        <f>'Расходы на ЗП ОТ'!T57</f>
        <v>0</v>
      </c>
      <c r="U57" s="127">
        <f>'Расходы на ЗП ОТ'!U57</f>
        <v>0</v>
      </c>
      <c r="V57" s="127">
        <f>'Расходы на ЗП ОТ'!V57</f>
        <v>0</v>
      </c>
      <c r="W57" s="127">
        <f>'Расходы на ЗП ОТ'!W57</f>
        <v>0</v>
      </c>
      <c r="X57" s="127">
        <f>'Расходы на ЗП ОТ'!X57</f>
        <v>0</v>
      </c>
      <c r="Y57" s="127">
        <f>'Расходы на ЗП ОТ'!Y57</f>
        <v>0</v>
      </c>
      <c r="Z57" s="127">
        <f>'Расходы на ЗП ОТ'!Z57</f>
        <v>0</v>
      </c>
      <c r="AA57" s="127">
        <f>'Расходы на ЗП ОТ'!AA57</f>
        <v>0</v>
      </c>
      <c r="AB57" s="127">
        <f>'Расходы на ЗП ОТ'!AB57</f>
        <v>0</v>
      </c>
      <c r="AC57" s="127">
        <f>'Расходы на ЗП ОТ'!AC57</f>
        <v>0</v>
      </c>
      <c r="AD57" s="127">
        <f>'Расходы на ЗП ОТ'!AD57</f>
        <v>0</v>
      </c>
      <c r="AE57" s="127">
        <f>'Расходы на ЗП ОТ'!AE57</f>
        <v>0</v>
      </c>
      <c r="AF57" s="127">
        <f>'Расходы на ЗП ОТ'!AF57</f>
        <v>0</v>
      </c>
      <c r="AG57" s="127">
        <f>'Расходы на ЗП ОТ'!AG57</f>
        <v>0</v>
      </c>
      <c r="AH57" s="127">
        <f>'Расходы на ЗП ОТ'!AH57</f>
        <v>0</v>
      </c>
      <c r="AI57" s="127">
        <f>'Расходы на ЗП ОТ'!AI57</f>
        <v>0</v>
      </c>
      <c r="AJ57" s="127">
        <f>'Расходы на ЗП ОТ'!AJ57</f>
        <v>0</v>
      </c>
      <c r="AK57" s="127">
        <f>'Расходы на ЗП ОТ'!AK57</f>
        <v>0</v>
      </c>
      <c r="AL57" s="127">
        <f>'Расходы на ЗП ОТ'!AL57</f>
        <v>0</v>
      </c>
      <c r="AM57" s="127">
        <f>'Расходы на ЗП ОТ'!AM57</f>
        <v>0</v>
      </c>
      <c r="AN57" s="127">
        <f>'Расходы на ЗП ОТ'!AN57</f>
        <v>0</v>
      </c>
      <c r="AO57" s="127">
        <f>'Расходы на ЗП ОТ'!AO57</f>
        <v>0</v>
      </c>
      <c r="AP57" s="127">
        <f>'Расходы на ЗП ОТ'!AP57</f>
        <v>0</v>
      </c>
      <c r="AQ57" s="127">
        <f>'Расходы на ЗП ОТ'!AQ57</f>
        <v>0</v>
      </c>
      <c r="AR57" s="127" t="str">
        <f t="shared" si="31"/>
        <v>НДФЛ ИРС</v>
      </c>
      <c r="AS57" s="127">
        <f t="shared" si="0"/>
        <v>0</v>
      </c>
      <c r="AT57" s="127">
        <f t="shared" si="10"/>
        <v>0</v>
      </c>
      <c r="AU57" s="127">
        <f t="shared" si="1"/>
        <v>0</v>
      </c>
      <c r="AV57" s="127">
        <f t="shared" si="2"/>
        <v>0</v>
      </c>
      <c r="AW57" s="127">
        <f t="shared" si="3"/>
        <v>0</v>
      </c>
      <c r="AX57" s="127">
        <f t="shared" si="4"/>
        <v>0</v>
      </c>
      <c r="AY57" s="127">
        <f t="shared" si="5"/>
        <v>0</v>
      </c>
      <c r="AZ57" s="127">
        <f t="shared" si="6"/>
        <v>0</v>
      </c>
      <c r="BA57" s="127">
        <f t="shared" si="7"/>
        <v>0</v>
      </c>
      <c r="BB57" s="127">
        <f t="shared" si="8"/>
        <v>0</v>
      </c>
      <c r="BC57" s="127">
        <f t="shared" si="9"/>
        <v>0</v>
      </c>
    </row>
    <row r="58" spans="1:55" x14ac:dyDescent="0.3">
      <c r="A58" s="124" t="str">
        <f>'Расходы на ЗП ОТ'!A58</f>
        <v>НДФЛ итого</v>
      </c>
      <c r="B58" s="124"/>
      <c r="C58" s="124">
        <f>'Расходы на ЗП ОТ'!C58</f>
        <v>0</v>
      </c>
      <c r="D58" s="124">
        <f>'Расходы на ЗП ОТ'!D58</f>
        <v>0</v>
      </c>
      <c r="E58" s="124">
        <f>'Расходы на ЗП ОТ'!E58</f>
        <v>0</v>
      </c>
      <c r="F58" s="124">
        <f>'Расходы на ЗП ОТ'!F58</f>
        <v>0</v>
      </c>
      <c r="G58" s="124">
        <f>'Расходы на ЗП ОТ'!G58</f>
        <v>0</v>
      </c>
      <c r="H58" s="127">
        <f>'Расходы на ЗП ОТ'!H58</f>
        <v>382.2</v>
      </c>
      <c r="I58" s="127">
        <f>'Расходы на ЗП ОТ'!I58</f>
        <v>382.2</v>
      </c>
      <c r="J58" s="127">
        <f>'Расходы на ЗП ОТ'!J58</f>
        <v>382.2</v>
      </c>
      <c r="K58" s="127">
        <f>'Расходы на ЗП ОТ'!K58</f>
        <v>382.2</v>
      </c>
      <c r="L58" s="127">
        <f>'Расходы на ЗП ОТ'!L58</f>
        <v>393.66600000000005</v>
      </c>
      <c r="M58" s="127">
        <f>'Расходы на ЗП ОТ'!M58</f>
        <v>393.66600000000005</v>
      </c>
      <c r="N58" s="127">
        <f>'Расходы на ЗП ОТ'!N58</f>
        <v>393.66600000000005</v>
      </c>
      <c r="O58" s="127">
        <f>'Расходы на ЗП ОТ'!O58</f>
        <v>393.66600000000005</v>
      </c>
      <c r="P58" s="127">
        <f>'Расходы на ЗП ОТ'!P58</f>
        <v>405.47598000000005</v>
      </c>
      <c r="Q58" s="127">
        <f>'Расходы на ЗП ОТ'!Q58</f>
        <v>405.47598000000005</v>
      </c>
      <c r="R58" s="127">
        <f>'Расходы на ЗП ОТ'!R58</f>
        <v>405.47598000000005</v>
      </c>
      <c r="S58" s="127">
        <f>'Расходы на ЗП ОТ'!S58</f>
        <v>405.47598000000005</v>
      </c>
      <c r="T58" s="127">
        <f>'Расходы на ЗП ОТ'!T58</f>
        <v>417.6402594000001</v>
      </c>
      <c r="U58" s="127">
        <f>'Расходы на ЗП ОТ'!U58</f>
        <v>417.6402594000001</v>
      </c>
      <c r="V58" s="127">
        <f>'Расходы на ЗП ОТ'!V58</f>
        <v>417.6402594000001</v>
      </c>
      <c r="W58" s="127">
        <f>'Расходы на ЗП ОТ'!W58</f>
        <v>417.6402594000001</v>
      </c>
      <c r="X58" s="127">
        <f>'Расходы на ЗП ОТ'!X58</f>
        <v>430.16946718200001</v>
      </c>
      <c r="Y58" s="127">
        <f>'Расходы на ЗП ОТ'!Y58</f>
        <v>430.16946718200001</v>
      </c>
      <c r="Z58" s="127">
        <f>'Расходы на ЗП ОТ'!Z58</f>
        <v>430.16946718200001</v>
      </c>
      <c r="AA58" s="127">
        <f>'Расходы на ЗП ОТ'!AA58</f>
        <v>430.16946718200001</v>
      </c>
      <c r="AB58" s="127">
        <f>'Расходы на ЗП ОТ'!AB58</f>
        <v>443.0745511974601</v>
      </c>
      <c r="AC58" s="127">
        <f>'Расходы на ЗП ОТ'!AC58</f>
        <v>443.0745511974601</v>
      </c>
      <c r="AD58" s="127">
        <f>'Расходы на ЗП ОТ'!AD58</f>
        <v>443.0745511974601</v>
      </c>
      <c r="AE58" s="127">
        <f>'Расходы на ЗП ОТ'!AE58</f>
        <v>443.0745511974601</v>
      </c>
      <c r="AF58" s="127">
        <f>'Расходы на ЗП ОТ'!AF58</f>
        <v>458.19786113374073</v>
      </c>
      <c r="AG58" s="127">
        <f>'Расходы на ЗП ОТ'!AG58</f>
        <v>458.19786113374073</v>
      </c>
      <c r="AH58" s="127">
        <f>'Расходы на ЗП ОТ'!AH58</f>
        <v>458.19786113374073</v>
      </c>
      <c r="AI58" s="127">
        <f>'Расходы на ЗП ОТ'!AI58</f>
        <v>458.19786113374073</v>
      </c>
      <c r="AJ58" s="127">
        <f>'Расходы на ЗП ОТ'!AJ58</f>
        <v>471.94379696775297</v>
      </c>
      <c r="AK58" s="127">
        <f>'Расходы на ЗП ОТ'!AK58</f>
        <v>471.94379696775297</v>
      </c>
      <c r="AL58" s="127">
        <f>'Расходы на ЗП ОТ'!AL58</f>
        <v>471.94379696775297</v>
      </c>
      <c r="AM58" s="127">
        <f>'Расходы на ЗП ОТ'!AM58</f>
        <v>471.94379696775297</v>
      </c>
      <c r="AN58" s="127">
        <f>'Расходы на ЗП ОТ'!AN58</f>
        <v>486.1021108767855</v>
      </c>
      <c r="AO58" s="127">
        <f>'Расходы на ЗП ОТ'!AO58</f>
        <v>486.1021108767855</v>
      </c>
      <c r="AP58" s="127">
        <f>'Расходы на ЗП ОТ'!AP58</f>
        <v>486.1021108767855</v>
      </c>
      <c r="AQ58" s="127">
        <f>'Расходы на ЗП ОТ'!AQ58</f>
        <v>486.1021108767855</v>
      </c>
      <c r="AR58" s="127" t="str">
        <f t="shared" si="31"/>
        <v>НДФЛ итого</v>
      </c>
      <c r="AS58" s="127">
        <f t="shared" si="0"/>
        <v>0</v>
      </c>
      <c r="AT58" s="127">
        <f t="shared" si="10"/>
        <v>1528.8</v>
      </c>
      <c r="AU58" s="127">
        <f t="shared" si="1"/>
        <v>1574.6640000000002</v>
      </c>
      <c r="AV58" s="127">
        <f t="shared" si="2"/>
        <v>1621.9039200000002</v>
      </c>
      <c r="AW58" s="127">
        <f t="shared" si="3"/>
        <v>1670.5610376000004</v>
      </c>
      <c r="AX58" s="127">
        <f t="shared" si="4"/>
        <v>1720.677868728</v>
      </c>
      <c r="AY58" s="127">
        <f t="shared" si="5"/>
        <v>1772.2982047898404</v>
      </c>
      <c r="AZ58" s="127">
        <f t="shared" si="6"/>
        <v>1832.7914445349629</v>
      </c>
      <c r="BA58" s="127">
        <f t="shared" si="7"/>
        <v>1887.7751878710119</v>
      </c>
      <c r="BB58" s="127">
        <f t="shared" si="8"/>
        <v>1944.408443507142</v>
      </c>
      <c r="BC58" s="127">
        <f t="shared" si="9"/>
        <v>1944.408443507142</v>
      </c>
    </row>
    <row r="59" spans="1:55" x14ac:dyDescent="0.3">
      <c r="BB59" s="140"/>
    </row>
    <row r="60" spans="1:55" s="136" customFormat="1" x14ac:dyDescent="0.3">
      <c r="A60" s="141" t="s">
        <v>152</v>
      </c>
      <c r="B60" s="141"/>
      <c r="C60" s="141"/>
      <c r="D60" s="103" t="str">
        <f>D1</f>
        <v>I кв. 1 г.</v>
      </c>
      <c r="E60" s="103" t="str">
        <f t="shared" ref="E60:AQ60" si="43">E1</f>
        <v>II кв. 1 г.</v>
      </c>
      <c r="F60" s="103" t="str">
        <f t="shared" si="43"/>
        <v>III кв. 1 г.</v>
      </c>
      <c r="G60" s="103" t="str">
        <f t="shared" si="43"/>
        <v>IV кв. 1 г.</v>
      </c>
      <c r="H60" s="103" t="str">
        <f t="shared" si="43"/>
        <v>I кв. 2 г.</v>
      </c>
      <c r="I60" s="103" t="str">
        <f t="shared" si="43"/>
        <v>II кв. 2 г.</v>
      </c>
      <c r="J60" s="103" t="str">
        <f t="shared" si="43"/>
        <v>III кв. 2 г.</v>
      </c>
      <c r="K60" s="103" t="str">
        <f t="shared" si="43"/>
        <v>IV кв. 2 г.</v>
      </c>
      <c r="L60" s="103" t="str">
        <f t="shared" si="43"/>
        <v>I кв. 3 г.</v>
      </c>
      <c r="M60" s="103" t="str">
        <f t="shared" si="43"/>
        <v>II кв. 3 г.</v>
      </c>
      <c r="N60" s="103" t="str">
        <f t="shared" si="43"/>
        <v>III кв. 3 г.</v>
      </c>
      <c r="O60" s="103" t="str">
        <f t="shared" si="43"/>
        <v>IV кв. 3 г.</v>
      </c>
      <c r="P60" s="103" t="str">
        <f t="shared" si="43"/>
        <v>I кв. 4 г.</v>
      </c>
      <c r="Q60" s="103" t="str">
        <f t="shared" si="43"/>
        <v>II кв. 4 г.</v>
      </c>
      <c r="R60" s="103" t="str">
        <f t="shared" si="43"/>
        <v>III кв. 4 г.</v>
      </c>
      <c r="S60" s="103" t="str">
        <f t="shared" si="43"/>
        <v>IV кв. 4 г.</v>
      </c>
      <c r="T60" s="103" t="str">
        <f t="shared" si="43"/>
        <v>I кв. 5 г.</v>
      </c>
      <c r="U60" s="103" t="str">
        <f t="shared" si="43"/>
        <v>II кв. 5 г.</v>
      </c>
      <c r="V60" s="103" t="str">
        <f t="shared" si="43"/>
        <v>III кв. 5 г.</v>
      </c>
      <c r="W60" s="103" t="str">
        <f t="shared" si="43"/>
        <v>IV кв. 5 г.</v>
      </c>
      <c r="X60" s="103" t="str">
        <f t="shared" si="43"/>
        <v>I кв. 6 г.</v>
      </c>
      <c r="Y60" s="103" t="str">
        <f t="shared" si="43"/>
        <v>II кв. 6 г.</v>
      </c>
      <c r="Z60" s="103" t="str">
        <f t="shared" si="43"/>
        <v>III кв. 6 г.</v>
      </c>
      <c r="AA60" s="103" t="str">
        <f t="shared" si="43"/>
        <v>IV кв. 6 г.</v>
      </c>
      <c r="AB60" s="103" t="str">
        <f t="shared" si="43"/>
        <v>I кв. 7 г.</v>
      </c>
      <c r="AC60" s="103" t="str">
        <f t="shared" si="43"/>
        <v>II кв. 7 г.</v>
      </c>
      <c r="AD60" s="103" t="str">
        <f t="shared" si="43"/>
        <v>III кв. 7 г.</v>
      </c>
      <c r="AE60" s="103" t="str">
        <f t="shared" si="43"/>
        <v>IV кв. 7 г.</v>
      </c>
      <c r="AF60" s="103" t="str">
        <f t="shared" si="43"/>
        <v>I кв. 8 г.</v>
      </c>
      <c r="AG60" s="103" t="str">
        <f t="shared" si="43"/>
        <v>II кв. 8 г.</v>
      </c>
      <c r="AH60" s="103" t="str">
        <f t="shared" si="43"/>
        <v>III кв. 8 г.</v>
      </c>
      <c r="AI60" s="103" t="str">
        <f t="shared" si="43"/>
        <v>IV кв. 8 г.</v>
      </c>
      <c r="AJ60" s="103" t="str">
        <f t="shared" si="43"/>
        <v>I кв. 9 г.</v>
      </c>
      <c r="AK60" s="103" t="str">
        <f t="shared" si="43"/>
        <v>II кв. 9 г.</v>
      </c>
      <c r="AL60" s="103" t="str">
        <f t="shared" si="43"/>
        <v>III кв. 9 г.</v>
      </c>
      <c r="AM60" s="103" t="str">
        <f t="shared" si="43"/>
        <v>IV кв. 9 г.</v>
      </c>
      <c r="AN60" s="103" t="str">
        <f t="shared" si="43"/>
        <v>I кв. 10 г.</v>
      </c>
      <c r="AO60" s="103" t="str">
        <f t="shared" si="43"/>
        <v>II кв. 10 г.</v>
      </c>
      <c r="AP60" s="103" t="str">
        <f t="shared" si="43"/>
        <v>III кв. 10 г.</v>
      </c>
      <c r="AQ60" s="103" t="str">
        <f t="shared" si="43"/>
        <v>IV кв. 10 г.</v>
      </c>
    </row>
    <row r="61" spans="1:55" x14ac:dyDescent="0.3">
      <c r="A61" s="142" t="s">
        <v>170</v>
      </c>
      <c r="B61" s="143">
        <f>'Расходы на ЗП ОТ'!B60</f>
        <v>1.4E-2</v>
      </c>
      <c r="C61" s="144"/>
      <c r="D61" s="142">
        <f>D53</f>
        <v>0</v>
      </c>
      <c r="E61" s="142">
        <f t="shared" ref="E61:AQ61" si="44">E53</f>
        <v>0</v>
      </c>
      <c r="F61" s="142">
        <f t="shared" si="44"/>
        <v>0</v>
      </c>
      <c r="G61" s="142">
        <f t="shared" si="44"/>
        <v>0</v>
      </c>
      <c r="H61" s="145">
        <f t="shared" si="44"/>
        <v>41.160000000000004</v>
      </c>
      <c r="I61" s="145">
        <f t="shared" si="44"/>
        <v>41.160000000000004</v>
      </c>
      <c r="J61" s="145">
        <f t="shared" si="44"/>
        <v>41.160000000000004</v>
      </c>
      <c r="K61" s="145">
        <f t="shared" si="44"/>
        <v>41.160000000000004</v>
      </c>
      <c r="L61" s="145">
        <f t="shared" si="44"/>
        <v>42.394800000000004</v>
      </c>
      <c r="M61" s="145">
        <f t="shared" si="44"/>
        <v>42.394800000000004</v>
      </c>
      <c r="N61" s="145">
        <f t="shared" si="44"/>
        <v>42.394800000000004</v>
      </c>
      <c r="O61" s="145">
        <f t="shared" si="44"/>
        <v>42.394800000000004</v>
      </c>
      <c r="P61" s="145">
        <f t="shared" si="44"/>
        <v>43.666644000000005</v>
      </c>
      <c r="Q61" s="145">
        <f t="shared" si="44"/>
        <v>43.666644000000005</v>
      </c>
      <c r="R61" s="145">
        <f t="shared" si="44"/>
        <v>43.666644000000005</v>
      </c>
      <c r="S61" s="145">
        <f t="shared" si="44"/>
        <v>43.666644000000005</v>
      </c>
      <c r="T61" s="145">
        <f t="shared" si="44"/>
        <v>44.976643320000008</v>
      </c>
      <c r="U61" s="145">
        <f t="shared" si="44"/>
        <v>44.976643320000008</v>
      </c>
      <c r="V61" s="145">
        <f t="shared" si="44"/>
        <v>44.976643320000008</v>
      </c>
      <c r="W61" s="145">
        <f t="shared" si="44"/>
        <v>44.976643320000008</v>
      </c>
      <c r="X61" s="145">
        <f t="shared" si="44"/>
        <v>46.325942619599999</v>
      </c>
      <c r="Y61" s="145">
        <f t="shared" si="44"/>
        <v>46.325942619599999</v>
      </c>
      <c r="Z61" s="145">
        <f t="shared" si="44"/>
        <v>46.325942619599999</v>
      </c>
      <c r="AA61" s="145">
        <f t="shared" si="44"/>
        <v>46.325942619599999</v>
      </c>
      <c r="AB61" s="145">
        <f t="shared" si="44"/>
        <v>47.71572089818801</v>
      </c>
      <c r="AC61" s="145">
        <f t="shared" si="44"/>
        <v>47.71572089818801</v>
      </c>
      <c r="AD61" s="145">
        <f t="shared" si="44"/>
        <v>47.71572089818801</v>
      </c>
      <c r="AE61" s="145">
        <f t="shared" si="44"/>
        <v>47.71572089818801</v>
      </c>
      <c r="AF61" s="145">
        <f t="shared" si="44"/>
        <v>49.344385045172082</v>
      </c>
      <c r="AG61" s="145">
        <f t="shared" si="44"/>
        <v>49.344385045172082</v>
      </c>
      <c r="AH61" s="145">
        <f t="shared" si="44"/>
        <v>49.344385045172082</v>
      </c>
      <c r="AI61" s="145">
        <f t="shared" si="44"/>
        <v>49.344385045172082</v>
      </c>
      <c r="AJ61" s="145">
        <f t="shared" si="44"/>
        <v>50.824716596527246</v>
      </c>
      <c r="AK61" s="145">
        <f t="shared" si="44"/>
        <v>50.824716596527246</v>
      </c>
      <c r="AL61" s="145">
        <f t="shared" si="44"/>
        <v>50.824716596527246</v>
      </c>
      <c r="AM61" s="145">
        <f t="shared" si="44"/>
        <v>50.824716596527246</v>
      </c>
      <c r="AN61" s="145">
        <f t="shared" si="44"/>
        <v>52.349458094423056</v>
      </c>
      <c r="AO61" s="145">
        <f t="shared" si="44"/>
        <v>52.349458094423056</v>
      </c>
      <c r="AP61" s="145">
        <f t="shared" si="44"/>
        <v>52.349458094423056</v>
      </c>
      <c r="AQ61" s="145">
        <f t="shared" si="44"/>
        <v>52.349458094423056</v>
      </c>
    </row>
    <row r="62" spans="1:55" x14ac:dyDescent="0.3">
      <c r="A62" s="142" t="s">
        <v>154</v>
      </c>
      <c r="B62" s="146">
        <f>SUM(B64:B66)</f>
        <v>0.3</v>
      </c>
      <c r="C62" s="144"/>
      <c r="D62" s="142">
        <f>D51</f>
        <v>0</v>
      </c>
      <c r="E62" s="142">
        <f t="shared" ref="E62:AI62" si="45">E51</f>
        <v>0</v>
      </c>
      <c r="F62" s="142">
        <f t="shared" si="45"/>
        <v>0</v>
      </c>
      <c r="G62" s="142">
        <f t="shared" si="45"/>
        <v>0</v>
      </c>
      <c r="H62" s="145">
        <f t="shared" si="45"/>
        <v>882</v>
      </c>
      <c r="I62" s="145">
        <f t="shared" si="45"/>
        <v>882</v>
      </c>
      <c r="J62" s="145">
        <f t="shared" si="45"/>
        <v>882</v>
      </c>
      <c r="K62" s="145">
        <f t="shared" si="45"/>
        <v>882</v>
      </c>
      <c r="L62" s="145">
        <f t="shared" si="45"/>
        <v>908.46</v>
      </c>
      <c r="M62" s="145">
        <f t="shared" si="45"/>
        <v>908.46</v>
      </c>
      <c r="N62" s="145">
        <f t="shared" si="45"/>
        <v>908.46</v>
      </c>
      <c r="O62" s="145">
        <f t="shared" si="45"/>
        <v>908.46</v>
      </c>
      <c r="P62" s="145">
        <f t="shared" si="45"/>
        <v>935.71379999999999</v>
      </c>
      <c r="Q62" s="145">
        <f t="shared" si="45"/>
        <v>935.71379999999999</v>
      </c>
      <c r="R62" s="145">
        <f t="shared" si="45"/>
        <v>935.71379999999999</v>
      </c>
      <c r="S62" s="145">
        <f t="shared" si="45"/>
        <v>935.71379999999999</v>
      </c>
      <c r="T62" s="145">
        <f t="shared" si="45"/>
        <v>963.785214</v>
      </c>
      <c r="U62" s="145">
        <f t="shared" si="45"/>
        <v>963.785214</v>
      </c>
      <c r="V62" s="145">
        <f t="shared" si="45"/>
        <v>963.785214</v>
      </c>
      <c r="W62" s="145">
        <f t="shared" si="45"/>
        <v>963.785214</v>
      </c>
      <c r="X62" s="145">
        <f t="shared" si="45"/>
        <v>992.69877041999996</v>
      </c>
      <c r="Y62" s="145">
        <f t="shared" si="45"/>
        <v>992.69877041999996</v>
      </c>
      <c r="Z62" s="145">
        <f t="shared" si="45"/>
        <v>992.69877041999996</v>
      </c>
      <c r="AA62" s="145">
        <f t="shared" si="45"/>
        <v>992.69877041999996</v>
      </c>
      <c r="AB62" s="145">
        <f t="shared" si="45"/>
        <v>1022.4797335326002</v>
      </c>
      <c r="AC62" s="145">
        <f t="shared" si="45"/>
        <v>1022.4797335326002</v>
      </c>
      <c r="AD62" s="145">
        <f t="shared" si="45"/>
        <v>1022.4797335326002</v>
      </c>
      <c r="AE62" s="145">
        <f t="shared" si="45"/>
        <v>1022.4797335326002</v>
      </c>
      <c r="AF62" s="145">
        <f t="shared" si="45"/>
        <v>1057.3796795394016</v>
      </c>
      <c r="AG62" s="145">
        <f t="shared" si="45"/>
        <v>1057.3796795394016</v>
      </c>
      <c r="AH62" s="145">
        <f t="shared" si="45"/>
        <v>1057.3796795394016</v>
      </c>
      <c r="AI62" s="145">
        <f t="shared" si="45"/>
        <v>1057.3796795394016</v>
      </c>
      <c r="AJ62" s="145">
        <f>AJ51</f>
        <v>1089.1010699255837</v>
      </c>
      <c r="AK62" s="145">
        <f t="shared" ref="AK62:AQ62" si="46">AK51</f>
        <v>1089.1010699255837</v>
      </c>
      <c r="AL62" s="145">
        <f t="shared" si="46"/>
        <v>1089.1010699255837</v>
      </c>
      <c r="AM62" s="145">
        <f t="shared" si="46"/>
        <v>1089.1010699255837</v>
      </c>
      <c r="AN62" s="145">
        <f t="shared" si="46"/>
        <v>1121.7741020233511</v>
      </c>
      <c r="AO62" s="145">
        <f t="shared" si="46"/>
        <v>1121.7741020233511</v>
      </c>
      <c r="AP62" s="145">
        <f t="shared" si="46"/>
        <v>1121.7741020233511</v>
      </c>
      <c r="AQ62" s="145">
        <f t="shared" si="46"/>
        <v>1121.7741020233511</v>
      </c>
    </row>
    <row r="63" spans="1:55" x14ac:dyDescent="0.3">
      <c r="A63" s="142" t="s">
        <v>155</v>
      </c>
      <c r="B63" s="142"/>
      <c r="C63" s="144" t="s">
        <v>171</v>
      </c>
      <c r="D63" s="142">
        <f>SUM(D64:D66)</f>
        <v>0</v>
      </c>
      <c r="E63" s="142">
        <f t="shared" ref="E63:AL63" si="47">SUM(E64:E66)</f>
        <v>0</v>
      </c>
      <c r="F63" s="142">
        <f t="shared" si="47"/>
        <v>0</v>
      </c>
      <c r="G63" s="142">
        <f t="shared" si="47"/>
        <v>0</v>
      </c>
      <c r="H63" s="145">
        <f t="shared" si="47"/>
        <v>264.60000000000002</v>
      </c>
      <c r="I63" s="145">
        <f t="shared" si="47"/>
        <v>264.60000000000002</v>
      </c>
      <c r="J63" s="145">
        <f t="shared" si="47"/>
        <v>264.60000000000002</v>
      </c>
      <c r="K63" s="145">
        <f t="shared" si="47"/>
        <v>264.60000000000002</v>
      </c>
      <c r="L63" s="145">
        <f t="shared" si="47"/>
        <v>272.53800000000007</v>
      </c>
      <c r="M63" s="145">
        <f t="shared" si="47"/>
        <v>272.53800000000007</v>
      </c>
      <c r="N63" s="145">
        <f t="shared" si="47"/>
        <v>272.53800000000007</v>
      </c>
      <c r="O63" s="145">
        <f t="shared" si="47"/>
        <v>272.53800000000007</v>
      </c>
      <c r="P63" s="145">
        <f t="shared" si="47"/>
        <v>280.71414000000004</v>
      </c>
      <c r="Q63" s="145">
        <f t="shared" si="47"/>
        <v>280.71414000000004</v>
      </c>
      <c r="R63" s="145">
        <f t="shared" si="47"/>
        <v>280.71414000000004</v>
      </c>
      <c r="S63" s="145">
        <f t="shared" si="47"/>
        <v>280.71414000000004</v>
      </c>
      <c r="T63" s="145">
        <f t="shared" si="47"/>
        <v>289.13556420000003</v>
      </c>
      <c r="U63" s="145">
        <f t="shared" si="47"/>
        <v>289.13556420000003</v>
      </c>
      <c r="V63" s="145">
        <f t="shared" si="47"/>
        <v>289.13556420000003</v>
      </c>
      <c r="W63" s="145">
        <f t="shared" si="47"/>
        <v>289.13556420000003</v>
      </c>
      <c r="X63" s="145">
        <f t="shared" si="47"/>
        <v>297.80963112600006</v>
      </c>
      <c r="Y63" s="145">
        <f t="shared" si="47"/>
        <v>297.80963112600006</v>
      </c>
      <c r="Z63" s="145">
        <f t="shared" si="47"/>
        <v>297.80963112600006</v>
      </c>
      <c r="AA63" s="145">
        <f t="shared" si="47"/>
        <v>297.80963112600006</v>
      </c>
      <c r="AB63" s="145">
        <f t="shared" si="47"/>
        <v>306.74392005978007</v>
      </c>
      <c r="AC63" s="145">
        <f t="shared" si="47"/>
        <v>306.74392005978007</v>
      </c>
      <c r="AD63" s="145">
        <f t="shared" si="47"/>
        <v>306.74392005978007</v>
      </c>
      <c r="AE63" s="145">
        <f t="shared" si="47"/>
        <v>306.74392005978007</v>
      </c>
      <c r="AF63" s="145">
        <f t="shared" si="47"/>
        <v>317.21390386182048</v>
      </c>
      <c r="AG63" s="145">
        <f t="shared" si="47"/>
        <v>317.21390386182048</v>
      </c>
      <c r="AH63" s="145">
        <f t="shared" si="47"/>
        <v>317.21390386182048</v>
      </c>
      <c r="AI63" s="145">
        <f t="shared" si="47"/>
        <v>317.21390386182048</v>
      </c>
      <c r="AJ63" s="147">
        <f t="shared" si="47"/>
        <v>1089.1010699255839</v>
      </c>
      <c r="AK63" s="147">
        <f t="shared" si="47"/>
        <v>1089.1010699255839</v>
      </c>
      <c r="AL63" s="147">
        <f t="shared" si="47"/>
        <v>1089.1010699255839</v>
      </c>
      <c r="AM63" s="147">
        <f>SUM(AM64:AM66)</f>
        <v>1089.1010699255839</v>
      </c>
      <c r="AN63" s="147">
        <f>SUM(AN64:AN66)</f>
        <v>1121.7741020233511</v>
      </c>
      <c r="AO63" s="147">
        <f t="shared" ref="AO63:AQ63" si="48">SUM(AO64:AO66)</f>
        <v>1121.7741020233511</v>
      </c>
      <c r="AP63" s="147">
        <f t="shared" si="48"/>
        <v>1121.7741020233511</v>
      </c>
      <c r="AQ63" s="145">
        <f t="shared" si="48"/>
        <v>1121.7741020233511</v>
      </c>
    </row>
    <row r="64" spans="1:55" x14ac:dyDescent="0.3">
      <c r="A64" s="142" t="s">
        <v>172</v>
      </c>
      <c r="B64" s="148">
        <v>0.22</v>
      </c>
      <c r="C64" s="144"/>
      <c r="D64" s="142">
        <f>D49*0.06</f>
        <v>0</v>
      </c>
      <c r="E64" s="142">
        <f t="shared" ref="E64:AI64" si="49">E49*0.06</f>
        <v>0</v>
      </c>
      <c r="F64" s="142">
        <f t="shared" si="49"/>
        <v>0</v>
      </c>
      <c r="G64" s="142">
        <f t="shared" si="49"/>
        <v>0</v>
      </c>
      <c r="H64" s="145">
        <f t="shared" si="49"/>
        <v>176.4</v>
      </c>
      <c r="I64" s="145">
        <f t="shared" si="49"/>
        <v>176.4</v>
      </c>
      <c r="J64" s="145">
        <f t="shared" si="49"/>
        <v>176.4</v>
      </c>
      <c r="K64" s="145">
        <f t="shared" si="49"/>
        <v>176.4</v>
      </c>
      <c r="L64" s="145">
        <f t="shared" si="49"/>
        <v>181.69200000000001</v>
      </c>
      <c r="M64" s="145">
        <f t="shared" si="49"/>
        <v>181.69200000000001</v>
      </c>
      <c r="N64" s="145">
        <f t="shared" si="49"/>
        <v>181.69200000000001</v>
      </c>
      <c r="O64" s="145">
        <f t="shared" si="49"/>
        <v>181.69200000000001</v>
      </c>
      <c r="P64" s="145">
        <f t="shared" si="49"/>
        <v>187.14276000000001</v>
      </c>
      <c r="Q64" s="145">
        <f t="shared" si="49"/>
        <v>187.14276000000001</v>
      </c>
      <c r="R64" s="145">
        <f t="shared" si="49"/>
        <v>187.14276000000001</v>
      </c>
      <c r="S64" s="145">
        <f t="shared" si="49"/>
        <v>187.14276000000001</v>
      </c>
      <c r="T64" s="145">
        <f t="shared" si="49"/>
        <v>192.75704280000002</v>
      </c>
      <c r="U64" s="145">
        <f t="shared" si="49"/>
        <v>192.75704280000002</v>
      </c>
      <c r="V64" s="145">
        <f t="shared" si="49"/>
        <v>192.75704280000002</v>
      </c>
      <c r="W64" s="145">
        <f t="shared" si="49"/>
        <v>192.75704280000002</v>
      </c>
      <c r="X64" s="145">
        <f t="shared" si="49"/>
        <v>198.53975408400001</v>
      </c>
      <c r="Y64" s="145">
        <f t="shared" si="49"/>
        <v>198.53975408400001</v>
      </c>
      <c r="Z64" s="145">
        <f t="shared" si="49"/>
        <v>198.53975408400001</v>
      </c>
      <c r="AA64" s="145">
        <f t="shared" si="49"/>
        <v>198.53975408400001</v>
      </c>
      <c r="AB64" s="145">
        <f t="shared" si="49"/>
        <v>204.49594670652004</v>
      </c>
      <c r="AC64" s="145">
        <f t="shared" si="49"/>
        <v>204.49594670652004</v>
      </c>
      <c r="AD64" s="145">
        <f t="shared" si="49"/>
        <v>204.49594670652004</v>
      </c>
      <c r="AE64" s="145">
        <f t="shared" si="49"/>
        <v>204.49594670652004</v>
      </c>
      <c r="AF64" s="145">
        <f t="shared" si="49"/>
        <v>211.47593590788034</v>
      </c>
      <c r="AG64" s="145">
        <f t="shared" si="49"/>
        <v>211.47593590788034</v>
      </c>
      <c r="AH64" s="145">
        <f t="shared" si="49"/>
        <v>211.47593590788034</v>
      </c>
      <c r="AI64" s="145">
        <f t="shared" si="49"/>
        <v>211.47593590788034</v>
      </c>
      <c r="AJ64" s="147">
        <f>0.22*AJ49</f>
        <v>798.67411794542818</v>
      </c>
      <c r="AK64" s="147">
        <f t="shared" ref="AK64:AP64" si="50">0.22*AK49</f>
        <v>798.67411794542818</v>
      </c>
      <c r="AL64" s="147">
        <f t="shared" si="50"/>
        <v>798.67411794542818</v>
      </c>
      <c r="AM64" s="147">
        <f t="shared" si="50"/>
        <v>798.67411794542818</v>
      </c>
      <c r="AN64" s="147">
        <f t="shared" si="50"/>
        <v>822.63434148379088</v>
      </c>
      <c r="AO64" s="147">
        <f t="shared" si="50"/>
        <v>822.63434148379088</v>
      </c>
      <c r="AP64" s="147">
        <f t="shared" si="50"/>
        <v>822.63434148379088</v>
      </c>
      <c r="AQ64" s="145">
        <f>0.22*AQ49</f>
        <v>822.63434148379088</v>
      </c>
    </row>
    <row r="65" spans="1:43" ht="43.2" x14ac:dyDescent="0.3">
      <c r="A65" s="142" t="s">
        <v>173</v>
      </c>
      <c r="B65" s="143">
        <v>2.9000000000000001E-2</v>
      </c>
      <c r="C65" s="144"/>
      <c r="D65" s="142">
        <f>D49*$B$65</f>
        <v>0</v>
      </c>
      <c r="E65" s="142">
        <f t="shared" ref="E65:AQ65" si="51">E49*$B$65</f>
        <v>0</v>
      </c>
      <c r="F65" s="142">
        <f t="shared" si="51"/>
        <v>0</v>
      </c>
      <c r="G65" s="142">
        <f t="shared" si="51"/>
        <v>0</v>
      </c>
      <c r="H65" s="142">
        <f t="shared" si="51"/>
        <v>85.26</v>
      </c>
      <c r="I65" s="149">
        <f t="shared" si="51"/>
        <v>85.26</v>
      </c>
      <c r="J65" s="149">
        <f t="shared" si="51"/>
        <v>85.26</v>
      </c>
      <c r="K65" s="149">
        <f t="shared" si="51"/>
        <v>85.26</v>
      </c>
      <c r="L65" s="149">
        <f t="shared" si="51"/>
        <v>87.817800000000005</v>
      </c>
      <c r="M65" s="149">
        <f t="shared" si="51"/>
        <v>87.817800000000005</v>
      </c>
      <c r="N65" s="149">
        <f t="shared" si="51"/>
        <v>87.817800000000005</v>
      </c>
      <c r="O65" s="149">
        <f t="shared" si="51"/>
        <v>87.817800000000005</v>
      </c>
      <c r="P65" s="149">
        <f t="shared" si="51"/>
        <v>90.452334000000008</v>
      </c>
      <c r="Q65" s="149">
        <f t="shared" si="51"/>
        <v>90.452334000000008</v>
      </c>
      <c r="R65" s="149">
        <f t="shared" si="51"/>
        <v>90.452334000000008</v>
      </c>
      <c r="S65" s="149">
        <f t="shared" si="51"/>
        <v>90.452334000000008</v>
      </c>
      <c r="T65" s="149">
        <f t="shared" si="51"/>
        <v>93.165904020000028</v>
      </c>
      <c r="U65" s="149">
        <f t="shared" si="51"/>
        <v>93.165904020000028</v>
      </c>
      <c r="V65" s="149">
        <f t="shared" si="51"/>
        <v>93.165904020000028</v>
      </c>
      <c r="W65" s="149">
        <f t="shared" si="51"/>
        <v>93.165904020000028</v>
      </c>
      <c r="X65" s="149">
        <f t="shared" si="51"/>
        <v>95.960881140600009</v>
      </c>
      <c r="Y65" s="149">
        <f t="shared" si="51"/>
        <v>95.960881140600009</v>
      </c>
      <c r="Z65" s="149">
        <f t="shared" si="51"/>
        <v>95.960881140600009</v>
      </c>
      <c r="AA65" s="149">
        <f t="shared" si="51"/>
        <v>95.960881140600009</v>
      </c>
      <c r="AB65" s="149">
        <f t="shared" si="51"/>
        <v>98.839707574818021</v>
      </c>
      <c r="AC65" s="149">
        <f t="shared" si="51"/>
        <v>98.839707574818021</v>
      </c>
      <c r="AD65" s="149">
        <f t="shared" si="51"/>
        <v>98.839707574818021</v>
      </c>
      <c r="AE65" s="149">
        <f t="shared" si="51"/>
        <v>98.839707574818021</v>
      </c>
      <c r="AF65" s="149">
        <f t="shared" si="51"/>
        <v>102.21336902214217</v>
      </c>
      <c r="AG65" s="149">
        <f t="shared" si="51"/>
        <v>102.21336902214217</v>
      </c>
      <c r="AH65" s="149">
        <f t="shared" si="51"/>
        <v>102.21336902214217</v>
      </c>
      <c r="AI65" s="149">
        <f t="shared" si="51"/>
        <v>102.21336902214217</v>
      </c>
      <c r="AJ65" s="149">
        <f t="shared" si="51"/>
        <v>105.27977009280644</v>
      </c>
      <c r="AK65" s="149">
        <f t="shared" si="51"/>
        <v>105.27977009280644</v>
      </c>
      <c r="AL65" s="149">
        <f t="shared" si="51"/>
        <v>105.27977009280644</v>
      </c>
      <c r="AM65" s="149">
        <f t="shared" si="51"/>
        <v>105.27977009280644</v>
      </c>
      <c r="AN65" s="149">
        <f t="shared" si="51"/>
        <v>108.43816319559062</v>
      </c>
      <c r="AO65" s="149">
        <f t="shared" si="51"/>
        <v>108.43816319559062</v>
      </c>
      <c r="AP65" s="149">
        <f t="shared" si="51"/>
        <v>108.43816319559062</v>
      </c>
      <c r="AQ65" s="149">
        <f t="shared" si="51"/>
        <v>108.43816319559062</v>
      </c>
    </row>
    <row r="66" spans="1:43" ht="28.8" x14ac:dyDescent="0.3">
      <c r="A66" s="142" t="s">
        <v>174</v>
      </c>
      <c r="B66" s="143">
        <v>5.0999999999999997E-2</v>
      </c>
      <c r="C66" s="144"/>
      <c r="D66" s="142">
        <f>D49*0.001</f>
        <v>0</v>
      </c>
      <c r="E66" s="142">
        <f t="shared" ref="E66:AI66" si="52">E49*0.001</f>
        <v>0</v>
      </c>
      <c r="F66" s="142">
        <f t="shared" si="52"/>
        <v>0</v>
      </c>
      <c r="G66" s="142">
        <f t="shared" si="52"/>
        <v>0</v>
      </c>
      <c r="H66" s="145">
        <f t="shared" si="52"/>
        <v>2.94</v>
      </c>
      <c r="I66" s="145">
        <f t="shared" si="52"/>
        <v>2.94</v>
      </c>
      <c r="J66" s="145">
        <f t="shared" si="52"/>
        <v>2.94</v>
      </c>
      <c r="K66" s="145">
        <f t="shared" si="52"/>
        <v>2.94</v>
      </c>
      <c r="L66" s="145">
        <f t="shared" si="52"/>
        <v>3.0282000000000004</v>
      </c>
      <c r="M66" s="145">
        <f t="shared" si="52"/>
        <v>3.0282000000000004</v>
      </c>
      <c r="N66" s="145">
        <f t="shared" si="52"/>
        <v>3.0282000000000004</v>
      </c>
      <c r="O66" s="145">
        <f t="shared" si="52"/>
        <v>3.0282000000000004</v>
      </c>
      <c r="P66" s="145">
        <f t="shared" si="52"/>
        <v>3.1190460000000004</v>
      </c>
      <c r="Q66" s="145">
        <f t="shared" si="52"/>
        <v>3.1190460000000004</v>
      </c>
      <c r="R66" s="145">
        <f t="shared" si="52"/>
        <v>3.1190460000000004</v>
      </c>
      <c r="S66" s="145">
        <f t="shared" si="52"/>
        <v>3.1190460000000004</v>
      </c>
      <c r="T66" s="145">
        <f t="shared" si="52"/>
        <v>3.2126173800000006</v>
      </c>
      <c r="U66" s="145">
        <f t="shared" si="52"/>
        <v>3.2126173800000006</v>
      </c>
      <c r="V66" s="145">
        <f t="shared" si="52"/>
        <v>3.2126173800000006</v>
      </c>
      <c r="W66" s="145">
        <f t="shared" si="52"/>
        <v>3.2126173800000006</v>
      </c>
      <c r="X66" s="145">
        <f t="shared" si="52"/>
        <v>3.3089959014000003</v>
      </c>
      <c r="Y66" s="145">
        <f t="shared" si="52"/>
        <v>3.3089959014000003</v>
      </c>
      <c r="Z66" s="145">
        <f t="shared" si="52"/>
        <v>3.3089959014000003</v>
      </c>
      <c r="AA66" s="145">
        <f t="shared" si="52"/>
        <v>3.3089959014000003</v>
      </c>
      <c r="AB66" s="145">
        <f t="shared" si="52"/>
        <v>3.4082657784420007</v>
      </c>
      <c r="AC66" s="145">
        <f t="shared" si="52"/>
        <v>3.4082657784420007</v>
      </c>
      <c r="AD66" s="145">
        <f t="shared" si="52"/>
        <v>3.4082657784420007</v>
      </c>
      <c r="AE66" s="145">
        <f t="shared" si="52"/>
        <v>3.4082657784420007</v>
      </c>
      <c r="AF66" s="145">
        <f t="shared" si="52"/>
        <v>3.5245989317980055</v>
      </c>
      <c r="AG66" s="145">
        <f t="shared" si="52"/>
        <v>3.5245989317980055</v>
      </c>
      <c r="AH66" s="145">
        <f t="shared" si="52"/>
        <v>3.5245989317980055</v>
      </c>
      <c r="AI66" s="145">
        <f t="shared" si="52"/>
        <v>3.5245989317980055</v>
      </c>
      <c r="AJ66" s="147">
        <f>0.051*AJ49</f>
        <v>185.14718188734923</v>
      </c>
      <c r="AK66" s="147">
        <f t="shared" ref="AK66:AP66" si="53">0.051*AK49</f>
        <v>185.14718188734923</v>
      </c>
      <c r="AL66" s="147">
        <f t="shared" si="53"/>
        <v>185.14718188734923</v>
      </c>
      <c r="AM66" s="147">
        <f t="shared" si="53"/>
        <v>185.14718188734923</v>
      </c>
      <c r="AN66" s="147">
        <f t="shared" si="53"/>
        <v>190.70159734396967</v>
      </c>
      <c r="AO66" s="147">
        <f t="shared" si="53"/>
        <v>190.70159734396967</v>
      </c>
      <c r="AP66" s="147">
        <f t="shared" si="53"/>
        <v>190.70159734396967</v>
      </c>
      <c r="AQ66" s="145">
        <f>0.051*AQ49</f>
        <v>190.70159734396967</v>
      </c>
    </row>
    <row r="68" spans="1:43" x14ac:dyDescent="0.3">
      <c r="A68" s="141" t="s">
        <v>152</v>
      </c>
      <c r="B68" s="118" t="str">
        <f>AS1</f>
        <v>1 год</v>
      </c>
      <c r="C68" s="118" t="str">
        <f t="shared" ref="C68:L68" si="54">AT1</f>
        <v>2 год</v>
      </c>
      <c r="D68" s="118" t="str">
        <f t="shared" si="54"/>
        <v>3 год</v>
      </c>
      <c r="E68" s="118" t="str">
        <f t="shared" si="54"/>
        <v>4 год</v>
      </c>
      <c r="F68" s="118" t="str">
        <f t="shared" si="54"/>
        <v>5 год</v>
      </c>
      <c r="G68" s="118" t="str">
        <f t="shared" si="54"/>
        <v>6 год</v>
      </c>
      <c r="H68" s="118" t="str">
        <f t="shared" si="54"/>
        <v>7 год</v>
      </c>
      <c r="I68" s="118" t="str">
        <f t="shared" si="54"/>
        <v>8 год</v>
      </c>
      <c r="J68" s="118" t="str">
        <f t="shared" si="54"/>
        <v>9 год</v>
      </c>
      <c r="K68" s="118" t="str">
        <f t="shared" si="54"/>
        <v>10 год</v>
      </c>
      <c r="L68" s="118" t="str">
        <f t="shared" si="54"/>
        <v>11 год</v>
      </c>
    </row>
    <row r="69" spans="1:43" x14ac:dyDescent="0.3">
      <c r="A69" s="142" t="s">
        <v>175</v>
      </c>
      <c r="B69" s="149">
        <f t="shared" ref="B69:B74" si="55">SUM(D61:G61)</f>
        <v>0</v>
      </c>
      <c r="C69" s="293">
        <f t="shared" ref="C69:C74" si="56">SUM(H61:K61)</f>
        <v>164.64000000000001</v>
      </c>
      <c r="D69" s="594">
        <f t="shared" ref="D69:D74" si="57">SUM(L61:O61)</f>
        <v>169.57920000000001</v>
      </c>
      <c r="E69" s="293">
        <f t="shared" ref="E69:E74" si="58">SUM(P61:S61)</f>
        <v>174.66657600000002</v>
      </c>
      <c r="F69" s="293">
        <f t="shared" ref="F69:F74" si="59">SUM(T61:W61)</f>
        <v>179.90657328000003</v>
      </c>
      <c r="G69" s="293">
        <f t="shared" ref="G69:G74" si="60">SUM(X61:AA61)</f>
        <v>185.3037704784</v>
      </c>
      <c r="H69" s="293">
        <f t="shared" ref="H69:H74" si="61">SUM(AB61:AE61)</f>
        <v>190.86288359275204</v>
      </c>
      <c r="I69" s="293">
        <f t="shared" ref="I69:I74" si="62">SUM(AF61:AI61)</f>
        <v>197.37754018068833</v>
      </c>
      <c r="J69" s="293">
        <f>SUM(AJ61:AM61)</f>
        <v>203.29886638610898</v>
      </c>
      <c r="K69" s="293">
        <f>SUM(AN61:AQ61)</f>
        <v>209.39783237769223</v>
      </c>
      <c r="L69" s="293">
        <f t="shared" ref="L69:L74" si="63">K69</f>
        <v>209.39783237769223</v>
      </c>
    </row>
    <row r="70" spans="1:43" x14ac:dyDescent="0.3">
      <c r="A70" s="142" t="s">
        <v>154</v>
      </c>
      <c r="B70" s="149">
        <f t="shared" si="55"/>
        <v>0</v>
      </c>
      <c r="C70" s="293">
        <f t="shared" si="56"/>
        <v>3528</v>
      </c>
      <c r="D70" s="594">
        <f t="shared" si="57"/>
        <v>3633.84</v>
      </c>
      <c r="E70" s="293">
        <f t="shared" si="58"/>
        <v>3742.8552</v>
      </c>
      <c r="F70" s="293">
        <f t="shared" si="59"/>
        <v>3855.140856</v>
      </c>
      <c r="G70" s="293">
        <f t="shared" si="60"/>
        <v>3970.7950816799998</v>
      </c>
      <c r="H70" s="293">
        <f t="shared" si="61"/>
        <v>4089.9189341304009</v>
      </c>
      <c r="I70" s="293">
        <f t="shared" si="62"/>
        <v>4229.5187181576066</v>
      </c>
      <c r="J70" s="293">
        <f>SUM(J72:J74)</f>
        <v>4356.4042797023358</v>
      </c>
      <c r="K70" s="293">
        <f>SUM(K72:K74)</f>
        <v>4487.0964080934045</v>
      </c>
      <c r="L70" s="293">
        <f t="shared" si="63"/>
        <v>4487.0964080934045</v>
      </c>
    </row>
    <row r="71" spans="1:43" x14ac:dyDescent="0.3">
      <c r="A71" s="142" t="s">
        <v>155</v>
      </c>
      <c r="B71" s="149"/>
      <c r="C71" s="293"/>
      <c r="D71" s="594"/>
      <c r="E71" s="293"/>
      <c r="F71" s="293"/>
      <c r="G71" s="293"/>
      <c r="H71" s="293"/>
      <c r="I71" s="293"/>
      <c r="J71" s="293"/>
      <c r="K71" s="293"/>
      <c r="L71" s="293">
        <f t="shared" si="63"/>
        <v>0</v>
      </c>
    </row>
    <row r="72" spans="1:43" x14ac:dyDescent="0.3">
      <c r="A72" s="142" t="s">
        <v>176</v>
      </c>
      <c r="B72" s="149">
        <f t="shared" si="55"/>
        <v>0</v>
      </c>
      <c r="C72" s="293">
        <f t="shared" si="56"/>
        <v>705.6</v>
      </c>
      <c r="D72" s="594">
        <f t="shared" si="57"/>
        <v>726.76800000000003</v>
      </c>
      <c r="E72" s="293">
        <f t="shared" si="58"/>
        <v>748.57104000000004</v>
      </c>
      <c r="F72" s="293">
        <f t="shared" si="59"/>
        <v>771.02817120000009</v>
      </c>
      <c r="G72" s="293">
        <f t="shared" si="60"/>
        <v>794.15901633600004</v>
      </c>
      <c r="H72" s="293">
        <f t="shared" si="61"/>
        <v>817.98378682608018</v>
      </c>
      <c r="I72" s="293">
        <f t="shared" si="62"/>
        <v>845.90374363152137</v>
      </c>
      <c r="J72" s="293">
        <f t="shared" ref="J72:J74" si="64">SUM(AJ64:AM64)</f>
        <v>3194.6964717817127</v>
      </c>
      <c r="K72" s="293">
        <f t="shared" ref="K72:K74" si="65">SUM(AN64:AQ64)</f>
        <v>3290.5373659351635</v>
      </c>
      <c r="L72" s="293">
        <f t="shared" si="63"/>
        <v>3290.5373659351635</v>
      </c>
    </row>
    <row r="73" spans="1:43" ht="43.2" x14ac:dyDescent="0.3">
      <c r="A73" s="142" t="s">
        <v>177</v>
      </c>
      <c r="B73" s="149">
        <f t="shared" si="55"/>
        <v>0</v>
      </c>
      <c r="C73" s="293">
        <f t="shared" si="56"/>
        <v>341.04</v>
      </c>
      <c r="D73" s="594">
        <f t="shared" si="57"/>
        <v>351.27120000000002</v>
      </c>
      <c r="E73" s="293">
        <f t="shared" si="58"/>
        <v>361.80933600000003</v>
      </c>
      <c r="F73" s="293">
        <f t="shared" si="59"/>
        <v>372.66361608000011</v>
      </c>
      <c r="G73" s="293">
        <f t="shared" si="60"/>
        <v>383.84352456240003</v>
      </c>
      <c r="H73" s="293">
        <f t="shared" si="61"/>
        <v>395.35883029927209</v>
      </c>
      <c r="I73" s="293">
        <f t="shared" si="62"/>
        <v>408.8534760885687</v>
      </c>
      <c r="J73" s="293">
        <f t="shared" si="64"/>
        <v>421.11908037122578</v>
      </c>
      <c r="K73" s="293">
        <f t="shared" si="65"/>
        <v>433.75265278236247</v>
      </c>
      <c r="L73" s="293">
        <f t="shared" si="63"/>
        <v>433.75265278236247</v>
      </c>
    </row>
    <row r="74" spans="1:43" ht="28.8" x14ac:dyDescent="0.3">
      <c r="A74" s="142" t="s">
        <v>178</v>
      </c>
      <c r="B74" s="149">
        <f t="shared" si="55"/>
        <v>0</v>
      </c>
      <c r="C74" s="293">
        <f t="shared" si="56"/>
        <v>11.76</v>
      </c>
      <c r="D74" s="594">
        <f t="shared" si="57"/>
        <v>12.112800000000002</v>
      </c>
      <c r="E74" s="293">
        <f t="shared" si="58"/>
        <v>12.476184000000002</v>
      </c>
      <c r="F74" s="293">
        <f t="shared" si="59"/>
        <v>12.850469520000003</v>
      </c>
      <c r="G74" s="293">
        <f t="shared" si="60"/>
        <v>13.235983605600001</v>
      </c>
      <c r="H74" s="293">
        <f t="shared" si="61"/>
        <v>13.633063113768003</v>
      </c>
      <c r="I74" s="293">
        <f t="shared" si="62"/>
        <v>14.098395727192022</v>
      </c>
      <c r="J74" s="293">
        <f t="shared" si="64"/>
        <v>740.58872754939694</v>
      </c>
      <c r="K74" s="293">
        <f t="shared" si="65"/>
        <v>762.80638937587867</v>
      </c>
      <c r="L74" s="294">
        <f t="shared" si="63"/>
        <v>762.80638937587867</v>
      </c>
      <c r="M74" s="142"/>
      <c r="N74" s="384" t="s">
        <v>179</v>
      </c>
    </row>
    <row r="75" spans="1:43" x14ac:dyDescent="0.3">
      <c r="A75" s="149" t="s">
        <v>15</v>
      </c>
      <c r="B75" s="149">
        <f>B69+B70</f>
        <v>0</v>
      </c>
      <c r="C75" s="293">
        <f>C69+C70</f>
        <v>3692.64</v>
      </c>
      <c r="D75" s="293">
        <f t="shared" ref="D75:L75" si="66">D69+D70</f>
        <v>3803.4192000000003</v>
      </c>
      <c r="E75" s="293">
        <f t="shared" si="66"/>
        <v>3917.521776</v>
      </c>
      <c r="F75" s="293">
        <f t="shared" si="66"/>
        <v>4035.04742928</v>
      </c>
      <c r="G75" s="293">
        <f t="shared" si="66"/>
        <v>4156.0988521583995</v>
      </c>
      <c r="H75" s="293">
        <f t="shared" si="66"/>
        <v>4280.7818177231529</v>
      </c>
      <c r="I75" s="293">
        <f t="shared" si="66"/>
        <v>4426.8962583382945</v>
      </c>
      <c r="J75" s="595">
        <f>J69+J70</f>
        <v>4559.7031460884446</v>
      </c>
      <c r="K75" s="595">
        <f t="shared" si="66"/>
        <v>4696.4942404710964</v>
      </c>
      <c r="L75" s="294">
        <f t="shared" si="66"/>
        <v>4696.4942404710964</v>
      </c>
      <c r="M75" s="419" t="s">
        <v>372</v>
      </c>
      <c r="N75" s="154">
        <f>SUM(B75:K75)</f>
        <v>37568.602720059389</v>
      </c>
    </row>
    <row r="76" spans="1:43" x14ac:dyDescent="0.3">
      <c r="M76" s="419" t="s">
        <v>373</v>
      </c>
      <c r="N76" s="154">
        <f>SUM('Расходы на ЗП ОТ'!B74:K74)</f>
        <v>37568.602720059389</v>
      </c>
    </row>
    <row r="77" spans="1:43" x14ac:dyDescent="0.3">
      <c r="M77" s="142"/>
      <c r="N77" s="420">
        <f>N76-N75</f>
        <v>0</v>
      </c>
    </row>
  </sheetData>
  <pageMargins left="0.59055118110236249" right="0.59055118110236249" top="0.98425196850393704" bottom="0.39370078740157477" header="0" footer="0"/>
  <pageSetup paperSize="8" scale="63" firstPageNumber="2147483648" orientation="landscape"/>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11">
    <tabColor theme="0"/>
  </sheetPr>
  <dimension ref="A1:AU55"/>
  <sheetViews>
    <sheetView zoomScale="70" workbookViewId="0">
      <pane xSplit="1" ySplit="1" topLeftCell="B29" activePane="bottomRight" state="frozen"/>
      <selection pane="topRight" activeCell="B1" sqref="B1"/>
      <selection pane="bottomLeft" activeCell="A2" sqref="A2"/>
      <selection pane="bottomRight" activeCell="B39" sqref="B39"/>
    </sheetView>
  </sheetViews>
  <sheetFormatPr defaultColWidth="9.109375" defaultRowHeight="13.8" x14ac:dyDescent="0.3"/>
  <cols>
    <col min="1" max="1" width="19.33203125" style="184" customWidth="1"/>
    <col min="2" max="2" width="12.88671875" style="213" customWidth="1"/>
    <col min="3" max="8" width="15" style="213" customWidth="1"/>
    <col min="9" max="16" width="15" style="183" customWidth="1"/>
    <col min="17" max="49" width="15.44140625" style="183" customWidth="1"/>
    <col min="50" max="16384" width="9.109375" style="183"/>
  </cols>
  <sheetData>
    <row r="1" spans="1:45" s="340" customFormat="1" ht="30.75" customHeight="1" x14ac:dyDescent="0.3">
      <c r="A1" s="338" t="s">
        <v>232</v>
      </c>
      <c r="B1" s="339" t="str">
        <f>'выручка по кв и годам'!D1</f>
        <v>I кв. 1 г.</v>
      </c>
      <c r="C1" s="339" t="str">
        <f>'выручка по кв и годам'!E1</f>
        <v>II кв. 1 г.</v>
      </c>
      <c r="D1" s="339" t="str">
        <f>'выручка по кв и годам'!F1</f>
        <v>III кв. 1 г.</v>
      </c>
      <c r="E1" s="339" t="str">
        <f>'выручка по кв и годам'!G1</f>
        <v>IV кв. 1 г.</v>
      </c>
      <c r="F1" s="339" t="str">
        <f>'выручка по кв и годам'!H1</f>
        <v>I кв. 2 г.</v>
      </c>
      <c r="G1" s="339" t="str">
        <f>'выручка по кв и годам'!I1</f>
        <v>II кв. 2 г.</v>
      </c>
      <c r="H1" s="339" t="str">
        <f>'выручка по кв и годам'!J1</f>
        <v>III кв. 2 г.</v>
      </c>
      <c r="I1" s="339" t="str">
        <f>'выручка по кв и годам'!K1</f>
        <v>IV кв. 2 г.</v>
      </c>
      <c r="J1" s="339" t="str">
        <f>'выручка по кв и годам'!L1</f>
        <v>I кв. 3 г.</v>
      </c>
      <c r="K1" s="339" t="str">
        <f>'выручка по кв и годам'!M1</f>
        <v>II кв. 3 г.</v>
      </c>
      <c r="L1" s="339" t="str">
        <f>'выручка по кв и годам'!N1</f>
        <v>III кв. 3 г.</v>
      </c>
      <c r="M1" s="339" t="str">
        <f>'выручка по кв и годам'!O1</f>
        <v>IV кв. 3 г.</v>
      </c>
      <c r="N1" s="339" t="str">
        <f>'выручка по кв и годам'!P1</f>
        <v>I кв. 4 г.</v>
      </c>
      <c r="O1" s="339" t="str">
        <f>'выручка по кв и годам'!Q1</f>
        <v>II кв. 4 г.</v>
      </c>
      <c r="P1" s="339" t="str">
        <f>'выручка по кв и годам'!R1</f>
        <v>III кв. 4 г.</v>
      </c>
      <c r="Q1" s="339" t="str">
        <f>'выручка по кв и годам'!S1</f>
        <v>IV кв. 4 г.</v>
      </c>
      <c r="R1" s="339" t="str">
        <f>'выручка по кв и годам'!T1</f>
        <v>I кв. 5 г.</v>
      </c>
      <c r="S1" s="339" t="str">
        <f>'выручка по кв и годам'!U1</f>
        <v>II кв. 5 г.</v>
      </c>
      <c r="T1" s="339" t="str">
        <f>'выручка по кв и годам'!V1</f>
        <v>III кв. 5 г.</v>
      </c>
      <c r="U1" s="339" t="str">
        <f>'выручка по кв и годам'!W1</f>
        <v>IV кв. 5 г.</v>
      </c>
      <c r="V1" s="339" t="str">
        <f>'выручка по кв и годам'!X1</f>
        <v>I кв. 6 г.</v>
      </c>
      <c r="W1" s="339" t="str">
        <f>'выручка по кв и годам'!Y1</f>
        <v>II кв. 6 г.</v>
      </c>
      <c r="X1" s="339" t="str">
        <f>'выручка по кв и годам'!Z1</f>
        <v>III кв. 6 г.</v>
      </c>
      <c r="Y1" s="339" t="str">
        <f>'выручка по кв и годам'!AA1</f>
        <v>IV кв. 6 г.</v>
      </c>
      <c r="Z1" s="339" t="str">
        <f>'выручка по кв и годам'!AB1</f>
        <v>I кв. 7 г.</v>
      </c>
      <c r="AA1" s="339" t="str">
        <f>'выручка по кв и годам'!AC1</f>
        <v>II кв. 7 г.</v>
      </c>
      <c r="AB1" s="339" t="str">
        <f>'выручка по кв и годам'!AD1</f>
        <v>III кв. 7 г.</v>
      </c>
      <c r="AC1" s="339" t="str">
        <f>'выручка по кв и годам'!AE1</f>
        <v>IV кв. 7 г.</v>
      </c>
      <c r="AD1" s="339" t="str">
        <f>'выручка по кв и годам'!AF1</f>
        <v>I кв. 8 г.</v>
      </c>
      <c r="AE1" s="339" t="str">
        <f>'выручка по кв и годам'!AG1</f>
        <v>II кв. 8 г.</v>
      </c>
      <c r="AF1" s="339" t="str">
        <f>'выручка по кв и годам'!AH1</f>
        <v>III кв. 8 г.</v>
      </c>
      <c r="AG1" s="339" t="str">
        <f>'выручка по кв и годам'!AI1</f>
        <v>IV кв. 8 г.</v>
      </c>
      <c r="AH1" s="339" t="str">
        <f>'выручка по кв и годам'!AJ1</f>
        <v>I кв. 9 г.</v>
      </c>
      <c r="AI1" s="339" t="str">
        <f>'выручка по кв и годам'!AK1</f>
        <v>II кв. 9 г.</v>
      </c>
      <c r="AJ1" s="339" t="str">
        <f>'выручка по кв и годам'!AL1</f>
        <v>III кв. 9 г.</v>
      </c>
      <c r="AK1" s="339" t="str">
        <f>'выручка по кв и годам'!AM1</f>
        <v>IV кв. 9 г.</v>
      </c>
      <c r="AL1" s="339" t="str">
        <f>'выручка по кв и годам'!AN1</f>
        <v>I кв. 10 г.</v>
      </c>
      <c r="AM1" s="339" t="str">
        <f>'выручка по кв и годам'!AO1</f>
        <v>II кв. 10 г.</v>
      </c>
      <c r="AN1" s="339" t="str">
        <f>'выручка по кв и годам'!AP1</f>
        <v>III кв. 10 г.</v>
      </c>
      <c r="AO1" s="339" t="str">
        <f>'выручка по кв и годам'!AQ1</f>
        <v>IV кв. 10 г.</v>
      </c>
      <c r="AP1" s="339" t="str">
        <f>'выручка по кв и годам'!AR1</f>
        <v>I кв. 11 г.</v>
      </c>
      <c r="AQ1" s="339" t="str">
        <f>'выручка по кв и годам'!AS1</f>
        <v>II кв. 11 г.</v>
      </c>
      <c r="AR1" s="339" t="str">
        <f>'выручка по кв и годам'!AT1</f>
        <v>III кв. 11 г.</v>
      </c>
      <c r="AS1" s="339" t="str">
        <f>'выручка по кв и годам'!AU1</f>
        <v>IV кв. 11 г.</v>
      </c>
    </row>
    <row r="2" spans="1:45" ht="28.8" x14ac:dyDescent="0.3">
      <c r="A2" s="215" t="s">
        <v>233</v>
      </c>
      <c r="B2" s="69">
        <v>0</v>
      </c>
      <c r="C2" s="69">
        <v>0</v>
      </c>
      <c r="D2" s="500">
        <f>(допущения!C29*допущения!C31)/4</f>
        <v>1.6246391812500001</v>
      </c>
      <c r="E2" s="69">
        <f>D2</f>
        <v>1.6246391812500001</v>
      </c>
      <c r="F2" s="69">
        <f t="shared" ref="F2:AS2" si="0">E2</f>
        <v>1.6246391812500001</v>
      </c>
      <c r="G2" s="69">
        <f t="shared" si="0"/>
        <v>1.6246391812500001</v>
      </c>
      <c r="H2" s="69">
        <f t="shared" si="0"/>
        <v>1.6246391812500001</v>
      </c>
      <c r="I2" s="69">
        <f t="shared" si="0"/>
        <v>1.6246391812500001</v>
      </c>
      <c r="J2" s="69">
        <f t="shared" si="0"/>
        <v>1.6246391812500001</v>
      </c>
      <c r="K2" s="69">
        <f t="shared" si="0"/>
        <v>1.6246391812500001</v>
      </c>
      <c r="L2" s="69">
        <f t="shared" si="0"/>
        <v>1.6246391812500001</v>
      </c>
      <c r="M2" s="69">
        <f t="shared" si="0"/>
        <v>1.6246391812500001</v>
      </c>
      <c r="N2" s="69">
        <f t="shared" si="0"/>
        <v>1.6246391812500001</v>
      </c>
      <c r="O2" s="69">
        <f t="shared" si="0"/>
        <v>1.6246391812500001</v>
      </c>
      <c r="P2" s="69">
        <f t="shared" si="0"/>
        <v>1.6246391812500001</v>
      </c>
      <c r="Q2" s="69">
        <f t="shared" si="0"/>
        <v>1.6246391812500001</v>
      </c>
      <c r="R2" s="69">
        <f t="shared" si="0"/>
        <v>1.6246391812500001</v>
      </c>
      <c r="S2" s="69">
        <f t="shared" si="0"/>
        <v>1.6246391812500001</v>
      </c>
      <c r="T2" s="69">
        <f t="shared" si="0"/>
        <v>1.6246391812500001</v>
      </c>
      <c r="U2" s="69">
        <f t="shared" si="0"/>
        <v>1.6246391812500001</v>
      </c>
      <c r="V2" s="69">
        <f t="shared" si="0"/>
        <v>1.6246391812500001</v>
      </c>
      <c r="W2" s="69">
        <f t="shared" si="0"/>
        <v>1.6246391812500001</v>
      </c>
      <c r="X2" s="69">
        <f t="shared" si="0"/>
        <v>1.6246391812500001</v>
      </c>
      <c r="Y2" s="69">
        <f t="shared" si="0"/>
        <v>1.6246391812500001</v>
      </c>
      <c r="Z2" s="69">
        <f t="shared" si="0"/>
        <v>1.6246391812500001</v>
      </c>
      <c r="AA2" s="69">
        <f t="shared" si="0"/>
        <v>1.6246391812500001</v>
      </c>
      <c r="AB2" s="69">
        <f t="shared" si="0"/>
        <v>1.6246391812500001</v>
      </c>
      <c r="AC2" s="69">
        <f t="shared" si="0"/>
        <v>1.6246391812500001</v>
      </c>
      <c r="AD2" s="69">
        <f t="shared" si="0"/>
        <v>1.6246391812500001</v>
      </c>
      <c r="AE2" s="69">
        <f t="shared" si="0"/>
        <v>1.6246391812500001</v>
      </c>
      <c r="AF2" s="69">
        <f t="shared" si="0"/>
        <v>1.6246391812500001</v>
      </c>
      <c r="AG2" s="69">
        <f t="shared" si="0"/>
        <v>1.6246391812500001</v>
      </c>
      <c r="AH2" s="69">
        <f t="shared" si="0"/>
        <v>1.6246391812500001</v>
      </c>
      <c r="AI2" s="69">
        <f t="shared" si="0"/>
        <v>1.6246391812500001</v>
      </c>
      <c r="AJ2" s="69">
        <f t="shared" si="0"/>
        <v>1.6246391812500001</v>
      </c>
      <c r="AK2" s="69">
        <f t="shared" si="0"/>
        <v>1.6246391812500001</v>
      </c>
      <c r="AL2" s="69">
        <f t="shared" si="0"/>
        <v>1.6246391812500001</v>
      </c>
      <c r="AM2" s="69">
        <f t="shared" si="0"/>
        <v>1.6246391812500001</v>
      </c>
      <c r="AN2" s="69">
        <f t="shared" si="0"/>
        <v>1.6246391812500001</v>
      </c>
      <c r="AO2" s="69">
        <f t="shared" si="0"/>
        <v>1.6246391812500001</v>
      </c>
      <c r="AP2" s="69">
        <f t="shared" si="0"/>
        <v>1.6246391812500001</v>
      </c>
      <c r="AQ2" s="69">
        <f t="shared" si="0"/>
        <v>1.6246391812500001</v>
      </c>
      <c r="AR2" s="69">
        <f t="shared" si="0"/>
        <v>1.6246391812500001</v>
      </c>
      <c r="AS2" s="69">
        <f t="shared" si="0"/>
        <v>1.6246391812500001</v>
      </c>
    </row>
    <row r="3" spans="1:45" ht="56.25" customHeight="1" x14ac:dyDescent="0.3">
      <c r="A3" s="529" t="s">
        <v>234</v>
      </c>
      <c r="B3" s="530"/>
      <c r="C3" s="216"/>
      <c r="D3" s="69"/>
      <c r="E3" s="69"/>
      <c r="F3" s="216">
        <f>'Расходы на ЗП ТОР'!H54</f>
        <v>3863.16</v>
      </c>
      <c r="G3" s="216">
        <f>'Расходы на ЗП ТОР'!I54</f>
        <v>3863.16</v>
      </c>
      <c r="H3" s="216">
        <f>'Расходы на ЗП ТОР'!J54</f>
        <v>3863.16</v>
      </c>
      <c r="I3" s="216">
        <f>'Расходы на ЗП ТОР'!K54</f>
        <v>3863.16</v>
      </c>
      <c r="J3" s="216">
        <f>'Расходы на ЗП ТОР'!L54</f>
        <v>3979.0548000000003</v>
      </c>
      <c r="K3" s="216">
        <f>'Расходы на ЗП ТОР'!M54</f>
        <v>3979.0548000000003</v>
      </c>
      <c r="L3" s="216">
        <f>'Расходы на ЗП ТОР'!N54</f>
        <v>3979.0548000000003</v>
      </c>
      <c r="M3" s="216">
        <f>'Расходы на ЗП ТОР'!O54</f>
        <v>3979.0548000000003</v>
      </c>
      <c r="N3" s="216">
        <f>'Расходы на ЗП ТОР'!P54</f>
        <v>4098.4264440000006</v>
      </c>
      <c r="O3" s="216">
        <f>'Расходы на ЗП ТОР'!Q54</f>
        <v>4098.4264440000006</v>
      </c>
      <c r="P3" s="216">
        <f>'Расходы на ЗП ТОР'!R54</f>
        <v>4098.4264440000006</v>
      </c>
      <c r="Q3" s="216">
        <f>'Расходы на ЗП ТОР'!S54</f>
        <v>4098.4264440000006</v>
      </c>
      <c r="R3" s="216">
        <f>'Расходы на ЗП ТОР'!T54</f>
        <v>4221.3792373200013</v>
      </c>
      <c r="S3" s="216">
        <f>'Расходы на ЗП ТОР'!U54</f>
        <v>4221.3792373200013</v>
      </c>
      <c r="T3" s="216">
        <f>'Расходы на ЗП ТОР'!V54</f>
        <v>4221.3792373200013</v>
      </c>
      <c r="U3" s="216">
        <f>'Расходы на ЗП ТОР'!W54</f>
        <v>4221.3792373200013</v>
      </c>
      <c r="V3" s="216">
        <f>'Расходы на ЗП ТОР'!X54</f>
        <v>4348.0206144395997</v>
      </c>
      <c r="W3" s="216">
        <f>'Расходы на ЗП ТОР'!Y54</f>
        <v>4348.0206144395997</v>
      </c>
      <c r="X3" s="216">
        <f>'Расходы на ЗП ТОР'!Z54</f>
        <v>4348.0206144395997</v>
      </c>
      <c r="Y3" s="216">
        <f>'Расходы на ЗП ТОР'!AA54</f>
        <v>4348.0206144395997</v>
      </c>
      <c r="Z3" s="216">
        <f>'Расходы на ЗП ТОР'!AB54</f>
        <v>4478.461232872789</v>
      </c>
      <c r="AA3" s="216">
        <f>'Расходы на ЗП ТОР'!AC54</f>
        <v>4478.461232872789</v>
      </c>
      <c r="AB3" s="216">
        <f>'Расходы на ЗП ТОР'!AD54</f>
        <v>4478.461232872789</v>
      </c>
      <c r="AC3" s="216">
        <f>'Расходы на ЗП ТОР'!AE54</f>
        <v>4478.461232872789</v>
      </c>
      <c r="AD3" s="216">
        <f>'Расходы на ЗП ТОР'!AF54</f>
        <v>4631.3229963825797</v>
      </c>
      <c r="AE3" s="216">
        <f>'Расходы на ЗП ТОР'!AG54</f>
        <v>4631.3229963825797</v>
      </c>
      <c r="AF3" s="216">
        <f>'Расходы на ЗП ТОР'!AH54</f>
        <v>4631.3229963825797</v>
      </c>
      <c r="AG3" s="216">
        <f>'Расходы на ЗП ТОР'!AI54</f>
        <v>4631.3229963825797</v>
      </c>
      <c r="AH3" s="216">
        <f>'Расходы на ЗП ТОР'!AJ54</f>
        <v>4770.2626862740572</v>
      </c>
      <c r="AI3" s="216">
        <f>'Расходы на ЗП ТОР'!AK54</f>
        <v>4770.2626862740572</v>
      </c>
      <c r="AJ3" s="216">
        <f>'Расходы на ЗП ТОР'!AL54</f>
        <v>4770.2626862740572</v>
      </c>
      <c r="AK3" s="216">
        <f>'Расходы на ЗП ТОР'!AM54</f>
        <v>4770.2626862740572</v>
      </c>
      <c r="AL3" s="216">
        <f>'Расходы на ЗП ТОР'!AN54</f>
        <v>4913.3705668622779</v>
      </c>
      <c r="AM3" s="216">
        <f>'Расходы на ЗП ТОР'!AO54</f>
        <v>4913.3705668622779</v>
      </c>
      <c r="AN3" s="216">
        <f>'Расходы на ЗП ТОР'!AP54</f>
        <v>4913.3705668622779</v>
      </c>
      <c r="AO3" s="216">
        <f>'Расходы на ЗП ТОР'!AQ54</f>
        <v>4913.3705668622779</v>
      </c>
      <c r="AP3" s="216">
        <f>AN3</f>
        <v>4913.3705668622779</v>
      </c>
      <c r="AQ3" s="216">
        <f t="shared" ref="AQ3:AS3" si="1">AO3</f>
        <v>4913.3705668622779</v>
      </c>
      <c r="AR3" s="216">
        <f t="shared" si="1"/>
        <v>4913.3705668622779</v>
      </c>
      <c r="AS3" s="216">
        <f t="shared" si="1"/>
        <v>4913.3705668622779</v>
      </c>
    </row>
    <row r="4" spans="1:45" ht="28.8" x14ac:dyDescent="0.3">
      <c r="A4" s="599" t="s">
        <v>404</v>
      </c>
      <c r="B4" s="500"/>
      <c r="C4" s="69"/>
      <c r="D4" s="69"/>
      <c r="E4" s="216"/>
      <c r="F4" s="216">
        <f>Себестоимость!G12</f>
        <v>5037.6998269779779</v>
      </c>
      <c r="G4" s="216">
        <f>Себестоимость!H12</f>
        <v>5037.6998269779779</v>
      </c>
      <c r="H4" s="216">
        <f>Себестоимость!I12</f>
        <v>5037.6998269779779</v>
      </c>
      <c r="I4" s="216">
        <f>Себестоимость!J12</f>
        <v>5037.6998269779779</v>
      </c>
      <c r="J4" s="216">
        <f>Себестоимость!K12</f>
        <v>6168.6120330342601</v>
      </c>
      <c r="K4" s="216">
        <f>Себестоимость!L12</f>
        <v>6168.6120330342601</v>
      </c>
      <c r="L4" s="216">
        <f>Себестоимость!M12</f>
        <v>6168.6120330342601</v>
      </c>
      <c r="M4" s="216">
        <f>Себестоимость!N12</f>
        <v>6168.6120330342601</v>
      </c>
      <c r="N4" s="216">
        <f>Себестоимость!O12</f>
        <v>7402.3344396411121</v>
      </c>
      <c r="O4" s="216">
        <f>Себестоимость!P12</f>
        <v>7402.3344396411121</v>
      </c>
      <c r="P4" s="216">
        <f>Себестоимость!Q12</f>
        <v>7402.3344396411121</v>
      </c>
      <c r="Q4" s="216">
        <f>Себестоимость!R12</f>
        <v>7402.3344396411121</v>
      </c>
      <c r="R4" s="216">
        <f>Себестоимость!S12</f>
        <v>7864.9803421186807</v>
      </c>
      <c r="S4" s="216">
        <f>Себестоимость!T12</f>
        <v>7864.9803421186807</v>
      </c>
      <c r="T4" s="216">
        <f>Себестоимость!U12</f>
        <v>7864.9803421186807</v>
      </c>
      <c r="U4" s="216">
        <f>Себестоимость!V12</f>
        <v>7864.9803421186807</v>
      </c>
      <c r="V4" s="216">
        <f>Себестоимость!W12</f>
        <v>8327.6262445962529</v>
      </c>
      <c r="W4" s="216">
        <f>Себестоимость!X12</f>
        <v>8327.6262445962529</v>
      </c>
      <c r="X4" s="216">
        <f>Себестоимость!Y12</f>
        <v>8327.6262445962529</v>
      </c>
      <c r="Y4" s="216">
        <f>Себестоимость!Z12</f>
        <v>8327.6262445962529</v>
      </c>
      <c r="Z4" s="216">
        <f>Себестоимость!AA12</f>
        <v>8790.2721470738234</v>
      </c>
      <c r="AA4" s="216">
        <f>Себестоимость!AB12</f>
        <v>8790.2721470738234</v>
      </c>
      <c r="AB4" s="216">
        <f>Себестоимость!AC12</f>
        <v>8790.2721470738234</v>
      </c>
      <c r="AC4" s="216">
        <f>Себестоимость!AD12</f>
        <v>8790.2721470738234</v>
      </c>
      <c r="AD4" s="216">
        <f>Себестоимость!AE12</f>
        <v>9252.918049551392</v>
      </c>
      <c r="AE4" s="216">
        <f>Себестоимость!AF12</f>
        <v>9252.918049551392</v>
      </c>
      <c r="AF4" s="216">
        <f>Себестоимость!AG12</f>
        <v>9252.918049551392</v>
      </c>
      <c r="AG4" s="216">
        <f>Себестоимость!AH12</f>
        <v>9252.918049551392</v>
      </c>
      <c r="AH4" s="216">
        <f>Себестоимость!AI12</f>
        <v>9252.918049551392</v>
      </c>
      <c r="AI4" s="216">
        <f>Себестоимость!AJ12</f>
        <v>9252.918049551392</v>
      </c>
      <c r="AJ4" s="216">
        <f>Себестоимость!AK12</f>
        <v>9252.918049551392</v>
      </c>
      <c r="AK4" s="216">
        <f>Себестоимость!AL12</f>
        <v>9252.918049551392</v>
      </c>
      <c r="AL4" s="216">
        <f>Себестоимость!AM12</f>
        <v>9252.9180495513901</v>
      </c>
      <c r="AM4" s="216">
        <f>Себестоимость!AN12</f>
        <v>9252.9180495513901</v>
      </c>
      <c r="AN4" s="216">
        <f>Себестоимость!AO12</f>
        <v>9252.9180495513901</v>
      </c>
      <c r="AO4" s="216">
        <f>Себестоимость!AP12</f>
        <v>9252.9180495513901</v>
      </c>
      <c r="AP4" s="216">
        <f>Себестоимость!AQ12</f>
        <v>9252.9180495513901</v>
      </c>
      <c r="AQ4" s="216">
        <f>Себестоимость!AR12</f>
        <v>9252.9180495513901</v>
      </c>
      <c r="AR4" s="216">
        <f>Себестоимость!AS12</f>
        <v>9252.9180495513901</v>
      </c>
      <c r="AS4" s="216">
        <f>Себестоимость!AT12</f>
        <v>9252.9180495513901</v>
      </c>
    </row>
    <row r="5" spans="1:45" ht="43.2" x14ac:dyDescent="0.3">
      <c r="A5" s="529" t="s">
        <v>235</v>
      </c>
      <c r="B5" s="500"/>
      <c r="C5" s="69"/>
      <c r="D5" s="69"/>
      <c r="E5" s="69"/>
      <c r="F5" s="217">
        <f>допущения!$C$65*F3/4</f>
        <v>57.947399999999995</v>
      </c>
      <c r="G5" s="217">
        <f>допущения!$C$65*G3/4</f>
        <v>57.947399999999995</v>
      </c>
      <c r="H5" s="217">
        <f>допущения!$C$65*H3/4</f>
        <v>57.947399999999995</v>
      </c>
      <c r="I5" s="217">
        <f>допущения!$C$65*I3/4</f>
        <v>57.947399999999995</v>
      </c>
      <c r="J5" s="217">
        <f>допущения!$C$65*J3/4</f>
        <v>59.685822000000002</v>
      </c>
      <c r="K5" s="217">
        <f>допущения!$C$65*K3/4</f>
        <v>59.685822000000002</v>
      </c>
      <c r="L5" s="217">
        <f>допущения!$C$65*L3/4</f>
        <v>59.685822000000002</v>
      </c>
      <c r="M5" s="217">
        <f>допущения!$C$65*M3/4</f>
        <v>59.685822000000002</v>
      </c>
      <c r="N5" s="217">
        <f>допущения!$C$65*N3/4</f>
        <v>61.476396660000006</v>
      </c>
      <c r="O5" s="217">
        <f>допущения!$C$65*O3/4</f>
        <v>61.476396660000006</v>
      </c>
      <c r="P5" s="217">
        <f>допущения!$C$65*P3/4</f>
        <v>61.476396660000006</v>
      </c>
      <c r="Q5" s="217">
        <f>допущения!$C$65*Q3/4</f>
        <v>61.476396660000006</v>
      </c>
      <c r="R5" s="217">
        <f>допущения!$C$65*R3/4</f>
        <v>63.320688559800018</v>
      </c>
      <c r="S5" s="217">
        <f>допущения!$C$65*S3/4</f>
        <v>63.320688559800018</v>
      </c>
      <c r="T5" s="217">
        <f>допущения!$C$65*T3/4</f>
        <v>63.320688559800018</v>
      </c>
      <c r="U5" s="217">
        <f>допущения!$C$65*U3/4</f>
        <v>63.320688559800018</v>
      </c>
      <c r="V5" s="217">
        <f>допущения!$C$65*V3/4</f>
        <v>65.220309216593989</v>
      </c>
      <c r="W5" s="217">
        <f>допущения!$C$65*W3/4</f>
        <v>65.220309216593989</v>
      </c>
      <c r="X5" s="217">
        <f>допущения!$C$65*X3/4</f>
        <v>65.220309216593989</v>
      </c>
      <c r="Y5" s="217">
        <f>допущения!$C$65*Y3/4</f>
        <v>65.220309216593989</v>
      </c>
      <c r="Z5" s="217">
        <f>допущения!$C$65*Z3/4</f>
        <v>67.176918493091833</v>
      </c>
      <c r="AA5" s="217">
        <f>допущения!$C$65*AA3/4</f>
        <v>67.176918493091833</v>
      </c>
      <c r="AB5" s="217">
        <f>допущения!$C$65*AB3/4</f>
        <v>67.176918493091833</v>
      </c>
      <c r="AC5" s="217">
        <f>допущения!$C$65*AC3/4</f>
        <v>67.176918493091833</v>
      </c>
      <c r="AD5" s="217">
        <f>допущения!$C$65*AD3/4</f>
        <v>69.4698449457387</v>
      </c>
      <c r="AE5" s="217">
        <f>допущения!$C$65*AE3/4</f>
        <v>69.4698449457387</v>
      </c>
      <c r="AF5" s="217">
        <f>допущения!$C$65*AF3/4</f>
        <v>69.4698449457387</v>
      </c>
      <c r="AG5" s="217">
        <f>допущения!$C$65*AG3/4</f>
        <v>69.4698449457387</v>
      </c>
      <c r="AH5" s="217">
        <f>допущения!$C$65*AH3/4</f>
        <v>71.553940294110859</v>
      </c>
      <c r="AI5" s="217">
        <f>допущения!$C$65*AI3/4</f>
        <v>71.553940294110859</v>
      </c>
      <c r="AJ5" s="217">
        <f>допущения!$C$65*AJ3/4</f>
        <v>71.553940294110859</v>
      </c>
      <c r="AK5" s="217">
        <f>допущения!$C$65*AK3/4</f>
        <v>71.553940294110859</v>
      </c>
      <c r="AL5" s="217">
        <f>допущения!$C$65*AL3/4</f>
        <v>73.700558502934172</v>
      </c>
      <c r="AM5" s="217">
        <f>допущения!$C$65*AM3/4</f>
        <v>73.700558502934172</v>
      </c>
      <c r="AN5" s="217">
        <f>допущения!$C$65*AN3/4</f>
        <v>73.700558502934172</v>
      </c>
      <c r="AO5" s="217">
        <f>допущения!$C$65*AO3/4</f>
        <v>73.700558502934172</v>
      </c>
      <c r="AP5" s="217">
        <f>допущения!$C$65*AP3/4</f>
        <v>73.700558502934172</v>
      </c>
      <c r="AQ5" s="217">
        <f>допущения!$C$65*AQ3/4</f>
        <v>73.700558502934172</v>
      </c>
      <c r="AR5" s="217">
        <f>допущения!$C$65*AR3/4</f>
        <v>73.700558502934172</v>
      </c>
      <c r="AS5" s="217">
        <f>допущения!$C$65*AS3/4</f>
        <v>73.700558502934172</v>
      </c>
    </row>
    <row r="6" spans="1:45" ht="28.5" customHeight="1" x14ac:dyDescent="0.3">
      <c r="A6" s="529" t="s">
        <v>421</v>
      </c>
      <c r="B6" s="500"/>
      <c r="C6" s="500"/>
      <c r="D6" s="500"/>
      <c r="E6" s="500"/>
      <c r="F6" s="500">
        <f>Себестоимость!G14</f>
        <v>405</v>
      </c>
      <c r="G6" s="500">
        <f>Себестоимость!H14</f>
        <v>405</v>
      </c>
      <c r="H6" s="500">
        <f>Себестоимость!I14</f>
        <v>405</v>
      </c>
      <c r="I6" s="500">
        <f>Себестоимость!J14</f>
        <v>405</v>
      </c>
      <c r="J6" s="500">
        <f>Себестоимость!K14</f>
        <v>405</v>
      </c>
      <c r="K6" s="500">
        <f>Себестоимость!L14</f>
        <v>405</v>
      </c>
      <c r="L6" s="500">
        <f>Себестоимость!M14</f>
        <v>405</v>
      </c>
      <c r="M6" s="500">
        <f>Себестоимость!N14</f>
        <v>405</v>
      </c>
      <c r="N6" s="500">
        <f>Себестоимость!O14</f>
        <v>405</v>
      </c>
      <c r="O6" s="500">
        <f>Себестоимость!P14</f>
        <v>405</v>
      </c>
      <c r="P6" s="500">
        <f>Себестоимость!Q14</f>
        <v>405</v>
      </c>
      <c r="Q6" s="500">
        <f>Себестоимость!R14</f>
        <v>405</v>
      </c>
      <c r="R6" s="500">
        <f>Себестоимость!S14</f>
        <v>405</v>
      </c>
      <c r="S6" s="500">
        <f>Себестоимость!T14</f>
        <v>405</v>
      </c>
      <c r="T6" s="500">
        <f>Себестоимость!U14</f>
        <v>405</v>
      </c>
      <c r="U6" s="500">
        <f>Себестоимость!V14</f>
        <v>405</v>
      </c>
      <c r="V6" s="500">
        <f>Себестоимость!W14</f>
        <v>405</v>
      </c>
      <c r="W6" s="500">
        <f>Себестоимость!X14</f>
        <v>405</v>
      </c>
      <c r="X6" s="500">
        <f>Себестоимость!Y14</f>
        <v>405</v>
      </c>
      <c r="Y6" s="500">
        <f>Себестоимость!Z14</f>
        <v>405</v>
      </c>
      <c r="Z6" s="500">
        <f>Себестоимость!AA14</f>
        <v>405</v>
      </c>
      <c r="AA6" s="500">
        <f>Себестоимость!AB14</f>
        <v>405</v>
      </c>
      <c r="AB6" s="500">
        <f>Себестоимость!AC14</f>
        <v>405</v>
      </c>
      <c r="AC6" s="500">
        <f>Себестоимость!AD14</f>
        <v>405</v>
      </c>
      <c r="AD6" s="500">
        <f>Себестоимость!AE14</f>
        <v>405</v>
      </c>
      <c r="AE6" s="500">
        <f>Себестоимость!AF14</f>
        <v>405</v>
      </c>
      <c r="AF6" s="500">
        <f>Себестоимость!AG14</f>
        <v>405</v>
      </c>
      <c r="AG6" s="500">
        <f>Себестоимость!AH14</f>
        <v>405</v>
      </c>
      <c r="AH6" s="500">
        <f>Себестоимость!AI14</f>
        <v>405</v>
      </c>
      <c r="AI6" s="500">
        <f>Себестоимость!AJ14</f>
        <v>405</v>
      </c>
      <c r="AJ6" s="500">
        <f>Себестоимость!AK14</f>
        <v>405</v>
      </c>
      <c r="AK6" s="500">
        <f>Себестоимость!AL14</f>
        <v>405</v>
      </c>
      <c r="AL6" s="500">
        <f>Себестоимость!AM14</f>
        <v>405</v>
      </c>
      <c r="AM6" s="500">
        <f>Себестоимость!AN14</f>
        <v>405</v>
      </c>
      <c r="AN6" s="500">
        <f>Себестоимость!AO14</f>
        <v>405</v>
      </c>
      <c r="AO6" s="500">
        <f>Себестоимость!AP14</f>
        <v>405</v>
      </c>
      <c r="AP6" s="500">
        <f>Себестоимость!AQ14</f>
        <v>405</v>
      </c>
      <c r="AQ6" s="500">
        <f>Себестоимость!AR14</f>
        <v>405</v>
      </c>
      <c r="AR6" s="500">
        <f>Себестоимость!AS14</f>
        <v>405</v>
      </c>
      <c r="AS6" s="500">
        <f>Себестоимость!AT14</f>
        <v>405</v>
      </c>
    </row>
    <row r="7" spans="1:45" s="214" customFormat="1" ht="72" x14ac:dyDescent="0.3">
      <c r="A7" s="528" t="str">
        <f>Себестоимость!A15</f>
        <v>Коммунальные расходы (уголь для технологических целей, вода, вывоз ТКО, эл./эн.)</v>
      </c>
      <c r="B7" s="218"/>
      <c r="C7" s="218"/>
      <c r="D7" s="218"/>
      <c r="E7" s="219"/>
      <c r="F7" s="220">
        <f>Себестоимость!G15</f>
        <v>2418.0959169494295</v>
      </c>
      <c r="G7" s="220">
        <f>Себестоимость!H15</f>
        <v>2418.0959169494295</v>
      </c>
      <c r="H7" s="220">
        <f>Себестоимость!I15</f>
        <v>2418.0959169494295</v>
      </c>
      <c r="I7" s="220">
        <f>Себестоимость!J15</f>
        <v>2418.0959169494295</v>
      </c>
      <c r="J7" s="220">
        <f>Себестоимость!K15</f>
        <v>2960.9337758564443</v>
      </c>
      <c r="K7" s="220">
        <f>Себестоимость!L15</f>
        <v>2960.9337758564443</v>
      </c>
      <c r="L7" s="220">
        <f>Себестоимость!M15</f>
        <v>2960.9337758564443</v>
      </c>
      <c r="M7" s="220">
        <f>Себестоимость!N15</f>
        <v>2960.9337758564443</v>
      </c>
      <c r="N7" s="220">
        <f>Себестоимость!O15</f>
        <v>3553.1205310277333</v>
      </c>
      <c r="O7" s="220">
        <f>Себестоимость!P15</f>
        <v>3553.1205310277333</v>
      </c>
      <c r="P7" s="220">
        <f>Себестоимость!Q15</f>
        <v>3553.1205310277333</v>
      </c>
      <c r="Q7" s="220">
        <f>Себестоимость!R15</f>
        <v>3553.1205310277333</v>
      </c>
      <c r="R7" s="220">
        <f>Себестоимость!S15</f>
        <v>3775.1905642169668</v>
      </c>
      <c r="S7" s="220">
        <f>Себестоимость!T15</f>
        <v>3775.1905642169668</v>
      </c>
      <c r="T7" s="220">
        <f>Себестоимость!U15</f>
        <v>3775.1905642169668</v>
      </c>
      <c r="U7" s="220">
        <f>Себестоимость!V15</f>
        <v>3775.1905642169668</v>
      </c>
      <c r="V7" s="220">
        <f>Себестоимость!W15</f>
        <v>3997.2605974062012</v>
      </c>
      <c r="W7" s="220">
        <f>Себестоимость!X15</f>
        <v>3997.2605974062012</v>
      </c>
      <c r="X7" s="220">
        <f>Себестоимость!Y15</f>
        <v>3997.2605974062012</v>
      </c>
      <c r="Y7" s="220">
        <f>Себестоимость!Z15</f>
        <v>3997.2605974062012</v>
      </c>
      <c r="Z7" s="220">
        <f>Себестоимость!AA15</f>
        <v>4219.3306305954347</v>
      </c>
      <c r="AA7" s="220">
        <f>Себестоимость!AB15</f>
        <v>4219.3306305954347</v>
      </c>
      <c r="AB7" s="220">
        <f>Себестоимость!AC15</f>
        <v>4219.3306305954347</v>
      </c>
      <c r="AC7" s="220">
        <f>Себестоимость!AD15</f>
        <v>4219.3306305954347</v>
      </c>
      <c r="AD7" s="220">
        <f>Себестоимость!AE15</f>
        <v>4441.4006637846678</v>
      </c>
      <c r="AE7" s="220">
        <f>Себестоимость!AF15</f>
        <v>4441.4006637846678</v>
      </c>
      <c r="AF7" s="220">
        <f>Себестоимость!AG15</f>
        <v>4441.4006637846678</v>
      </c>
      <c r="AG7" s="220">
        <f>Себестоимость!AH15</f>
        <v>4441.4006637846678</v>
      </c>
      <c r="AH7" s="220">
        <f>Себестоимость!AI15</f>
        <v>4441.4006637846678</v>
      </c>
      <c r="AI7" s="220">
        <f>Себестоимость!AJ15</f>
        <v>4441.4006637846678</v>
      </c>
      <c r="AJ7" s="220">
        <f>Себестоимость!AK15</f>
        <v>4441.4006637846678</v>
      </c>
      <c r="AK7" s="220">
        <f>Себестоимость!AL15</f>
        <v>4441.4006637846678</v>
      </c>
      <c r="AL7" s="220">
        <f>Себестоимость!AM15</f>
        <v>4441.4006637846669</v>
      </c>
      <c r="AM7" s="220">
        <f>Себестоимость!AN15</f>
        <v>4441.4006637846669</v>
      </c>
      <c r="AN7" s="220">
        <f>Себестоимость!AO15</f>
        <v>4441.4006637846669</v>
      </c>
      <c r="AO7" s="220">
        <f>Себестоимость!AP15</f>
        <v>4441.4006637846669</v>
      </c>
      <c r="AP7" s="220">
        <f>Себестоимость!AQ15</f>
        <v>4441.4006637846669</v>
      </c>
      <c r="AQ7" s="220">
        <f>Себестоимость!AR15</f>
        <v>4441.4006637846669</v>
      </c>
      <c r="AR7" s="220">
        <f>Себестоимость!AS15</f>
        <v>4441.4006637846669</v>
      </c>
      <c r="AS7" s="220">
        <f>Себестоимость!AT15</f>
        <v>4441.4006637846669</v>
      </c>
    </row>
    <row r="8" spans="1:45" ht="57.6" x14ac:dyDescent="0.3">
      <c r="A8" s="529" t="s">
        <v>236</v>
      </c>
      <c r="B8" s="500"/>
      <c r="C8" s="69"/>
      <c r="D8" s="69"/>
      <c r="E8" s="216"/>
      <c r="F8" s="216">
        <f>допущения!$C$68*'Расходы на П, строит-во, ввод'!$D$4</f>
        <v>90</v>
      </c>
      <c r="G8" s="216">
        <f>F8</f>
        <v>90</v>
      </c>
      <c r="H8" s="216">
        <f t="shared" ref="H8:AS8" si="2">G8</f>
        <v>90</v>
      </c>
      <c r="I8" s="216">
        <f t="shared" si="2"/>
        <v>90</v>
      </c>
      <c r="J8" s="216">
        <f t="shared" si="2"/>
        <v>90</v>
      </c>
      <c r="K8" s="216">
        <f t="shared" si="2"/>
        <v>90</v>
      </c>
      <c r="L8" s="216">
        <f t="shared" si="2"/>
        <v>90</v>
      </c>
      <c r="M8" s="216">
        <f t="shared" si="2"/>
        <v>90</v>
      </c>
      <c r="N8" s="216">
        <f t="shared" si="2"/>
        <v>90</v>
      </c>
      <c r="O8" s="216">
        <f t="shared" si="2"/>
        <v>90</v>
      </c>
      <c r="P8" s="216">
        <f t="shared" si="2"/>
        <v>90</v>
      </c>
      <c r="Q8" s="216">
        <f t="shared" si="2"/>
        <v>90</v>
      </c>
      <c r="R8" s="216">
        <f t="shared" si="2"/>
        <v>90</v>
      </c>
      <c r="S8" s="216">
        <f t="shared" si="2"/>
        <v>90</v>
      </c>
      <c r="T8" s="216">
        <f t="shared" si="2"/>
        <v>90</v>
      </c>
      <c r="U8" s="216">
        <f t="shared" si="2"/>
        <v>90</v>
      </c>
      <c r="V8" s="216">
        <f t="shared" si="2"/>
        <v>90</v>
      </c>
      <c r="W8" s="216">
        <f t="shared" si="2"/>
        <v>90</v>
      </c>
      <c r="X8" s="216">
        <f t="shared" si="2"/>
        <v>90</v>
      </c>
      <c r="Y8" s="216">
        <f t="shared" si="2"/>
        <v>90</v>
      </c>
      <c r="Z8" s="216">
        <f t="shared" si="2"/>
        <v>90</v>
      </c>
      <c r="AA8" s="216">
        <f t="shared" si="2"/>
        <v>90</v>
      </c>
      <c r="AB8" s="216">
        <f t="shared" si="2"/>
        <v>90</v>
      </c>
      <c r="AC8" s="216">
        <f t="shared" si="2"/>
        <v>90</v>
      </c>
      <c r="AD8" s="216">
        <f t="shared" si="2"/>
        <v>90</v>
      </c>
      <c r="AE8" s="216">
        <f t="shared" si="2"/>
        <v>90</v>
      </c>
      <c r="AF8" s="216">
        <f t="shared" si="2"/>
        <v>90</v>
      </c>
      <c r="AG8" s="216">
        <f t="shared" si="2"/>
        <v>90</v>
      </c>
      <c r="AH8" s="216">
        <f t="shared" si="2"/>
        <v>90</v>
      </c>
      <c r="AI8" s="216">
        <f t="shared" si="2"/>
        <v>90</v>
      </c>
      <c r="AJ8" s="216">
        <f t="shared" si="2"/>
        <v>90</v>
      </c>
      <c r="AK8" s="216">
        <f t="shared" si="2"/>
        <v>90</v>
      </c>
      <c r="AL8" s="216">
        <f t="shared" si="2"/>
        <v>90</v>
      </c>
      <c r="AM8" s="216">
        <f t="shared" si="2"/>
        <v>90</v>
      </c>
      <c r="AN8" s="216">
        <f t="shared" si="2"/>
        <v>90</v>
      </c>
      <c r="AO8" s="216">
        <f t="shared" si="2"/>
        <v>90</v>
      </c>
      <c r="AP8" s="216">
        <f t="shared" si="2"/>
        <v>90</v>
      </c>
      <c r="AQ8" s="216">
        <f t="shared" si="2"/>
        <v>90</v>
      </c>
      <c r="AR8" s="216">
        <f t="shared" si="2"/>
        <v>90</v>
      </c>
      <c r="AS8" s="216">
        <f t="shared" si="2"/>
        <v>90</v>
      </c>
    </row>
    <row r="9" spans="1:45" ht="28.8" x14ac:dyDescent="0.3">
      <c r="A9" s="529" t="s">
        <v>237</v>
      </c>
      <c r="B9" s="500"/>
      <c r="C9" s="69"/>
      <c r="D9" s="69"/>
      <c r="E9" s="69"/>
      <c r="F9" s="597">
        <v>100</v>
      </c>
      <c r="G9" s="69">
        <f>F9</f>
        <v>100</v>
      </c>
      <c r="H9" s="69">
        <f t="shared" ref="H9:AS9" si="3">G9</f>
        <v>100</v>
      </c>
      <c r="I9" s="69">
        <f t="shared" si="3"/>
        <v>100</v>
      </c>
      <c r="J9" s="69">
        <f t="shared" si="3"/>
        <v>100</v>
      </c>
      <c r="K9" s="69">
        <f t="shared" si="3"/>
        <v>100</v>
      </c>
      <c r="L9" s="69">
        <f t="shared" si="3"/>
        <v>100</v>
      </c>
      <c r="M9" s="69">
        <f t="shared" si="3"/>
        <v>100</v>
      </c>
      <c r="N9" s="69">
        <f t="shared" si="3"/>
        <v>100</v>
      </c>
      <c r="O9" s="69">
        <f t="shared" si="3"/>
        <v>100</v>
      </c>
      <c r="P9" s="69">
        <f t="shared" si="3"/>
        <v>100</v>
      </c>
      <c r="Q9" s="69">
        <f t="shared" si="3"/>
        <v>100</v>
      </c>
      <c r="R9" s="69">
        <f t="shared" si="3"/>
        <v>100</v>
      </c>
      <c r="S9" s="69">
        <f t="shared" si="3"/>
        <v>100</v>
      </c>
      <c r="T9" s="69">
        <f t="shared" si="3"/>
        <v>100</v>
      </c>
      <c r="U9" s="69">
        <f t="shared" si="3"/>
        <v>100</v>
      </c>
      <c r="V9" s="69">
        <f t="shared" si="3"/>
        <v>100</v>
      </c>
      <c r="W9" s="69">
        <f t="shared" si="3"/>
        <v>100</v>
      </c>
      <c r="X9" s="69">
        <f t="shared" si="3"/>
        <v>100</v>
      </c>
      <c r="Y9" s="69">
        <f t="shared" si="3"/>
        <v>100</v>
      </c>
      <c r="Z9" s="69">
        <f t="shared" si="3"/>
        <v>100</v>
      </c>
      <c r="AA9" s="69">
        <f t="shared" si="3"/>
        <v>100</v>
      </c>
      <c r="AB9" s="69">
        <f t="shared" si="3"/>
        <v>100</v>
      </c>
      <c r="AC9" s="69">
        <f t="shared" si="3"/>
        <v>100</v>
      </c>
      <c r="AD9" s="69">
        <f t="shared" si="3"/>
        <v>100</v>
      </c>
      <c r="AE9" s="69">
        <f t="shared" si="3"/>
        <v>100</v>
      </c>
      <c r="AF9" s="69">
        <f t="shared" si="3"/>
        <v>100</v>
      </c>
      <c r="AG9" s="69">
        <f t="shared" si="3"/>
        <v>100</v>
      </c>
      <c r="AH9" s="69">
        <f t="shared" si="3"/>
        <v>100</v>
      </c>
      <c r="AI9" s="69">
        <f t="shared" si="3"/>
        <v>100</v>
      </c>
      <c r="AJ9" s="69">
        <f t="shared" si="3"/>
        <v>100</v>
      </c>
      <c r="AK9" s="69">
        <f t="shared" si="3"/>
        <v>100</v>
      </c>
      <c r="AL9" s="69">
        <f t="shared" si="3"/>
        <v>100</v>
      </c>
      <c r="AM9" s="69">
        <f t="shared" si="3"/>
        <v>100</v>
      </c>
      <c r="AN9" s="69">
        <f t="shared" si="3"/>
        <v>100</v>
      </c>
      <c r="AO9" s="69">
        <f t="shared" si="3"/>
        <v>100</v>
      </c>
      <c r="AP9" s="69">
        <f t="shared" si="3"/>
        <v>100</v>
      </c>
      <c r="AQ9" s="69">
        <f t="shared" si="3"/>
        <v>100</v>
      </c>
      <c r="AR9" s="69">
        <f t="shared" si="3"/>
        <v>100</v>
      </c>
      <c r="AS9" s="69">
        <f t="shared" si="3"/>
        <v>100</v>
      </c>
    </row>
    <row r="10" spans="1:45" ht="34.5" customHeight="1" x14ac:dyDescent="0.3">
      <c r="A10" s="598" t="s">
        <v>423</v>
      </c>
      <c r="B10" s="218"/>
      <c r="C10" s="218"/>
      <c r="D10" s="218"/>
      <c r="E10" s="219"/>
      <c r="F10" s="219">
        <f>Себестоимость!G16</f>
        <v>100.75399653955957</v>
      </c>
      <c r="G10" s="219">
        <f>Себестоимость!H16</f>
        <v>100.75399653955957</v>
      </c>
      <c r="H10" s="219">
        <f>Себестоимость!I16</f>
        <v>100.75399653955957</v>
      </c>
      <c r="I10" s="219">
        <f>Себестоимость!J16</f>
        <v>100.75399653955957</v>
      </c>
      <c r="J10" s="219">
        <f>Себестоимость!K16</f>
        <v>123.37224066068521</v>
      </c>
      <c r="K10" s="219">
        <f>Себестоимость!L16</f>
        <v>123.37224066068521</v>
      </c>
      <c r="L10" s="219">
        <f>Себестоимость!M16</f>
        <v>123.37224066068521</v>
      </c>
      <c r="M10" s="219">
        <f>Себестоимость!N16</f>
        <v>123.37224066068521</v>
      </c>
      <c r="N10" s="219">
        <f>Себестоимость!O16</f>
        <v>148.04668879282224</v>
      </c>
      <c r="O10" s="219">
        <f>Себестоимость!P16</f>
        <v>148.04668879282224</v>
      </c>
      <c r="P10" s="219">
        <f>Себестоимость!Q16</f>
        <v>148.04668879282224</v>
      </c>
      <c r="Q10" s="219">
        <f>Себестоимость!R16</f>
        <v>148.04668879282224</v>
      </c>
      <c r="R10" s="219">
        <f>Себестоимость!S16</f>
        <v>157.29960684237361</v>
      </c>
      <c r="S10" s="219">
        <f>Себестоимость!T16</f>
        <v>157.29960684237361</v>
      </c>
      <c r="T10" s="219">
        <f>Себестоимость!U16</f>
        <v>157.29960684237361</v>
      </c>
      <c r="U10" s="219">
        <f>Себестоимость!V16</f>
        <v>157.29960684237361</v>
      </c>
      <c r="V10" s="219">
        <f>Себестоимость!W16</f>
        <v>166.55252489192506</v>
      </c>
      <c r="W10" s="219">
        <f>Себестоимость!X16</f>
        <v>166.55252489192506</v>
      </c>
      <c r="X10" s="219">
        <f>Себестоимость!Y16</f>
        <v>166.55252489192506</v>
      </c>
      <c r="Y10" s="219">
        <f>Себестоимость!Z16</f>
        <v>166.55252489192506</v>
      </c>
      <c r="Z10" s="219">
        <f>Себестоимость!AA16</f>
        <v>175.80544294147646</v>
      </c>
      <c r="AA10" s="219">
        <f>Себестоимость!AB16</f>
        <v>175.80544294147646</v>
      </c>
      <c r="AB10" s="219">
        <f>Себестоимость!AC16</f>
        <v>175.80544294147646</v>
      </c>
      <c r="AC10" s="219">
        <f>Себестоимость!AD16</f>
        <v>175.80544294147646</v>
      </c>
      <c r="AD10" s="219">
        <f>Себестоимость!AE16</f>
        <v>185.05836099102785</v>
      </c>
      <c r="AE10" s="219">
        <f>Себестоимость!AF16</f>
        <v>185.05836099102785</v>
      </c>
      <c r="AF10" s="219">
        <f>Себестоимость!AG16</f>
        <v>185.05836099102785</v>
      </c>
      <c r="AG10" s="219">
        <f>Себестоимость!AH16</f>
        <v>185.05836099102785</v>
      </c>
      <c r="AH10" s="219">
        <f>Себестоимость!AI16</f>
        <v>185.05836099102785</v>
      </c>
      <c r="AI10" s="219">
        <f>Себестоимость!AJ16</f>
        <v>185.05836099102785</v>
      </c>
      <c r="AJ10" s="219">
        <f>Себестоимость!AK16</f>
        <v>185.05836099102785</v>
      </c>
      <c r="AK10" s="219">
        <f>Себестоимость!AL16</f>
        <v>185.05836099102785</v>
      </c>
      <c r="AL10" s="219">
        <f>Себестоимость!AM16</f>
        <v>185.0583609910278</v>
      </c>
      <c r="AM10" s="219">
        <f>Себестоимость!AN16</f>
        <v>185.0583609910278</v>
      </c>
      <c r="AN10" s="219">
        <f>Себестоимость!AO16</f>
        <v>185.0583609910278</v>
      </c>
      <c r="AO10" s="219">
        <f>Себестоимость!AP16</f>
        <v>185.0583609910278</v>
      </c>
      <c r="AP10" s="219">
        <f>Себестоимость!AQ16</f>
        <v>185.0583609910278</v>
      </c>
      <c r="AQ10" s="219">
        <f>Себестоимость!AR16</f>
        <v>185.0583609910278</v>
      </c>
      <c r="AR10" s="219">
        <f>Себестоимость!AS16</f>
        <v>185.0583609910278</v>
      </c>
      <c r="AS10" s="219">
        <f>Себестоимость!AT16</f>
        <v>185.0583609910278</v>
      </c>
    </row>
    <row r="11" spans="1:45" ht="28.8" x14ac:dyDescent="0.3">
      <c r="A11" s="529" t="s">
        <v>238</v>
      </c>
      <c r="B11" s="218"/>
      <c r="C11" s="218"/>
      <c r="D11" s="218"/>
      <c r="E11" s="219"/>
      <c r="F11" s="219"/>
      <c r="G11" s="219"/>
      <c r="H11" s="219"/>
      <c r="I11" s="219"/>
      <c r="J11" s="219"/>
      <c r="K11" s="219"/>
      <c r="L11" s="219"/>
      <c r="M11" s="219"/>
      <c r="N11" s="219"/>
      <c r="O11" s="219"/>
      <c r="P11" s="219"/>
      <c r="Q11" s="216"/>
      <c r="R11" s="216"/>
      <c r="S11" s="216"/>
      <c r="T11" s="216"/>
      <c r="U11" s="216"/>
      <c r="V11" s="216"/>
      <c r="W11" s="216"/>
      <c r="X11" s="216"/>
      <c r="Y11" s="216"/>
      <c r="Z11" s="216"/>
      <c r="AA11" s="216"/>
      <c r="AB11" s="216"/>
      <c r="AC11" s="216"/>
      <c r="AD11" s="216"/>
      <c r="AE11" s="216"/>
      <c r="AF11" s="216"/>
      <c r="AG11" s="216"/>
      <c r="AH11" s="216"/>
      <c r="AI11" s="216"/>
      <c r="AJ11" s="216"/>
      <c r="AK11" s="216"/>
      <c r="AL11" s="216"/>
      <c r="AM11" s="216"/>
      <c r="AN11" s="216"/>
      <c r="AO11" s="216"/>
      <c r="AP11" s="216"/>
      <c r="AQ11" s="216"/>
      <c r="AR11" s="216"/>
      <c r="AS11" s="216"/>
    </row>
    <row r="12" spans="1:45" ht="14.4" x14ac:dyDescent="0.3">
      <c r="A12" s="215" t="s">
        <v>239</v>
      </c>
      <c r="B12" s="218">
        <f>'Расходы на П, строит-во, ввод'!B26</f>
        <v>0</v>
      </c>
      <c r="C12" s="218">
        <f>'Расходы на П, строит-во, ввод'!C26</f>
        <v>0</v>
      </c>
      <c r="D12" s="218">
        <f>'Расходы на П, строит-во, ввод'!D26</f>
        <v>0</v>
      </c>
      <c r="E12" s="218">
        <f>'Расходы на П, строит-во, ввод'!E26</f>
        <v>253.75</v>
      </c>
      <c r="F12" s="218">
        <f>'Расходы на П, строит-во, ввод'!F26</f>
        <v>253.75</v>
      </c>
      <c r="G12" s="218">
        <f>'Расходы на П, строит-во, ввод'!G26</f>
        <v>253.75</v>
      </c>
      <c r="H12" s="218">
        <f>'Расходы на П, строит-во, ввод'!H26</f>
        <v>253.75</v>
      </c>
      <c r="I12" s="218">
        <f>'Расходы на П, строит-во, ввод'!I26</f>
        <v>253.75</v>
      </c>
      <c r="J12" s="218">
        <f>'Расходы на П, строит-во, ввод'!J26</f>
        <v>253.75</v>
      </c>
      <c r="K12" s="218">
        <f>'Расходы на П, строит-во, ввод'!K26</f>
        <v>253.75</v>
      </c>
      <c r="L12" s="218">
        <f>'Расходы на П, строит-во, ввод'!L26</f>
        <v>253.75</v>
      </c>
      <c r="M12" s="218">
        <f>'Расходы на П, строит-во, ввод'!M26</f>
        <v>253.75</v>
      </c>
      <c r="N12" s="218">
        <f>'Расходы на П, строит-во, ввод'!N26</f>
        <v>253.75</v>
      </c>
      <c r="O12" s="218">
        <f>'Расходы на П, строит-во, ввод'!O26</f>
        <v>253.75</v>
      </c>
      <c r="P12" s="218">
        <f>'Расходы на П, строит-во, ввод'!P26</f>
        <v>253.75</v>
      </c>
      <c r="Q12" s="218">
        <f>'Расходы на П, строит-во, ввод'!Q26</f>
        <v>253.75</v>
      </c>
      <c r="R12" s="218">
        <f>'Расходы на П, строит-во, ввод'!R26</f>
        <v>253.75</v>
      </c>
      <c r="S12" s="218">
        <f>'Расходы на П, строит-во, ввод'!S26</f>
        <v>253.75</v>
      </c>
      <c r="T12" s="218">
        <f>'Расходы на П, строит-во, ввод'!T26</f>
        <v>253.75</v>
      </c>
      <c r="U12" s="218">
        <f>'Расходы на П, строит-во, ввод'!U26</f>
        <v>253.75</v>
      </c>
      <c r="V12" s="218">
        <f>'Расходы на П, строит-во, ввод'!V26</f>
        <v>253.75</v>
      </c>
      <c r="W12" s="218">
        <f>'Расходы на П, строит-во, ввод'!W26</f>
        <v>253.75</v>
      </c>
      <c r="X12" s="218">
        <f>'Расходы на П, строит-во, ввод'!X26</f>
        <v>253.75</v>
      </c>
      <c r="Y12" s="218">
        <f>'Расходы на П, строит-во, ввод'!Y26</f>
        <v>253.75</v>
      </c>
      <c r="Z12" s="218">
        <f>'Расходы на П, строит-во, ввод'!Z26</f>
        <v>253.75</v>
      </c>
      <c r="AA12" s="218">
        <f>'Расходы на П, строит-во, ввод'!AA26</f>
        <v>253.75</v>
      </c>
      <c r="AB12" s="218">
        <f>'Расходы на П, строит-во, ввод'!AB26</f>
        <v>253.75</v>
      </c>
      <c r="AC12" s="218">
        <f>'Расходы на П, строит-во, ввод'!AC26</f>
        <v>253.75</v>
      </c>
      <c r="AD12" s="218">
        <f>'Расходы на П, строит-во, ввод'!AD26</f>
        <v>253.75</v>
      </c>
      <c r="AE12" s="218">
        <f>'Расходы на П, строит-во, ввод'!AE26</f>
        <v>253.75</v>
      </c>
      <c r="AF12" s="218">
        <f>'Расходы на П, строит-во, ввод'!AF26</f>
        <v>253.75</v>
      </c>
      <c r="AG12" s="218">
        <f>'Расходы на П, строит-во, ввод'!AG26</f>
        <v>253.75</v>
      </c>
      <c r="AH12" s="218">
        <f>'Расходы на П, строит-во, ввод'!AH26</f>
        <v>253.75</v>
      </c>
      <c r="AI12" s="218">
        <f>'Расходы на П, строит-во, ввод'!AI26</f>
        <v>253.75</v>
      </c>
      <c r="AJ12" s="218">
        <f>'Расходы на П, строит-во, ввод'!AJ26</f>
        <v>253.75</v>
      </c>
      <c r="AK12" s="218">
        <f>'Расходы на П, строит-во, ввод'!AK26</f>
        <v>253.75</v>
      </c>
      <c r="AL12" s="218">
        <f>'Расходы на П, строит-во, ввод'!AL26</f>
        <v>253.75</v>
      </c>
      <c r="AM12" s="218">
        <f>'Расходы на П, строит-во, ввод'!AM26</f>
        <v>253.75</v>
      </c>
      <c r="AN12" s="218">
        <f>'Расходы на П, строит-во, ввод'!AN26</f>
        <v>253.75</v>
      </c>
      <c r="AO12" s="218">
        <f>'Расходы на П, строит-во, ввод'!AO26</f>
        <v>253.75</v>
      </c>
      <c r="AP12" s="218">
        <f>'Расходы на П, строит-во, ввод'!AP26</f>
        <v>253.75</v>
      </c>
      <c r="AQ12" s="218">
        <f>'Расходы на П, строит-во, ввод'!AQ26</f>
        <v>253.75</v>
      </c>
      <c r="AR12" s="218">
        <f>'Расходы на П, строит-во, ввод'!AR26</f>
        <v>253.75</v>
      </c>
      <c r="AS12" s="218">
        <f>'Расходы на П, строит-во, ввод'!AS26</f>
        <v>253.75</v>
      </c>
    </row>
    <row r="13" spans="1:45" ht="14.4" x14ac:dyDescent="0.3">
      <c r="A13" s="221" t="s">
        <v>240</v>
      </c>
      <c r="B13" s="218"/>
      <c r="C13" s="218"/>
      <c r="D13" s="218"/>
      <c r="E13" s="219"/>
      <c r="F13" s="219"/>
      <c r="G13" s="219"/>
      <c r="H13" s="219"/>
      <c r="I13" s="219"/>
      <c r="J13" s="219"/>
      <c r="K13" s="219"/>
      <c r="L13" s="219"/>
      <c r="M13" s="219"/>
      <c r="N13" s="219"/>
      <c r="O13" s="219"/>
      <c r="P13" s="219"/>
      <c r="Q13" s="216"/>
      <c r="R13" s="216"/>
      <c r="S13" s="216"/>
      <c r="T13" s="216"/>
      <c r="U13" s="216"/>
      <c r="V13" s="216"/>
      <c r="W13" s="216"/>
      <c r="X13" s="216"/>
      <c r="Y13" s="216"/>
      <c r="Z13" s="216"/>
      <c r="AA13" s="216"/>
      <c r="AB13" s="216"/>
      <c r="AC13" s="216"/>
      <c r="AD13" s="216"/>
      <c r="AE13" s="216"/>
      <c r="AF13" s="216"/>
      <c r="AG13" s="216"/>
      <c r="AH13" s="216"/>
      <c r="AI13" s="216"/>
      <c r="AJ13" s="216"/>
      <c r="AK13" s="216"/>
      <c r="AL13" s="216"/>
      <c r="AM13" s="216"/>
      <c r="AN13" s="216"/>
      <c r="AO13" s="216"/>
      <c r="AP13" s="216"/>
      <c r="AQ13" s="216"/>
      <c r="AR13" s="216"/>
      <c r="AS13" s="216"/>
    </row>
    <row r="14" spans="1:45" ht="14.4" x14ac:dyDescent="0.3">
      <c r="A14" s="215" t="s">
        <v>499</v>
      </c>
      <c r="B14" s="218">
        <f>'Расходы на П, строит-во, ввод'!B34</f>
        <v>0</v>
      </c>
      <c r="C14" s="218">
        <f>'Расходы на П, строит-во, ввод'!C34</f>
        <v>0</v>
      </c>
      <c r="D14" s="218">
        <f>'Расходы на П, строит-во, ввод'!D34</f>
        <v>0</v>
      </c>
      <c r="E14" s="218">
        <f>'Расходы на П, строит-во, ввод'!E34</f>
        <v>0</v>
      </c>
      <c r="F14" s="344">
        <f>'Расходы на П, строит-во, ввод'!F34</f>
        <v>0</v>
      </c>
      <c r="G14" s="344">
        <f>'Расходы на П, строит-во, ввод'!G34</f>
        <v>0</v>
      </c>
      <c r="H14" s="344">
        <f>'Расходы на П, строит-во, ввод'!H34</f>
        <v>0</v>
      </c>
      <c r="I14" s="344">
        <f>'Расходы на П, строит-во, ввод'!I34</f>
        <v>0</v>
      </c>
      <c r="J14" s="344">
        <f>'Расходы на П, строит-во, ввод'!J34</f>
        <v>0</v>
      </c>
      <c r="K14" s="344">
        <f>'Расходы на П, строит-во, ввод'!K34</f>
        <v>0</v>
      </c>
      <c r="L14" s="344">
        <f>'Расходы на П, строит-во, ввод'!L34</f>
        <v>0</v>
      </c>
      <c r="M14" s="344">
        <f>'Расходы на П, строит-во, ввод'!M34</f>
        <v>0</v>
      </c>
      <c r="N14" s="344">
        <f>'Расходы на П, строит-во, ввод'!N34</f>
        <v>0</v>
      </c>
      <c r="O14" s="344">
        <f>'Расходы на П, строит-во, ввод'!O34</f>
        <v>0</v>
      </c>
      <c r="P14" s="344">
        <f>'Расходы на П, строит-во, ввод'!P34</f>
        <v>0</v>
      </c>
      <c r="Q14" s="344">
        <f>'Расходы на П, строит-во, ввод'!Q34</f>
        <v>0</v>
      </c>
      <c r="R14" s="344">
        <f>'Расходы на П, строит-во, ввод'!R34</f>
        <v>0</v>
      </c>
      <c r="S14" s="344">
        <f>'Расходы на П, строит-во, ввод'!S34</f>
        <v>0</v>
      </c>
      <c r="T14" s="344">
        <f>'Расходы на П, строит-во, ввод'!T34</f>
        <v>0</v>
      </c>
      <c r="U14" s="344">
        <f>'Расходы на П, строит-во, ввод'!U34</f>
        <v>0</v>
      </c>
      <c r="V14" s="344">
        <f>'Расходы на П, строит-во, ввод'!V34</f>
        <v>0</v>
      </c>
      <c r="W14" s="344">
        <f>'Расходы на П, строит-во, ввод'!W34</f>
        <v>0</v>
      </c>
      <c r="X14" s="344">
        <f>'Расходы на П, строит-во, ввод'!X34</f>
        <v>0</v>
      </c>
      <c r="Y14" s="218">
        <f>'Расходы на П, строит-во, ввод'!Y34</f>
        <v>66.504166666666734</v>
      </c>
      <c r="Z14" s="218">
        <f>'Расходы на П, строит-во, ввод'!Z34</f>
        <v>66.116875000000064</v>
      </c>
      <c r="AA14" s="218">
        <f>'Расходы на П, строит-во, ввод'!AA34</f>
        <v>65.729583333333409</v>
      </c>
      <c r="AB14" s="218">
        <f>'Расходы на П, строит-во, ввод'!AB34</f>
        <v>65.342291666666739</v>
      </c>
      <c r="AC14" s="218">
        <f>'Расходы на П, строит-во, ввод'!AC34</f>
        <v>64.955000000000069</v>
      </c>
      <c r="AD14" s="218">
        <f>'Расходы на П, строит-во, ввод'!AD34</f>
        <v>64.567708333333414</v>
      </c>
      <c r="AE14" s="218">
        <f>'Расходы на П, строит-во, ввод'!AE34</f>
        <v>64.180416666666744</v>
      </c>
      <c r="AF14" s="218">
        <f>'Расходы на П, строит-во, ввод'!AF34</f>
        <v>63.793125000000089</v>
      </c>
      <c r="AG14" s="218">
        <f>'Расходы на П, строит-во, ввод'!AG34</f>
        <v>63.405833333333426</v>
      </c>
      <c r="AH14" s="218">
        <f>'Расходы на П, строит-во, ввод'!AH34</f>
        <v>63.018541666666756</v>
      </c>
      <c r="AI14" s="218">
        <f>'Расходы на П, строит-во, ввод'!AI34</f>
        <v>62.631250000000094</v>
      </c>
      <c r="AJ14" s="218">
        <f>'Расходы на П, строит-во, ввод'!AJ34</f>
        <v>62.243958333333431</v>
      </c>
      <c r="AK14" s="218">
        <f>'Расходы на П, строит-во, ввод'!AK34</f>
        <v>61.856666666666769</v>
      </c>
      <c r="AL14" s="218">
        <f>'Расходы на П, строит-во, ввод'!AL34</f>
        <v>61.469375000000106</v>
      </c>
      <c r="AM14" s="218">
        <f>'Расходы на П, строит-во, ввод'!AM34</f>
        <v>61.082083333333443</v>
      </c>
      <c r="AN14" s="218">
        <f>'Расходы на П, строит-во, ввод'!AN34</f>
        <v>60.694791666666781</v>
      </c>
      <c r="AO14" s="218">
        <f>'Расходы на П, строит-во, ввод'!AO34</f>
        <v>60.307500000000118</v>
      </c>
      <c r="AP14" s="218">
        <f>'Расходы на П, строит-во, ввод'!AP34</f>
        <v>59.920208333333456</v>
      </c>
      <c r="AQ14" s="218">
        <f>'Расходы на П, строит-во, ввод'!AQ34</f>
        <v>59.532916666666793</v>
      </c>
      <c r="AR14" s="218">
        <f>'Расходы на П, строит-во, ввод'!AR34</f>
        <v>59.145625000000123</v>
      </c>
      <c r="AS14" s="218">
        <f>'Расходы на П, строит-во, ввод'!AS34</f>
        <v>58.758333333333461</v>
      </c>
    </row>
    <row r="15" spans="1:45" ht="14.4" x14ac:dyDescent="0.3">
      <c r="A15" s="215" t="str">
        <f>A23</f>
        <v>НДС к уплате</v>
      </c>
      <c r="B15" s="218">
        <f>B23</f>
        <v>0</v>
      </c>
      <c r="C15" s="218">
        <f t="shared" ref="C15:AS15" si="4">C23</f>
        <v>0</v>
      </c>
      <c r="D15" s="218">
        <f t="shared" si="4"/>
        <v>0</v>
      </c>
      <c r="E15" s="218">
        <f t="shared" si="4"/>
        <v>0</v>
      </c>
      <c r="F15" s="218">
        <f t="shared" si="4"/>
        <v>-4027.3592954521491</v>
      </c>
      <c r="G15" s="218">
        <f t="shared" si="4"/>
        <v>1639.3073712145188</v>
      </c>
      <c r="H15" s="218">
        <f t="shared" si="4"/>
        <v>1639.3073712145188</v>
      </c>
      <c r="I15" s="218">
        <f t="shared" si="4"/>
        <v>1639.3073712145188</v>
      </c>
      <c r="J15" s="218">
        <f t="shared" si="4"/>
        <v>2269.9120738218608</v>
      </c>
      <c r="K15" s="218">
        <f t="shared" si="4"/>
        <v>2269.9120738218608</v>
      </c>
      <c r="L15" s="218">
        <f t="shared" si="4"/>
        <v>2269.9120738218608</v>
      </c>
      <c r="M15" s="218">
        <f t="shared" si="4"/>
        <v>2269.9120738218608</v>
      </c>
      <c r="N15" s="218">
        <f t="shared" si="4"/>
        <v>3048.6104113342321</v>
      </c>
      <c r="O15" s="218">
        <f t="shared" si="4"/>
        <v>3048.6104113342321</v>
      </c>
      <c r="P15" s="218">
        <f t="shared" si="4"/>
        <v>3048.6104113342321</v>
      </c>
      <c r="Q15" s="218">
        <f t="shared" si="4"/>
        <v>3048.6104113342321</v>
      </c>
      <c r="R15" s="218">
        <f t="shared" si="4"/>
        <v>3586.8616972769119</v>
      </c>
      <c r="S15" s="218">
        <f t="shared" si="4"/>
        <v>3586.8616972769119</v>
      </c>
      <c r="T15" s="218">
        <f t="shared" si="4"/>
        <v>3586.8616972769119</v>
      </c>
      <c r="U15" s="218">
        <f t="shared" si="4"/>
        <v>3586.8616972769119</v>
      </c>
      <c r="V15" s="218">
        <f t="shared" si="4"/>
        <v>4186.9059291776339</v>
      </c>
      <c r="W15" s="218">
        <f t="shared" si="4"/>
        <v>4186.9059291776339</v>
      </c>
      <c r="X15" s="218">
        <f t="shared" si="4"/>
        <v>4186.9059291776339</v>
      </c>
      <c r="Y15" s="218">
        <f t="shared" si="4"/>
        <v>4186.9059291776339</v>
      </c>
      <c r="Z15" s="218">
        <f t="shared" si="4"/>
        <v>4853.7272284757455</v>
      </c>
      <c r="AA15" s="218">
        <f t="shared" si="4"/>
        <v>4853.7272284757455</v>
      </c>
      <c r="AB15" s="218">
        <f t="shared" si="4"/>
        <v>4853.7272284757455</v>
      </c>
      <c r="AC15" s="218">
        <f t="shared" si="4"/>
        <v>4853.7272284757455</v>
      </c>
      <c r="AD15" s="218">
        <f t="shared" si="4"/>
        <v>5592.6298228391252</v>
      </c>
      <c r="AE15" s="218">
        <f t="shared" si="4"/>
        <v>5592.6298228391252</v>
      </c>
      <c r="AF15" s="218">
        <f t="shared" si="4"/>
        <v>5592.6298228391252</v>
      </c>
      <c r="AG15" s="218">
        <f t="shared" si="4"/>
        <v>5592.6298228391252</v>
      </c>
      <c r="AH15" s="218">
        <f t="shared" si="4"/>
        <v>6098.8762558391809</v>
      </c>
      <c r="AI15" s="218">
        <f t="shared" si="4"/>
        <v>6098.8762558391809</v>
      </c>
      <c r="AJ15" s="218">
        <f t="shared" si="4"/>
        <v>6098.8762558391809</v>
      </c>
      <c r="AK15" s="218">
        <f t="shared" si="4"/>
        <v>6098.8762558391809</v>
      </c>
      <c r="AL15" s="218">
        <f t="shared" si="4"/>
        <v>6635.509979391325</v>
      </c>
      <c r="AM15" s="218">
        <f t="shared" si="4"/>
        <v>6635.509979391325</v>
      </c>
      <c r="AN15" s="218">
        <f t="shared" si="4"/>
        <v>6635.509979391325</v>
      </c>
      <c r="AO15" s="218">
        <f t="shared" si="4"/>
        <v>6635.509979391325</v>
      </c>
      <c r="AP15" s="218">
        <f t="shared" si="4"/>
        <v>7204.7968094168737</v>
      </c>
      <c r="AQ15" s="218">
        <f t="shared" si="4"/>
        <v>7204.7968094168737</v>
      </c>
      <c r="AR15" s="218">
        <f t="shared" si="4"/>
        <v>7204.7968094168737</v>
      </c>
      <c r="AS15" s="218">
        <f t="shared" si="4"/>
        <v>7204.7968094168737</v>
      </c>
    </row>
    <row r="16" spans="1:45" ht="30.75" customHeight="1" x14ac:dyDescent="0.3">
      <c r="A16" s="215" t="s">
        <v>192</v>
      </c>
      <c r="B16" s="218">
        <f>'Расходы на П, строит-во, ввод'!B48</f>
        <v>0</v>
      </c>
      <c r="C16" s="218">
        <f>'Расходы на П, строит-во, ввод'!C48</f>
        <v>0</v>
      </c>
      <c r="D16" s="218">
        <f>'Расходы на П, строит-во, ввод'!D48</f>
        <v>0</v>
      </c>
      <c r="E16" s="218">
        <f>'Расходы на П, строит-во, ввод'!E48</f>
        <v>0</v>
      </c>
      <c r="F16" s="218">
        <f>'Расходы на П, строит-во, ввод'!F48</f>
        <v>0</v>
      </c>
      <c r="G16" s="218">
        <f>'Расходы на П, строит-во, ввод'!G48</f>
        <v>0</v>
      </c>
      <c r="H16" s="218">
        <f>'Расходы на П, строит-во, ввод'!H48</f>
        <v>0</v>
      </c>
      <c r="I16" s="218">
        <f>'Расходы на П, строит-во, ввод'!I48</f>
        <v>0</v>
      </c>
      <c r="J16" s="218">
        <f>'Расходы на П, строит-во, ввод'!J48</f>
        <v>0</v>
      </c>
      <c r="K16" s="218">
        <f>'Расходы на П, строит-во, ввод'!K48</f>
        <v>0</v>
      </c>
      <c r="L16" s="218">
        <f>'Расходы на П, строит-во, ввод'!L48</f>
        <v>0</v>
      </c>
      <c r="M16" s="218">
        <f>'Расходы на П, строит-во, ввод'!M48</f>
        <v>0</v>
      </c>
      <c r="N16" s="218">
        <f>'Расходы на П, строит-во, ввод'!N48</f>
        <v>0</v>
      </c>
      <c r="O16" s="218">
        <f>'Расходы на П, строит-во, ввод'!O48</f>
        <v>0</v>
      </c>
      <c r="P16" s="218">
        <f>'Расходы на П, строит-во, ввод'!P48</f>
        <v>0</v>
      </c>
      <c r="Q16" s="218">
        <f>'Расходы на П, строит-во, ввод'!Q48</f>
        <v>0</v>
      </c>
      <c r="R16" s="218">
        <f>'Расходы на П, строит-во, ввод'!R48</f>
        <v>0</v>
      </c>
      <c r="S16" s="218">
        <f>'Расходы на П, строит-во, ввод'!S48</f>
        <v>0</v>
      </c>
      <c r="T16" s="218">
        <f>'Расходы на П, строит-во, ввод'!T48</f>
        <v>0</v>
      </c>
      <c r="U16" s="218">
        <f>'Расходы на П, строит-во, ввод'!U48</f>
        <v>0</v>
      </c>
      <c r="V16" s="218">
        <f>'Расходы на П, строит-во, ввод'!V48</f>
        <v>0</v>
      </c>
      <c r="W16" s="218">
        <f>'Расходы на П, строит-во, ввод'!W48</f>
        <v>0</v>
      </c>
      <c r="X16" s="218">
        <f>'Расходы на П, строит-во, ввод'!X48</f>
        <v>0</v>
      </c>
      <c r="Y16" s="218">
        <f>'Расходы на П, строит-во, ввод'!Y48</f>
        <v>0</v>
      </c>
      <c r="Z16" s="218">
        <f>'Расходы на П, строит-во, ввод'!Z48</f>
        <v>0</v>
      </c>
      <c r="AA16" s="218">
        <f>'Расходы на П, строит-во, ввод'!AA48</f>
        <v>0</v>
      </c>
      <c r="AB16" s="218">
        <f>'Расходы на П, строит-во, ввод'!AB48</f>
        <v>0</v>
      </c>
      <c r="AC16" s="218">
        <f>'Расходы на П, строит-во, ввод'!AC48</f>
        <v>0</v>
      </c>
      <c r="AD16" s="218">
        <f>'Расходы на П, строит-во, ввод'!AD48</f>
        <v>0</v>
      </c>
      <c r="AE16" s="218">
        <f>'Расходы на П, строит-во, ввод'!AE48</f>
        <v>0</v>
      </c>
      <c r="AF16" s="218">
        <f>'Расходы на П, строит-во, ввод'!AF48</f>
        <v>0</v>
      </c>
      <c r="AG16" s="218">
        <f>'Расходы на П, строит-во, ввод'!AG48</f>
        <v>0</v>
      </c>
      <c r="AH16" s="218">
        <f>'Расходы на П, строит-во, ввод'!AH48</f>
        <v>0</v>
      </c>
      <c r="AI16" s="218">
        <f>'Расходы на П, строит-во, ввод'!AI48</f>
        <v>0</v>
      </c>
      <c r="AJ16" s="218">
        <f>'Расходы на П, строит-во, ввод'!AJ48</f>
        <v>0</v>
      </c>
      <c r="AK16" s="218">
        <f>'Расходы на П, строит-во, ввод'!AK48</f>
        <v>0</v>
      </c>
      <c r="AL16" s="218">
        <f>'Расходы на П, строит-во, ввод'!AL48</f>
        <v>0</v>
      </c>
      <c r="AM16" s="218">
        <f>'Расходы на П, строит-во, ввод'!AM48</f>
        <v>0</v>
      </c>
      <c r="AN16" s="218">
        <f>'Расходы на П, строит-во, ввод'!AN48</f>
        <v>0</v>
      </c>
      <c r="AO16" s="218">
        <f>'Расходы на П, строит-во, ввод'!AO48</f>
        <v>0</v>
      </c>
      <c r="AP16" s="218">
        <f>'Расходы на П, строит-во, ввод'!AP48</f>
        <v>0</v>
      </c>
      <c r="AQ16" s="218">
        <f>'Расходы на П, строит-во, ввод'!AQ48</f>
        <v>0</v>
      </c>
      <c r="AR16" s="218">
        <f>'Расходы на П, строит-во, ввод'!AR48</f>
        <v>0</v>
      </c>
      <c r="AS16" s="218">
        <f>'Расходы на П, строит-во, ввод'!AS48</f>
        <v>0</v>
      </c>
    </row>
    <row r="17" spans="1:47" ht="30.75" customHeight="1" x14ac:dyDescent="0.3">
      <c r="A17" s="215" t="s">
        <v>241</v>
      </c>
      <c r="B17" s="69"/>
      <c r="C17" s="69"/>
      <c r="D17" s="69"/>
      <c r="E17" s="216"/>
      <c r="F17" s="216"/>
      <c r="G17" s="216"/>
      <c r="H17" s="216"/>
      <c r="I17" s="216"/>
      <c r="J17" s="216">
        <f>допущения!$C$35/4*'Расходы на П, строит-во, ввод'!$D$3</f>
        <v>33.75</v>
      </c>
      <c r="K17" s="216">
        <f>J17</f>
        <v>33.75</v>
      </c>
      <c r="L17" s="216">
        <f t="shared" ref="L17:AS17" si="5">K17</f>
        <v>33.75</v>
      </c>
      <c r="M17" s="216">
        <f t="shared" si="5"/>
        <v>33.75</v>
      </c>
      <c r="N17" s="216">
        <f t="shared" si="5"/>
        <v>33.75</v>
      </c>
      <c r="O17" s="216">
        <f t="shared" si="5"/>
        <v>33.75</v>
      </c>
      <c r="P17" s="216">
        <f t="shared" si="5"/>
        <v>33.75</v>
      </c>
      <c r="Q17" s="216">
        <f t="shared" si="5"/>
        <v>33.75</v>
      </c>
      <c r="R17" s="216">
        <f t="shared" si="5"/>
        <v>33.75</v>
      </c>
      <c r="S17" s="216">
        <f t="shared" si="5"/>
        <v>33.75</v>
      </c>
      <c r="T17" s="216">
        <f t="shared" si="5"/>
        <v>33.75</v>
      </c>
      <c r="U17" s="216">
        <f t="shared" si="5"/>
        <v>33.75</v>
      </c>
      <c r="V17" s="216">
        <f t="shared" si="5"/>
        <v>33.75</v>
      </c>
      <c r="W17" s="216">
        <f t="shared" si="5"/>
        <v>33.75</v>
      </c>
      <c r="X17" s="216">
        <f t="shared" si="5"/>
        <v>33.75</v>
      </c>
      <c r="Y17" s="216">
        <f t="shared" si="5"/>
        <v>33.75</v>
      </c>
      <c r="Z17" s="216">
        <f t="shared" si="5"/>
        <v>33.75</v>
      </c>
      <c r="AA17" s="216">
        <f t="shared" si="5"/>
        <v>33.75</v>
      </c>
      <c r="AB17" s="216">
        <f t="shared" si="5"/>
        <v>33.75</v>
      </c>
      <c r="AC17" s="216">
        <f t="shared" si="5"/>
        <v>33.75</v>
      </c>
      <c r="AD17" s="216">
        <f t="shared" si="5"/>
        <v>33.75</v>
      </c>
      <c r="AE17" s="216">
        <f t="shared" si="5"/>
        <v>33.75</v>
      </c>
      <c r="AF17" s="216">
        <f t="shared" si="5"/>
        <v>33.75</v>
      </c>
      <c r="AG17" s="216">
        <f t="shared" si="5"/>
        <v>33.75</v>
      </c>
      <c r="AH17" s="216">
        <f t="shared" si="5"/>
        <v>33.75</v>
      </c>
      <c r="AI17" s="216">
        <f t="shared" si="5"/>
        <v>33.75</v>
      </c>
      <c r="AJ17" s="216">
        <f t="shared" si="5"/>
        <v>33.75</v>
      </c>
      <c r="AK17" s="216">
        <f t="shared" si="5"/>
        <v>33.75</v>
      </c>
      <c r="AL17" s="216">
        <f t="shared" si="5"/>
        <v>33.75</v>
      </c>
      <c r="AM17" s="216">
        <f t="shared" si="5"/>
        <v>33.75</v>
      </c>
      <c r="AN17" s="216">
        <f t="shared" si="5"/>
        <v>33.75</v>
      </c>
      <c r="AO17" s="216">
        <f t="shared" si="5"/>
        <v>33.75</v>
      </c>
      <c r="AP17" s="216">
        <f t="shared" si="5"/>
        <v>33.75</v>
      </c>
      <c r="AQ17" s="216">
        <f t="shared" si="5"/>
        <v>33.75</v>
      </c>
      <c r="AR17" s="216">
        <f t="shared" si="5"/>
        <v>33.75</v>
      </c>
      <c r="AS17" s="216">
        <f t="shared" si="5"/>
        <v>33.75</v>
      </c>
    </row>
    <row r="18" spans="1:47" s="343" customFormat="1" ht="14.4" x14ac:dyDescent="0.3">
      <c r="A18" s="341" t="s">
        <v>242</v>
      </c>
      <c r="B18" s="342">
        <f t="shared" ref="B18:E18" si="6">SUM(B2:B17)</f>
        <v>0</v>
      </c>
      <c r="C18" s="342">
        <f t="shared" si="6"/>
        <v>0</v>
      </c>
      <c r="D18" s="342">
        <f>SUM(D2:D17)</f>
        <v>1.6246391812500001</v>
      </c>
      <c r="E18" s="342">
        <f t="shared" si="6"/>
        <v>255.37463918124999</v>
      </c>
      <c r="F18" s="342">
        <f>SUM(F2:F17)</f>
        <v>8300.6724841960677</v>
      </c>
      <c r="G18" s="342">
        <f t="shared" ref="G18:AS18" si="7">SUM(G2:G17)</f>
        <v>13967.339150862736</v>
      </c>
      <c r="H18" s="342">
        <f t="shared" si="7"/>
        <v>13967.339150862736</v>
      </c>
      <c r="I18" s="342">
        <f>SUM(I2:I17)</f>
        <v>13967.339150862736</v>
      </c>
      <c r="J18" s="342">
        <f t="shared" si="7"/>
        <v>16445.695384554499</v>
      </c>
      <c r="K18" s="342">
        <f t="shared" si="7"/>
        <v>16445.695384554499</v>
      </c>
      <c r="L18" s="342">
        <f t="shared" si="7"/>
        <v>16445.695384554499</v>
      </c>
      <c r="M18" s="342">
        <f t="shared" si="7"/>
        <v>16445.695384554499</v>
      </c>
      <c r="N18" s="342">
        <f t="shared" si="7"/>
        <v>19196.139550637148</v>
      </c>
      <c r="O18" s="342">
        <f t="shared" si="7"/>
        <v>19196.139550637148</v>
      </c>
      <c r="P18" s="342">
        <f t="shared" si="7"/>
        <v>19196.139550637148</v>
      </c>
      <c r="Q18" s="342">
        <f t="shared" si="7"/>
        <v>19196.139550637148</v>
      </c>
      <c r="R18" s="342">
        <f t="shared" si="7"/>
        <v>20553.156775515985</v>
      </c>
      <c r="S18" s="342">
        <f t="shared" si="7"/>
        <v>20553.156775515985</v>
      </c>
      <c r="T18" s="342">
        <f t="shared" si="7"/>
        <v>20553.156775515985</v>
      </c>
      <c r="U18" s="342">
        <f t="shared" si="7"/>
        <v>20553.156775515985</v>
      </c>
      <c r="V18" s="342">
        <f t="shared" si="7"/>
        <v>21975.710858909457</v>
      </c>
      <c r="W18" s="342">
        <f t="shared" si="7"/>
        <v>21975.710858909457</v>
      </c>
      <c r="X18" s="342">
        <f t="shared" si="7"/>
        <v>21975.710858909457</v>
      </c>
      <c r="Y18" s="342">
        <f t="shared" si="7"/>
        <v>22042.215025576123</v>
      </c>
      <c r="Z18" s="342">
        <f>SUM(Z2:Z17)</f>
        <v>23535.015114633614</v>
      </c>
      <c r="AA18" s="342">
        <f t="shared" si="7"/>
        <v>23534.627822966948</v>
      </c>
      <c r="AB18" s="342">
        <f t="shared" si="7"/>
        <v>23534.240531300282</v>
      </c>
      <c r="AC18" s="342">
        <f t="shared" si="7"/>
        <v>23533.853239633616</v>
      </c>
      <c r="AD18" s="342">
        <f t="shared" si="7"/>
        <v>25121.492086009115</v>
      </c>
      <c r="AE18" s="342">
        <f t="shared" si="7"/>
        <v>25121.104794342449</v>
      </c>
      <c r="AF18" s="342">
        <f t="shared" si="7"/>
        <v>25120.717502675783</v>
      </c>
      <c r="AG18" s="342">
        <f t="shared" si="7"/>
        <v>25120.330211009117</v>
      </c>
      <c r="AH18" s="342">
        <f t="shared" si="7"/>
        <v>25767.213137582352</v>
      </c>
      <c r="AI18" s="342">
        <f t="shared" si="7"/>
        <v>25766.825845915686</v>
      </c>
      <c r="AJ18" s="342">
        <f t="shared" si="7"/>
        <v>25766.43855424902</v>
      </c>
      <c r="AK18" s="342">
        <f t="shared" si="7"/>
        <v>25766.051262582354</v>
      </c>
      <c r="AL18" s="342">
        <f t="shared" si="7"/>
        <v>26447.552193264873</v>
      </c>
      <c r="AM18" s="342">
        <f t="shared" si="7"/>
        <v>26447.164901598208</v>
      </c>
      <c r="AN18" s="342">
        <f t="shared" si="7"/>
        <v>26446.777609931538</v>
      </c>
      <c r="AO18" s="342">
        <f t="shared" si="7"/>
        <v>26446.390318264872</v>
      </c>
      <c r="AP18" s="342">
        <f t="shared" si="7"/>
        <v>27015.289856623756</v>
      </c>
      <c r="AQ18" s="342">
        <f t="shared" si="7"/>
        <v>27014.90256495709</v>
      </c>
      <c r="AR18" s="342">
        <f t="shared" si="7"/>
        <v>27014.515273290424</v>
      </c>
      <c r="AS18" s="342">
        <f t="shared" si="7"/>
        <v>27014.127981623758</v>
      </c>
    </row>
    <row r="19" spans="1:47" s="349" customFormat="1" ht="28.8" x14ac:dyDescent="0.3">
      <c r="A19" s="345" t="s">
        <v>243</v>
      </c>
      <c r="B19" s="346"/>
      <c r="C19" s="346"/>
      <c r="D19" s="346"/>
      <c r="E19" s="347">
        <f>B18+C18+D18+E18</f>
        <v>256.99927836249998</v>
      </c>
      <c r="F19" s="347"/>
      <c r="G19" s="347"/>
      <c r="H19" s="347"/>
      <c r="I19" s="348">
        <f>F18+G18+H18+I18</f>
        <v>50202.689936784271</v>
      </c>
      <c r="J19" s="347"/>
      <c r="K19" s="347"/>
      <c r="L19" s="347"/>
      <c r="M19" s="347">
        <f>J18+K18+L18+M18</f>
        <v>65782.781538217998</v>
      </c>
      <c r="N19" s="347"/>
      <c r="O19" s="347"/>
      <c r="P19" s="347"/>
      <c r="Q19" s="347">
        <f>N18+O18+P18+Q18</f>
        <v>76784.558202548593</v>
      </c>
      <c r="R19" s="347"/>
      <c r="S19" s="347"/>
      <c r="T19" s="347"/>
      <c r="U19" s="347">
        <f>R18+S18+T18+U18</f>
        <v>82212.62710206394</v>
      </c>
      <c r="V19" s="347"/>
      <c r="W19" s="347"/>
      <c r="X19" s="347"/>
      <c r="Y19" s="347">
        <f>V18+W18+X18+Y18</f>
        <v>87969.347602304493</v>
      </c>
      <c r="Z19" s="347"/>
      <c r="AA19" s="347"/>
      <c r="AB19" s="347"/>
      <c r="AC19" s="347">
        <f>Z18+AA18+AB18+AC18</f>
        <v>94137.736708534445</v>
      </c>
      <c r="AD19" s="347"/>
      <c r="AE19" s="347"/>
      <c r="AF19" s="347"/>
      <c r="AG19" s="347">
        <f>AD18+AE18+AF18+AG18</f>
        <v>100483.64459403646</v>
      </c>
      <c r="AH19" s="347"/>
      <c r="AI19" s="347"/>
      <c r="AJ19" s="347"/>
      <c r="AK19" s="347">
        <f>AH18+AI18+AJ18+AK18</f>
        <v>103066.52880032943</v>
      </c>
      <c r="AL19" s="347"/>
      <c r="AM19" s="347"/>
      <c r="AN19" s="347"/>
      <c r="AO19" s="347">
        <f>AL18+AM18+AN18+AO18</f>
        <v>105787.8850230595</v>
      </c>
      <c r="AP19" s="347"/>
      <c r="AQ19" s="347"/>
      <c r="AR19" s="347"/>
      <c r="AS19" s="347">
        <f>AP18+AQ18+AR18+AS18</f>
        <v>108058.83567649501</v>
      </c>
    </row>
    <row r="20" spans="1:47" ht="15.6" customHeight="1" x14ac:dyDescent="0.3"/>
    <row r="21" spans="1:47" ht="15.6" customHeight="1" x14ac:dyDescent="0.3">
      <c r="A21" s="184" t="s">
        <v>500</v>
      </c>
      <c r="B21" s="638">
        <f>('Расходы ТОР'!B4+'Расходы ТОР'!B5+'Расходы ТОР'!B6+'Расходы ТОР'!B7+'Расходы ТОР'!B8)*допущения!$C$21</f>
        <v>0</v>
      </c>
      <c r="C21" s="638">
        <f>('Расходы ТОР'!C4+'Расходы ТОР'!C5+'Расходы ТОР'!C6+'Расходы ТОР'!C7+'Расходы ТОР'!C8)*допущения!$C$21</f>
        <v>0</v>
      </c>
      <c r="D21" s="638">
        <f>('Расходы ТОР'!D4+'Расходы ТОР'!D5+'Расходы ТОР'!D6+'Расходы ТОР'!D7+'Расходы ТОР'!D8)*допущения!$C$21</f>
        <v>0</v>
      </c>
      <c r="E21" s="638">
        <f>('Расходы ТОР'!E4+'Расходы ТОР'!E5+'Расходы ТОР'!E6+'Расходы ТОР'!E7+'Расходы ТОР'!E8)*допущения!$C$21</f>
        <v>0</v>
      </c>
      <c r="F21" s="638">
        <f>'Расходы на П, строит-во, ввод'!B15+('Расходы ТОР'!F4+'Расходы ТОР'!F5+'Расходы ТОР'!F6+'Расходы ТОР'!F7+'Расходы ТОР'!F8)*допущения!$C$21</f>
        <v>7268.4152954521496</v>
      </c>
      <c r="G21" s="638">
        <f>('Расходы ТОР'!G4+'Расходы ТОР'!G5+'Расходы ТОР'!G6+'Расходы ТОР'!G7+'Расходы ТОР'!G8)*допущения!$C$21</f>
        <v>1601.7486287854817</v>
      </c>
      <c r="H21" s="638">
        <f>('Расходы ТОР'!H4+'Расходы ТОР'!H5+'Расходы ТОР'!H6+'Расходы ТОР'!H7+'Расходы ТОР'!H8)*допущения!$C$21</f>
        <v>1601.7486287854817</v>
      </c>
      <c r="I21" s="638">
        <f>('Расходы ТОР'!I4+'Расходы ТОР'!I5+'Расходы ТОР'!I6+'Расходы ТОР'!I7+'Расходы ТОР'!I8)*допущения!$C$21</f>
        <v>1601.7486287854817</v>
      </c>
      <c r="J21" s="638">
        <f>('Расходы ТОР'!J4+'Расходы ТОР'!J5+'Расходы ТОР'!J6+'Расходы ТОР'!J7+'Расходы ТОР'!J8)*допущения!$C$21</f>
        <v>1936.846326178141</v>
      </c>
      <c r="K21" s="638">
        <f>('Расходы ТОР'!K4+'Расходы ТОР'!K5+'Расходы ТОР'!K6+'Расходы ТОР'!K7+'Расходы ТОР'!K8)*допущения!$C$21</f>
        <v>1936.846326178141</v>
      </c>
      <c r="L21" s="638">
        <f>('Расходы ТОР'!L4+'Расходы ТОР'!L5+'Расходы ТОР'!L6+'Расходы ТОР'!L7+'Расходы ТОР'!L8)*допущения!$C$21</f>
        <v>1936.846326178141</v>
      </c>
      <c r="M21" s="638">
        <f>('Расходы ТОР'!M4+'Расходы ТОР'!M5+'Расходы ТОР'!M6+'Расходы ТОР'!M7+'Расходы ТОР'!M8)*допущения!$C$21</f>
        <v>1936.846326178141</v>
      </c>
      <c r="N21" s="638">
        <f>('Расходы ТОР'!N4+'Расходы ТОР'!N5+'Расходы ТОР'!N6+'Расходы ТОР'!N7+'Расходы ТОР'!N8)*допущения!$C$21</f>
        <v>2302.3862734657691</v>
      </c>
      <c r="O21" s="638">
        <f>('Расходы ТОР'!O4+'Расходы ТОР'!O5+'Расходы ТОР'!O6+'Расходы ТОР'!O7+'Расходы ТОР'!O8)*допущения!$C$21</f>
        <v>2302.3862734657691</v>
      </c>
      <c r="P21" s="638">
        <f>('Расходы ТОР'!P4+'Расходы ТОР'!P5+'Расходы ТОР'!P6+'Расходы ТОР'!P7+'Расходы ТОР'!P8)*допущения!$C$21</f>
        <v>2302.3862734657691</v>
      </c>
      <c r="Q21" s="638">
        <f>('Расходы ТОР'!Q4+'Расходы ТОР'!Q5+'Расходы ТОР'!Q6+'Расходы ТОР'!Q7+'Расходы ТОР'!Q8)*допущения!$C$21</f>
        <v>2302.3862734657691</v>
      </c>
      <c r="R21" s="638">
        <f>('Расходы ТОР'!R4+'Расходы ТОР'!R5+'Расходы ТОР'!R6+'Расходы ТОР'!R7+'Расходы ТОР'!R8)*допущения!$C$21</f>
        <v>2439.6983189790894</v>
      </c>
      <c r="S21" s="638">
        <f>('Расходы ТОР'!S4+'Расходы ТОР'!S5+'Расходы ТОР'!S6+'Расходы ТОР'!S7+'Расходы ТОР'!S8)*допущения!$C$21</f>
        <v>2439.6983189790894</v>
      </c>
      <c r="T21" s="638">
        <f>('Расходы ТОР'!T4+'Расходы ТОР'!T5+'Расходы ТОР'!T6+'Расходы ТОР'!T7+'Расходы ТОР'!T8)*допущения!$C$21</f>
        <v>2439.6983189790894</v>
      </c>
      <c r="U21" s="638">
        <f>('Расходы ТОР'!U4+'Расходы ТОР'!U5+'Расходы ТОР'!U6+'Расходы ТОР'!U7+'Расходы ТОР'!U8)*допущения!$C$21</f>
        <v>2439.6983189790894</v>
      </c>
      <c r="V21" s="638">
        <f>('Расходы ТОР'!V4+'Расходы ТОР'!V5+'Расходы ТОР'!V6+'Расходы ТОР'!V7+'Расходы ТОР'!V8)*допущения!$C$21</f>
        <v>2577.0214302438098</v>
      </c>
      <c r="W21" s="638">
        <f>('Расходы ТОР'!W4+'Расходы ТОР'!W5+'Расходы ТОР'!W6+'Расходы ТОР'!W7+'Расходы ТОР'!W8)*допущения!$C$21</f>
        <v>2577.0214302438098</v>
      </c>
      <c r="X21" s="638">
        <f>('Расходы ТОР'!X4+'Расходы ТОР'!X5+'Расходы ТОР'!X6+'Расходы ТОР'!X7+'Расходы ТОР'!X8)*допущения!$C$21</f>
        <v>2577.0214302438098</v>
      </c>
      <c r="Y21" s="638">
        <f>('Расходы ТОР'!Y4+'Расходы ТОР'!Y5+'Расходы ТОР'!Y6+'Расходы ТОР'!Y7+'Расходы ТОР'!Y8)*допущения!$C$21</f>
        <v>2577.0214302438098</v>
      </c>
      <c r="Z21" s="638">
        <f>('Расходы ТОР'!Z4+'Расходы ТОР'!Z5+'Расходы ТОР'!Z6+'Расходы ТОР'!Z7+'Расходы ТОР'!Z8)*допущения!$C$21</f>
        <v>2714.3559392324701</v>
      </c>
      <c r="AA21" s="638">
        <f>('Расходы ТОР'!AA4+'Расходы ТОР'!AA5+'Расходы ТОР'!AA6+'Расходы ТОР'!AA7+'Расходы ТОР'!AA8)*допущения!$C$21</f>
        <v>2714.3559392324701</v>
      </c>
      <c r="AB21" s="638">
        <f>('Расходы ТОР'!AB4+'Расходы ТОР'!AB5+'Расходы ТОР'!AB6+'Расходы ТОР'!AB7+'Расходы ТОР'!AB8)*допущения!$C$21</f>
        <v>2714.3559392324701</v>
      </c>
      <c r="AC21" s="638">
        <f>('Расходы ТОР'!AC4+'Расходы ТОР'!AC5+'Расходы ТОР'!AC6+'Расходы ТОР'!AC7+'Расходы ТОР'!AC8)*допущения!$C$21</f>
        <v>2714.3559392324701</v>
      </c>
      <c r="AD21" s="638">
        <f>('Расходы ТОР'!AD4+'Расходы ТОР'!AD5+'Расходы ТОР'!AD6+'Расходы ТОР'!AD7+'Расходы ТОР'!AD8)*допущения!$C$21</f>
        <v>2851.7577116563598</v>
      </c>
      <c r="AE21" s="638">
        <f>('Расходы ТОР'!AE4+'Расходы ТОР'!AE5+'Расходы ТОР'!AE6+'Расходы ТОР'!AE7+'Расходы ТОР'!AE8)*допущения!$C$21</f>
        <v>2851.7577116563598</v>
      </c>
      <c r="AF21" s="638">
        <f>('Расходы ТОР'!AF4+'Расходы ТОР'!AF5+'Расходы ТОР'!AF6+'Расходы ТОР'!AF7+'Расходы ТОР'!AF8)*допущения!$C$21</f>
        <v>2851.7577116563598</v>
      </c>
      <c r="AG21" s="638">
        <f>('Расходы ТОР'!AG4+'Расходы ТОР'!AG5+'Расходы ТОР'!AG6+'Расходы ТОР'!AG7+'Расходы ТОР'!AG8)*допущения!$C$21</f>
        <v>2851.7577116563598</v>
      </c>
      <c r="AH21" s="638">
        <f>('Расходы ТОР'!AH4+'Расходы ТОР'!AH5+'Расходы ТОР'!AH6+'Расходы ТОР'!AH7+'Расходы ТОР'!AH8)*допущения!$C$21</f>
        <v>2852.1745307260339</v>
      </c>
      <c r="AI21" s="638">
        <f>('Расходы ТОР'!AI4+'Расходы ТОР'!AI5+'Расходы ТОР'!AI6+'Расходы ТОР'!AI7+'Расходы ТОР'!AI8)*допущения!$C$21</f>
        <v>2852.1745307260339</v>
      </c>
      <c r="AJ21" s="638">
        <f>('Расходы ТОР'!AJ4+'Расходы ТОР'!AJ5+'Расходы ТОР'!AJ6+'Расходы ТОР'!AJ7+'Расходы ТОР'!AJ8)*допущения!$C$21</f>
        <v>2852.1745307260339</v>
      </c>
      <c r="AK21" s="638">
        <f>('Расходы ТОР'!AK4+'Расходы ТОР'!AK5+'Расходы ТОР'!AK6+'Расходы ТОР'!AK7+'Расходы ТОР'!AK8)*допущения!$C$21</f>
        <v>2852.1745307260339</v>
      </c>
      <c r="AL21" s="638">
        <f>('Расходы ТОР'!AL4+'Расходы ТОР'!AL5+'Расходы ТОР'!AL6+'Расходы ТОР'!AL7+'Расходы ТОР'!AL8)*допущения!$C$21</f>
        <v>2852.6038543677987</v>
      </c>
      <c r="AM21" s="638">
        <f>('Расходы ТОР'!AM4+'Расходы ТОР'!AM5+'Расходы ТОР'!AM6+'Расходы ТОР'!AM7+'Расходы ТОР'!AM8)*допущения!$C$21</f>
        <v>2852.6038543677987</v>
      </c>
      <c r="AN21" s="638">
        <f>('Расходы ТОР'!AN4+'Расходы ТОР'!AN5+'Расходы ТОР'!AN6+'Расходы ТОР'!AN7+'Расходы ТОР'!AN8)*допущения!$C$21</f>
        <v>2852.6038543677987</v>
      </c>
      <c r="AO21" s="638">
        <f>('Расходы ТОР'!AO4+'Расходы ТОР'!AO5+'Расходы ТОР'!AO6+'Расходы ТОР'!AO7+'Расходы ТОР'!AO8)*допущения!$C$21</f>
        <v>2852.6038543677987</v>
      </c>
      <c r="AP21" s="638">
        <f>('Расходы ТОР'!AP4+'Расходы ТОР'!AP5+'Расходы ТОР'!AP6+'Расходы ТОР'!AP7+'Расходы ТОР'!AP8)*допущения!$C$21</f>
        <v>2852.6038543677987</v>
      </c>
      <c r="AQ21" s="638">
        <f>('Расходы ТОР'!AQ4+'Расходы ТОР'!AQ5+'Расходы ТОР'!AQ6+'Расходы ТОР'!AQ7+'Расходы ТОР'!AQ8)*допущения!$C$21</f>
        <v>2852.6038543677987</v>
      </c>
      <c r="AR21" s="638">
        <f>('Расходы ТОР'!AR4+'Расходы ТОР'!AR5+'Расходы ТОР'!AR6+'Расходы ТОР'!AR7+'Расходы ТОР'!AR8)*допущения!$C$21</f>
        <v>2852.6038543677987</v>
      </c>
      <c r="AS21" s="638">
        <f>('Расходы ТОР'!AS4+'Расходы ТОР'!AS5+'Расходы ТОР'!AS6+'Расходы ТОР'!AS7+'Расходы ТОР'!AS8)*допущения!$C$21</f>
        <v>2852.6038543677987</v>
      </c>
    </row>
    <row r="22" spans="1:47" ht="15.6" customHeight="1" x14ac:dyDescent="0.3">
      <c r="A22" s="184" t="s">
        <v>501</v>
      </c>
      <c r="B22" s="638">
        <f>'выручка по кв и годам'!D2*допущения!$C$21</f>
        <v>0</v>
      </c>
      <c r="C22" s="638">
        <f>'выручка по кв и годам'!E2*допущения!$C$21</f>
        <v>0</v>
      </c>
      <c r="D22" s="638">
        <f>'выручка по кв и годам'!F2*допущения!$C$21</f>
        <v>0</v>
      </c>
      <c r="E22" s="638">
        <f>'выручка по кв и годам'!G2*допущения!$C$21</f>
        <v>0</v>
      </c>
      <c r="F22" s="638">
        <f>'выручка по кв и годам'!H2*допущения!$C$21</f>
        <v>3241.0560000000005</v>
      </c>
      <c r="G22" s="638">
        <f>'выручка по кв и годам'!I2*допущения!$C$21</f>
        <v>3241.0560000000005</v>
      </c>
      <c r="H22" s="638">
        <f>'выручка по кв и годам'!J2*допущения!$C$21</f>
        <v>3241.0560000000005</v>
      </c>
      <c r="I22" s="638">
        <f>'выручка по кв и годам'!K2*допущения!$C$21</f>
        <v>3241.0560000000005</v>
      </c>
      <c r="J22" s="638">
        <f>'выручка по кв и годам'!L2*допущения!$C$21</f>
        <v>4206.7584000000015</v>
      </c>
      <c r="K22" s="638">
        <f>'выручка по кв и годам'!M2*допущения!$C$21</f>
        <v>4206.7584000000015</v>
      </c>
      <c r="L22" s="638">
        <f>'выручка по кв и годам'!N2*допущения!$C$21</f>
        <v>4206.7584000000015</v>
      </c>
      <c r="M22" s="638">
        <f>'выручка по кв и годам'!O2*допущения!$C$21</f>
        <v>4206.7584000000015</v>
      </c>
      <c r="N22" s="638">
        <f>'выручка по кв и годам'!P2*допущения!$C$21</f>
        <v>5350.9966848000013</v>
      </c>
      <c r="O22" s="638">
        <f>'выручка по кв и годам'!Q2*допущения!$C$21</f>
        <v>5350.9966848000013</v>
      </c>
      <c r="P22" s="638">
        <f>'выручка по кв и годам'!R2*допущения!$C$21</f>
        <v>5350.9966848000013</v>
      </c>
      <c r="Q22" s="638">
        <f>'выручка по кв и годам'!S2*допущения!$C$21</f>
        <v>5350.9966848000013</v>
      </c>
      <c r="R22" s="638">
        <f>'выручка по кв и годам'!T2*допущения!$C$21</f>
        <v>6026.5600162560013</v>
      </c>
      <c r="S22" s="638">
        <f>'выручка по кв и годам'!U2*допущения!$C$21</f>
        <v>6026.5600162560013</v>
      </c>
      <c r="T22" s="638">
        <f>'выручка по кв и годам'!V2*допущения!$C$21</f>
        <v>6026.5600162560013</v>
      </c>
      <c r="U22" s="638">
        <f>'выручка по кв и годам'!W2*допущения!$C$21</f>
        <v>6026.5600162560013</v>
      </c>
      <c r="V22" s="638">
        <f>'выручка по кв и годам'!X2*допущения!$C$21</f>
        <v>6763.9273594214437</v>
      </c>
      <c r="W22" s="638">
        <f>'выручка по кв и годам'!Y2*допущения!$C$21</f>
        <v>6763.9273594214437</v>
      </c>
      <c r="X22" s="638">
        <f>'выручка по кв и годам'!Z2*допущения!$C$21</f>
        <v>6763.9273594214437</v>
      </c>
      <c r="Y22" s="638">
        <f>'выручка по кв и годам'!AA2*допущения!$C$21</f>
        <v>6763.9273594214437</v>
      </c>
      <c r="Z22" s="638">
        <f>'выручка по кв и годам'!AB2*допущения!$C$21</f>
        <v>7568.083167708216</v>
      </c>
      <c r="AA22" s="638">
        <f>'выручка по кв и годам'!AC2*допущения!$C$21</f>
        <v>7568.083167708216</v>
      </c>
      <c r="AB22" s="638">
        <f>'выручка по кв и годам'!AD2*допущения!$C$21</f>
        <v>7568.083167708216</v>
      </c>
      <c r="AC22" s="638">
        <f>'выручка по кв и годам'!AE2*допущения!$C$21</f>
        <v>7568.083167708216</v>
      </c>
      <c r="AD22" s="638">
        <f>'выручка по кв и годам'!AF2*допущения!$C$21</f>
        <v>8444.3875344954849</v>
      </c>
      <c r="AE22" s="638">
        <f>'выручка по кв и годам'!AG2*допущения!$C$21</f>
        <v>8444.3875344954849</v>
      </c>
      <c r="AF22" s="638">
        <f>'выручка по кв и годам'!AH2*допущения!$C$21</f>
        <v>8444.3875344954849</v>
      </c>
      <c r="AG22" s="638">
        <f>'выручка по кв и годам'!AI2*допущения!$C$21</f>
        <v>8444.3875344954849</v>
      </c>
      <c r="AH22" s="638">
        <f>'выручка по кв и годам'!AJ2*допущения!$C$21</f>
        <v>8951.0507865652144</v>
      </c>
      <c r="AI22" s="638">
        <f>'выручка по кв и годам'!AK2*допущения!$C$21</f>
        <v>8951.0507865652144</v>
      </c>
      <c r="AJ22" s="638">
        <f>'выручка по кв и годам'!AL2*допущения!$C$21</f>
        <v>8951.0507865652144</v>
      </c>
      <c r="AK22" s="638">
        <f>'выручка по кв и годам'!AM2*допущения!$C$21</f>
        <v>8951.0507865652144</v>
      </c>
      <c r="AL22" s="638">
        <f>'выручка по кв и годам'!AN2*допущения!$C$21</f>
        <v>9488.1138337591237</v>
      </c>
      <c r="AM22" s="638">
        <f>'выручка по кв и годам'!AO2*допущения!$C$21</f>
        <v>9488.1138337591237</v>
      </c>
      <c r="AN22" s="638">
        <f>'выручка по кв и годам'!AP2*допущения!$C$21</f>
        <v>9488.1138337591237</v>
      </c>
      <c r="AO22" s="638">
        <f>'выручка по кв и годам'!AQ2*допущения!$C$21</f>
        <v>9488.1138337591237</v>
      </c>
      <c r="AP22" s="638">
        <f>'выручка по кв и годам'!AR2*допущения!$C$21</f>
        <v>10057.400663784672</v>
      </c>
      <c r="AQ22" s="638">
        <f>'выручка по кв и годам'!AS2*допущения!$C$21</f>
        <v>10057.400663784672</v>
      </c>
      <c r="AR22" s="638">
        <f>'выручка по кв и годам'!AT2*допущения!$C$21</f>
        <v>10057.400663784672</v>
      </c>
      <c r="AS22" s="638">
        <f>'выручка по кв и годам'!AU2*допущения!$C$21</f>
        <v>10057.400663784672</v>
      </c>
    </row>
    <row r="23" spans="1:47" ht="15.6" customHeight="1" x14ac:dyDescent="0.3">
      <c r="A23" s="184" t="s">
        <v>502</v>
      </c>
      <c r="B23" s="638">
        <f>B22-B21</f>
        <v>0</v>
      </c>
      <c r="C23" s="638">
        <f t="shared" ref="C23:AS23" si="8">C22-C21</f>
        <v>0</v>
      </c>
      <c r="D23" s="638">
        <f t="shared" si="8"/>
        <v>0</v>
      </c>
      <c r="E23" s="638">
        <f t="shared" si="8"/>
        <v>0</v>
      </c>
      <c r="F23" s="638">
        <f t="shared" si="8"/>
        <v>-4027.3592954521491</v>
      </c>
      <c r="G23" s="638">
        <f t="shared" si="8"/>
        <v>1639.3073712145188</v>
      </c>
      <c r="H23" s="638">
        <f t="shared" si="8"/>
        <v>1639.3073712145188</v>
      </c>
      <c r="I23" s="638">
        <f t="shared" si="8"/>
        <v>1639.3073712145188</v>
      </c>
      <c r="J23" s="638">
        <f t="shared" si="8"/>
        <v>2269.9120738218608</v>
      </c>
      <c r="K23" s="638">
        <f t="shared" si="8"/>
        <v>2269.9120738218608</v>
      </c>
      <c r="L23" s="638">
        <f t="shared" si="8"/>
        <v>2269.9120738218608</v>
      </c>
      <c r="M23" s="638">
        <f t="shared" si="8"/>
        <v>2269.9120738218608</v>
      </c>
      <c r="N23" s="638">
        <f t="shared" si="8"/>
        <v>3048.6104113342321</v>
      </c>
      <c r="O23" s="638">
        <f t="shared" si="8"/>
        <v>3048.6104113342321</v>
      </c>
      <c r="P23" s="638">
        <f t="shared" si="8"/>
        <v>3048.6104113342321</v>
      </c>
      <c r="Q23" s="638">
        <f t="shared" si="8"/>
        <v>3048.6104113342321</v>
      </c>
      <c r="R23" s="638">
        <f t="shared" si="8"/>
        <v>3586.8616972769119</v>
      </c>
      <c r="S23" s="638">
        <f t="shared" si="8"/>
        <v>3586.8616972769119</v>
      </c>
      <c r="T23" s="638">
        <f t="shared" si="8"/>
        <v>3586.8616972769119</v>
      </c>
      <c r="U23" s="638">
        <f t="shared" si="8"/>
        <v>3586.8616972769119</v>
      </c>
      <c r="V23" s="638">
        <f t="shared" si="8"/>
        <v>4186.9059291776339</v>
      </c>
      <c r="W23" s="638">
        <f t="shared" si="8"/>
        <v>4186.9059291776339</v>
      </c>
      <c r="X23" s="638">
        <f t="shared" si="8"/>
        <v>4186.9059291776339</v>
      </c>
      <c r="Y23" s="638">
        <f t="shared" si="8"/>
        <v>4186.9059291776339</v>
      </c>
      <c r="Z23" s="638">
        <f t="shared" si="8"/>
        <v>4853.7272284757455</v>
      </c>
      <c r="AA23" s="638">
        <f t="shared" si="8"/>
        <v>4853.7272284757455</v>
      </c>
      <c r="AB23" s="638">
        <f t="shared" si="8"/>
        <v>4853.7272284757455</v>
      </c>
      <c r="AC23" s="638">
        <f t="shared" si="8"/>
        <v>4853.7272284757455</v>
      </c>
      <c r="AD23" s="638">
        <f t="shared" si="8"/>
        <v>5592.6298228391252</v>
      </c>
      <c r="AE23" s="638">
        <f t="shared" si="8"/>
        <v>5592.6298228391252</v>
      </c>
      <c r="AF23" s="638">
        <f t="shared" si="8"/>
        <v>5592.6298228391252</v>
      </c>
      <c r="AG23" s="638">
        <f t="shared" si="8"/>
        <v>5592.6298228391252</v>
      </c>
      <c r="AH23" s="638">
        <f t="shared" si="8"/>
        <v>6098.8762558391809</v>
      </c>
      <c r="AI23" s="638">
        <f t="shared" si="8"/>
        <v>6098.8762558391809</v>
      </c>
      <c r="AJ23" s="638">
        <f t="shared" si="8"/>
        <v>6098.8762558391809</v>
      </c>
      <c r="AK23" s="638">
        <f t="shared" si="8"/>
        <v>6098.8762558391809</v>
      </c>
      <c r="AL23" s="638">
        <f t="shared" si="8"/>
        <v>6635.509979391325</v>
      </c>
      <c r="AM23" s="638">
        <f t="shared" si="8"/>
        <v>6635.509979391325</v>
      </c>
      <c r="AN23" s="638">
        <f t="shared" si="8"/>
        <v>6635.509979391325</v>
      </c>
      <c r="AO23" s="638">
        <f t="shared" si="8"/>
        <v>6635.509979391325</v>
      </c>
      <c r="AP23" s="638">
        <f t="shared" si="8"/>
        <v>7204.7968094168737</v>
      </c>
      <c r="AQ23" s="638">
        <f t="shared" si="8"/>
        <v>7204.7968094168737</v>
      </c>
      <c r="AR23" s="638">
        <f t="shared" si="8"/>
        <v>7204.7968094168737</v>
      </c>
      <c r="AS23" s="638">
        <f t="shared" si="8"/>
        <v>7204.7968094168737</v>
      </c>
    </row>
    <row r="24" spans="1:47" x14ac:dyDescent="0.3">
      <c r="M24" s="222"/>
      <c r="N24" s="222"/>
      <c r="O24" s="222"/>
      <c r="P24" s="222"/>
    </row>
    <row r="25" spans="1:47" ht="27.6" x14ac:dyDescent="0.3">
      <c r="A25" s="350" t="s">
        <v>232</v>
      </c>
      <c r="B25" s="351" t="s">
        <v>38</v>
      </c>
      <c r="C25" s="351" t="s">
        <v>39</v>
      </c>
      <c r="D25" s="351" t="s">
        <v>40</v>
      </c>
      <c r="E25" s="351" t="s">
        <v>41</v>
      </c>
      <c r="F25" s="351" t="s">
        <v>42</v>
      </c>
      <c r="G25" s="351" t="s">
        <v>43</v>
      </c>
      <c r="H25" s="351" t="s">
        <v>44</v>
      </c>
      <c r="I25" s="351" t="s">
        <v>45</v>
      </c>
      <c r="J25" s="351" t="s">
        <v>46</v>
      </c>
      <c r="K25" s="351" t="s">
        <v>47</v>
      </c>
      <c r="L25" s="351" t="s">
        <v>48</v>
      </c>
      <c r="M25" s="222"/>
      <c r="N25" s="222"/>
      <c r="O25" s="222"/>
      <c r="P25" s="222"/>
    </row>
    <row r="26" spans="1:47" ht="27.6" x14ac:dyDescent="0.3">
      <c r="A26" s="223" t="str">
        <f t="shared" ref="A26:A42" si="9">A2</f>
        <v>Арендная плата за зем. Участок</v>
      </c>
      <c r="B26" s="224">
        <f t="shared" ref="B26:B42" si="10">SUM(B2:E2)</f>
        <v>3.2492783625000001</v>
      </c>
      <c r="C26" s="225">
        <f>F2+G2+H2+I2</f>
        <v>6.4985567250000003</v>
      </c>
      <c r="D26" s="225">
        <f t="shared" ref="D26:D36" si="11">J2+K2+L2+M2</f>
        <v>6.4985567250000003</v>
      </c>
      <c r="E26" s="225">
        <f>N2+O2+P2+Q2</f>
        <v>6.4985567250000003</v>
      </c>
      <c r="F26" s="225">
        <f>R2+S2+T2+U2</f>
        <v>6.4985567250000003</v>
      </c>
      <c r="G26" s="225">
        <f t="shared" ref="G26:G36" si="12">V2+W2+X2+Y2</f>
        <v>6.4985567250000003</v>
      </c>
      <c r="H26" s="225">
        <f t="shared" ref="H26:H36" si="13">Z2+AA2+AB2+AC2</f>
        <v>6.4985567250000003</v>
      </c>
      <c r="I26" s="226">
        <f t="shared" ref="I26:I36" si="14">AD2+AE2+AF2+AG2</f>
        <v>6.4985567250000003</v>
      </c>
      <c r="J26" s="226">
        <f t="shared" ref="J26:J36" si="15">AH2+AI2+AJ2+AK2</f>
        <v>6.4985567250000003</v>
      </c>
      <c r="K26" s="226">
        <f t="shared" ref="K26:K36" si="16">AL2+AM2+AN2+AO2</f>
        <v>6.4985567250000003</v>
      </c>
      <c r="L26" s="226">
        <f t="shared" ref="L26:L36" si="17">AP2+AQ2+AR2+AS2</f>
        <v>6.4985567250000003</v>
      </c>
      <c r="M26" s="227"/>
      <c r="N26" s="227"/>
      <c r="O26" s="227"/>
      <c r="P26" s="227"/>
      <c r="AB26" s="228"/>
      <c r="AC26" s="228"/>
      <c r="AD26" s="228"/>
      <c r="AE26" s="228"/>
      <c r="AF26" s="228"/>
      <c r="AG26" s="228"/>
      <c r="AH26" s="228"/>
      <c r="AI26" s="228"/>
      <c r="AJ26" s="213"/>
      <c r="AK26" s="213"/>
      <c r="AL26" s="213"/>
      <c r="AM26" s="213"/>
      <c r="AN26" s="213"/>
      <c r="AO26" s="213"/>
      <c r="AP26" s="213"/>
      <c r="AQ26" s="213"/>
      <c r="AR26" s="213"/>
      <c r="AS26" s="213"/>
      <c r="AT26" s="213"/>
      <c r="AU26" s="213"/>
    </row>
    <row r="27" spans="1:47" ht="27.6" x14ac:dyDescent="0.3">
      <c r="A27" s="223" t="str">
        <f t="shared" si="9"/>
        <v>Заработная плата и страховые взносы</v>
      </c>
      <c r="B27" s="224">
        <f t="shared" si="10"/>
        <v>0</v>
      </c>
      <c r="C27" s="225">
        <f>F3+G3+H3+I3</f>
        <v>15452.64</v>
      </c>
      <c r="D27" s="225">
        <f t="shared" si="11"/>
        <v>15916.219200000001</v>
      </c>
      <c r="E27" s="225">
        <f>N3+O3+P3+Q3</f>
        <v>16393.705776000003</v>
      </c>
      <c r="F27" s="229">
        <f>R3+S3+T3+U3</f>
        <v>16885.516949280005</v>
      </c>
      <c r="G27" s="225">
        <f t="shared" si="12"/>
        <v>17392.082457758399</v>
      </c>
      <c r="H27" s="225">
        <f t="shared" si="13"/>
        <v>17913.844931491156</v>
      </c>
      <c r="I27" s="230">
        <f t="shared" si="14"/>
        <v>18525.291985530319</v>
      </c>
      <c r="J27" s="226">
        <f t="shared" si="15"/>
        <v>19081.050745096229</v>
      </c>
      <c r="K27" s="226">
        <f t="shared" si="16"/>
        <v>19653.482267449112</v>
      </c>
      <c r="L27" s="226">
        <f t="shared" si="17"/>
        <v>19653.482267449112</v>
      </c>
      <c r="M27" s="227"/>
      <c r="N27" s="227"/>
      <c r="O27" s="227"/>
      <c r="P27" s="227"/>
    </row>
    <row r="28" spans="1:47" ht="51" customHeight="1" x14ac:dyDescent="0.3">
      <c r="A28" s="223" t="str">
        <f t="shared" si="9"/>
        <v>Расходы на сырье (глина)</v>
      </c>
      <c r="B28" s="224">
        <f t="shared" si="10"/>
        <v>0</v>
      </c>
      <c r="C28" s="225">
        <f>SUM(F4:I4)</f>
        <v>20150.799307911911</v>
      </c>
      <c r="D28" s="225">
        <f t="shared" si="11"/>
        <v>24674.44813213704</v>
      </c>
      <c r="E28" s="225">
        <f>SUM(N4:Q4)</f>
        <v>29609.337758564448</v>
      </c>
      <c r="F28" s="225">
        <f>SUM(R4:U4)</f>
        <v>31459.921368474723</v>
      </c>
      <c r="G28" s="225">
        <f t="shared" si="12"/>
        <v>33310.504978385012</v>
      </c>
      <c r="H28" s="225">
        <f t="shared" si="13"/>
        <v>35161.088588295293</v>
      </c>
      <c r="I28" s="226">
        <f t="shared" si="14"/>
        <v>37011.672198205568</v>
      </c>
      <c r="J28" s="226">
        <f t="shared" si="15"/>
        <v>37011.672198205568</v>
      </c>
      <c r="K28" s="226">
        <f t="shared" si="16"/>
        <v>37011.672198205561</v>
      </c>
      <c r="L28" s="226">
        <f t="shared" si="17"/>
        <v>37011.672198205561</v>
      </c>
      <c r="M28" s="227"/>
      <c r="N28" s="227"/>
      <c r="O28" s="227"/>
      <c r="P28" s="227"/>
      <c r="AC28" s="194"/>
      <c r="AD28" s="194"/>
      <c r="AE28" s="194"/>
      <c r="AF28" s="194"/>
      <c r="AG28" s="194"/>
      <c r="AH28" s="194"/>
      <c r="AI28" s="194"/>
    </row>
    <row r="29" spans="1:47" ht="41.4" x14ac:dyDescent="0.3">
      <c r="A29" s="223" t="str">
        <f t="shared" si="9"/>
        <v>Расходы на спецодежду, средства защиты</v>
      </c>
      <c r="B29" s="224">
        <f t="shared" si="10"/>
        <v>0</v>
      </c>
      <c r="C29" s="225">
        <f t="shared" ref="C29:C36" si="18">F5+G5+H5+I5</f>
        <v>231.78959999999998</v>
      </c>
      <c r="D29" s="225">
        <f t="shared" si="11"/>
        <v>238.74328800000001</v>
      </c>
      <c r="E29" s="225">
        <f t="shared" ref="E29:E36" si="19">N5+O5+P5+Q5</f>
        <v>245.90558664000002</v>
      </c>
      <c r="F29" s="225">
        <f t="shared" ref="F29:F36" si="20">R5+S5+T5+U5</f>
        <v>253.28275423920007</v>
      </c>
      <c r="G29" s="225">
        <f t="shared" si="12"/>
        <v>260.88123686637596</v>
      </c>
      <c r="H29" s="225">
        <f t="shared" si="13"/>
        <v>268.70767397236733</v>
      </c>
      <c r="I29" s="226">
        <f t="shared" si="14"/>
        <v>277.8793797829548</v>
      </c>
      <c r="J29" s="226">
        <f t="shared" si="15"/>
        <v>286.21576117644344</v>
      </c>
      <c r="K29" s="226">
        <f t="shared" si="16"/>
        <v>294.80223401173669</v>
      </c>
      <c r="L29" s="226">
        <f t="shared" si="17"/>
        <v>294.80223401173669</v>
      </c>
      <c r="M29" s="227"/>
      <c r="N29" s="227"/>
      <c r="O29" s="227"/>
      <c r="P29" s="227"/>
      <c r="AC29" s="194"/>
      <c r="AD29" s="194"/>
      <c r="AE29" s="194"/>
      <c r="AF29" s="194"/>
      <c r="AG29" s="194"/>
      <c r="AH29" s="194"/>
      <c r="AI29" s="194"/>
    </row>
    <row r="30" spans="1:47" x14ac:dyDescent="0.3">
      <c r="A30" s="223" t="str">
        <f t="shared" si="9"/>
        <v xml:space="preserve">Расходы на ДТ </v>
      </c>
      <c r="B30" s="224">
        <f t="shared" si="10"/>
        <v>0</v>
      </c>
      <c r="C30" s="225">
        <f t="shared" si="18"/>
        <v>1620</v>
      </c>
      <c r="D30" s="225">
        <f t="shared" si="11"/>
        <v>1620</v>
      </c>
      <c r="E30" s="225">
        <f t="shared" si="19"/>
        <v>1620</v>
      </c>
      <c r="F30" s="225">
        <f t="shared" si="20"/>
        <v>1620</v>
      </c>
      <c r="G30" s="225">
        <f t="shared" si="12"/>
        <v>1620</v>
      </c>
      <c r="H30" s="225">
        <f t="shared" si="13"/>
        <v>1620</v>
      </c>
      <c r="I30" s="226">
        <f t="shared" si="14"/>
        <v>1620</v>
      </c>
      <c r="J30" s="226">
        <f t="shared" si="15"/>
        <v>1620</v>
      </c>
      <c r="K30" s="226">
        <f t="shared" si="16"/>
        <v>1620</v>
      </c>
      <c r="L30" s="226">
        <f t="shared" si="17"/>
        <v>1620</v>
      </c>
      <c r="M30" s="227"/>
      <c r="N30" s="227"/>
      <c r="O30" s="227"/>
      <c r="P30" s="227"/>
      <c r="AC30" s="194"/>
      <c r="AD30" s="194"/>
      <c r="AE30" s="194"/>
      <c r="AF30" s="194"/>
      <c r="AG30" s="194"/>
      <c r="AH30" s="194"/>
      <c r="AI30" s="194"/>
    </row>
    <row r="31" spans="1:47" ht="69" x14ac:dyDescent="0.3">
      <c r="A31" s="223" t="str">
        <f t="shared" si="9"/>
        <v>Коммунальные расходы (уголь для технологических целей, вода, вывоз ТКО, эл./эн.)</v>
      </c>
      <c r="B31" s="224">
        <f t="shared" si="10"/>
        <v>0</v>
      </c>
      <c r="C31" s="225">
        <f t="shared" si="18"/>
        <v>9672.3836677977179</v>
      </c>
      <c r="D31" s="225">
        <f t="shared" si="11"/>
        <v>11843.735103425777</v>
      </c>
      <c r="E31" s="225">
        <f t="shared" si="19"/>
        <v>14212.482124110933</v>
      </c>
      <c r="F31" s="225">
        <f t="shared" si="20"/>
        <v>15100.762256867867</v>
      </c>
      <c r="G31" s="225">
        <f t="shared" si="12"/>
        <v>15989.042389624805</v>
      </c>
      <c r="H31" s="225">
        <f t="shared" si="13"/>
        <v>16877.322522381739</v>
      </c>
      <c r="I31" s="226">
        <f t="shared" si="14"/>
        <v>17765.602655138671</v>
      </c>
      <c r="J31" s="226">
        <f t="shared" si="15"/>
        <v>17765.602655138671</v>
      </c>
      <c r="K31" s="226">
        <f t="shared" si="16"/>
        <v>17765.602655138668</v>
      </c>
      <c r="L31" s="226">
        <f t="shared" si="17"/>
        <v>17765.602655138668</v>
      </c>
      <c r="M31" s="227"/>
      <c r="N31" s="227"/>
      <c r="O31" s="227"/>
      <c r="P31" s="227"/>
      <c r="AC31" s="194"/>
      <c r="AD31" s="194"/>
      <c r="AE31" s="194"/>
      <c r="AF31" s="194"/>
      <c r="AG31" s="194"/>
      <c r="AH31" s="194"/>
      <c r="AI31" s="194"/>
    </row>
    <row r="32" spans="1:47" ht="72" customHeight="1" x14ac:dyDescent="0.3">
      <c r="A32" s="223" t="str">
        <f t="shared" si="9"/>
        <v>Запасные части, комлектующие, обслуживание оборудования</v>
      </c>
      <c r="B32" s="224">
        <f t="shared" si="10"/>
        <v>0</v>
      </c>
      <c r="C32" s="224">
        <f t="shared" si="18"/>
        <v>360</v>
      </c>
      <c r="D32" s="224">
        <f t="shared" si="11"/>
        <v>360</v>
      </c>
      <c r="E32" s="224">
        <f t="shared" si="19"/>
        <v>360</v>
      </c>
      <c r="F32" s="224">
        <f t="shared" si="20"/>
        <v>360</v>
      </c>
      <c r="G32" s="224">
        <f t="shared" si="12"/>
        <v>360</v>
      </c>
      <c r="H32" s="224">
        <f t="shared" si="13"/>
        <v>360</v>
      </c>
      <c r="I32" s="231">
        <f t="shared" si="14"/>
        <v>360</v>
      </c>
      <c r="J32" s="231">
        <f t="shared" si="15"/>
        <v>360</v>
      </c>
      <c r="K32" s="231">
        <f t="shared" si="16"/>
        <v>360</v>
      </c>
      <c r="L32" s="231">
        <f t="shared" si="17"/>
        <v>360</v>
      </c>
      <c r="M32" s="232"/>
      <c r="N32" s="232"/>
      <c r="O32" s="232"/>
      <c r="P32" s="232"/>
      <c r="AC32" s="194"/>
      <c r="AD32" s="194"/>
      <c r="AE32" s="194"/>
      <c r="AF32" s="194"/>
      <c r="AG32" s="194"/>
      <c r="AH32" s="194"/>
      <c r="AI32" s="194"/>
    </row>
    <row r="33" spans="1:35" ht="27.6" x14ac:dyDescent="0.3">
      <c r="A33" s="223" t="str">
        <f t="shared" si="9"/>
        <v>Расходы на продвижение</v>
      </c>
      <c r="B33" s="224">
        <f t="shared" si="10"/>
        <v>0</v>
      </c>
      <c r="C33" s="225">
        <f t="shared" si="18"/>
        <v>400</v>
      </c>
      <c r="D33" s="225">
        <f t="shared" si="11"/>
        <v>400</v>
      </c>
      <c r="E33" s="225">
        <f t="shared" si="19"/>
        <v>400</v>
      </c>
      <c r="F33" s="225">
        <f t="shared" si="20"/>
        <v>400</v>
      </c>
      <c r="G33" s="225">
        <f t="shared" si="12"/>
        <v>400</v>
      </c>
      <c r="H33" s="225">
        <f t="shared" si="13"/>
        <v>400</v>
      </c>
      <c r="I33" s="226">
        <f t="shared" si="14"/>
        <v>400</v>
      </c>
      <c r="J33" s="226">
        <f t="shared" si="15"/>
        <v>400</v>
      </c>
      <c r="K33" s="226">
        <f t="shared" si="16"/>
        <v>400</v>
      </c>
      <c r="L33" s="226">
        <f t="shared" si="17"/>
        <v>400</v>
      </c>
      <c r="M33" s="227"/>
      <c r="N33" s="227"/>
      <c r="O33" s="227"/>
      <c r="P33" s="227"/>
      <c r="AC33" s="194"/>
      <c r="AD33" s="194"/>
      <c r="AE33" s="194"/>
      <c r="AF33" s="194"/>
      <c r="AG33" s="194"/>
      <c r="AH33" s="194"/>
      <c r="AI33" s="194"/>
    </row>
    <row r="34" spans="1:35" ht="30.75" customHeight="1" x14ac:dyDescent="0.3">
      <c r="A34" s="223" t="str">
        <f t="shared" si="9"/>
        <v>Расходы на тару, упаковку</v>
      </c>
      <c r="B34" s="224">
        <f t="shared" si="10"/>
        <v>0</v>
      </c>
      <c r="C34" s="225">
        <f t="shared" si="18"/>
        <v>403.01598615823826</v>
      </c>
      <c r="D34" s="225">
        <f t="shared" si="11"/>
        <v>493.48896264274083</v>
      </c>
      <c r="E34" s="225">
        <f t="shared" si="19"/>
        <v>592.18675517128895</v>
      </c>
      <c r="F34" s="225">
        <f t="shared" si="20"/>
        <v>629.19842736949442</v>
      </c>
      <c r="G34" s="225">
        <f t="shared" si="12"/>
        <v>666.21009956770024</v>
      </c>
      <c r="H34" s="225">
        <f t="shared" si="13"/>
        <v>703.22177176590583</v>
      </c>
      <c r="I34" s="226">
        <f t="shared" si="14"/>
        <v>740.23344396411142</v>
      </c>
      <c r="J34" s="226">
        <f t="shared" si="15"/>
        <v>740.23344396411142</v>
      </c>
      <c r="K34" s="226">
        <f t="shared" si="16"/>
        <v>740.23344396411119</v>
      </c>
      <c r="L34" s="226">
        <f t="shared" si="17"/>
        <v>740.23344396411119</v>
      </c>
      <c r="M34" s="227"/>
      <c r="N34" s="227"/>
      <c r="O34" s="227"/>
      <c r="P34" s="227"/>
      <c r="AC34" s="194"/>
      <c r="AD34" s="194"/>
      <c r="AE34" s="194"/>
      <c r="AF34" s="194"/>
      <c r="AG34" s="194"/>
      <c r="AH34" s="194"/>
      <c r="AI34" s="194"/>
    </row>
    <row r="35" spans="1:35" ht="27.6" x14ac:dyDescent="0.3">
      <c r="A35" s="223" t="str">
        <f t="shared" si="9"/>
        <v>Банковская гарантия уплаты платежей</v>
      </c>
      <c r="B35" s="224">
        <f t="shared" si="10"/>
        <v>0</v>
      </c>
      <c r="C35" s="225">
        <f t="shared" si="18"/>
        <v>0</v>
      </c>
      <c r="D35" s="225">
        <f t="shared" si="11"/>
        <v>0</v>
      </c>
      <c r="E35" s="225">
        <f t="shared" si="19"/>
        <v>0</v>
      </c>
      <c r="F35" s="225">
        <f t="shared" si="20"/>
        <v>0</v>
      </c>
      <c r="G35" s="225">
        <f t="shared" si="12"/>
        <v>0</v>
      </c>
      <c r="H35" s="225">
        <f t="shared" si="13"/>
        <v>0</v>
      </c>
      <c r="I35" s="226">
        <f t="shared" si="14"/>
        <v>0</v>
      </c>
      <c r="J35" s="226">
        <f t="shared" si="15"/>
        <v>0</v>
      </c>
      <c r="K35" s="226">
        <f t="shared" si="16"/>
        <v>0</v>
      </c>
      <c r="L35" s="226">
        <f t="shared" si="17"/>
        <v>0</v>
      </c>
      <c r="M35" s="227"/>
      <c r="N35" s="227"/>
      <c r="O35" s="227"/>
      <c r="P35" s="227"/>
      <c r="AC35" s="194"/>
      <c r="AD35" s="194"/>
      <c r="AE35" s="194"/>
      <c r="AF35" s="194"/>
      <c r="AG35" s="194"/>
      <c r="AH35" s="194"/>
      <c r="AI35" s="194"/>
    </row>
    <row r="36" spans="1:35" x14ac:dyDescent="0.3">
      <c r="A36" s="223" t="str">
        <f t="shared" si="9"/>
        <v>Амортизация</v>
      </c>
      <c r="B36" s="224">
        <f t="shared" si="10"/>
        <v>253.75</v>
      </c>
      <c r="C36" s="225">
        <f t="shared" si="18"/>
        <v>1015</v>
      </c>
      <c r="D36" s="225">
        <f t="shared" si="11"/>
        <v>1015</v>
      </c>
      <c r="E36" s="225">
        <f t="shared" si="19"/>
        <v>1015</v>
      </c>
      <c r="F36" s="225">
        <f t="shared" si="20"/>
        <v>1015</v>
      </c>
      <c r="G36" s="225">
        <f t="shared" si="12"/>
        <v>1015</v>
      </c>
      <c r="H36" s="225">
        <f t="shared" si="13"/>
        <v>1015</v>
      </c>
      <c r="I36" s="226">
        <f t="shared" si="14"/>
        <v>1015</v>
      </c>
      <c r="J36" s="226">
        <f t="shared" si="15"/>
        <v>1015</v>
      </c>
      <c r="K36" s="226">
        <f t="shared" si="16"/>
        <v>1015</v>
      </c>
      <c r="L36" s="226">
        <f t="shared" si="17"/>
        <v>1015</v>
      </c>
      <c r="M36" s="227"/>
      <c r="N36" s="227"/>
      <c r="O36" s="227"/>
      <c r="P36" s="227"/>
      <c r="AC36" s="194"/>
      <c r="AD36" s="194"/>
      <c r="AE36" s="194"/>
      <c r="AF36" s="194"/>
      <c r="AG36" s="194"/>
      <c r="AH36" s="194"/>
      <c r="AI36" s="194"/>
    </row>
    <row r="37" spans="1:35" x14ac:dyDescent="0.3">
      <c r="A37" s="223" t="str">
        <f t="shared" si="9"/>
        <v xml:space="preserve"> Налоги</v>
      </c>
      <c r="B37" s="224">
        <f t="shared" si="10"/>
        <v>0</v>
      </c>
      <c r="C37" s="224">
        <f>C38+C40</f>
        <v>0</v>
      </c>
      <c r="D37" s="224">
        <f t="shared" ref="D37:L37" si="21">D38+D40</f>
        <v>0</v>
      </c>
      <c r="E37" s="224">
        <f t="shared" si="21"/>
        <v>0</v>
      </c>
      <c r="F37" s="224">
        <f t="shared" si="21"/>
        <v>0</v>
      </c>
      <c r="G37" s="224">
        <f t="shared" si="21"/>
        <v>66.504166666666734</v>
      </c>
      <c r="H37" s="224">
        <f t="shared" si="21"/>
        <v>262.1437500000003</v>
      </c>
      <c r="I37" s="224">
        <f t="shared" si="21"/>
        <v>255.94708333333367</v>
      </c>
      <c r="J37" s="224">
        <f>J38+J40</f>
        <v>249.75041666666706</v>
      </c>
      <c r="K37" s="224">
        <f t="shared" si="21"/>
        <v>243.55375000000046</v>
      </c>
      <c r="L37" s="224">
        <f t="shared" si="21"/>
        <v>237.35708333333386</v>
      </c>
      <c r="M37" s="233"/>
      <c r="N37" s="227"/>
      <c r="O37" s="227"/>
      <c r="P37" s="227"/>
      <c r="AC37" s="194"/>
      <c r="AD37" s="194"/>
      <c r="AE37" s="194"/>
      <c r="AF37" s="194"/>
      <c r="AG37" s="194"/>
      <c r="AH37" s="194"/>
      <c r="AI37" s="194"/>
    </row>
    <row r="38" spans="1:35" ht="27.6" x14ac:dyDescent="0.3">
      <c r="A38" s="223" t="str">
        <f t="shared" si="9"/>
        <v xml:space="preserve"> Налог на имущество</v>
      </c>
      <c r="B38" s="224">
        <f t="shared" si="10"/>
        <v>0</v>
      </c>
      <c r="C38" s="225">
        <f>F14+G14+H14+I14</f>
        <v>0</v>
      </c>
      <c r="D38" s="225">
        <f>J14+K14+L14+M14</f>
        <v>0</v>
      </c>
      <c r="E38" s="225">
        <f>N14+O14+P14+Q14</f>
        <v>0</v>
      </c>
      <c r="F38" s="225">
        <f>R14+S14+T14+U14</f>
        <v>0</v>
      </c>
      <c r="G38" s="225">
        <f>V14+W14+X14+Y14</f>
        <v>66.504166666666734</v>
      </c>
      <c r="H38" s="225">
        <f>Z14+AA14+AB14+AC14</f>
        <v>262.1437500000003</v>
      </c>
      <c r="I38" s="226">
        <f>AD14+AE14+AF14+AG14</f>
        <v>255.94708333333367</v>
      </c>
      <c r="J38" s="226">
        <f>AH14+AI14+AJ14+AK14</f>
        <v>249.75041666666706</v>
      </c>
      <c r="K38" s="226">
        <f>AL14+AM14+AN14+AO14</f>
        <v>243.55375000000046</v>
      </c>
      <c r="L38" s="226">
        <f>AP14+AQ14+AR14+AS14</f>
        <v>237.35708333333386</v>
      </c>
      <c r="M38" s="227"/>
      <c r="N38" s="227"/>
      <c r="O38" s="227"/>
      <c r="P38" s="227"/>
      <c r="AC38" s="194"/>
      <c r="AD38" s="194"/>
      <c r="AE38" s="194"/>
      <c r="AF38" s="194"/>
      <c r="AG38" s="194"/>
      <c r="AH38" s="194"/>
      <c r="AI38" s="194"/>
    </row>
    <row r="39" spans="1:35" x14ac:dyDescent="0.3">
      <c r="A39" s="223" t="str">
        <f t="shared" si="9"/>
        <v>НДС к уплате</v>
      </c>
      <c r="B39" s="224">
        <f t="shared" si="10"/>
        <v>0</v>
      </c>
      <c r="C39" s="225">
        <f>F15+G15+H15+I15</f>
        <v>890.56281819140713</v>
      </c>
      <c r="D39" s="225">
        <f>J15+K15+L15+M15</f>
        <v>9079.648295287443</v>
      </c>
      <c r="E39" s="225">
        <f>N15+O15+P15+Q15</f>
        <v>12194.441645336929</v>
      </c>
      <c r="F39" s="225">
        <f>R15+S15+T15+U15</f>
        <v>14347.446789107647</v>
      </c>
      <c r="G39" s="225">
        <f>V15+W15+X15+Y15</f>
        <v>16747.623716710536</v>
      </c>
      <c r="H39" s="225">
        <f>Z15+AA15+AB15+AC15</f>
        <v>19414.908913902982</v>
      </c>
      <c r="I39" s="226">
        <f>AD15+AE15+AF15+AG15</f>
        <v>22370.519291356501</v>
      </c>
      <c r="J39" s="226">
        <f>AH15+AI15+AJ15+AK15</f>
        <v>24395.505023356724</v>
      </c>
      <c r="K39" s="226">
        <f>AL15+AM15+AN15+AO15</f>
        <v>26542.0399175653</v>
      </c>
      <c r="L39" s="226">
        <f>AP15+AQ15+AR15+AS15</f>
        <v>28819.187237667495</v>
      </c>
      <c r="M39" s="227"/>
      <c r="N39" s="227"/>
      <c r="O39" s="227"/>
      <c r="P39" s="227"/>
      <c r="AC39" s="194"/>
      <c r="AD39" s="194"/>
      <c r="AE39" s="194"/>
      <c r="AF39" s="194"/>
      <c r="AG39" s="194"/>
      <c r="AH39" s="194"/>
      <c r="AI39" s="194"/>
    </row>
    <row r="40" spans="1:35" x14ac:dyDescent="0.3">
      <c r="A40" s="223" t="str">
        <f t="shared" si="9"/>
        <v>Земельный налог</v>
      </c>
      <c r="B40" s="224">
        <f t="shared" si="10"/>
        <v>0</v>
      </c>
      <c r="C40" s="224">
        <f>F16+G16+H16+I16</f>
        <v>0</v>
      </c>
      <c r="D40" s="224">
        <f>J16+K16+L16+M16</f>
        <v>0</v>
      </c>
      <c r="E40" s="224">
        <f>N16+O16+P16+Q16</f>
        <v>0</v>
      </c>
      <c r="F40" s="224">
        <f>R16+S16+T16+U16</f>
        <v>0</v>
      </c>
      <c r="G40" s="224">
        <f>V16+W16+X16+Y16</f>
        <v>0</v>
      </c>
      <c r="H40" s="224">
        <f>Z16+AA16+AB16+AC16</f>
        <v>0</v>
      </c>
      <c r="I40" s="231">
        <f>AD16+AE16+AF16+AG16</f>
        <v>0</v>
      </c>
      <c r="J40" s="231">
        <f>AH16+AI16+AJ16+AK16</f>
        <v>0</v>
      </c>
      <c r="K40" s="231">
        <f>AL16+AM16+AN16+AO16</f>
        <v>0</v>
      </c>
      <c r="L40" s="231">
        <f>AP16+AQ16+AR16+AS16</f>
        <v>0</v>
      </c>
      <c r="M40" s="232"/>
      <c r="N40" s="232"/>
      <c r="O40" s="232"/>
      <c r="P40" s="232"/>
      <c r="Q40" s="194"/>
      <c r="R40" s="194"/>
      <c r="S40" s="194"/>
      <c r="T40" s="194"/>
      <c r="U40" s="194"/>
      <c r="V40" s="194"/>
      <c r="W40" s="194"/>
      <c r="X40" s="194"/>
      <c r="Y40" s="194"/>
      <c r="Z40" s="194"/>
      <c r="AA40" s="194"/>
      <c r="AC40" s="194"/>
      <c r="AD40" s="194"/>
      <c r="AE40" s="194"/>
      <c r="AF40" s="194"/>
      <c r="AG40" s="194"/>
      <c r="AH40" s="194"/>
      <c r="AI40" s="194"/>
    </row>
    <row r="41" spans="1:35" ht="27.6" x14ac:dyDescent="0.3">
      <c r="A41" s="223" t="str">
        <f t="shared" si="9"/>
        <v>Обновление основных средств</v>
      </c>
      <c r="B41" s="224">
        <f t="shared" si="10"/>
        <v>0</v>
      </c>
      <c r="C41" s="224">
        <f>F17+G17+H17+I17</f>
        <v>0</v>
      </c>
      <c r="D41" s="224">
        <f>J17+K17+L17+M17</f>
        <v>135</v>
      </c>
      <c r="E41" s="224">
        <f>N17+O17+P17+Q17</f>
        <v>135</v>
      </c>
      <c r="F41" s="224">
        <f>R17+S17+T17+U17</f>
        <v>135</v>
      </c>
      <c r="G41" s="224">
        <f>V17+W17+X17+Y17</f>
        <v>135</v>
      </c>
      <c r="H41" s="224">
        <f>Z17+AA17+AB17+AC17</f>
        <v>135</v>
      </c>
      <c r="I41" s="231">
        <f>AD17+AE17+AF17+AG17</f>
        <v>135</v>
      </c>
      <c r="J41" s="231">
        <f>AH17+AI17+AJ17+AK17</f>
        <v>135</v>
      </c>
      <c r="K41" s="231">
        <f>AL17+AM17+AN17+AO17</f>
        <v>135</v>
      </c>
      <c r="L41" s="231">
        <f>AP17+AQ17+AR17+AS17</f>
        <v>135</v>
      </c>
      <c r="M41" s="194"/>
      <c r="N41" s="232"/>
      <c r="O41" s="232"/>
      <c r="P41" s="232"/>
      <c r="Q41" s="194"/>
      <c r="R41" s="194"/>
      <c r="S41" s="194"/>
      <c r="T41" s="194"/>
      <c r="U41" s="194"/>
      <c r="V41" s="194"/>
      <c r="W41" s="194"/>
      <c r="X41" s="194"/>
      <c r="Y41" s="194"/>
      <c r="Z41" s="194"/>
      <c r="AA41" s="194"/>
      <c r="AC41" s="194"/>
      <c r="AD41" s="194"/>
      <c r="AE41" s="194"/>
      <c r="AF41" s="194"/>
      <c r="AG41" s="194"/>
      <c r="AH41" s="194"/>
      <c r="AI41" s="194"/>
    </row>
    <row r="42" spans="1:35" x14ac:dyDescent="0.3">
      <c r="A42" s="234" t="str">
        <f t="shared" si="9"/>
        <v>Итого расходов</v>
      </c>
      <c r="B42" s="235">
        <f t="shared" si="10"/>
        <v>256.99927836249998</v>
      </c>
      <c r="C42" s="235">
        <f>SUM(C26:C41)</f>
        <v>50202.689936784271</v>
      </c>
      <c r="D42" s="235">
        <f t="shared" ref="D42:L42" si="22">SUM(D26:D41)</f>
        <v>65782.781538217998</v>
      </c>
      <c r="E42" s="235">
        <f t="shared" si="22"/>
        <v>76784.558202548593</v>
      </c>
      <c r="F42" s="235">
        <f t="shared" si="22"/>
        <v>82212.62710206394</v>
      </c>
      <c r="G42" s="235">
        <f t="shared" si="22"/>
        <v>88035.851768971159</v>
      </c>
      <c r="H42" s="235">
        <f t="shared" si="22"/>
        <v>94399.880458534462</v>
      </c>
      <c r="I42" s="235">
        <f t="shared" si="22"/>
        <v>100739.5916773698</v>
      </c>
      <c r="J42" s="235">
        <f t="shared" si="22"/>
        <v>103316.27921699607</v>
      </c>
      <c r="K42" s="235">
        <f t="shared" si="22"/>
        <v>106031.4387730595</v>
      </c>
      <c r="L42" s="235">
        <f t="shared" si="22"/>
        <v>108296.19275982835</v>
      </c>
      <c r="M42" s="194"/>
      <c r="N42" s="194"/>
      <c r="O42" s="194"/>
      <c r="P42" s="194"/>
      <c r="Q42" s="194"/>
      <c r="AC42" s="194"/>
      <c r="AD42" s="194"/>
      <c r="AE42" s="194"/>
      <c r="AF42" s="194"/>
      <c r="AG42" s="194"/>
      <c r="AH42" s="194"/>
      <c r="AI42" s="194"/>
    </row>
    <row r="43" spans="1:35" x14ac:dyDescent="0.3">
      <c r="A43" s="185" t="s">
        <v>244</v>
      </c>
      <c r="B43" s="191"/>
      <c r="C43" s="191">
        <f>'объем работ 100% загр'!D26</f>
        <v>64821.120000000003</v>
      </c>
      <c r="D43" s="191">
        <f>'объем работ 100% загр'!E26</f>
        <v>84135.16800000002</v>
      </c>
      <c r="E43" s="191">
        <f>'объем работ 100% загр'!F26</f>
        <v>107019.93369600002</v>
      </c>
      <c r="F43" s="191">
        <f>'объем работ 100% загр'!G26</f>
        <v>120531.20032512002</v>
      </c>
      <c r="G43" s="191">
        <f>'объем работ 100% загр'!H26</f>
        <v>135278.54718842887</v>
      </c>
      <c r="H43" s="191">
        <f>'объем работ 100% загр'!I26</f>
        <v>151361.66335416431</v>
      </c>
      <c r="I43" s="191">
        <f>'объем работ 100% загр'!J26</f>
        <v>168887.75068990968</v>
      </c>
      <c r="J43" s="191">
        <f>'объем работ 100% загр'!K26</f>
        <v>179021.01573130427</v>
      </c>
      <c r="K43" s="191">
        <f>'объем работ 100% загр'!L26</f>
        <v>189762.27667518248</v>
      </c>
      <c r="L43" s="191">
        <f>'объем работ 100% загр'!M26</f>
        <v>201148.01327569343</v>
      </c>
      <c r="M43" s="194"/>
      <c r="N43" s="236"/>
      <c r="O43" s="236"/>
      <c r="P43" s="237"/>
      <c r="AC43" s="194"/>
      <c r="AD43" s="194"/>
      <c r="AE43" s="194"/>
      <c r="AF43" s="194"/>
      <c r="AG43" s="194"/>
      <c r="AH43" s="194"/>
      <c r="AI43" s="194"/>
    </row>
    <row r="44" spans="1:35" x14ac:dyDescent="0.3">
      <c r="A44" s="185" t="s">
        <v>179</v>
      </c>
      <c r="B44" s="186"/>
      <c r="C44" s="191">
        <f>'Расходы на ЗП ОТ'!C69-'Расходы на ЗП ТОР'!C70</f>
        <v>0</v>
      </c>
      <c r="D44" s="191">
        <f>'Расходы на ЗП ОТ'!D69-'Расходы на ЗП ТОР'!D70</f>
        <v>0</v>
      </c>
      <c r="E44" s="191">
        <f>'Расходы на ЗП ОТ'!E69-'Расходы на ЗП ТОР'!E70</f>
        <v>0</v>
      </c>
      <c r="F44" s="191">
        <f>'Расходы на ЗП ОТ'!F69-'Расходы на ЗП ТОР'!F70</f>
        <v>0</v>
      </c>
      <c r="G44" s="191">
        <f>'Расходы на ЗП ОТ'!G69-'Расходы на ЗП ТОР'!G70</f>
        <v>0</v>
      </c>
      <c r="H44" s="191">
        <f>'Расходы на ЗП ОТ'!H69-'Расходы на ЗП ТОР'!H70</f>
        <v>0</v>
      </c>
      <c r="I44" s="191">
        <f>'Расходы на ЗП ОТ'!I69-'Расходы на ЗП ТОР'!I70</f>
        <v>0</v>
      </c>
      <c r="J44" s="191">
        <f>'Расходы на ЗП ОТ'!J69-'Расходы на ЗП ТОР'!J70</f>
        <v>0</v>
      </c>
      <c r="K44" s="191">
        <f>'Расходы на ЗП ОТ'!K69-'Расходы на ЗП ТОР'!K70</f>
        <v>0</v>
      </c>
      <c r="L44" s="191">
        <f>'Расходы на ЗП ОТ'!L69-'Расходы на ЗП ТОР'!L70</f>
        <v>0</v>
      </c>
      <c r="M44" s="236"/>
      <c r="N44" s="236"/>
      <c r="O44" s="236"/>
      <c r="AC44" s="194"/>
      <c r="AD44" s="194"/>
      <c r="AE44" s="194"/>
      <c r="AF44" s="194"/>
      <c r="AG44" s="194"/>
      <c r="AH44" s="194"/>
      <c r="AI44" s="194"/>
    </row>
    <row r="45" spans="1:35" ht="41.4" x14ac:dyDescent="0.3">
      <c r="A45" s="185" t="s">
        <v>245</v>
      </c>
      <c r="B45" s="353">
        <v>0.1</v>
      </c>
      <c r="C45" s="186">
        <f>0*(C43-C42)</f>
        <v>0</v>
      </c>
      <c r="D45" s="186">
        <f t="shared" ref="D45:G45" si="23">0*(D43-D42)</f>
        <v>0</v>
      </c>
      <c r="E45" s="186">
        <f t="shared" si="23"/>
        <v>0</v>
      </c>
      <c r="F45" s="186">
        <f t="shared" si="23"/>
        <v>0</v>
      </c>
      <c r="G45" s="186">
        <f t="shared" si="23"/>
        <v>0</v>
      </c>
      <c r="H45" s="191">
        <f>$B$45*(H43-H42)</f>
        <v>5696.1782895629849</v>
      </c>
      <c r="I45" s="191">
        <f t="shared" ref="I45:L45" si="24">$B$45*(I43-I42)</f>
        <v>6814.8159012539882</v>
      </c>
      <c r="J45" s="191">
        <f t="shared" si="24"/>
        <v>7570.4736514308206</v>
      </c>
      <c r="K45" s="191">
        <f t="shared" si="24"/>
        <v>8373.0837902122985</v>
      </c>
      <c r="L45" s="191">
        <f t="shared" si="24"/>
        <v>9285.1820515865093</v>
      </c>
      <c r="M45" s="236"/>
      <c r="N45" s="236"/>
      <c r="O45" s="236"/>
    </row>
    <row r="46" spans="1:35" x14ac:dyDescent="0.3">
      <c r="A46" s="185" t="s">
        <v>246</v>
      </c>
      <c r="B46" s="186"/>
      <c r="C46" s="191">
        <f>C43-C42-C45</f>
        <v>14618.430063215732</v>
      </c>
      <c r="D46" s="191">
        <f t="shared" ref="D46:L46" si="25">D43-D42-D45</f>
        <v>18352.386461782022</v>
      </c>
      <c r="E46" s="191">
        <f t="shared" si="25"/>
        <v>30235.375493451429</v>
      </c>
      <c r="F46" s="191">
        <f t="shared" si="25"/>
        <v>38318.573223056082</v>
      </c>
      <c r="G46" s="191">
        <f t="shared" si="25"/>
        <v>47242.695419457712</v>
      </c>
      <c r="H46" s="191">
        <f t="shared" si="25"/>
        <v>51265.60460606686</v>
      </c>
      <c r="I46" s="191">
        <f t="shared" si="25"/>
        <v>61333.343111285889</v>
      </c>
      <c r="J46" s="191">
        <f t="shared" si="25"/>
        <v>68134.262862877382</v>
      </c>
      <c r="K46" s="191">
        <f t="shared" si="25"/>
        <v>75357.754111910675</v>
      </c>
      <c r="L46" s="191">
        <f t="shared" si="25"/>
        <v>83566.638464278571</v>
      </c>
      <c r="M46" s="236"/>
      <c r="N46" s="236"/>
      <c r="O46" s="236"/>
    </row>
    <row r="47" spans="1:35" x14ac:dyDescent="0.3">
      <c r="O47" s="195"/>
    </row>
    <row r="48" spans="1:35" x14ac:dyDescent="0.3">
      <c r="A48" s="185" t="s">
        <v>247</v>
      </c>
      <c r="B48" s="186"/>
      <c r="C48" s="191">
        <f>C43-C42-C44-C50-C49</f>
        <v>11401.616967239253</v>
      </c>
      <c r="D48" s="191">
        <f t="shared" ref="D48:L48" si="26">D43-D42-D44-D50-D49</f>
        <v>14394.978752758951</v>
      </c>
      <c r="E48" s="191">
        <f t="shared" si="26"/>
        <v>23907.566644761144</v>
      </c>
      <c r="F48" s="191">
        <f t="shared" si="26"/>
        <v>30380.321495111533</v>
      </c>
      <c r="G48" s="191">
        <f t="shared" si="26"/>
        <v>37592.320085566171</v>
      </c>
      <c r="H48" s="191">
        <f t="shared" si="26"/>
        <v>45569.426316503879</v>
      </c>
      <c r="I48" s="191">
        <f t="shared" si="26"/>
        <v>54518.527210031905</v>
      </c>
      <c r="J48" s="191">
        <f t="shared" si="26"/>
        <v>60563.789211446558</v>
      </c>
      <c r="K48" s="191">
        <f t="shared" si="26"/>
        <v>66984.670321698388</v>
      </c>
      <c r="L48" s="191">
        <f t="shared" si="26"/>
        <v>74281.45641269206</v>
      </c>
      <c r="M48" s="236"/>
      <c r="N48" s="236"/>
      <c r="O48" s="236"/>
    </row>
    <row r="49" spans="1:15" ht="27.6" x14ac:dyDescent="0.3">
      <c r="A49" s="185" t="s">
        <v>248</v>
      </c>
      <c r="B49" s="186"/>
      <c r="C49" s="191">
        <f>'Расходы на П, строит-во, ввод'!C39-C38</f>
        <v>293.1270833333333</v>
      </c>
      <c r="D49" s="191">
        <f>'Расходы на П, строит-во, ввод'!D39-D38</f>
        <v>286.93041666666676</v>
      </c>
      <c r="E49" s="191">
        <f>'Расходы на П, строит-во, ввод'!E39-E38</f>
        <v>280.7337500000001</v>
      </c>
      <c r="F49" s="191">
        <f>'Расходы на П, строит-во, ввод'!F39-F38</f>
        <v>274.5370833333335</v>
      </c>
      <c r="G49" s="191">
        <f>'Расходы на П, строит-во, ввод'!G39-G38</f>
        <v>201.83625000000018</v>
      </c>
      <c r="H49" s="191">
        <f>'Расходы на П, строит-во, ввод'!H39-H38</f>
        <v>0</v>
      </c>
      <c r="I49" s="191">
        <f>'Расходы на П, строит-во, ввод'!I39-I38</f>
        <v>0</v>
      </c>
      <c r="J49" s="191">
        <f>'Расходы на П, строит-во, ввод'!J39-J38</f>
        <v>0</v>
      </c>
      <c r="K49" s="191">
        <f>'Расходы на П, строит-во, ввод'!K39-K38</f>
        <v>0</v>
      </c>
      <c r="L49" s="191">
        <f>'Расходы на П, строит-во, ввод'!L39-L38</f>
        <v>0</v>
      </c>
      <c r="M49" s="236"/>
      <c r="N49" s="236"/>
      <c r="O49" s="236"/>
    </row>
    <row r="50" spans="1:15" ht="27.6" x14ac:dyDescent="0.3">
      <c r="A50" s="185" t="s">
        <v>249</v>
      </c>
      <c r="B50" s="353">
        <v>0.2</v>
      </c>
      <c r="C50" s="648">
        <f>IF(B50*(C43-C42)&lt;0,0,B50*(C43-C42))</f>
        <v>2923.6860126431466</v>
      </c>
      <c r="D50" s="648">
        <f>IF((D43-D42)&lt;0, 0, $B$50*(D43-D42))</f>
        <v>3670.4772923564046</v>
      </c>
      <c r="E50" s="648">
        <f>IF((E43-E42)&lt;0, 0, $B$50*(E43-E42))</f>
        <v>6047.0750986902858</v>
      </c>
      <c r="F50" s="648">
        <f t="shared" ref="F50:L50" si="27">$B$50*(F43-F42)</f>
        <v>7663.7146446112165</v>
      </c>
      <c r="G50" s="648">
        <f t="shared" si="27"/>
        <v>9448.5390838915428</v>
      </c>
      <c r="H50" s="648">
        <f t="shared" si="27"/>
        <v>11392.35657912597</v>
      </c>
      <c r="I50" s="648">
        <f t="shared" si="27"/>
        <v>13629.631802507976</v>
      </c>
      <c r="J50" s="648">
        <f t="shared" si="27"/>
        <v>15140.947302861641</v>
      </c>
      <c r="K50" s="648">
        <f t="shared" si="27"/>
        <v>16746.167580424597</v>
      </c>
      <c r="L50" s="648">
        <f t="shared" si="27"/>
        <v>18570.364103173019</v>
      </c>
      <c r="M50" s="236"/>
      <c r="N50" s="236"/>
      <c r="O50" s="236"/>
    </row>
    <row r="51" spans="1:15" ht="27.6" x14ac:dyDescent="0.3">
      <c r="A51" s="185" t="s">
        <v>365</v>
      </c>
      <c r="B51" s="186"/>
      <c r="C51" s="191">
        <f>C50-C45</f>
        <v>2923.6860126431466</v>
      </c>
      <c r="D51" s="191">
        <f t="shared" ref="D51:L51" si="28">D50-D45</f>
        <v>3670.4772923564046</v>
      </c>
      <c r="E51" s="191">
        <f t="shared" si="28"/>
        <v>6047.0750986902858</v>
      </c>
      <c r="F51" s="191">
        <f t="shared" si="28"/>
        <v>7663.7146446112165</v>
      </c>
      <c r="G51" s="191">
        <f t="shared" si="28"/>
        <v>9448.5390838915428</v>
      </c>
      <c r="H51" s="191">
        <f t="shared" si="28"/>
        <v>5696.1782895629849</v>
      </c>
      <c r="I51" s="191">
        <f t="shared" si="28"/>
        <v>6814.8159012539882</v>
      </c>
      <c r="J51" s="191">
        <f t="shared" si="28"/>
        <v>7570.4736514308206</v>
      </c>
      <c r="K51" s="191">
        <f t="shared" si="28"/>
        <v>8373.0837902122985</v>
      </c>
      <c r="L51" s="191">
        <f t="shared" si="28"/>
        <v>9285.1820515865093</v>
      </c>
      <c r="O51" s="195"/>
    </row>
    <row r="52" spans="1:15" ht="41.4" x14ac:dyDescent="0.3">
      <c r="A52" s="185" t="s">
        <v>250</v>
      </c>
      <c r="B52" s="186"/>
      <c r="C52" s="191">
        <f>C46-C48</f>
        <v>3216.8130959764785</v>
      </c>
      <c r="D52" s="191">
        <f t="shared" ref="D52:L52" si="29">D46-D48</f>
        <v>3957.4077090230712</v>
      </c>
      <c r="E52" s="191">
        <f t="shared" si="29"/>
        <v>6327.8088486902852</v>
      </c>
      <c r="F52" s="191">
        <f t="shared" si="29"/>
        <v>7938.2517279445492</v>
      </c>
      <c r="G52" s="191">
        <f t="shared" si="29"/>
        <v>9650.3753338915412</v>
      </c>
      <c r="H52" s="191">
        <f t="shared" si="29"/>
        <v>5696.1782895629804</v>
      </c>
      <c r="I52" s="191">
        <f t="shared" si="29"/>
        <v>6814.8159012539836</v>
      </c>
      <c r="J52" s="191">
        <f t="shared" si="29"/>
        <v>7570.4736514308242</v>
      </c>
      <c r="K52" s="191">
        <f t="shared" si="29"/>
        <v>8373.0837902122876</v>
      </c>
      <c r="L52" s="191">
        <f t="shared" si="29"/>
        <v>9285.1820515865111</v>
      </c>
      <c r="M52" s="236"/>
    </row>
    <row r="54" spans="1:15" x14ac:dyDescent="0.3">
      <c r="K54" s="183" t="s">
        <v>251</v>
      </c>
      <c r="L54" s="238">
        <f>SUM(C52:L52)</f>
        <v>68830.390399572512</v>
      </c>
    </row>
    <row r="55" spans="1:15" x14ac:dyDescent="0.3">
      <c r="K55" s="183" t="s">
        <v>252</v>
      </c>
      <c r="L55" s="195">
        <f>AVERAGE(C52:L52)</f>
        <v>6883.0390399572516</v>
      </c>
    </row>
  </sheetData>
  <pageMargins left="0.7" right="0.7" top="0.75" bottom="0.75" header="0.3" footer="0.3"/>
  <pageSetup paperSize="9" firstPageNumber="2147483648"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28</vt:i4>
      </vt:variant>
      <vt:variant>
        <vt:lpstr>Именованные диапазоны</vt:lpstr>
      </vt:variant>
      <vt:variant>
        <vt:i4>2</vt:i4>
      </vt:variant>
    </vt:vector>
  </HeadingPairs>
  <TitlesOfParts>
    <vt:vector size="30" baseType="lpstr">
      <vt:lpstr>Аннотация</vt:lpstr>
      <vt:lpstr>допущения</vt:lpstr>
      <vt:lpstr>СВОД</vt:lpstr>
      <vt:lpstr>объем работ 100% загр</vt:lpstr>
      <vt:lpstr>выручка по кв и годам</vt:lpstr>
      <vt:lpstr>Расходы на П, строит-во, ввод</vt:lpstr>
      <vt:lpstr>Расходы на ЗП ОТ</vt:lpstr>
      <vt:lpstr>Расходы на ЗП ТОР</vt:lpstr>
      <vt:lpstr>Расходы ТОР</vt:lpstr>
      <vt:lpstr>Фин результат ТОР</vt:lpstr>
      <vt:lpstr>Себестоимость</vt:lpstr>
      <vt:lpstr>Налоги ТОР</vt:lpstr>
      <vt:lpstr>Налоги без ТОР</vt:lpstr>
      <vt:lpstr>Расходы по займу</vt:lpstr>
      <vt:lpstr>займ</vt:lpstr>
      <vt:lpstr>NPV, IRR, DPI ТОР</vt:lpstr>
      <vt:lpstr>выручка 2022г 40% загр</vt:lpstr>
      <vt:lpstr>выручка 2023г 50% загр</vt:lpstr>
      <vt:lpstr>выручка 2024г 60% загр</vt:lpstr>
      <vt:lpstr>выручка 2025г 85% загр1</vt:lpstr>
      <vt:lpstr>выручка 2026г 85% загр1</vt:lpstr>
      <vt:lpstr>выручка 2027</vt:lpstr>
      <vt:lpstr>выручка 2028</vt:lpstr>
      <vt:lpstr>выручка 2029</vt:lpstr>
      <vt:lpstr>выручка 2030</vt:lpstr>
      <vt:lpstr>выручка 2031</vt:lpstr>
      <vt:lpstr>выручка 2032</vt:lpstr>
      <vt:lpstr>обоснования</vt:lpstr>
      <vt:lpstr>'Фин результат ТОР'!_ftn1</vt:lpstr>
      <vt:lpstr>'Фин результат ТОР'!_ftnref1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IRU</dc:creator>
  <cp:lastModifiedBy>Татьяна Уварова</cp:lastModifiedBy>
  <cp:revision>4</cp:revision>
  <dcterms:created xsi:type="dcterms:W3CDTF">2006-09-28T05:33:49Z</dcterms:created>
  <dcterms:modified xsi:type="dcterms:W3CDTF">2023-04-10T15:16:41Z</dcterms:modified>
</cp:coreProperties>
</file>